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charts/style8.xml" ContentType="application/vnd.ms-office.chartsty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style6.xml" ContentType="application/vnd.ms-office.chartstyle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olors13.xml" ContentType="application/vnd.ms-office.chartcolorstyle+xml"/>
  <Override PartName="/xl/charts/colors9.xml" ContentType="application/vnd.ms-office.chartcolorstyle+xml"/>
  <Override PartName="/xl/charts/style2.xml" ContentType="application/vnd.ms-office.chartstyle+xml"/>
  <Override PartName="/xl/worksheets/sheet3.xml" ContentType="application/vnd.openxmlformats-officedocument.spreadsheetml.worksheet+xml"/>
  <Override PartName="/xl/charts/chartEx7.xml" ContentType="application/vnd.ms-office.chartex+xml"/>
  <Override PartName="/xl/charts/colors11.xml" ContentType="application/vnd.ms-office.chartcolorstyle+xml"/>
  <Override PartName="/xl/charts/style12.xml" ContentType="application/vnd.ms-office.chartstyle+xml"/>
  <Override PartName="/xl/charts/colors7.xml" ContentType="application/vnd.ms-office.chartcolorstyle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Ex5.xml" ContentType="application/vnd.ms-office.chartex+xml"/>
  <Override PartName="/xl/charts/style10.xml" ContentType="application/vnd.ms-office.chartstyle+xml"/>
  <Override PartName="/xl/charts/colors5.xml" ContentType="application/vnd.ms-office.chartcolorstyle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charts/chartEx3.xml" ContentType="application/vnd.ms-office.chartex+xml"/>
  <Override PartName="/xl/charts/colors3.xml" ContentType="application/vnd.ms-office.chartcolorstyle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charts/chartEx1.xml" ContentType="application/vnd.ms-office.chartex+xml"/>
  <Override PartName="/xl/charts/colors1.xml" ContentType="application/vnd.ms-office.chartcolorstyle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style9.xml" ContentType="application/vnd.ms-office.chartstyle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olors8.xml" ContentType="application/vnd.ms-office.chartcolorstyle+xml"/>
  <Override PartName="/xl/charts/style1.xml" ContentType="application/vnd.ms-office.chartstyle+xml"/>
  <Override PartName="/xl/charts/style3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Ex6.xml" ContentType="application/vnd.ms-office.chartex+xml"/>
  <Override PartName="/xl/charts/style13.xml" ContentType="application/vnd.ms-office.chartstyle+xml"/>
  <Override PartName="/xl/charts/colors12.xml" ContentType="application/vnd.ms-office.chartcolorstyle+xml"/>
  <Override PartName="/xl/charts/colors6.xml" ContentType="application/vnd.ms-office.chartcolorstyle+xml"/>
  <Override PartName="/xl/calcChain.xml" ContentType="application/vnd.openxmlformats-officedocument.spreadsheetml.calcChain+xml"/>
  <Override PartName="/xl/charts/chartEx4.xml" ContentType="application/vnd.ms-office.chartex+xml"/>
  <Override PartName="/xl/charts/style11.xml" ContentType="application/vnd.ms-office.chartstyle+xml"/>
  <Override PartName="/xl/charts/colors10.xml" ContentType="application/vnd.ms-office.chartcolorstyle+xml"/>
  <Override PartName="/xl/charts/colors4.xml" ContentType="application/vnd.ms-office.chartcolorstyle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charts/chartEx2.xml" ContentType="application/vnd.ms-office.chartex+xml"/>
  <Override PartName="/xl/charts/colors2.xml" ContentType="application/vnd.ms-office.chartcolorstyle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19200" windowHeight="8010" firstSheet="21" activeTab="29"/>
  </bookViews>
  <sheets>
    <sheet name="1" sheetId="32" r:id="rId1"/>
    <sheet name="2" sheetId="1" r:id="rId2"/>
    <sheet name="3" sheetId="3" r:id="rId3"/>
    <sheet name="4" sheetId="6" r:id="rId4"/>
    <sheet name="5" sheetId="7" r:id="rId5"/>
    <sheet name="6" sheetId="8" r:id="rId6"/>
    <sheet name="7" sheetId="5" r:id="rId7"/>
    <sheet name="8" sheetId="9" r:id="rId8"/>
    <sheet name="9" sheetId="4" r:id="rId9"/>
    <sheet name="10" sheetId="34" r:id="rId10"/>
    <sheet name="11" sheetId="26" r:id="rId11"/>
    <sheet name="12" sheetId="27" r:id="rId12"/>
    <sheet name="13" sheetId="28" r:id="rId13"/>
    <sheet name="14" sheetId="29" r:id="rId14"/>
    <sheet name="15" sheetId="30" r:id="rId15"/>
    <sheet name="16" sheetId="31" r:id="rId16"/>
    <sheet name="17" sheetId="18" r:id="rId17"/>
    <sheet name="18" sheetId="20" r:id="rId18"/>
    <sheet name="19" sheetId="21" r:id="rId19"/>
    <sheet name="20" sheetId="22" r:id="rId20"/>
    <sheet name="21" sheetId="23" r:id="rId21"/>
    <sheet name="22" sheetId="24" r:id="rId22"/>
    <sheet name="23" sheetId="10" r:id="rId23"/>
    <sheet name="24" sheetId="11" r:id="rId24"/>
    <sheet name="25" sheetId="12" r:id="rId25"/>
    <sheet name="26" sheetId="13" r:id="rId26"/>
    <sheet name="27" sheetId="14" r:id="rId27"/>
    <sheet name="28" sheetId="15" r:id="rId28"/>
    <sheet name="29" sheetId="16" r:id="rId29"/>
    <sheet name="30" sheetId="33" r:id="rId30"/>
    <sheet name="31" sheetId="17" r:id="rId31"/>
    <sheet name="32" sheetId="25" state="hidden" r:id="rId32"/>
    <sheet name="สรุป" sheetId="2" r:id="rId33"/>
    <sheet name=" Pareto Dry reject" sheetId="41" r:id="rId34"/>
    <sheet name="usage" sheetId="37" r:id="rId35"/>
    <sheet name="wet&amp;dry " sheetId="39" r:id="rId36"/>
  </sheets>
  <externalReferences>
    <externalReference r:id="rId37"/>
  </externalReferences>
  <definedNames>
    <definedName name="_xlchart.v1.0" hidden="1">' Pareto Dry reject'!$E$1:$AC$1</definedName>
    <definedName name="_xlchart.v1.1" hidden="1">' Pareto Dry reject'!$E$5:$AC$5</definedName>
    <definedName name="_xlchart.v1.10" hidden="1">' Pareto Dry reject'!$E$1:$AC$1</definedName>
    <definedName name="_xlchart.v1.11" hidden="1">' Pareto Dry reject'!$E$4:$AC$4</definedName>
    <definedName name="_xlchart.v1.12" hidden="1">' Pareto Dry reject'!$E$1:$AC$1</definedName>
    <definedName name="_xlchart.v1.13" hidden="1">' Pareto Dry reject'!$E$9:$AC$9</definedName>
    <definedName name="_xlchart.v1.2" hidden="1">' Pareto Dry reject'!$E$1:$AC$1</definedName>
    <definedName name="_xlchart.v1.3" hidden="1">' Pareto Dry reject'!$E$8:$AC$8</definedName>
    <definedName name="_xlchart.v1.4" hidden="1">' Pareto Dry reject'!$E$1:$AC$1</definedName>
    <definedName name="_xlchart.v1.5" hidden="1">' Pareto Dry reject'!$E$6:$AC$6</definedName>
    <definedName name="_xlchart.v1.6" hidden="1">' Pareto Dry reject'!$E$1:$AC$1</definedName>
    <definedName name="_xlchart.v1.7" hidden="1">' Pareto Dry reject'!$E$2:$AC$2</definedName>
    <definedName name="_xlchart.v1.8" hidden="1">' Pareto Dry reject'!$E$1:$AC$1</definedName>
    <definedName name="_xlchart.v1.9" hidden="1">' Pareto Dry reject'!$E$7:$AC$7</definedName>
    <definedName name="_xlnm.Print_Area" localSheetId="0">'1'!$A$1:$AM$59</definedName>
    <definedName name="_xlnm.Print_Area" localSheetId="9">'10'!$A$1:$AM$59</definedName>
    <definedName name="_xlnm.Print_Area" localSheetId="10">'11'!$A$1:$AM$59</definedName>
    <definedName name="_xlnm.Print_Area" localSheetId="11">'12'!$A$1:$AM$59</definedName>
    <definedName name="_xlnm.Print_Area" localSheetId="12">'13'!#REF!</definedName>
    <definedName name="_xlnm.Print_Area" localSheetId="13">'14'!$A$1:$AM$59</definedName>
    <definedName name="_xlnm.Print_Area" localSheetId="14">'15'!$A$1:$AM$59</definedName>
    <definedName name="_xlnm.Print_Area" localSheetId="15">'16'!$A$1:$AM$30</definedName>
    <definedName name="_xlnm.Print_Area" localSheetId="16">'17'!$A$1:$AM$59</definedName>
    <definedName name="_xlnm.Print_Area" localSheetId="17">'18'!$A$1:$AM$59</definedName>
    <definedName name="_xlnm.Print_Area" localSheetId="18">'19'!$A$1:$AM$59</definedName>
    <definedName name="_xlnm.Print_Area" localSheetId="1">'2'!$A$1:$AM$59</definedName>
    <definedName name="_xlnm.Print_Area" localSheetId="19">'20'!$A$1:$AM$59</definedName>
    <definedName name="_xlnm.Print_Area" localSheetId="20">'21'!$A$1:$AM$59</definedName>
    <definedName name="_xlnm.Print_Area" localSheetId="21">'22'!$A$1:$AM$59</definedName>
    <definedName name="_xlnm.Print_Area" localSheetId="22">'23'!$A$1:$AM$59</definedName>
    <definedName name="_xlnm.Print_Area" localSheetId="23">'24'!$A$1:$AM$59</definedName>
    <definedName name="_xlnm.Print_Area" localSheetId="24">'25'!$A$1:$AM$59</definedName>
    <definedName name="_xlnm.Print_Area" localSheetId="25">'26'!$A$1:$AM$59</definedName>
    <definedName name="_xlnm.Print_Area" localSheetId="26">'27'!$A$1:$AM$59</definedName>
    <definedName name="_xlnm.Print_Area" localSheetId="27">'28'!$A$1:$AM$59</definedName>
    <definedName name="_xlnm.Print_Area" localSheetId="28">'29'!$A$1:$AM$59</definedName>
    <definedName name="_xlnm.Print_Area" localSheetId="2">'3'!$A$1:$AM$59</definedName>
    <definedName name="_xlnm.Print_Area" localSheetId="29">'30'!$A$1:$AM$59</definedName>
    <definedName name="_xlnm.Print_Area" localSheetId="30">'31'!$A$1:$AM$30</definedName>
    <definedName name="_xlnm.Print_Area" localSheetId="31">'32'!$A$1:$AM$30</definedName>
    <definedName name="_xlnm.Print_Area" localSheetId="3">'4'!$A$1:$AM$59</definedName>
    <definedName name="_xlnm.Print_Area" localSheetId="4">'5'!$A$1:$AM$59</definedName>
    <definedName name="_xlnm.Print_Area" localSheetId="5">'6'!$A$1:$AM$59</definedName>
    <definedName name="_xlnm.Print_Area" localSheetId="6">'7'!$A$1:$AM$59</definedName>
    <definedName name="_xlnm.Print_Area" localSheetId="7">'8'!$A$1:$AM$30</definedName>
    <definedName name="_xlnm.Print_Area" localSheetId="8">'9'!$A$1:$AM$59</definedName>
    <definedName name="_xlnm.Print_Area" localSheetId="32">สรุป!$A$1:$AM$41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26"/>
  <c r="E39" i="33" l="1"/>
  <c r="AF18" l="1"/>
  <c r="AF17"/>
  <c r="AF5"/>
  <c r="P12"/>
  <c r="AF16"/>
  <c r="P23"/>
  <c r="AF18" i="17"/>
  <c r="AF17"/>
  <c r="AF5"/>
  <c r="P12"/>
  <c r="AF16"/>
  <c r="P8"/>
  <c r="P19" i="33"/>
  <c r="P8"/>
  <c r="Z16" i="17"/>
  <c r="Z5"/>
  <c r="Z16" i="33"/>
  <c r="Z5"/>
  <c r="E38"/>
  <c r="E33"/>
  <c r="AB33"/>
  <c r="AF33"/>
  <c r="AC33"/>
  <c r="X33"/>
  <c r="V33"/>
  <c r="R33"/>
  <c r="M33"/>
  <c r="K33"/>
  <c r="L33"/>
  <c r="W39"/>
  <c r="Q39"/>
  <c r="F39"/>
  <c r="F38"/>
  <c r="F33"/>
  <c r="Z5" i="10" l="1"/>
  <c r="F34"/>
  <c r="E34"/>
  <c r="E34" i="21"/>
  <c r="F34"/>
  <c r="E34" i="20"/>
  <c r="F34"/>
  <c r="AH36" i="21" l="1"/>
  <c r="W36"/>
  <c r="K36"/>
  <c r="E36"/>
  <c r="F36"/>
  <c r="E46" i="23"/>
  <c r="R46"/>
  <c r="P46"/>
  <c r="O46"/>
  <c r="K46"/>
  <c r="J46"/>
  <c r="AC46"/>
  <c r="AF46"/>
  <c r="AD46"/>
  <c r="Y46"/>
  <c r="W46"/>
  <c r="V46"/>
  <c r="Q46"/>
  <c r="M46"/>
  <c r="F46"/>
  <c r="P23" i="24" l="1"/>
  <c r="P19"/>
  <c r="AF18"/>
  <c r="AF17"/>
  <c r="AF16"/>
  <c r="Z16"/>
  <c r="P13"/>
  <c r="P12"/>
  <c r="H18"/>
  <c r="AF18" i="23" l="1"/>
  <c r="AF17"/>
  <c r="P19"/>
  <c r="AD16"/>
  <c r="Z16"/>
  <c r="E35" i="22" l="1"/>
  <c r="AC35"/>
  <c r="R35"/>
  <c r="K35"/>
  <c r="F35"/>
  <c r="F35" i="20" l="1"/>
  <c r="F46" i="18"/>
  <c r="V33" i="21"/>
  <c r="W33"/>
  <c r="K33"/>
  <c r="L33"/>
  <c r="AF33"/>
  <c r="AC33"/>
  <c r="R33"/>
  <c r="E37" i="22"/>
  <c r="E33"/>
  <c r="AG35"/>
  <c r="K33"/>
  <c r="AF33"/>
  <c r="AC33"/>
  <c r="U33"/>
  <c r="M33"/>
  <c r="F37"/>
  <c r="F33"/>
  <c r="AB5"/>
  <c r="P12" l="1"/>
  <c r="P8"/>
  <c r="AF5"/>
  <c r="Z5"/>
  <c r="W37" i="21" l="1"/>
  <c r="K37"/>
  <c r="AC35"/>
  <c r="V35"/>
  <c r="L35"/>
  <c r="K35"/>
  <c r="AH35"/>
  <c r="R35"/>
  <c r="O35"/>
  <c r="M35"/>
  <c r="E37" l="1"/>
  <c r="E35"/>
  <c r="E33"/>
  <c r="F37"/>
  <c r="F35"/>
  <c r="F33"/>
  <c r="AB5" i="32" l="1"/>
  <c r="AB5" i="34"/>
  <c r="AB5" i="26"/>
  <c r="AB5" i="28"/>
  <c r="AB5" i="29"/>
  <c r="AB5" i="21"/>
  <c r="P12" l="1"/>
  <c r="Z5"/>
  <c r="AF5"/>
  <c r="E35" i="20" l="1"/>
  <c r="AC37"/>
  <c r="AF37"/>
  <c r="L37"/>
  <c r="K37"/>
  <c r="R37"/>
  <c r="AC36"/>
  <c r="W36"/>
  <c r="K36"/>
  <c r="AF36"/>
  <c r="X36"/>
  <c r="AB35"/>
  <c r="R35"/>
  <c r="M35"/>
  <c r="K35"/>
  <c r="AF35"/>
  <c r="AD35"/>
  <c r="V35"/>
  <c r="L35"/>
  <c r="V33"/>
  <c r="W33"/>
  <c r="R33"/>
  <c r="M33"/>
  <c r="L33"/>
  <c r="K33"/>
  <c r="Q33"/>
  <c r="E37"/>
  <c r="E36"/>
  <c r="E33"/>
  <c r="F37"/>
  <c r="F36"/>
  <c r="F33"/>
  <c r="AB5" l="1"/>
  <c r="E46" i="18" l="1"/>
  <c r="Q48"/>
  <c r="L48"/>
  <c r="K48"/>
  <c r="W47"/>
  <c r="Q47"/>
  <c r="K47"/>
  <c r="AC47"/>
  <c r="AC46"/>
  <c r="AB46"/>
  <c r="X46"/>
  <c r="Q46"/>
  <c r="R46"/>
  <c r="L46"/>
  <c r="K46"/>
  <c r="V44"/>
  <c r="M44"/>
  <c r="L44"/>
  <c r="K44"/>
  <c r="AB44"/>
  <c r="Y44"/>
  <c r="R44"/>
  <c r="E48"/>
  <c r="E47"/>
  <c r="E44"/>
  <c r="AC37"/>
  <c r="T37"/>
  <c r="K37"/>
  <c r="W37"/>
  <c r="L37"/>
  <c r="AC36"/>
  <c r="AB36"/>
  <c r="L36"/>
  <c r="W36"/>
  <c r="Q36"/>
  <c r="AB35"/>
  <c r="R35"/>
  <c r="L35"/>
  <c r="K35"/>
  <c r="AF35"/>
  <c r="W35"/>
  <c r="V35"/>
  <c r="Z5" i="20"/>
  <c r="F48" i="18"/>
  <c r="F47"/>
  <c r="F44"/>
  <c r="E37"/>
  <c r="E36"/>
  <c r="E35"/>
  <c r="F37"/>
  <c r="F36"/>
  <c r="F35"/>
  <c r="E49" i="7"/>
  <c r="F49"/>
  <c r="AF5" i="20" l="1"/>
  <c r="P12"/>
  <c r="F16" i="18" l="1"/>
  <c r="W33" l="1"/>
  <c r="V33"/>
  <c r="AB33"/>
  <c r="M33"/>
  <c r="K33"/>
  <c r="E33"/>
  <c r="F33"/>
  <c r="F36" i="30"/>
  <c r="Q37"/>
  <c r="K37"/>
  <c r="AB37"/>
  <c r="L36"/>
  <c r="AC36"/>
  <c r="AB36"/>
  <c r="K36"/>
  <c r="W35"/>
  <c r="V35"/>
  <c r="Q35"/>
  <c r="L35"/>
  <c r="K35"/>
  <c r="AC35"/>
  <c r="AB35"/>
  <c r="R35"/>
  <c r="L33"/>
  <c r="K33"/>
  <c r="Y33"/>
  <c r="V33"/>
  <c r="Q33"/>
  <c r="E37"/>
  <c r="E36"/>
  <c r="E35"/>
  <c r="E33"/>
  <c r="F37"/>
  <c r="F35"/>
  <c r="F33"/>
  <c r="Z16" i="18" l="1"/>
  <c r="Z5" l="1"/>
  <c r="AF16"/>
  <c r="P23"/>
  <c r="P19"/>
  <c r="P12"/>
  <c r="AF5"/>
  <c r="AF37" i="29" l="1"/>
  <c r="Q37"/>
  <c r="K37"/>
  <c r="J37"/>
  <c r="W37"/>
  <c r="M37"/>
  <c r="L37"/>
  <c r="AC35"/>
  <c r="W35"/>
  <c r="O35"/>
  <c r="L35"/>
  <c r="AF35"/>
  <c r="Q35"/>
  <c r="K35"/>
  <c r="J35"/>
  <c r="V33"/>
  <c r="L33"/>
  <c r="K33"/>
  <c r="AF33"/>
  <c r="J33"/>
  <c r="E37"/>
  <c r="E35"/>
  <c r="E33"/>
  <c r="F37"/>
  <c r="F35"/>
  <c r="F33"/>
  <c r="Z5" i="30"/>
  <c r="P8" l="1"/>
  <c r="AF5"/>
  <c r="P12"/>
  <c r="K37" i="28" l="1"/>
  <c r="AF37"/>
  <c r="AF35"/>
  <c r="W35"/>
  <c r="V35"/>
  <c r="O35"/>
  <c r="L35"/>
  <c r="K35"/>
  <c r="AC35"/>
  <c r="Y35"/>
  <c r="AB33"/>
  <c r="M33"/>
  <c r="K33"/>
  <c r="AF33"/>
  <c r="W33"/>
  <c r="V33"/>
  <c r="L33"/>
  <c r="AE33"/>
  <c r="E37"/>
  <c r="E35"/>
  <c r="E33"/>
  <c r="F37"/>
  <c r="F35"/>
  <c r="F33"/>
  <c r="Z5" i="29" l="1"/>
  <c r="G5" l="1"/>
  <c r="G7"/>
  <c r="G9"/>
  <c r="F7"/>
  <c r="F9"/>
  <c r="F5"/>
  <c r="P12"/>
  <c r="P8"/>
  <c r="AF5"/>
  <c r="E48" i="26" l="1"/>
  <c r="E44"/>
  <c r="F48"/>
  <c r="F44"/>
  <c r="F35" i="34"/>
  <c r="E35" s="1"/>
  <c r="AC33" i="26"/>
  <c r="AB33"/>
  <c r="K33"/>
  <c r="E33"/>
  <c r="F33"/>
  <c r="E46"/>
  <c r="G25" i="2" l="1"/>
  <c r="G24"/>
  <c r="G23"/>
  <c r="G22"/>
  <c r="G21"/>
  <c r="G20"/>
  <c r="G19"/>
  <c r="G18"/>
  <c r="G17"/>
  <c r="G16"/>
  <c r="F25"/>
  <c r="F24"/>
  <c r="F23"/>
  <c r="F22"/>
  <c r="F21"/>
  <c r="F20"/>
  <c r="F19"/>
  <c r="F18"/>
  <c r="F17"/>
  <c r="F16"/>
  <c r="E25"/>
  <c r="E24"/>
  <c r="E23"/>
  <c r="E22"/>
  <c r="E21"/>
  <c r="E20"/>
  <c r="E19"/>
  <c r="E18"/>
  <c r="E17"/>
  <c r="E16"/>
  <c r="G14"/>
  <c r="G13"/>
  <c r="G12"/>
  <c r="G11"/>
  <c r="G10"/>
  <c r="G8"/>
  <c r="G7"/>
  <c r="G6"/>
  <c r="G5"/>
  <c r="F14"/>
  <c r="F13"/>
  <c r="F12"/>
  <c r="F11"/>
  <c r="F10"/>
  <c r="F8"/>
  <c r="F7"/>
  <c r="F6"/>
  <c r="F5"/>
  <c r="E14"/>
  <c r="E13"/>
  <c r="E12"/>
  <c r="E11"/>
  <c r="E10"/>
  <c r="E8"/>
  <c r="E7"/>
  <c r="E6"/>
  <c r="E5"/>
  <c r="P12" i="28" l="1"/>
  <c r="F7"/>
  <c r="F5"/>
  <c r="F9"/>
  <c r="Z5"/>
  <c r="G5"/>
  <c r="G9"/>
  <c r="G7"/>
  <c r="AF5"/>
  <c r="P8" l="1"/>
  <c r="AE35" i="26" l="1"/>
  <c r="AC35"/>
  <c r="L35"/>
  <c r="W37"/>
  <c r="K37"/>
  <c r="E37"/>
  <c r="E35"/>
  <c r="E34"/>
  <c r="F37"/>
  <c r="F35"/>
  <c r="F34"/>
  <c r="AC37" i="34"/>
  <c r="AB37"/>
  <c r="W37"/>
  <c r="R37"/>
  <c r="K37"/>
  <c r="Q37"/>
  <c r="J37"/>
  <c r="W35"/>
  <c r="L35"/>
  <c r="AC35"/>
  <c r="AF35"/>
  <c r="AB35"/>
  <c r="R35"/>
  <c r="K35"/>
  <c r="AF33"/>
  <c r="AB33"/>
  <c r="R33"/>
  <c r="M33"/>
  <c r="K33"/>
  <c r="X33"/>
  <c r="E37"/>
  <c r="E33"/>
  <c r="F37"/>
  <c r="F33"/>
  <c r="W44" i="7"/>
  <c r="P44"/>
  <c r="M44"/>
  <c r="K44"/>
  <c r="AF44"/>
  <c r="L44"/>
  <c r="E44"/>
  <c r="F44"/>
  <c r="L36" i="6"/>
  <c r="K36"/>
  <c r="W36"/>
  <c r="R36"/>
  <c r="E36"/>
  <c r="F36"/>
  <c r="I33" i="34" l="1"/>
  <c r="Z5" i="26"/>
  <c r="P19" l="1"/>
  <c r="F7" l="1"/>
  <c r="F9"/>
  <c r="F5"/>
  <c r="G5"/>
  <c r="G9"/>
  <c r="G7"/>
  <c r="P12"/>
  <c r="AF5"/>
  <c r="P8"/>
  <c r="Z5" i="34" l="1"/>
  <c r="AF5" l="1"/>
  <c r="P12"/>
  <c r="P8"/>
  <c r="F45"/>
  <c r="E45"/>
  <c r="W46" i="9" l="1"/>
  <c r="Q46"/>
  <c r="M46"/>
  <c r="AH35"/>
  <c r="AE35"/>
  <c r="O35"/>
  <c r="F46"/>
  <c r="F35"/>
  <c r="E46"/>
  <c r="E35"/>
  <c r="AF46" i="5"/>
  <c r="AD46"/>
  <c r="AC46"/>
  <c r="W46"/>
  <c r="L46"/>
  <c r="K46"/>
  <c r="E46"/>
  <c r="F46"/>
  <c r="E48" i="7"/>
  <c r="F48"/>
  <c r="P23" i="9" l="1"/>
  <c r="Z16"/>
  <c r="AF18" l="1"/>
  <c r="AF17"/>
  <c r="AF16"/>
  <c r="P12"/>
  <c r="Z5"/>
  <c r="AF5"/>
  <c r="X16" i="5"/>
  <c r="V16"/>
  <c r="T16"/>
  <c r="R16"/>
  <c r="P16"/>
  <c r="P25"/>
  <c r="P23"/>
  <c r="P19"/>
  <c r="AF16"/>
  <c r="Z16"/>
  <c r="G18" l="1"/>
  <c r="F18"/>
  <c r="Z5" l="1"/>
  <c r="F35" l="1"/>
  <c r="AF5" l="1"/>
  <c r="P12"/>
  <c r="AE35"/>
  <c r="Y35"/>
  <c r="W35"/>
  <c r="R35"/>
  <c r="M35"/>
  <c r="K35"/>
  <c r="AD35"/>
  <c r="AC35"/>
  <c r="E35"/>
  <c r="AD46" i="8" l="1"/>
  <c r="AC46"/>
  <c r="W46"/>
  <c r="V46"/>
  <c r="L46"/>
  <c r="K46"/>
  <c r="F46"/>
  <c r="E46"/>
  <c r="F34" i="7"/>
  <c r="F34" i="6"/>
  <c r="E34"/>
  <c r="F34" i="3"/>
  <c r="E34"/>
  <c r="AF16" i="8" l="1"/>
  <c r="Z16"/>
  <c r="P23"/>
  <c r="P19"/>
  <c r="F46" i="7" l="1"/>
  <c r="AF46"/>
  <c r="AC46"/>
  <c r="W46"/>
  <c r="R46"/>
  <c r="L46"/>
  <c r="K46"/>
  <c r="E46"/>
  <c r="F35"/>
  <c r="E38"/>
  <c r="E37"/>
  <c r="E35"/>
  <c r="F37"/>
  <c r="F38"/>
  <c r="AB5" i="6" l="1"/>
  <c r="AB5" i="3"/>
  <c r="Z5" i="6"/>
  <c r="AF5"/>
  <c r="P12"/>
  <c r="P23" i="7"/>
  <c r="Z16"/>
  <c r="AF18"/>
  <c r="AF17"/>
  <c r="AF16"/>
  <c r="Z5"/>
  <c r="AF5"/>
  <c r="P12"/>
  <c r="Z5" i="3" l="1"/>
  <c r="F33" i="7"/>
  <c r="AC33"/>
  <c r="L33"/>
  <c r="K33"/>
  <c r="E33"/>
  <c r="K37" i="6" l="1"/>
  <c r="W35"/>
  <c r="V35"/>
  <c r="L35"/>
  <c r="K35"/>
  <c r="J35"/>
  <c r="AE35"/>
  <c r="AB35"/>
  <c r="R35"/>
  <c r="E33"/>
  <c r="L33"/>
  <c r="V33"/>
  <c r="AB33"/>
  <c r="E35"/>
  <c r="F37"/>
  <c r="F35"/>
  <c r="F33"/>
  <c r="AB35" i="3" l="1"/>
  <c r="V35"/>
  <c r="L35"/>
  <c r="K35"/>
  <c r="W35"/>
  <c r="E35"/>
  <c r="F35"/>
  <c r="W38" i="32"/>
  <c r="K38"/>
  <c r="F38"/>
  <c r="E38"/>
  <c r="L33" i="3" l="1"/>
  <c r="AF33"/>
  <c r="AD33"/>
  <c r="AC33"/>
  <c r="V33"/>
  <c r="K33"/>
  <c r="J33"/>
  <c r="Y33"/>
  <c r="W33"/>
  <c r="W36"/>
  <c r="V36"/>
  <c r="K36"/>
  <c r="Q36"/>
  <c r="AC36"/>
  <c r="L36"/>
  <c r="F37"/>
  <c r="F36"/>
  <c r="F33"/>
  <c r="E36"/>
  <c r="E37"/>
  <c r="E33"/>
  <c r="P12" l="1"/>
  <c r="P8"/>
  <c r="AF5"/>
  <c r="E46" i="32" l="1"/>
  <c r="F46"/>
  <c r="AB37"/>
  <c r="K37"/>
  <c r="W36"/>
  <c r="P36"/>
  <c r="L35"/>
  <c r="J35"/>
  <c r="L33"/>
  <c r="K33"/>
  <c r="J33"/>
  <c r="E37"/>
  <c r="E36"/>
  <c r="E35"/>
  <c r="E33"/>
  <c r="F37"/>
  <c r="F36"/>
  <c r="F35"/>
  <c r="F33"/>
  <c r="P8" l="1"/>
  <c r="Z16" l="1"/>
  <c r="AF16"/>
  <c r="Z5"/>
  <c r="AF5"/>
  <c r="P12"/>
  <c r="P23"/>
  <c r="P19"/>
  <c r="I46" i="1" l="1"/>
  <c r="I46" i="3"/>
  <c r="I46" i="6"/>
  <c r="I46" i="7"/>
  <c r="I46" i="8"/>
  <c r="I46" i="5"/>
  <c r="I46" i="9"/>
  <c r="I46" i="4"/>
  <c r="I46" i="26"/>
  <c r="I46" i="34"/>
  <c r="I46" i="27"/>
  <c r="I46" i="28"/>
  <c r="I46" i="29"/>
  <c r="I46" i="30"/>
  <c r="I46" i="31"/>
  <c r="I46" i="18"/>
  <c r="I46" i="20"/>
  <c r="I46" i="21"/>
  <c r="I46" i="22"/>
  <c r="I46" i="23"/>
  <c r="I46" i="24"/>
  <c r="I46" i="10"/>
  <c r="I46" i="11"/>
  <c r="I46" i="12"/>
  <c r="I46" i="13"/>
  <c r="I46" i="14"/>
  <c r="I46" i="15"/>
  <c r="I46" i="16"/>
  <c r="I46" i="33"/>
  <c r="I46" i="17"/>
  <c r="I46" i="32"/>
  <c r="I44" i="1"/>
  <c r="I44" i="3"/>
  <c r="I44" i="6"/>
  <c r="I44" i="7"/>
  <c r="I44" i="8"/>
  <c r="I44" i="5"/>
  <c r="I44" i="9"/>
  <c r="I44" i="4"/>
  <c r="I44" i="26"/>
  <c r="I44" i="34"/>
  <c r="I44" i="27"/>
  <c r="I44" i="28"/>
  <c r="I44" i="29"/>
  <c r="I44" i="30"/>
  <c r="I44" i="31"/>
  <c r="I44" i="18"/>
  <c r="I44" i="20"/>
  <c r="I44" i="21"/>
  <c r="I44" i="22"/>
  <c r="I44" i="23"/>
  <c r="I44" i="24"/>
  <c r="I44" i="10"/>
  <c r="I44" i="11"/>
  <c r="I44" i="12"/>
  <c r="I44" i="13"/>
  <c r="I44" i="14"/>
  <c r="I44" i="15"/>
  <c r="I44" i="16"/>
  <c r="I44" i="33"/>
  <c r="I44" i="17"/>
  <c r="I44" i="32"/>
  <c r="E36" i="4" l="1"/>
  <c r="F1" i="41" l="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E1"/>
  <c r="A3"/>
  <c r="A4"/>
  <c r="A5"/>
  <c r="A6"/>
  <c r="A7"/>
  <c r="A8"/>
  <c r="A9"/>
  <c r="A10"/>
  <c r="A11"/>
  <c r="C1"/>
  <c r="D1"/>
  <c r="B1"/>
  <c r="A1"/>
  <c r="A2"/>
  <c r="AD5" i="32" l="1"/>
  <c r="E37" i="14" l="1"/>
  <c r="E33" i="13" l="1"/>
  <c r="E37" i="12" l="1"/>
  <c r="E37" i="11" l="1"/>
  <c r="E46" i="10" l="1"/>
  <c r="E48" l="1"/>
  <c r="E37" i="5" l="1"/>
  <c r="E49" i="29" l="1"/>
  <c r="E40" i="27" l="1"/>
  <c r="E36" i="26" l="1"/>
  <c r="E34" i="29"/>
  <c r="E40" i="28"/>
  <c r="E34" i="5" l="1"/>
  <c r="E34" i="7"/>
  <c r="E36" i="34"/>
  <c r="E38" i="29" l="1"/>
  <c r="E33" i="27" l="1"/>
  <c r="E33" i="8"/>
  <c r="A32" i="39" l="1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2"/>
  <c r="A32" i="37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2"/>
  <c r="AH42" i="2"/>
  <c r="AG42"/>
  <c r="AF42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F42"/>
  <c r="C11" i="41" s="1"/>
  <c r="AH41" i="2"/>
  <c r="AG41"/>
  <c r="AF41"/>
  <c r="AE41"/>
  <c r="AD41"/>
  <c r="AC41"/>
  <c r="AB41"/>
  <c r="AA41"/>
  <c r="Z41"/>
  <c r="Y41"/>
  <c r="X41"/>
  <c r="W41"/>
  <c r="V41"/>
  <c r="U41"/>
  <c r="T41"/>
  <c r="S41"/>
  <c r="R41"/>
  <c r="Q41"/>
  <c r="P41"/>
  <c r="O41"/>
  <c r="N41"/>
  <c r="M41"/>
  <c r="L41"/>
  <c r="K41"/>
  <c r="J41"/>
  <c r="F41"/>
  <c r="C10" i="41" s="1"/>
  <c r="AH40" i="2"/>
  <c r="AG40"/>
  <c r="AF40"/>
  <c r="AE40"/>
  <c r="AD40"/>
  <c r="AC40"/>
  <c r="AB40"/>
  <c r="AA40"/>
  <c r="Z40"/>
  <c r="Y40"/>
  <c r="X40"/>
  <c r="W40"/>
  <c r="V40"/>
  <c r="U40"/>
  <c r="T40"/>
  <c r="S40"/>
  <c r="R40"/>
  <c r="Q40"/>
  <c r="P40"/>
  <c r="O40"/>
  <c r="N40"/>
  <c r="M40"/>
  <c r="L40"/>
  <c r="K40"/>
  <c r="J40"/>
  <c r="F40"/>
  <c r="C9" i="41" s="1"/>
  <c r="AH39" i="2"/>
  <c r="AG39"/>
  <c r="AF39"/>
  <c r="AE39"/>
  <c r="AD39"/>
  <c r="AC39"/>
  <c r="AB39"/>
  <c r="AA39"/>
  <c r="Z39"/>
  <c r="Y39"/>
  <c r="X39"/>
  <c r="W39"/>
  <c r="V39"/>
  <c r="U39"/>
  <c r="T39"/>
  <c r="S39"/>
  <c r="R39"/>
  <c r="Q39"/>
  <c r="P39"/>
  <c r="O39"/>
  <c r="N39"/>
  <c r="M39"/>
  <c r="L39"/>
  <c r="K39"/>
  <c r="J39"/>
  <c r="F39"/>
  <c r="C8" i="41" s="1"/>
  <c r="AH38" i="2"/>
  <c r="AG38"/>
  <c r="AF38"/>
  <c r="AE38"/>
  <c r="AD38"/>
  <c r="AC38"/>
  <c r="AB38"/>
  <c r="AA38"/>
  <c r="Z38"/>
  <c r="Y38"/>
  <c r="X38"/>
  <c r="W38"/>
  <c r="V38"/>
  <c r="U38"/>
  <c r="T38"/>
  <c r="S38"/>
  <c r="R38"/>
  <c r="Q38"/>
  <c r="P38"/>
  <c r="O38"/>
  <c r="N38"/>
  <c r="M38"/>
  <c r="L38"/>
  <c r="K38"/>
  <c r="J38"/>
  <c r="F38"/>
  <c r="C7" i="41" s="1"/>
  <c r="AH37" i="2"/>
  <c r="AG37"/>
  <c r="AF37"/>
  <c r="AE37"/>
  <c r="AD37"/>
  <c r="AC37"/>
  <c r="AB37"/>
  <c r="AA37"/>
  <c r="Z37"/>
  <c r="Y37"/>
  <c r="X37"/>
  <c r="W37"/>
  <c r="V37"/>
  <c r="U37"/>
  <c r="T37"/>
  <c r="S37"/>
  <c r="R37"/>
  <c r="Q37"/>
  <c r="P37"/>
  <c r="O37"/>
  <c r="N37"/>
  <c r="M37"/>
  <c r="L37"/>
  <c r="K37"/>
  <c r="J37"/>
  <c r="F37"/>
  <c r="C6" i="41" s="1"/>
  <c r="AH36" i="2"/>
  <c r="AG36"/>
  <c r="AF36"/>
  <c r="AE36"/>
  <c r="AD36"/>
  <c r="AC36"/>
  <c r="AB36"/>
  <c r="AA36"/>
  <c r="Z36"/>
  <c r="Y36"/>
  <c r="X36"/>
  <c r="W36"/>
  <c r="V36"/>
  <c r="U36"/>
  <c r="T36"/>
  <c r="S36"/>
  <c r="R36"/>
  <c r="Q36"/>
  <c r="P36"/>
  <c r="O36"/>
  <c r="N36"/>
  <c r="M36"/>
  <c r="L36"/>
  <c r="K36"/>
  <c r="J36"/>
  <c r="F36"/>
  <c r="C5" i="41" s="1"/>
  <c r="AH35" i="2"/>
  <c r="AG35"/>
  <c r="AF35"/>
  <c r="AE35"/>
  <c r="AD35"/>
  <c r="AC35"/>
  <c r="AB35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F35"/>
  <c r="C4" i="41" s="1"/>
  <c r="AH34" i="2"/>
  <c r="AG34"/>
  <c r="AF34"/>
  <c r="AE34"/>
  <c r="AD34"/>
  <c r="AC34"/>
  <c r="AB34"/>
  <c r="AA34"/>
  <c r="Z34"/>
  <c r="Y34"/>
  <c r="X34"/>
  <c r="W34"/>
  <c r="V34"/>
  <c r="U34"/>
  <c r="T34"/>
  <c r="S34"/>
  <c r="R34"/>
  <c r="Q34"/>
  <c r="P34"/>
  <c r="O34"/>
  <c r="N34"/>
  <c r="M34"/>
  <c r="L34"/>
  <c r="K34"/>
  <c r="J34"/>
  <c r="F34"/>
  <c r="C3" i="41" s="1"/>
  <c r="AH33" i="2"/>
  <c r="AG33"/>
  <c r="AF33"/>
  <c r="AE33"/>
  <c r="AD33"/>
  <c r="AC33"/>
  <c r="AB33"/>
  <c r="AA33"/>
  <c r="Z33"/>
  <c r="Y33"/>
  <c r="X33"/>
  <c r="W33"/>
  <c r="V33"/>
  <c r="U33"/>
  <c r="T33"/>
  <c r="S33"/>
  <c r="R33"/>
  <c r="Q33"/>
  <c r="P33"/>
  <c r="O33"/>
  <c r="N33"/>
  <c r="M33"/>
  <c r="L33"/>
  <c r="K33"/>
  <c r="J33"/>
  <c r="F33"/>
  <c r="P25"/>
  <c r="H25"/>
  <c r="H24"/>
  <c r="B24"/>
  <c r="P23"/>
  <c r="H23"/>
  <c r="P22"/>
  <c r="H22"/>
  <c r="P21"/>
  <c r="P20"/>
  <c r="P19"/>
  <c r="H19"/>
  <c r="B18"/>
  <c r="H17"/>
  <c r="AJ16"/>
  <c r="AH16"/>
  <c r="AF16"/>
  <c r="AB16"/>
  <c r="Z16"/>
  <c r="X16"/>
  <c r="V16"/>
  <c r="T16"/>
  <c r="R16"/>
  <c r="P16"/>
  <c r="P14"/>
  <c r="H14"/>
  <c r="H13"/>
  <c r="B13"/>
  <c r="P12"/>
  <c r="H12"/>
  <c r="B12"/>
  <c r="P11"/>
  <c r="B11"/>
  <c r="P10"/>
  <c r="B10"/>
  <c r="P9"/>
  <c r="B9"/>
  <c r="P8"/>
  <c r="B7"/>
  <c r="AJ5"/>
  <c r="AJ27" s="1"/>
  <c r="AH5"/>
  <c r="AF5"/>
  <c r="AB5"/>
  <c r="Z5"/>
  <c r="X5"/>
  <c r="V5"/>
  <c r="T5"/>
  <c r="R5"/>
  <c r="P5"/>
  <c r="AJ29" i="25"/>
  <c r="AH29"/>
  <c r="AF29"/>
  <c r="AD29"/>
  <c r="AB29"/>
  <c r="Z29"/>
  <c r="X29"/>
  <c r="V29"/>
  <c r="T29"/>
  <c r="R29"/>
  <c r="P29"/>
  <c r="AJ28"/>
  <c r="AH28"/>
  <c r="AF28"/>
  <c r="AD28"/>
  <c r="AB28"/>
  <c r="Z28"/>
  <c r="X28"/>
  <c r="V28"/>
  <c r="T28"/>
  <c r="R28"/>
  <c r="P28"/>
  <c r="H28"/>
  <c r="G28"/>
  <c r="F28"/>
  <c r="E28"/>
  <c r="AJ27"/>
  <c r="AH27"/>
  <c r="AF27"/>
  <c r="AD27"/>
  <c r="AB27"/>
  <c r="Z27"/>
  <c r="X27"/>
  <c r="V27"/>
  <c r="T27"/>
  <c r="R27"/>
  <c r="P27"/>
  <c r="P26"/>
  <c r="H26"/>
  <c r="G26"/>
  <c r="F26"/>
  <c r="E26"/>
  <c r="H25"/>
  <c r="P24"/>
  <c r="H24"/>
  <c r="B24"/>
  <c r="H23"/>
  <c r="H22"/>
  <c r="H21"/>
  <c r="H20"/>
  <c r="H19"/>
  <c r="AJ18"/>
  <c r="AH18"/>
  <c r="AF18"/>
  <c r="AD18"/>
  <c r="AB18"/>
  <c r="Z18"/>
  <c r="X18"/>
  <c r="V18"/>
  <c r="T18"/>
  <c r="R18"/>
  <c r="P18"/>
  <c r="H18"/>
  <c r="B18"/>
  <c r="AJ17"/>
  <c r="AH17"/>
  <c r="AF17"/>
  <c r="AD17"/>
  <c r="AB17"/>
  <c r="Z17"/>
  <c r="X17"/>
  <c r="V17"/>
  <c r="T17"/>
  <c r="R17"/>
  <c r="P17"/>
  <c r="H17"/>
  <c r="AD16"/>
  <c r="H16"/>
  <c r="P15"/>
  <c r="H15"/>
  <c r="G15"/>
  <c r="F15"/>
  <c r="E15"/>
  <c r="H14"/>
  <c r="P13"/>
  <c r="H13"/>
  <c r="B13"/>
  <c r="H12"/>
  <c r="B12"/>
  <c r="H11"/>
  <c r="B11"/>
  <c r="H10"/>
  <c r="B10"/>
  <c r="H9"/>
  <c r="B9"/>
  <c r="H8"/>
  <c r="AJ7"/>
  <c r="AH7"/>
  <c r="AF7"/>
  <c r="AD7"/>
  <c r="AB7"/>
  <c r="Z7"/>
  <c r="X7"/>
  <c r="V7"/>
  <c r="T7"/>
  <c r="R7"/>
  <c r="P7"/>
  <c r="H7"/>
  <c r="B7"/>
  <c r="AJ6"/>
  <c r="AH6"/>
  <c r="AF6"/>
  <c r="AD6"/>
  <c r="AB6"/>
  <c r="Z6"/>
  <c r="X6"/>
  <c r="V6"/>
  <c r="T6"/>
  <c r="R6"/>
  <c r="P6"/>
  <c r="H6"/>
  <c r="AD5"/>
  <c r="H5"/>
  <c r="AH54" i="17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F55" s="1"/>
  <c r="I53"/>
  <c r="E53"/>
  <c r="G53" s="1"/>
  <c r="D53"/>
  <c r="B53"/>
  <c r="I52"/>
  <c r="G52"/>
  <c r="E52"/>
  <c r="D52"/>
  <c r="B52"/>
  <c r="I51"/>
  <c r="E51"/>
  <c r="G51" s="1"/>
  <c r="D51"/>
  <c r="B51"/>
  <c r="I50"/>
  <c r="G50"/>
  <c r="D50"/>
  <c r="B50"/>
  <c r="I49"/>
  <c r="G49"/>
  <c r="D49"/>
  <c r="B49"/>
  <c r="I48"/>
  <c r="E48"/>
  <c r="G48" s="1"/>
  <c r="D48"/>
  <c r="B48"/>
  <c r="I47"/>
  <c r="E47"/>
  <c r="G47" s="1"/>
  <c r="D47"/>
  <c r="B47"/>
  <c r="E46"/>
  <c r="G46" s="1"/>
  <c r="D46"/>
  <c r="B46"/>
  <c r="I45"/>
  <c r="G45"/>
  <c r="D45"/>
  <c r="B45"/>
  <c r="G44"/>
  <c r="E44"/>
  <c r="D44"/>
  <c r="B44"/>
  <c r="AH43"/>
  <c r="AH55" s="1"/>
  <c r="AG43"/>
  <c r="AG55" s="1"/>
  <c r="AF43"/>
  <c r="AE43"/>
  <c r="AE55" s="1"/>
  <c r="AD43"/>
  <c r="AD55" s="1"/>
  <c r="AC43"/>
  <c r="AC55" s="1"/>
  <c r="AB43"/>
  <c r="AA43"/>
  <c r="Z43"/>
  <c r="Z55" s="1"/>
  <c r="Y43"/>
  <c r="Y55" s="1"/>
  <c r="X43"/>
  <c r="W43"/>
  <c r="W55" s="1"/>
  <c r="V43"/>
  <c r="V55" s="1"/>
  <c r="U43"/>
  <c r="U55" s="1"/>
  <c r="T43"/>
  <c r="S43"/>
  <c r="R43"/>
  <c r="R55" s="1"/>
  <c r="Q43"/>
  <c r="Q55" s="1"/>
  <c r="P43"/>
  <c r="O43"/>
  <c r="O55" s="1"/>
  <c r="N43"/>
  <c r="N55" s="1"/>
  <c r="M43"/>
  <c r="M55" s="1"/>
  <c r="L43"/>
  <c r="K43"/>
  <c r="J43"/>
  <c r="J55" s="1"/>
  <c r="F43"/>
  <c r="I42"/>
  <c r="E42"/>
  <c r="G42" s="1"/>
  <c r="D42"/>
  <c r="B42"/>
  <c r="I41"/>
  <c r="E41"/>
  <c r="G41" s="1"/>
  <c r="D41"/>
  <c r="B41"/>
  <c r="I40"/>
  <c r="E40"/>
  <c r="G40" s="1"/>
  <c r="D40"/>
  <c r="B40"/>
  <c r="I39"/>
  <c r="G39"/>
  <c r="D39"/>
  <c r="B39"/>
  <c r="I38"/>
  <c r="G38"/>
  <c r="D38"/>
  <c r="B38"/>
  <c r="I37"/>
  <c r="G37"/>
  <c r="E37"/>
  <c r="D37"/>
  <c r="B37"/>
  <c r="I36"/>
  <c r="G36"/>
  <c r="E36"/>
  <c r="D36"/>
  <c r="B36"/>
  <c r="I35"/>
  <c r="G35"/>
  <c r="D35"/>
  <c r="B35"/>
  <c r="I34"/>
  <c r="E34"/>
  <c r="G34" s="1"/>
  <c r="D34"/>
  <c r="B34"/>
  <c r="I33"/>
  <c r="G33"/>
  <c r="D33"/>
  <c r="B33"/>
  <c r="AJ27"/>
  <c r="AH27"/>
  <c r="AF27"/>
  <c r="AB27"/>
  <c r="Z27"/>
  <c r="X27"/>
  <c r="V27"/>
  <c r="T27"/>
  <c r="R27"/>
  <c r="P27"/>
  <c r="G26"/>
  <c r="AH18" s="1"/>
  <c r="F26"/>
  <c r="AB17" s="1"/>
  <c r="E26"/>
  <c r="H25"/>
  <c r="H24"/>
  <c r="H23"/>
  <c r="H22"/>
  <c r="H21"/>
  <c r="H20"/>
  <c r="H19"/>
  <c r="H18"/>
  <c r="P17"/>
  <c r="H17"/>
  <c r="AD16"/>
  <c r="AD17" s="1"/>
  <c r="H16"/>
  <c r="G15"/>
  <c r="F15"/>
  <c r="P15" s="1"/>
  <c r="E15"/>
  <c r="H14"/>
  <c r="P13"/>
  <c r="H13"/>
  <c r="H12"/>
  <c r="H11"/>
  <c r="H10"/>
  <c r="H9"/>
  <c r="H8"/>
  <c r="AJ7"/>
  <c r="AH7"/>
  <c r="AF7"/>
  <c r="P7"/>
  <c r="H7"/>
  <c r="AJ6"/>
  <c r="AH6"/>
  <c r="AF6"/>
  <c r="V6"/>
  <c r="T6"/>
  <c r="R6"/>
  <c r="H6"/>
  <c r="AD5"/>
  <c r="AD6" s="1"/>
  <c r="H5"/>
  <c r="AH54" i="33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E53"/>
  <c r="G53" s="1"/>
  <c r="D53"/>
  <c r="B53"/>
  <c r="I52"/>
  <c r="G52"/>
  <c r="E52"/>
  <c r="D52"/>
  <c r="B52"/>
  <c r="I51"/>
  <c r="E51"/>
  <c r="G51" s="1"/>
  <c r="D51"/>
  <c r="B51"/>
  <c r="I50"/>
  <c r="G50"/>
  <c r="D50"/>
  <c r="B50"/>
  <c r="I49"/>
  <c r="G49"/>
  <c r="D49"/>
  <c r="B49"/>
  <c r="I48"/>
  <c r="E48"/>
  <c r="G48" s="1"/>
  <c r="D48"/>
  <c r="B48"/>
  <c r="I47"/>
  <c r="E47"/>
  <c r="G47" s="1"/>
  <c r="D47"/>
  <c r="B47"/>
  <c r="G46"/>
  <c r="D46"/>
  <c r="B46"/>
  <c r="I45"/>
  <c r="E45"/>
  <c r="G45" s="1"/>
  <c r="D45"/>
  <c r="B45"/>
  <c r="G44"/>
  <c r="D44"/>
  <c r="B44"/>
  <c r="AH43"/>
  <c r="AG43"/>
  <c r="AG55" s="1"/>
  <c r="AF43"/>
  <c r="AF55" s="1"/>
  <c r="AE43"/>
  <c r="AE55" s="1"/>
  <c r="AD43"/>
  <c r="AD55" s="1"/>
  <c r="AC43"/>
  <c r="AB43"/>
  <c r="AB55" s="1"/>
  <c r="AA43"/>
  <c r="AA55" s="1"/>
  <c r="Z43"/>
  <c r="Y43"/>
  <c r="Y55" s="1"/>
  <c r="X43"/>
  <c r="X55" s="1"/>
  <c r="W43"/>
  <c r="W55" s="1"/>
  <c r="V43"/>
  <c r="V55" s="1"/>
  <c r="U43"/>
  <c r="T43"/>
  <c r="T55" s="1"/>
  <c r="S43"/>
  <c r="S55" s="1"/>
  <c r="R43"/>
  <c r="Q43"/>
  <c r="P43"/>
  <c r="P55" s="1"/>
  <c r="O43"/>
  <c r="O55" s="1"/>
  <c r="N43"/>
  <c r="N55" s="1"/>
  <c r="M43"/>
  <c r="L43"/>
  <c r="L55" s="1"/>
  <c r="K43"/>
  <c r="K55" s="1"/>
  <c r="J43"/>
  <c r="F43"/>
  <c r="F55" s="1"/>
  <c r="I42"/>
  <c r="E42"/>
  <c r="G42" s="1"/>
  <c r="D42"/>
  <c r="B42"/>
  <c r="I41"/>
  <c r="E41"/>
  <c r="G41" s="1"/>
  <c r="D41"/>
  <c r="B41"/>
  <c r="I40"/>
  <c r="E40"/>
  <c r="G40" s="1"/>
  <c r="D40"/>
  <c r="B40"/>
  <c r="I39"/>
  <c r="G39"/>
  <c r="D39"/>
  <c r="B39"/>
  <c r="I38"/>
  <c r="G38"/>
  <c r="D38"/>
  <c r="B38"/>
  <c r="I37"/>
  <c r="E37"/>
  <c r="G37" s="1"/>
  <c r="D37"/>
  <c r="B37"/>
  <c r="I36"/>
  <c r="E36"/>
  <c r="D36"/>
  <c r="B36"/>
  <c r="I35"/>
  <c r="G35"/>
  <c r="D35"/>
  <c r="B35"/>
  <c r="I34"/>
  <c r="G34"/>
  <c r="D34"/>
  <c r="B34"/>
  <c r="I33"/>
  <c r="G33"/>
  <c r="D33"/>
  <c r="B33"/>
  <c r="AJ27"/>
  <c r="AH27"/>
  <c r="AF27"/>
  <c r="AB27"/>
  <c r="Z27"/>
  <c r="X27"/>
  <c r="V27"/>
  <c r="T27"/>
  <c r="R27"/>
  <c r="P27"/>
  <c r="G26"/>
  <c r="AJ18" s="1"/>
  <c r="F26"/>
  <c r="AB17" s="1"/>
  <c r="E26"/>
  <c r="H25"/>
  <c r="H24"/>
  <c r="H23"/>
  <c r="H22"/>
  <c r="H21"/>
  <c r="H20"/>
  <c r="H19"/>
  <c r="H18"/>
  <c r="H17"/>
  <c r="AD16"/>
  <c r="AD27" s="1"/>
  <c r="H16"/>
  <c r="G15"/>
  <c r="R7" s="1"/>
  <c r="F15"/>
  <c r="P13" s="1"/>
  <c r="E15"/>
  <c r="H14"/>
  <c r="H13"/>
  <c r="H12"/>
  <c r="H11"/>
  <c r="H10"/>
  <c r="H9"/>
  <c r="H8"/>
  <c r="AJ7"/>
  <c r="AH7"/>
  <c r="AF7"/>
  <c r="H7"/>
  <c r="AJ6"/>
  <c r="AH6"/>
  <c r="AF6"/>
  <c r="R6"/>
  <c r="P6"/>
  <c r="H6"/>
  <c r="AD5"/>
  <c r="AD6" s="1"/>
  <c r="H5"/>
  <c r="AH54" i="16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G53"/>
  <c r="E53"/>
  <c r="D53"/>
  <c r="B53"/>
  <c r="I52"/>
  <c r="G52"/>
  <c r="E52"/>
  <c r="D52"/>
  <c r="B52"/>
  <c r="I51"/>
  <c r="E51"/>
  <c r="G51" s="1"/>
  <c r="D51"/>
  <c r="B51"/>
  <c r="I50"/>
  <c r="E50"/>
  <c r="G50" s="1"/>
  <c r="D50"/>
  <c r="B50"/>
  <c r="I49"/>
  <c r="E49"/>
  <c r="G49" s="1"/>
  <c r="D49"/>
  <c r="B49"/>
  <c r="I48"/>
  <c r="E48"/>
  <c r="G48" s="1"/>
  <c r="D48"/>
  <c r="B48"/>
  <c r="I47"/>
  <c r="G47"/>
  <c r="E47"/>
  <c r="D47"/>
  <c r="B47"/>
  <c r="E46"/>
  <c r="G46" s="1"/>
  <c r="D46"/>
  <c r="B46"/>
  <c r="I45"/>
  <c r="E45"/>
  <c r="G45" s="1"/>
  <c r="D45"/>
  <c r="B45"/>
  <c r="G44"/>
  <c r="E44"/>
  <c r="D44"/>
  <c r="B44"/>
  <c r="AH43"/>
  <c r="AG43"/>
  <c r="AG55" s="1"/>
  <c r="AF43"/>
  <c r="AF55" s="1"/>
  <c r="AE43"/>
  <c r="AD43"/>
  <c r="AD55" s="1"/>
  <c r="AC43"/>
  <c r="AC55" s="1"/>
  <c r="AB43"/>
  <c r="AA43"/>
  <c r="Z43"/>
  <c r="Y43"/>
  <c r="Y55" s="1"/>
  <c r="X43"/>
  <c r="X55" s="1"/>
  <c r="W43"/>
  <c r="V43"/>
  <c r="V55" s="1"/>
  <c r="U43"/>
  <c r="U55" s="1"/>
  <c r="T43"/>
  <c r="S43"/>
  <c r="S55" s="1"/>
  <c r="R43"/>
  <c r="Q43"/>
  <c r="Q55" s="1"/>
  <c r="P43"/>
  <c r="P55" s="1"/>
  <c r="O43"/>
  <c r="N43"/>
  <c r="N55" s="1"/>
  <c r="M43"/>
  <c r="M55" s="1"/>
  <c r="L43"/>
  <c r="K43"/>
  <c r="J43"/>
  <c r="I43" s="1"/>
  <c r="F43"/>
  <c r="F55" s="1"/>
  <c r="I42"/>
  <c r="E42"/>
  <c r="G42" s="1"/>
  <c r="D42"/>
  <c r="B42"/>
  <c r="I41"/>
  <c r="E41"/>
  <c r="G41" s="1"/>
  <c r="D41"/>
  <c r="B41"/>
  <c r="I40"/>
  <c r="E40"/>
  <c r="G40" s="1"/>
  <c r="D40"/>
  <c r="B40"/>
  <c r="I39"/>
  <c r="E39"/>
  <c r="G39" s="1"/>
  <c r="D39"/>
  <c r="B39"/>
  <c r="I38"/>
  <c r="G38"/>
  <c r="E38"/>
  <c r="D38"/>
  <c r="B38"/>
  <c r="I37"/>
  <c r="E37"/>
  <c r="G37" s="1"/>
  <c r="D37"/>
  <c r="B37"/>
  <c r="I36"/>
  <c r="E36"/>
  <c r="G36" s="1"/>
  <c r="D36"/>
  <c r="B36"/>
  <c r="I35"/>
  <c r="G35"/>
  <c r="D35"/>
  <c r="B35"/>
  <c r="I34"/>
  <c r="E34"/>
  <c r="D34"/>
  <c r="B34"/>
  <c r="I33"/>
  <c r="E33"/>
  <c r="G33" s="1"/>
  <c r="D33"/>
  <c r="B33"/>
  <c r="AJ27"/>
  <c r="AH27"/>
  <c r="AF27"/>
  <c r="AD27"/>
  <c r="AB27"/>
  <c r="Z27"/>
  <c r="X27"/>
  <c r="V27"/>
  <c r="T27"/>
  <c r="R27"/>
  <c r="P27"/>
  <c r="G26"/>
  <c r="AD18" s="1"/>
  <c r="F26"/>
  <c r="P26" s="1"/>
  <c r="E26"/>
  <c r="H25"/>
  <c r="P24"/>
  <c r="H24"/>
  <c r="H23"/>
  <c r="H22"/>
  <c r="H21"/>
  <c r="H20"/>
  <c r="H19"/>
  <c r="AJ18"/>
  <c r="AH18"/>
  <c r="AF18"/>
  <c r="AB18"/>
  <c r="Z18"/>
  <c r="X18"/>
  <c r="T18"/>
  <c r="R18"/>
  <c r="P18"/>
  <c r="H18"/>
  <c r="AF17"/>
  <c r="AB17"/>
  <c r="Z17"/>
  <c r="P17"/>
  <c r="H17"/>
  <c r="AD16"/>
  <c r="H16"/>
  <c r="G15"/>
  <c r="G28" s="1"/>
  <c r="F15"/>
  <c r="P15" s="1"/>
  <c r="E15"/>
  <c r="H14"/>
  <c r="H13"/>
  <c r="H12"/>
  <c r="H11"/>
  <c r="H10"/>
  <c r="H9"/>
  <c r="H8"/>
  <c r="AJ7"/>
  <c r="AH7"/>
  <c r="AF7"/>
  <c r="H7"/>
  <c r="AJ6"/>
  <c r="AH6"/>
  <c r="AF6"/>
  <c r="AD6"/>
  <c r="AB6"/>
  <c r="Z6"/>
  <c r="X6"/>
  <c r="V6"/>
  <c r="T6"/>
  <c r="R6"/>
  <c r="P6"/>
  <c r="H6"/>
  <c r="AD5"/>
  <c r="H5"/>
  <c r="AH54" i="15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E53"/>
  <c r="G53" s="1"/>
  <c r="D53"/>
  <c r="B53"/>
  <c r="I52"/>
  <c r="E52"/>
  <c r="G52" s="1"/>
  <c r="D52"/>
  <c r="B52"/>
  <c r="I51"/>
  <c r="E51"/>
  <c r="G51" s="1"/>
  <c r="D51"/>
  <c r="B51"/>
  <c r="I50"/>
  <c r="E50"/>
  <c r="G50" s="1"/>
  <c r="D50"/>
  <c r="B50"/>
  <c r="I49"/>
  <c r="E49"/>
  <c r="G49" s="1"/>
  <c r="D49"/>
  <c r="B49"/>
  <c r="I48"/>
  <c r="G48"/>
  <c r="D48"/>
  <c r="B48"/>
  <c r="I47"/>
  <c r="E47"/>
  <c r="G47" s="1"/>
  <c r="D47"/>
  <c r="B47"/>
  <c r="G46"/>
  <c r="D46"/>
  <c r="B46"/>
  <c r="I45"/>
  <c r="G45"/>
  <c r="D45"/>
  <c r="B45"/>
  <c r="G44"/>
  <c r="D44"/>
  <c r="B44"/>
  <c r="AH43"/>
  <c r="AH55" s="1"/>
  <c r="AG43"/>
  <c r="AF43"/>
  <c r="AF55" s="1"/>
  <c r="AE43"/>
  <c r="AE55" s="1"/>
  <c r="AD43"/>
  <c r="AC43"/>
  <c r="AC55" s="1"/>
  <c r="AB43"/>
  <c r="AA43"/>
  <c r="AA55" s="1"/>
  <c r="Z43"/>
  <c r="Z55" s="1"/>
  <c r="Y43"/>
  <c r="X43"/>
  <c r="X55" s="1"/>
  <c r="W43"/>
  <c r="W55" s="1"/>
  <c r="V43"/>
  <c r="U43"/>
  <c r="U55" s="1"/>
  <c r="T43"/>
  <c r="S43"/>
  <c r="S55" s="1"/>
  <c r="R43"/>
  <c r="R55" s="1"/>
  <c r="Q43"/>
  <c r="P43"/>
  <c r="P55" s="1"/>
  <c r="O43"/>
  <c r="O55" s="1"/>
  <c r="N43"/>
  <c r="M43"/>
  <c r="M55" s="1"/>
  <c r="L43"/>
  <c r="K43"/>
  <c r="K55" s="1"/>
  <c r="J43"/>
  <c r="J55" s="1"/>
  <c r="F43"/>
  <c r="I42"/>
  <c r="E42"/>
  <c r="G42" s="1"/>
  <c r="D42"/>
  <c r="B42"/>
  <c r="I41"/>
  <c r="G41"/>
  <c r="E41"/>
  <c r="D41"/>
  <c r="B41"/>
  <c r="I40"/>
  <c r="G40"/>
  <c r="E40"/>
  <c r="D40"/>
  <c r="B40"/>
  <c r="I39"/>
  <c r="E39"/>
  <c r="G39" s="1"/>
  <c r="D39"/>
  <c r="B39"/>
  <c r="I38"/>
  <c r="E38"/>
  <c r="G38" s="1"/>
  <c r="D38"/>
  <c r="B38"/>
  <c r="I37"/>
  <c r="E37"/>
  <c r="G37" s="1"/>
  <c r="D37"/>
  <c r="B37"/>
  <c r="I36"/>
  <c r="E36"/>
  <c r="G36" s="1"/>
  <c r="D36"/>
  <c r="B36"/>
  <c r="I35"/>
  <c r="G35"/>
  <c r="D35"/>
  <c r="B35"/>
  <c r="I34"/>
  <c r="G34"/>
  <c r="D34"/>
  <c r="B34"/>
  <c r="I33"/>
  <c r="E33"/>
  <c r="G33" s="1"/>
  <c r="D33"/>
  <c r="B33"/>
  <c r="AJ27"/>
  <c r="AH27"/>
  <c r="AF27"/>
  <c r="AB27"/>
  <c r="Z27"/>
  <c r="X27"/>
  <c r="V27"/>
  <c r="T27"/>
  <c r="R27"/>
  <c r="P27"/>
  <c r="G26"/>
  <c r="P18" s="1"/>
  <c r="F26"/>
  <c r="AB17" s="1"/>
  <c r="E26"/>
  <c r="H25"/>
  <c r="H24"/>
  <c r="H23"/>
  <c r="H22"/>
  <c r="H21"/>
  <c r="H20"/>
  <c r="H19"/>
  <c r="V18"/>
  <c r="R18"/>
  <c r="H18"/>
  <c r="AF17"/>
  <c r="P17"/>
  <c r="H17"/>
  <c r="AD16"/>
  <c r="H16"/>
  <c r="G15"/>
  <c r="F15"/>
  <c r="AB6" s="1"/>
  <c r="E15"/>
  <c r="H14"/>
  <c r="H13"/>
  <c r="H12"/>
  <c r="H11"/>
  <c r="H10"/>
  <c r="H9"/>
  <c r="H8"/>
  <c r="AJ7"/>
  <c r="AH7"/>
  <c r="H7"/>
  <c r="AJ6"/>
  <c r="AH6"/>
  <c r="AF6"/>
  <c r="H6"/>
  <c r="AD5"/>
  <c r="H5"/>
  <c r="AH54" i="14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E53"/>
  <c r="G53" s="1"/>
  <c r="D53"/>
  <c r="B53"/>
  <c r="I52"/>
  <c r="E52"/>
  <c r="G52" s="1"/>
  <c r="D52"/>
  <c r="B52"/>
  <c r="I51"/>
  <c r="E51"/>
  <c r="G51" s="1"/>
  <c r="D51"/>
  <c r="B51"/>
  <c r="I50"/>
  <c r="E50"/>
  <c r="G50" s="1"/>
  <c r="D50"/>
  <c r="B50"/>
  <c r="I49"/>
  <c r="E49"/>
  <c r="G49" s="1"/>
  <c r="D49"/>
  <c r="B49"/>
  <c r="I48"/>
  <c r="G48"/>
  <c r="E48"/>
  <c r="D48"/>
  <c r="B48"/>
  <c r="I47"/>
  <c r="G47"/>
  <c r="E47"/>
  <c r="D47"/>
  <c r="B47"/>
  <c r="E46"/>
  <c r="G46" s="1"/>
  <c r="D46"/>
  <c r="B46"/>
  <c r="I45"/>
  <c r="E45"/>
  <c r="G45" s="1"/>
  <c r="D45"/>
  <c r="B45"/>
  <c r="G44"/>
  <c r="E44"/>
  <c r="D44"/>
  <c r="B44"/>
  <c r="AH43"/>
  <c r="AH55" s="1"/>
  <c r="AG43"/>
  <c r="AG55" s="1"/>
  <c r="AF43"/>
  <c r="AF55" s="1"/>
  <c r="AE43"/>
  <c r="AD43"/>
  <c r="AD55" s="1"/>
  <c r="AC43"/>
  <c r="AC55" s="1"/>
  <c r="AB43"/>
  <c r="AA43"/>
  <c r="AA55" s="1"/>
  <c r="Z43"/>
  <c r="Z55" s="1"/>
  <c r="Y43"/>
  <c r="Y55" s="1"/>
  <c r="X43"/>
  <c r="X55" s="1"/>
  <c r="W43"/>
  <c r="V43"/>
  <c r="V55" s="1"/>
  <c r="U43"/>
  <c r="U55" s="1"/>
  <c r="T43"/>
  <c r="S43"/>
  <c r="S55" s="1"/>
  <c r="R43"/>
  <c r="R55" s="1"/>
  <c r="Q43"/>
  <c r="Q55" s="1"/>
  <c r="P43"/>
  <c r="P55" s="1"/>
  <c r="O43"/>
  <c r="N43"/>
  <c r="N55" s="1"/>
  <c r="M43"/>
  <c r="M55" s="1"/>
  <c r="L43"/>
  <c r="K43"/>
  <c r="K55" s="1"/>
  <c r="J43"/>
  <c r="F43"/>
  <c r="F55" s="1"/>
  <c r="I42"/>
  <c r="G42"/>
  <c r="E42"/>
  <c r="D42"/>
  <c r="B42"/>
  <c r="I41"/>
  <c r="G41"/>
  <c r="E41"/>
  <c r="D41"/>
  <c r="B41"/>
  <c r="I40"/>
  <c r="G40"/>
  <c r="E40"/>
  <c r="D40"/>
  <c r="B40"/>
  <c r="I39"/>
  <c r="E39"/>
  <c r="G39" s="1"/>
  <c r="D39"/>
  <c r="B39"/>
  <c r="I38"/>
  <c r="E38"/>
  <c r="G38" s="1"/>
  <c r="D38"/>
  <c r="B38"/>
  <c r="I37"/>
  <c r="G37"/>
  <c r="D37"/>
  <c r="B37"/>
  <c r="I36"/>
  <c r="G36"/>
  <c r="E36"/>
  <c r="D36"/>
  <c r="B36"/>
  <c r="I35"/>
  <c r="G35"/>
  <c r="D35"/>
  <c r="B35"/>
  <c r="I34"/>
  <c r="E34"/>
  <c r="G34" s="1"/>
  <c r="D34"/>
  <c r="B34"/>
  <c r="I33"/>
  <c r="G33"/>
  <c r="D33"/>
  <c r="B33"/>
  <c r="AJ27"/>
  <c r="AH27"/>
  <c r="AF27"/>
  <c r="AB27"/>
  <c r="Z27"/>
  <c r="X27"/>
  <c r="V27"/>
  <c r="T27"/>
  <c r="R27"/>
  <c r="P27"/>
  <c r="H26"/>
  <c r="G26"/>
  <c r="V18" s="1"/>
  <c r="F26"/>
  <c r="AD17" s="1"/>
  <c r="E26"/>
  <c r="H25"/>
  <c r="H24"/>
  <c r="H23"/>
  <c r="H22"/>
  <c r="H21"/>
  <c r="H20"/>
  <c r="H19"/>
  <c r="H18"/>
  <c r="AF17"/>
  <c r="T17"/>
  <c r="P17"/>
  <c r="H17"/>
  <c r="AD16"/>
  <c r="H16"/>
  <c r="G15"/>
  <c r="F15"/>
  <c r="E15"/>
  <c r="E28" s="1"/>
  <c r="H14"/>
  <c r="H13"/>
  <c r="H12"/>
  <c r="H11"/>
  <c r="H10"/>
  <c r="H9"/>
  <c r="H8"/>
  <c r="AJ7"/>
  <c r="AH7"/>
  <c r="AF7"/>
  <c r="Z7"/>
  <c r="H7"/>
  <c r="AJ6"/>
  <c r="AH6"/>
  <c r="AF6"/>
  <c r="H6"/>
  <c r="AD5"/>
  <c r="H5"/>
  <c r="AH54" i="13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E53"/>
  <c r="G53" s="1"/>
  <c r="D53"/>
  <c r="B53"/>
  <c r="I52"/>
  <c r="G52"/>
  <c r="E52"/>
  <c r="D52"/>
  <c r="B52"/>
  <c r="I51"/>
  <c r="E51"/>
  <c r="G51" s="1"/>
  <c r="D51"/>
  <c r="B51"/>
  <c r="I50"/>
  <c r="E50"/>
  <c r="G50" s="1"/>
  <c r="D50"/>
  <c r="B50"/>
  <c r="I49"/>
  <c r="E49"/>
  <c r="G49" s="1"/>
  <c r="D49"/>
  <c r="B49"/>
  <c r="I48"/>
  <c r="E48"/>
  <c r="G48" s="1"/>
  <c r="D48"/>
  <c r="B48"/>
  <c r="I47"/>
  <c r="G47"/>
  <c r="E47"/>
  <c r="D47"/>
  <c r="B47"/>
  <c r="E46"/>
  <c r="G46" s="1"/>
  <c r="D46"/>
  <c r="B46"/>
  <c r="I45"/>
  <c r="G45"/>
  <c r="E45"/>
  <c r="D45"/>
  <c r="B45"/>
  <c r="G44"/>
  <c r="D44"/>
  <c r="B44"/>
  <c r="AH43"/>
  <c r="AG43"/>
  <c r="AG55" s="1"/>
  <c r="AF43"/>
  <c r="AE43"/>
  <c r="AE55" s="1"/>
  <c r="AD43"/>
  <c r="AD55" s="1"/>
  <c r="AC43"/>
  <c r="AC55" s="1"/>
  <c r="AB43"/>
  <c r="AB55" s="1"/>
  <c r="AA43"/>
  <c r="AA55" s="1"/>
  <c r="Z43"/>
  <c r="Z55" s="1"/>
  <c r="Y43"/>
  <c r="Y55" s="1"/>
  <c r="X43"/>
  <c r="W43"/>
  <c r="W55" s="1"/>
  <c r="V43"/>
  <c r="V55" s="1"/>
  <c r="U43"/>
  <c r="T43"/>
  <c r="T55" s="1"/>
  <c r="S43"/>
  <c r="S55" s="1"/>
  <c r="R43"/>
  <c r="R55" s="1"/>
  <c r="Q43"/>
  <c r="Q55" s="1"/>
  <c r="P43"/>
  <c r="O43"/>
  <c r="O55" s="1"/>
  <c r="N43"/>
  <c r="N55" s="1"/>
  <c r="M43"/>
  <c r="M55" s="1"/>
  <c r="L43"/>
  <c r="L55" s="1"/>
  <c r="K43"/>
  <c r="K55" s="1"/>
  <c r="J43"/>
  <c r="F43"/>
  <c r="F55" s="1"/>
  <c r="I42"/>
  <c r="E42"/>
  <c r="G42" s="1"/>
  <c r="D42"/>
  <c r="B42"/>
  <c r="I41"/>
  <c r="E41"/>
  <c r="G41" s="1"/>
  <c r="D41"/>
  <c r="B41"/>
  <c r="I40"/>
  <c r="G40"/>
  <c r="E40"/>
  <c r="D40"/>
  <c r="B40"/>
  <c r="I39"/>
  <c r="E39"/>
  <c r="G39" s="1"/>
  <c r="D39"/>
  <c r="B39"/>
  <c r="I38"/>
  <c r="G38"/>
  <c r="E38"/>
  <c r="D38"/>
  <c r="B38"/>
  <c r="I37"/>
  <c r="G37"/>
  <c r="D37"/>
  <c r="B37"/>
  <c r="I36"/>
  <c r="E36"/>
  <c r="G36" s="1"/>
  <c r="D36"/>
  <c r="B36"/>
  <c r="I35"/>
  <c r="G35"/>
  <c r="D35"/>
  <c r="B35"/>
  <c r="I34"/>
  <c r="E34"/>
  <c r="E43" s="1"/>
  <c r="D34"/>
  <c r="B34"/>
  <c r="I33"/>
  <c r="G33"/>
  <c r="D33"/>
  <c r="B33"/>
  <c r="AJ27"/>
  <c r="AH27"/>
  <c r="AF27"/>
  <c r="AB27"/>
  <c r="Z27"/>
  <c r="X27"/>
  <c r="V27"/>
  <c r="T27"/>
  <c r="R27"/>
  <c r="P27"/>
  <c r="G26"/>
  <c r="AB18" s="1"/>
  <c r="F26"/>
  <c r="AD17" s="1"/>
  <c r="E26"/>
  <c r="H25"/>
  <c r="H24"/>
  <c r="H23"/>
  <c r="H22"/>
  <c r="H21"/>
  <c r="H20"/>
  <c r="H19"/>
  <c r="V18"/>
  <c r="H18"/>
  <c r="P17"/>
  <c r="H17"/>
  <c r="AD16"/>
  <c r="H16"/>
  <c r="G15"/>
  <c r="AB7" s="1"/>
  <c r="F15"/>
  <c r="H15" s="1"/>
  <c r="E15"/>
  <c r="H14"/>
  <c r="H13"/>
  <c r="H12"/>
  <c r="H11"/>
  <c r="H10"/>
  <c r="H9"/>
  <c r="H8"/>
  <c r="AJ7"/>
  <c r="AH7"/>
  <c r="AF7"/>
  <c r="X7"/>
  <c r="V7"/>
  <c r="R7"/>
  <c r="P7"/>
  <c r="H7"/>
  <c r="AJ6"/>
  <c r="AH6"/>
  <c r="AF6"/>
  <c r="Z6"/>
  <c r="X6"/>
  <c r="V6"/>
  <c r="R6"/>
  <c r="P6"/>
  <c r="H6"/>
  <c r="AD5"/>
  <c r="AD6" s="1"/>
  <c r="H5"/>
  <c r="AH54" i="12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E53"/>
  <c r="G53" s="1"/>
  <c r="D53"/>
  <c r="B53"/>
  <c r="I52"/>
  <c r="G52"/>
  <c r="E52"/>
  <c r="D52"/>
  <c r="B52"/>
  <c r="I51"/>
  <c r="E51"/>
  <c r="G51" s="1"/>
  <c r="D51"/>
  <c r="B51"/>
  <c r="I50"/>
  <c r="E50"/>
  <c r="G50" s="1"/>
  <c r="D50"/>
  <c r="B50"/>
  <c r="I49"/>
  <c r="E49"/>
  <c r="G49" s="1"/>
  <c r="D49"/>
  <c r="B49"/>
  <c r="I48"/>
  <c r="E48"/>
  <c r="G48" s="1"/>
  <c r="D48"/>
  <c r="B48"/>
  <c r="I47"/>
  <c r="E47"/>
  <c r="G47" s="1"/>
  <c r="D47"/>
  <c r="B47"/>
  <c r="E46"/>
  <c r="G46" s="1"/>
  <c r="D46"/>
  <c r="B46"/>
  <c r="I45"/>
  <c r="E45"/>
  <c r="G45" s="1"/>
  <c r="D45"/>
  <c r="B45"/>
  <c r="E44"/>
  <c r="G44" s="1"/>
  <c r="D44"/>
  <c r="B44"/>
  <c r="AH43"/>
  <c r="AH55" s="1"/>
  <c r="AG43"/>
  <c r="AF43"/>
  <c r="AE43"/>
  <c r="AE55" s="1"/>
  <c r="AD43"/>
  <c r="AC43"/>
  <c r="AC55" s="1"/>
  <c r="AB43"/>
  <c r="AB55" s="1"/>
  <c r="AA43"/>
  <c r="AA55" s="1"/>
  <c r="Z43"/>
  <c r="Z55" s="1"/>
  <c r="Y43"/>
  <c r="X43"/>
  <c r="W43"/>
  <c r="W55" s="1"/>
  <c r="V43"/>
  <c r="U43"/>
  <c r="U55" s="1"/>
  <c r="T43"/>
  <c r="T55" s="1"/>
  <c r="S43"/>
  <c r="S55" s="1"/>
  <c r="R43"/>
  <c r="R55" s="1"/>
  <c r="Q43"/>
  <c r="P43"/>
  <c r="O43"/>
  <c r="O55" s="1"/>
  <c r="N43"/>
  <c r="M43"/>
  <c r="M55" s="1"/>
  <c r="L43"/>
  <c r="L55" s="1"/>
  <c r="K43"/>
  <c r="J43"/>
  <c r="J55" s="1"/>
  <c r="F43"/>
  <c r="F55" s="1"/>
  <c r="I42"/>
  <c r="E42"/>
  <c r="G42" s="1"/>
  <c r="D42"/>
  <c r="B42"/>
  <c r="I41"/>
  <c r="G41"/>
  <c r="E41"/>
  <c r="D41"/>
  <c r="B41"/>
  <c r="I40"/>
  <c r="G40"/>
  <c r="E40"/>
  <c r="D40"/>
  <c r="B40"/>
  <c r="I39"/>
  <c r="G39"/>
  <c r="E39"/>
  <c r="D39"/>
  <c r="B39"/>
  <c r="I38"/>
  <c r="E38"/>
  <c r="G38" s="1"/>
  <c r="D38"/>
  <c r="B38"/>
  <c r="I37"/>
  <c r="G37"/>
  <c r="D37"/>
  <c r="B37"/>
  <c r="I36"/>
  <c r="E36"/>
  <c r="D36"/>
  <c r="B36"/>
  <c r="I35"/>
  <c r="G35"/>
  <c r="D35"/>
  <c r="B35"/>
  <c r="I34"/>
  <c r="E34"/>
  <c r="G34" s="1"/>
  <c r="D34"/>
  <c r="B34"/>
  <c r="I33"/>
  <c r="E33"/>
  <c r="G33" s="1"/>
  <c r="D33"/>
  <c r="B33"/>
  <c r="AJ27"/>
  <c r="AH27"/>
  <c r="AF27"/>
  <c r="AB27"/>
  <c r="Z27"/>
  <c r="X27"/>
  <c r="V27"/>
  <c r="T27"/>
  <c r="R27"/>
  <c r="P27"/>
  <c r="G26"/>
  <c r="X18" s="1"/>
  <c r="F26"/>
  <c r="AB17" s="1"/>
  <c r="E26"/>
  <c r="H25"/>
  <c r="H24"/>
  <c r="H23"/>
  <c r="H22"/>
  <c r="H21"/>
  <c r="H20"/>
  <c r="H19"/>
  <c r="H18"/>
  <c r="H17"/>
  <c r="AD16"/>
  <c r="H16"/>
  <c r="G15"/>
  <c r="P7" s="1"/>
  <c r="F15"/>
  <c r="X6" s="1"/>
  <c r="E15"/>
  <c r="H14"/>
  <c r="H13"/>
  <c r="H12"/>
  <c r="H11"/>
  <c r="H10"/>
  <c r="H9"/>
  <c r="H8"/>
  <c r="AJ7"/>
  <c r="AH7"/>
  <c r="AF7"/>
  <c r="X7"/>
  <c r="T7"/>
  <c r="R7"/>
  <c r="H7"/>
  <c r="AJ6"/>
  <c r="AH6"/>
  <c r="AF6"/>
  <c r="Z6"/>
  <c r="P6"/>
  <c r="H6"/>
  <c r="AD5"/>
  <c r="AD27" s="1"/>
  <c r="H5"/>
  <c r="AH54" i="11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E53"/>
  <c r="G53" s="1"/>
  <c r="D53"/>
  <c r="B53"/>
  <c r="I52"/>
  <c r="E52"/>
  <c r="G52" s="1"/>
  <c r="D52"/>
  <c r="B52"/>
  <c r="I51"/>
  <c r="G51"/>
  <c r="E51"/>
  <c r="D51"/>
  <c r="B51"/>
  <c r="I50"/>
  <c r="E50"/>
  <c r="G50" s="1"/>
  <c r="D50"/>
  <c r="B50"/>
  <c r="I49"/>
  <c r="G49"/>
  <c r="E49"/>
  <c r="D49"/>
  <c r="B49"/>
  <c r="I48"/>
  <c r="E48"/>
  <c r="G48" s="1"/>
  <c r="D48"/>
  <c r="B48"/>
  <c r="I47"/>
  <c r="E47"/>
  <c r="G47" s="1"/>
  <c r="D47"/>
  <c r="B47"/>
  <c r="E46"/>
  <c r="G46" s="1"/>
  <c r="D46"/>
  <c r="B46"/>
  <c r="I45"/>
  <c r="E45"/>
  <c r="G45" s="1"/>
  <c r="D45"/>
  <c r="B45"/>
  <c r="E44"/>
  <c r="G44" s="1"/>
  <c r="D44"/>
  <c r="B44"/>
  <c r="AH43"/>
  <c r="AH55" s="1"/>
  <c r="AG43"/>
  <c r="AF43"/>
  <c r="AF55" s="1"/>
  <c r="AE43"/>
  <c r="AE55" s="1"/>
  <c r="AD43"/>
  <c r="AC43"/>
  <c r="AC55" s="1"/>
  <c r="AB43"/>
  <c r="AB55" s="1"/>
  <c r="AA43"/>
  <c r="AA55" s="1"/>
  <c r="Z43"/>
  <c r="Z55" s="1"/>
  <c r="Y43"/>
  <c r="X43"/>
  <c r="X55" s="1"/>
  <c r="W43"/>
  <c r="W55" s="1"/>
  <c r="V43"/>
  <c r="U43"/>
  <c r="U55" s="1"/>
  <c r="T43"/>
  <c r="T55" s="1"/>
  <c r="S43"/>
  <c r="S55" s="1"/>
  <c r="R43"/>
  <c r="R55" s="1"/>
  <c r="Q43"/>
  <c r="P43"/>
  <c r="P55" s="1"/>
  <c r="O43"/>
  <c r="N43"/>
  <c r="M43"/>
  <c r="M55" s="1"/>
  <c r="L43"/>
  <c r="L55" s="1"/>
  <c r="K43"/>
  <c r="K55" s="1"/>
  <c r="J43"/>
  <c r="F43"/>
  <c r="I42"/>
  <c r="G42"/>
  <c r="E42"/>
  <c r="D42"/>
  <c r="B42"/>
  <c r="I41"/>
  <c r="E41"/>
  <c r="G41" s="1"/>
  <c r="D41"/>
  <c r="B41"/>
  <c r="I40"/>
  <c r="E40"/>
  <c r="G40" s="1"/>
  <c r="D40"/>
  <c r="B40"/>
  <c r="I39"/>
  <c r="E39"/>
  <c r="G39" s="1"/>
  <c r="D39"/>
  <c r="B39"/>
  <c r="I38"/>
  <c r="E38"/>
  <c r="G38" s="1"/>
  <c r="D38"/>
  <c r="B38"/>
  <c r="I37"/>
  <c r="G37"/>
  <c r="D37"/>
  <c r="B37"/>
  <c r="I36"/>
  <c r="G36"/>
  <c r="E36"/>
  <c r="D36"/>
  <c r="B36"/>
  <c r="I35"/>
  <c r="G35"/>
  <c r="D35"/>
  <c r="B35"/>
  <c r="I34"/>
  <c r="E34"/>
  <c r="G34" s="1"/>
  <c r="D34"/>
  <c r="B34"/>
  <c r="I33"/>
  <c r="G33"/>
  <c r="E33"/>
  <c r="D33"/>
  <c r="B33"/>
  <c r="AJ27"/>
  <c r="AH27"/>
  <c r="AF27"/>
  <c r="AB27"/>
  <c r="Z27"/>
  <c r="X27"/>
  <c r="V27"/>
  <c r="T27"/>
  <c r="R27"/>
  <c r="P27"/>
  <c r="G26"/>
  <c r="AJ18" s="1"/>
  <c r="F26"/>
  <c r="P24" s="1"/>
  <c r="E26"/>
  <c r="H25"/>
  <c r="H24"/>
  <c r="H23"/>
  <c r="H22"/>
  <c r="H21"/>
  <c r="H20"/>
  <c r="H19"/>
  <c r="AF18"/>
  <c r="AD18"/>
  <c r="Z18"/>
  <c r="X18"/>
  <c r="V18"/>
  <c r="T18"/>
  <c r="R18"/>
  <c r="P18"/>
  <c r="H18"/>
  <c r="AJ17"/>
  <c r="AF17"/>
  <c r="AD17"/>
  <c r="AB17"/>
  <c r="Z17"/>
  <c r="X17"/>
  <c r="V17"/>
  <c r="T17"/>
  <c r="R17"/>
  <c r="P17"/>
  <c r="H17"/>
  <c r="AD16"/>
  <c r="H16"/>
  <c r="G15"/>
  <c r="G28" s="1"/>
  <c r="AH29" s="1"/>
  <c r="F15"/>
  <c r="AB6" s="1"/>
  <c r="E15"/>
  <c r="E28" s="1"/>
  <c r="H14"/>
  <c r="H13"/>
  <c r="H12"/>
  <c r="H11"/>
  <c r="H10"/>
  <c r="H9"/>
  <c r="H8"/>
  <c r="AJ7"/>
  <c r="AH7"/>
  <c r="AF7"/>
  <c r="Z7"/>
  <c r="X7"/>
  <c r="V7"/>
  <c r="T7"/>
  <c r="R7"/>
  <c r="P7"/>
  <c r="H7"/>
  <c r="AJ6"/>
  <c r="AH6"/>
  <c r="P6"/>
  <c r="H6"/>
  <c r="AD5"/>
  <c r="AD27" s="1"/>
  <c r="H5"/>
  <c r="AH54" i="10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G53"/>
  <c r="E53"/>
  <c r="D53"/>
  <c r="B53"/>
  <c r="I52"/>
  <c r="G52"/>
  <c r="E52"/>
  <c r="D52"/>
  <c r="B52"/>
  <c r="I51"/>
  <c r="E51"/>
  <c r="G51" s="1"/>
  <c r="D51"/>
  <c r="B51"/>
  <c r="I50"/>
  <c r="E50"/>
  <c r="G50" s="1"/>
  <c r="D50"/>
  <c r="B50"/>
  <c r="I49"/>
  <c r="E49"/>
  <c r="G49" s="1"/>
  <c r="D49"/>
  <c r="B49"/>
  <c r="I48"/>
  <c r="G48"/>
  <c r="D48"/>
  <c r="B48"/>
  <c r="I47"/>
  <c r="G47"/>
  <c r="D47"/>
  <c r="B47"/>
  <c r="D46"/>
  <c r="B46"/>
  <c r="I45"/>
  <c r="E45"/>
  <c r="G45" s="1"/>
  <c r="D45"/>
  <c r="B45"/>
  <c r="G44"/>
  <c r="E44"/>
  <c r="D44"/>
  <c r="B44"/>
  <c r="AH43"/>
  <c r="AG43"/>
  <c r="AG55" s="1"/>
  <c r="AF43"/>
  <c r="AF55" s="1"/>
  <c r="AE43"/>
  <c r="AE55" s="1"/>
  <c r="AD43"/>
  <c r="AC43"/>
  <c r="AB43"/>
  <c r="AB55" s="1"/>
  <c r="AA43"/>
  <c r="AA55" s="1"/>
  <c r="Z43"/>
  <c r="Y43"/>
  <c r="Y55" s="1"/>
  <c r="X43"/>
  <c r="X55" s="1"/>
  <c r="W43"/>
  <c r="V43"/>
  <c r="U43"/>
  <c r="T43"/>
  <c r="T55" s="1"/>
  <c r="S43"/>
  <c r="S55" s="1"/>
  <c r="R43"/>
  <c r="Q43"/>
  <c r="Q55" s="1"/>
  <c r="P43"/>
  <c r="P55" s="1"/>
  <c r="O43"/>
  <c r="N43"/>
  <c r="M43"/>
  <c r="L43"/>
  <c r="K43"/>
  <c r="J43"/>
  <c r="F43"/>
  <c r="I42"/>
  <c r="G42"/>
  <c r="E42"/>
  <c r="D42"/>
  <c r="B42"/>
  <c r="I41"/>
  <c r="E41"/>
  <c r="G41" s="1"/>
  <c r="D41"/>
  <c r="B41"/>
  <c r="I40"/>
  <c r="G40"/>
  <c r="E40"/>
  <c r="D40"/>
  <c r="B40"/>
  <c r="I39"/>
  <c r="E39"/>
  <c r="G39" s="1"/>
  <c r="D39"/>
  <c r="B39"/>
  <c r="I38"/>
  <c r="E38"/>
  <c r="G38" s="1"/>
  <c r="D38"/>
  <c r="B38"/>
  <c r="I37"/>
  <c r="E37"/>
  <c r="G37" s="1"/>
  <c r="D37"/>
  <c r="B37"/>
  <c r="I36"/>
  <c r="D36"/>
  <c r="B36"/>
  <c r="I35"/>
  <c r="G35"/>
  <c r="D35"/>
  <c r="B35"/>
  <c r="I34"/>
  <c r="G34"/>
  <c r="D34"/>
  <c r="B34"/>
  <c r="I33"/>
  <c r="E33"/>
  <c r="G33" s="1"/>
  <c r="D33"/>
  <c r="B33"/>
  <c r="AJ27"/>
  <c r="AH27"/>
  <c r="AF27"/>
  <c r="AB27"/>
  <c r="Z27"/>
  <c r="X27"/>
  <c r="V27"/>
  <c r="T27"/>
  <c r="R27"/>
  <c r="P27"/>
  <c r="G26"/>
  <c r="AF18" s="1"/>
  <c r="F26"/>
  <c r="P17" s="1"/>
  <c r="E26"/>
  <c r="H25"/>
  <c r="H24"/>
  <c r="H23"/>
  <c r="H22"/>
  <c r="H21"/>
  <c r="H20"/>
  <c r="H19"/>
  <c r="AH18"/>
  <c r="AD18"/>
  <c r="Z18"/>
  <c r="X18"/>
  <c r="V18"/>
  <c r="T18"/>
  <c r="P18"/>
  <c r="H18"/>
  <c r="H17"/>
  <c r="AD16"/>
  <c r="H16"/>
  <c r="G15"/>
  <c r="V7" s="1"/>
  <c r="F15"/>
  <c r="P6" s="1"/>
  <c r="E15"/>
  <c r="H14"/>
  <c r="H13"/>
  <c r="H12"/>
  <c r="H11"/>
  <c r="H10"/>
  <c r="H9"/>
  <c r="H8"/>
  <c r="AJ7"/>
  <c r="AH7"/>
  <c r="AF7"/>
  <c r="H7"/>
  <c r="AJ6"/>
  <c r="AH6"/>
  <c r="AF6"/>
  <c r="H6"/>
  <c r="AD5"/>
  <c r="H5"/>
  <c r="AH54" i="24"/>
  <c r="AG54"/>
  <c r="AF54"/>
  <c r="AE54"/>
  <c r="AD54"/>
  <c r="AC54"/>
  <c r="AC55" s="1"/>
  <c r="AB54"/>
  <c r="AA54"/>
  <c r="Z54"/>
  <c r="Y54"/>
  <c r="X54"/>
  <c r="W54"/>
  <c r="V54"/>
  <c r="U54"/>
  <c r="U55" s="1"/>
  <c r="T54"/>
  <c r="S54"/>
  <c r="R54"/>
  <c r="Q54"/>
  <c r="P54"/>
  <c r="O54"/>
  <c r="N54"/>
  <c r="M54"/>
  <c r="L54"/>
  <c r="K54"/>
  <c r="J54"/>
  <c r="F54"/>
  <c r="I53"/>
  <c r="G53"/>
  <c r="E53"/>
  <c r="D53"/>
  <c r="B53"/>
  <c r="I52"/>
  <c r="E52"/>
  <c r="G52" s="1"/>
  <c r="D52"/>
  <c r="B52"/>
  <c r="I51"/>
  <c r="E51"/>
  <c r="G51" s="1"/>
  <c r="D51"/>
  <c r="B51"/>
  <c r="I50"/>
  <c r="E50"/>
  <c r="G50" s="1"/>
  <c r="D50"/>
  <c r="B50"/>
  <c r="I49"/>
  <c r="E49"/>
  <c r="G49" s="1"/>
  <c r="D49"/>
  <c r="B49"/>
  <c r="I48"/>
  <c r="E48"/>
  <c r="G48" s="1"/>
  <c r="D48"/>
  <c r="B48"/>
  <c r="I47"/>
  <c r="G47"/>
  <c r="E47"/>
  <c r="D47"/>
  <c r="B47"/>
  <c r="G46"/>
  <c r="D46"/>
  <c r="B46"/>
  <c r="I45"/>
  <c r="G45"/>
  <c r="E45"/>
  <c r="D45"/>
  <c r="B45"/>
  <c r="E44"/>
  <c r="D44"/>
  <c r="B44"/>
  <c r="AH43"/>
  <c r="AH55" s="1"/>
  <c r="AG43"/>
  <c r="AG55" s="1"/>
  <c r="AF43"/>
  <c r="AE43"/>
  <c r="AE55" s="1"/>
  <c r="AD43"/>
  <c r="AD55" s="1"/>
  <c r="AC43"/>
  <c r="AB43"/>
  <c r="AB55" s="1"/>
  <c r="AA43"/>
  <c r="Z43"/>
  <c r="Z55" s="1"/>
  <c r="Y43"/>
  <c r="Y55" s="1"/>
  <c r="X43"/>
  <c r="W43"/>
  <c r="W55" s="1"/>
  <c r="V43"/>
  <c r="V55" s="1"/>
  <c r="U43"/>
  <c r="T43"/>
  <c r="T55" s="1"/>
  <c r="S43"/>
  <c r="R43"/>
  <c r="R55" s="1"/>
  <c r="Q43"/>
  <c r="Q55" s="1"/>
  <c r="P43"/>
  <c r="O43"/>
  <c r="O55" s="1"/>
  <c r="N43"/>
  <c r="N55" s="1"/>
  <c r="M43"/>
  <c r="M55" s="1"/>
  <c r="L43"/>
  <c r="L55" s="1"/>
  <c r="K43"/>
  <c r="J43"/>
  <c r="J55" s="1"/>
  <c r="F43"/>
  <c r="F55" s="1"/>
  <c r="I42"/>
  <c r="E42"/>
  <c r="G42" s="1"/>
  <c r="D42"/>
  <c r="B42"/>
  <c r="I41"/>
  <c r="G41"/>
  <c r="E41"/>
  <c r="D41"/>
  <c r="B41"/>
  <c r="I40"/>
  <c r="G40"/>
  <c r="E40"/>
  <c r="D40"/>
  <c r="B40"/>
  <c r="I39"/>
  <c r="G39"/>
  <c r="E39"/>
  <c r="D39"/>
  <c r="B39"/>
  <c r="I38"/>
  <c r="E38"/>
  <c r="G38" s="1"/>
  <c r="D38"/>
  <c r="B38"/>
  <c r="I37"/>
  <c r="E37"/>
  <c r="G37" s="1"/>
  <c r="D37"/>
  <c r="B37"/>
  <c r="I36"/>
  <c r="E36"/>
  <c r="G36" s="1"/>
  <c r="D36"/>
  <c r="B36"/>
  <c r="I35"/>
  <c r="G35"/>
  <c r="D35"/>
  <c r="B35"/>
  <c r="I34"/>
  <c r="E34"/>
  <c r="G34" s="1"/>
  <c r="D34"/>
  <c r="B34"/>
  <c r="I33"/>
  <c r="E33"/>
  <c r="E43" s="1"/>
  <c r="D33"/>
  <c r="B33"/>
  <c r="AJ27"/>
  <c r="AH27"/>
  <c r="AF27"/>
  <c r="AB27"/>
  <c r="Z27"/>
  <c r="X27"/>
  <c r="V27"/>
  <c r="T27"/>
  <c r="R27"/>
  <c r="P27"/>
  <c r="G26"/>
  <c r="F26"/>
  <c r="P24" s="1"/>
  <c r="E26"/>
  <c r="H25"/>
  <c r="H24"/>
  <c r="H23"/>
  <c r="H22"/>
  <c r="H21"/>
  <c r="H20"/>
  <c r="H19"/>
  <c r="AB18"/>
  <c r="R18"/>
  <c r="AJ17"/>
  <c r="AH17"/>
  <c r="X17"/>
  <c r="T17"/>
  <c r="R17"/>
  <c r="P17"/>
  <c r="H17"/>
  <c r="AD16"/>
  <c r="H16"/>
  <c r="G15"/>
  <c r="G28" s="1"/>
  <c r="F15"/>
  <c r="F28" s="1"/>
  <c r="AH28" s="1"/>
  <c r="E15"/>
  <c r="H14"/>
  <c r="H13"/>
  <c r="H12"/>
  <c r="H11"/>
  <c r="H10"/>
  <c r="H9"/>
  <c r="H8"/>
  <c r="AJ7"/>
  <c r="AH7"/>
  <c r="AF7"/>
  <c r="R7"/>
  <c r="H7"/>
  <c r="AJ6"/>
  <c r="AH6"/>
  <c r="AF6"/>
  <c r="H6"/>
  <c r="AD5"/>
  <c r="H5"/>
  <c r="AH54" i="23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G53"/>
  <c r="E53"/>
  <c r="D53"/>
  <c r="B53"/>
  <c r="I52"/>
  <c r="E52"/>
  <c r="G52" s="1"/>
  <c r="D52"/>
  <c r="B52"/>
  <c r="I51"/>
  <c r="E51"/>
  <c r="G51" s="1"/>
  <c r="D51"/>
  <c r="B51"/>
  <c r="I50"/>
  <c r="E50"/>
  <c r="G50" s="1"/>
  <c r="D50"/>
  <c r="B50"/>
  <c r="I49"/>
  <c r="E49"/>
  <c r="G49" s="1"/>
  <c r="D49"/>
  <c r="B49"/>
  <c r="I48"/>
  <c r="G48"/>
  <c r="D48"/>
  <c r="B48"/>
  <c r="I47"/>
  <c r="G47"/>
  <c r="E47"/>
  <c r="D47"/>
  <c r="B47"/>
  <c r="G46"/>
  <c r="D46"/>
  <c r="B46"/>
  <c r="I45"/>
  <c r="G45"/>
  <c r="E45"/>
  <c r="D45"/>
  <c r="B45"/>
  <c r="E44"/>
  <c r="G44" s="1"/>
  <c r="D44"/>
  <c r="B44"/>
  <c r="AH43"/>
  <c r="AH55" s="1"/>
  <c r="AG43"/>
  <c r="AF43"/>
  <c r="AF55" s="1"/>
  <c r="AE43"/>
  <c r="AD43"/>
  <c r="AD55" s="1"/>
  <c r="AC43"/>
  <c r="AB43"/>
  <c r="AA43"/>
  <c r="AA55" s="1"/>
  <c r="Z43"/>
  <c r="Z55" s="1"/>
  <c r="Y43"/>
  <c r="X43"/>
  <c r="X55" s="1"/>
  <c r="W43"/>
  <c r="V43"/>
  <c r="V55" s="1"/>
  <c r="U43"/>
  <c r="U55" s="1"/>
  <c r="T43"/>
  <c r="S43"/>
  <c r="S55" s="1"/>
  <c r="R43"/>
  <c r="R55" s="1"/>
  <c r="Q43"/>
  <c r="P43"/>
  <c r="P55" s="1"/>
  <c r="O43"/>
  <c r="N43"/>
  <c r="N55" s="1"/>
  <c r="M43"/>
  <c r="L43"/>
  <c r="K43"/>
  <c r="K55" s="1"/>
  <c r="J43"/>
  <c r="J55" s="1"/>
  <c r="F43"/>
  <c r="F55" s="1"/>
  <c r="I42"/>
  <c r="E42"/>
  <c r="G42" s="1"/>
  <c r="D42"/>
  <c r="B42"/>
  <c r="I41"/>
  <c r="E41"/>
  <c r="G41" s="1"/>
  <c r="D41"/>
  <c r="B41"/>
  <c r="I40"/>
  <c r="G40"/>
  <c r="E40"/>
  <c r="D40"/>
  <c r="B40"/>
  <c r="I39"/>
  <c r="G39"/>
  <c r="E39"/>
  <c r="D39"/>
  <c r="B39"/>
  <c r="I38"/>
  <c r="G38"/>
  <c r="E38"/>
  <c r="D38"/>
  <c r="B38"/>
  <c r="I37"/>
  <c r="E37"/>
  <c r="G37" s="1"/>
  <c r="D37"/>
  <c r="B37"/>
  <c r="I36"/>
  <c r="E36"/>
  <c r="G36" s="1"/>
  <c r="D36"/>
  <c r="B36"/>
  <c r="I35"/>
  <c r="G35"/>
  <c r="D35"/>
  <c r="B35"/>
  <c r="I34"/>
  <c r="E34"/>
  <c r="G34" s="1"/>
  <c r="D34"/>
  <c r="B34"/>
  <c r="I33"/>
  <c r="E33"/>
  <c r="G33" s="1"/>
  <c r="D33"/>
  <c r="B33"/>
  <c r="AJ27"/>
  <c r="AH27"/>
  <c r="AF27"/>
  <c r="AD27"/>
  <c r="AB27"/>
  <c r="Z27"/>
  <c r="X27"/>
  <c r="V27"/>
  <c r="T27"/>
  <c r="R27"/>
  <c r="P27"/>
  <c r="G26"/>
  <c r="AH18" s="1"/>
  <c r="F26"/>
  <c r="H26" s="1"/>
  <c r="E26"/>
  <c r="H25"/>
  <c r="H24"/>
  <c r="H23"/>
  <c r="H22"/>
  <c r="H21"/>
  <c r="H20"/>
  <c r="H19"/>
  <c r="AJ18"/>
  <c r="AB18"/>
  <c r="Z18"/>
  <c r="V18"/>
  <c r="T18"/>
  <c r="P18"/>
  <c r="H18"/>
  <c r="AH17"/>
  <c r="Z17"/>
  <c r="R17"/>
  <c r="P17"/>
  <c r="H17"/>
  <c r="H16"/>
  <c r="G15"/>
  <c r="Z7" s="1"/>
  <c r="F15"/>
  <c r="E15"/>
  <c r="E28" s="1"/>
  <c r="H14"/>
  <c r="H13"/>
  <c r="H12"/>
  <c r="H11"/>
  <c r="H10"/>
  <c r="H9"/>
  <c r="H8"/>
  <c r="AJ7"/>
  <c r="AH7"/>
  <c r="AF7"/>
  <c r="H7"/>
  <c r="AJ6"/>
  <c r="AH6"/>
  <c r="AF6"/>
  <c r="AB6"/>
  <c r="Z6"/>
  <c r="X6"/>
  <c r="V6"/>
  <c r="R6"/>
  <c r="P6"/>
  <c r="H6"/>
  <c r="AD5"/>
  <c r="H5"/>
  <c r="AH54" i="22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G53"/>
  <c r="E53"/>
  <c r="D53"/>
  <c r="B53"/>
  <c r="I52"/>
  <c r="E52"/>
  <c r="G52" s="1"/>
  <c r="D52"/>
  <c r="B52"/>
  <c r="I51"/>
  <c r="E51"/>
  <c r="G51" s="1"/>
  <c r="D51"/>
  <c r="B51"/>
  <c r="I50"/>
  <c r="E50"/>
  <c r="G50" s="1"/>
  <c r="D50"/>
  <c r="B50"/>
  <c r="I49"/>
  <c r="E49"/>
  <c r="G49" s="1"/>
  <c r="D49"/>
  <c r="B49"/>
  <c r="I48"/>
  <c r="E48"/>
  <c r="G48" s="1"/>
  <c r="D48"/>
  <c r="B48"/>
  <c r="I47"/>
  <c r="E47"/>
  <c r="G47" s="1"/>
  <c r="D47"/>
  <c r="B47"/>
  <c r="E46"/>
  <c r="G46" s="1"/>
  <c r="D46"/>
  <c r="B46"/>
  <c r="I45"/>
  <c r="G45"/>
  <c r="E45"/>
  <c r="D45"/>
  <c r="B45"/>
  <c r="E44"/>
  <c r="G44" s="1"/>
  <c r="D44"/>
  <c r="B44"/>
  <c r="AH43"/>
  <c r="AH55" s="1"/>
  <c r="AG43"/>
  <c r="AG55" s="1"/>
  <c r="AF43"/>
  <c r="AF55" s="1"/>
  <c r="AE43"/>
  <c r="AD43"/>
  <c r="AC43"/>
  <c r="AC55" s="1"/>
  <c r="AB43"/>
  <c r="AB55" s="1"/>
  <c r="AA43"/>
  <c r="AA55" s="1"/>
  <c r="Z43"/>
  <c r="Y43"/>
  <c r="Y55" s="1"/>
  <c r="X43"/>
  <c r="X55" s="1"/>
  <c r="W43"/>
  <c r="V43"/>
  <c r="U43"/>
  <c r="U55" s="1"/>
  <c r="T43"/>
  <c r="T55" s="1"/>
  <c r="S43"/>
  <c r="S55" s="1"/>
  <c r="R43"/>
  <c r="Q43"/>
  <c r="Q55" s="1"/>
  <c r="P43"/>
  <c r="P55" s="1"/>
  <c r="O43"/>
  <c r="N43"/>
  <c r="M43"/>
  <c r="M55" s="1"/>
  <c r="L43"/>
  <c r="K43"/>
  <c r="K55" s="1"/>
  <c r="J43"/>
  <c r="F43"/>
  <c r="F55" s="1"/>
  <c r="I42"/>
  <c r="E42"/>
  <c r="G42" s="1"/>
  <c r="D42"/>
  <c r="B42"/>
  <c r="I41"/>
  <c r="E41"/>
  <c r="G41" s="1"/>
  <c r="D41"/>
  <c r="B41"/>
  <c r="I40"/>
  <c r="G40"/>
  <c r="E40"/>
  <c r="D40"/>
  <c r="B40"/>
  <c r="I39"/>
  <c r="E39"/>
  <c r="G39" s="1"/>
  <c r="D39"/>
  <c r="B39"/>
  <c r="I38"/>
  <c r="G38"/>
  <c r="E38"/>
  <c r="D38"/>
  <c r="B38"/>
  <c r="I37"/>
  <c r="G37"/>
  <c r="D37"/>
  <c r="B37"/>
  <c r="I36"/>
  <c r="E36"/>
  <c r="G36" s="1"/>
  <c r="D36"/>
  <c r="B36"/>
  <c r="I35"/>
  <c r="G35"/>
  <c r="D35"/>
  <c r="B35"/>
  <c r="I34"/>
  <c r="E34"/>
  <c r="G34" s="1"/>
  <c r="D34"/>
  <c r="B34"/>
  <c r="I33"/>
  <c r="G33"/>
  <c r="D33"/>
  <c r="B33"/>
  <c r="AJ27"/>
  <c r="AH27"/>
  <c r="AF27"/>
  <c r="AB27"/>
  <c r="Z27"/>
  <c r="X27"/>
  <c r="V27"/>
  <c r="T27"/>
  <c r="R27"/>
  <c r="P27"/>
  <c r="G26"/>
  <c r="F26"/>
  <c r="E26"/>
  <c r="H25"/>
  <c r="H24"/>
  <c r="H23"/>
  <c r="H22"/>
  <c r="H21"/>
  <c r="H20"/>
  <c r="H19"/>
  <c r="AH18"/>
  <c r="X18"/>
  <c r="R18"/>
  <c r="H18"/>
  <c r="AJ17"/>
  <c r="AH17"/>
  <c r="AF17"/>
  <c r="AD17"/>
  <c r="AB17"/>
  <c r="Z17"/>
  <c r="X17"/>
  <c r="V17"/>
  <c r="T17"/>
  <c r="R17"/>
  <c r="P17"/>
  <c r="H17"/>
  <c r="AD16"/>
  <c r="H16"/>
  <c r="G15"/>
  <c r="F15"/>
  <c r="P13" s="1"/>
  <c r="E15"/>
  <c r="E28" s="1"/>
  <c r="H14"/>
  <c r="H13"/>
  <c r="H12"/>
  <c r="H11"/>
  <c r="H10"/>
  <c r="H9"/>
  <c r="H8"/>
  <c r="AJ7"/>
  <c r="AH7"/>
  <c r="AF7"/>
  <c r="T7"/>
  <c r="R7"/>
  <c r="H7"/>
  <c r="AJ6"/>
  <c r="AH6"/>
  <c r="AF6"/>
  <c r="AD6"/>
  <c r="AB6"/>
  <c r="Z6"/>
  <c r="X6"/>
  <c r="T6"/>
  <c r="R6"/>
  <c r="H6"/>
  <c r="AD5"/>
  <c r="AD27" s="1"/>
  <c r="H5"/>
  <c r="AD55" i="21"/>
  <c r="AH54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E53"/>
  <c r="G53" s="1"/>
  <c r="D53"/>
  <c r="B53"/>
  <c r="I52"/>
  <c r="E52"/>
  <c r="G52" s="1"/>
  <c r="D52"/>
  <c r="B52"/>
  <c r="I51"/>
  <c r="G51"/>
  <c r="E51"/>
  <c r="D51"/>
  <c r="B51"/>
  <c r="I50"/>
  <c r="E50"/>
  <c r="G50" s="1"/>
  <c r="D50"/>
  <c r="B50"/>
  <c r="I49"/>
  <c r="E49"/>
  <c r="G49" s="1"/>
  <c r="D49"/>
  <c r="B49"/>
  <c r="I48"/>
  <c r="E48"/>
  <c r="G48" s="1"/>
  <c r="D48"/>
  <c r="B48"/>
  <c r="I47"/>
  <c r="G47"/>
  <c r="E47"/>
  <c r="D47"/>
  <c r="B47"/>
  <c r="E46"/>
  <c r="G46" s="1"/>
  <c r="D46"/>
  <c r="B46"/>
  <c r="I45"/>
  <c r="E45"/>
  <c r="G45" s="1"/>
  <c r="D45"/>
  <c r="B45"/>
  <c r="E44"/>
  <c r="G44" s="1"/>
  <c r="D44"/>
  <c r="B44"/>
  <c r="AH43"/>
  <c r="AH55" s="1"/>
  <c r="AG43"/>
  <c r="AF43"/>
  <c r="AF55" s="1"/>
  <c r="AE43"/>
  <c r="AE55" s="1"/>
  <c r="AD43"/>
  <c r="AC43"/>
  <c r="AC55" s="1"/>
  <c r="AB43"/>
  <c r="AB55" s="1"/>
  <c r="AA43"/>
  <c r="AA55" s="1"/>
  <c r="Z43"/>
  <c r="Z55" s="1"/>
  <c r="Y43"/>
  <c r="X43"/>
  <c r="X55" s="1"/>
  <c r="W43"/>
  <c r="W55" s="1"/>
  <c r="V43"/>
  <c r="U43"/>
  <c r="U55" s="1"/>
  <c r="T43"/>
  <c r="T55" s="1"/>
  <c r="S43"/>
  <c r="S55" s="1"/>
  <c r="R43"/>
  <c r="R55" s="1"/>
  <c r="Q43"/>
  <c r="P43"/>
  <c r="P55" s="1"/>
  <c r="O43"/>
  <c r="O55" s="1"/>
  <c r="N43"/>
  <c r="M43"/>
  <c r="M55" s="1"/>
  <c r="L43"/>
  <c r="L55" s="1"/>
  <c r="K43"/>
  <c r="K55" s="1"/>
  <c r="J43"/>
  <c r="J55" s="1"/>
  <c r="F43"/>
  <c r="F55" s="1"/>
  <c r="I42"/>
  <c r="G42"/>
  <c r="E42"/>
  <c r="D42"/>
  <c r="B42"/>
  <c r="I41"/>
  <c r="G41"/>
  <c r="E41"/>
  <c r="D41"/>
  <c r="B41"/>
  <c r="I40"/>
  <c r="G40"/>
  <c r="E40"/>
  <c r="D40"/>
  <c r="B40"/>
  <c r="I39"/>
  <c r="E39"/>
  <c r="G39" s="1"/>
  <c r="D39"/>
  <c r="B39"/>
  <c r="I38"/>
  <c r="E38"/>
  <c r="G38" s="1"/>
  <c r="D38"/>
  <c r="B38"/>
  <c r="I37"/>
  <c r="D37"/>
  <c r="B37"/>
  <c r="I36"/>
  <c r="G36"/>
  <c r="D36"/>
  <c r="B36"/>
  <c r="I35"/>
  <c r="G35"/>
  <c r="D35"/>
  <c r="B35"/>
  <c r="I34"/>
  <c r="G34"/>
  <c r="D34"/>
  <c r="B34"/>
  <c r="I33"/>
  <c r="G33"/>
  <c r="D33"/>
  <c r="B33"/>
  <c r="AJ27"/>
  <c r="AH27"/>
  <c r="AF27"/>
  <c r="AB27"/>
  <c r="Z27"/>
  <c r="X27"/>
  <c r="V27"/>
  <c r="T27"/>
  <c r="R27"/>
  <c r="P27"/>
  <c r="G26"/>
  <c r="F26"/>
  <c r="P24" s="1"/>
  <c r="E26"/>
  <c r="H25"/>
  <c r="H24"/>
  <c r="H23"/>
  <c r="H22"/>
  <c r="H21"/>
  <c r="H20"/>
  <c r="H19"/>
  <c r="AJ18"/>
  <c r="AH18"/>
  <c r="AF18"/>
  <c r="AD18"/>
  <c r="AB18"/>
  <c r="Z18"/>
  <c r="X18"/>
  <c r="V18"/>
  <c r="T18"/>
  <c r="R18"/>
  <c r="P18"/>
  <c r="H18"/>
  <c r="AF17"/>
  <c r="AD17"/>
  <c r="X17"/>
  <c r="H17"/>
  <c r="AD16"/>
  <c r="H16"/>
  <c r="E15"/>
  <c r="H14"/>
  <c r="H13"/>
  <c r="H12"/>
  <c r="H11"/>
  <c r="H10"/>
  <c r="H8"/>
  <c r="AJ7"/>
  <c r="AH7"/>
  <c r="AF7"/>
  <c r="H7"/>
  <c r="AJ6"/>
  <c r="AH6"/>
  <c r="AF6"/>
  <c r="H6"/>
  <c r="AD5"/>
  <c r="AD27" s="1"/>
  <c r="H5"/>
  <c r="AH54" i="20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E53"/>
  <c r="G53" s="1"/>
  <c r="D53"/>
  <c r="B53"/>
  <c r="I52"/>
  <c r="E52"/>
  <c r="G52" s="1"/>
  <c r="D52"/>
  <c r="B52"/>
  <c r="I51"/>
  <c r="E51"/>
  <c r="G51" s="1"/>
  <c r="D51"/>
  <c r="B51"/>
  <c r="I50"/>
  <c r="E50"/>
  <c r="G50" s="1"/>
  <c r="D50"/>
  <c r="B50"/>
  <c r="I49"/>
  <c r="G49"/>
  <c r="E49"/>
  <c r="D49"/>
  <c r="B49"/>
  <c r="I48"/>
  <c r="G48"/>
  <c r="E48"/>
  <c r="D48"/>
  <c r="B48"/>
  <c r="I47"/>
  <c r="G47"/>
  <c r="E47"/>
  <c r="D47"/>
  <c r="B47"/>
  <c r="E46"/>
  <c r="G46" s="1"/>
  <c r="D46"/>
  <c r="B46"/>
  <c r="I45"/>
  <c r="E45"/>
  <c r="G45" s="1"/>
  <c r="D45"/>
  <c r="B45"/>
  <c r="E44"/>
  <c r="G44" s="1"/>
  <c r="D44"/>
  <c r="B44"/>
  <c r="AH43"/>
  <c r="AG43"/>
  <c r="AF43"/>
  <c r="AE43"/>
  <c r="AE55" s="1"/>
  <c r="AD43"/>
  <c r="AD55" s="1"/>
  <c r="AC43"/>
  <c r="AC55" s="1"/>
  <c r="AB43"/>
  <c r="AA43"/>
  <c r="AA55" s="1"/>
  <c r="Z43"/>
  <c r="Y43"/>
  <c r="X43"/>
  <c r="X55" s="1"/>
  <c r="W43"/>
  <c r="W55" s="1"/>
  <c r="V43"/>
  <c r="V55" s="1"/>
  <c r="U43"/>
  <c r="U55" s="1"/>
  <c r="T43"/>
  <c r="S43"/>
  <c r="S55" s="1"/>
  <c r="R43"/>
  <c r="Q43"/>
  <c r="P43"/>
  <c r="O43"/>
  <c r="O55" s="1"/>
  <c r="N43"/>
  <c r="N55" s="1"/>
  <c r="M43"/>
  <c r="L43"/>
  <c r="K43"/>
  <c r="K55" s="1"/>
  <c r="J43"/>
  <c r="F43"/>
  <c r="F55" s="1"/>
  <c r="I42"/>
  <c r="E42"/>
  <c r="G42" s="1"/>
  <c r="D42"/>
  <c r="B42"/>
  <c r="I41"/>
  <c r="E41"/>
  <c r="G41" s="1"/>
  <c r="D41"/>
  <c r="B41"/>
  <c r="I40"/>
  <c r="E40"/>
  <c r="G40" s="1"/>
  <c r="D40"/>
  <c r="B40"/>
  <c r="I39"/>
  <c r="E39"/>
  <c r="G39" s="1"/>
  <c r="D39"/>
  <c r="B39"/>
  <c r="I38"/>
  <c r="E38"/>
  <c r="G38" s="1"/>
  <c r="D38"/>
  <c r="B38"/>
  <c r="I37"/>
  <c r="G37"/>
  <c r="D37"/>
  <c r="B37"/>
  <c r="I36"/>
  <c r="G36"/>
  <c r="D36"/>
  <c r="B36"/>
  <c r="I35"/>
  <c r="G35"/>
  <c r="D35"/>
  <c r="B35"/>
  <c r="I34"/>
  <c r="G34"/>
  <c r="D34"/>
  <c r="B34"/>
  <c r="I33"/>
  <c r="G33"/>
  <c r="D33"/>
  <c r="B33"/>
  <c r="AJ27"/>
  <c r="AH27"/>
  <c r="AF27"/>
  <c r="AB27"/>
  <c r="Z27"/>
  <c r="X27"/>
  <c r="V27"/>
  <c r="T27"/>
  <c r="R27"/>
  <c r="P27"/>
  <c r="G26"/>
  <c r="F26"/>
  <c r="P26" s="1"/>
  <c r="E26"/>
  <c r="H25"/>
  <c r="H24"/>
  <c r="H23"/>
  <c r="H22"/>
  <c r="H21"/>
  <c r="H20"/>
  <c r="H19"/>
  <c r="AJ18"/>
  <c r="AH18"/>
  <c r="AF18"/>
  <c r="AD18"/>
  <c r="AB18"/>
  <c r="Z18"/>
  <c r="X18"/>
  <c r="V18"/>
  <c r="T18"/>
  <c r="R18"/>
  <c r="P18"/>
  <c r="H18"/>
  <c r="AF17"/>
  <c r="AB17"/>
  <c r="H17"/>
  <c r="AD16"/>
  <c r="H16"/>
  <c r="G15"/>
  <c r="G28" s="1"/>
  <c r="AJ29" s="1"/>
  <c r="F15"/>
  <c r="P13" s="1"/>
  <c r="E15"/>
  <c r="E28" s="1"/>
  <c r="H14"/>
  <c r="H13"/>
  <c r="H12"/>
  <c r="H11"/>
  <c r="H10"/>
  <c r="H9"/>
  <c r="H8"/>
  <c r="AJ7"/>
  <c r="AH7"/>
  <c r="AF7"/>
  <c r="T7"/>
  <c r="H7"/>
  <c r="AJ6"/>
  <c r="AH6"/>
  <c r="H6"/>
  <c r="AD5"/>
  <c r="H5"/>
  <c r="AH54" i="18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E53"/>
  <c r="G53" s="1"/>
  <c r="D53"/>
  <c r="B53"/>
  <c r="I52"/>
  <c r="G52"/>
  <c r="E52"/>
  <c r="D52"/>
  <c r="B52"/>
  <c r="I51"/>
  <c r="E51"/>
  <c r="G51" s="1"/>
  <c r="D51"/>
  <c r="B51"/>
  <c r="I50"/>
  <c r="E50"/>
  <c r="G50" s="1"/>
  <c r="D50"/>
  <c r="B50"/>
  <c r="I49"/>
  <c r="E49"/>
  <c r="G49" s="1"/>
  <c r="D49"/>
  <c r="B49"/>
  <c r="I48"/>
  <c r="G48"/>
  <c r="D48"/>
  <c r="B48"/>
  <c r="I47"/>
  <c r="G47"/>
  <c r="D47"/>
  <c r="B47"/>
  <c r="G46"/>
  <c r="D46"/>
  <c r="B46"/>
  <c r="I45"/>
  <c r="E45"/>
  <c r="G45" s="1"/>
  <c r="D45"/>
  <c r="B45"/>
  <c r="G44"/>
  <c r="D44"/>
  <c r="B44"/>
  <c r="AH43"/>
  <c r="AH55" s="1"/>
  <c r="AG43"/>
  <c r="AF43"/>
  <c r="AF55" s="1"/>
  <c r="AE43"/>
  <c r="AD43"/>
  <c r="AD55" s="1"/>
  <c r="AC43"/>
  <c r="AC55" s="1"/>
  <c r="AB43"/>
  <c r="AA43"/>
  <c r="AA55" s="1"/>
  <c r="Z43"/>
  <c r="Z55" s="1"/>
  <c r="Y43"/>
  <c r="X43"/>
  <c r="X55" s="1"/>
  <c r="W43"/>
  <c r="V43"/>
  <c r="U43"/>
  <c r="U55" s="1"/>
  <c r="T43"/>
  <c r="S43"/>
  <c r="S55" s="1"/>
  <c r="R43"/>
  <c r="R55" s="1"/>
  <c r="Q43"/>
  <c r="P43"/>
  <c r="P55" s="1"/>
  <c r="O43"/>
  <c r="N43"/>
  <c r="N55" s="1"/>
  <c r="M43"/>
  <c r="M55" s="1"/>
  <c r="L43"/>
  <c r="K43"/>
  <c r="J43"/>
  <c r="J55" s="1"/>
  <c r="F43"/>
  <c r="I42"/>
  <c r="E42"/>
  <c r="G42" s="1"/>
  <c r="D42"/>
  <c r="B42"/>
  <c r="I41"/>
  <c r="E41"/>
  <c r="G41" s="1"/>
  <c r="D41"/>
  <c r="B41"/>
  <c r="I40"/>
  <c r="E40"/>
  <c r="G40" s="1"/>
  <c r="D40"/>
  <c r="B40"/>
  <c r="I39"/>
  <c r="E39"/>
  <c r="G39" s="1"/>
  <c r="D39"/>
  <c r="B39"/>
  <c r="I38"/>
  <c r="E38"/>
  <c r="G38" s="1"/>
  <c r="D38"/>
  <c r="B38"/>
  <c r="I37"/>
  <c r="G37"/>
  <c r="D37"/>
  <c r="B37"/>
  <c r="I36"/>
  <c r="G36"/>
  <c r="D36"/>
  <c r="B36"/>
  <c r="I35"/>
  <c r="G35"/>
  <c r="D35"/>
  <c r="B35"/>
  <c r="I34"/>
  <c r="E34"/>
  <c r="G34" s="1"/>
  <c r="D34"/>
  <c r="B34"/>
  <c r="I33"/>
  <c r="D33"/>
  <c r="B33"/>
  <c r="AJ27"/>
  <c r="AH27"/>
  <c r="AF27"/>
  <c r="AF29" s="1"/>
  <c r="AB27"/>
  <c r="Z27"/>
  <c r="X27"/>
  <c r="V27"/>
  <c r="T27"/>
  <c r="R27"/>
  <c r="P27"/>
  <c r="G26"/>
  <c r="AJ18" s="1"/>
  <c r="F26"/>
  <c r="P26" s="1"/>
  <c r="E26"/>
  <c r="H25"/>
  <c r="H24"/>
  <c r="H23"/>
  <c r="H22"/>
  <c r="H21"/>
  <c r="H20"/>
  <c r="H19"/>
  <c r="AF18"/>
  <c r="AD18"/>
  <c r="AB18"/>
  <c r="X18"/>
  <c r="V18"/>
  <c r="T18"/>
  <c r="R18"/>
  <c r="P18"/>
  <c r="H18"/>
  <c r="H17"/>
  <c r="AD16"/>
  <c r="H16"/>
  <c r="G15"/>
  <c r="G28" s="1"/>
  <c r="F15"/>
  <c r="E15"/>
  <c r="H14"/>
  <c r="P13"/>
  <c r="H13"/>
  <c r="H12"/>
  <c r="H11"/>
  <c r="H10"/>
  <c r="H9"/>
  <c r="H8"/>
  <c r="AJ7"/>
  <c r="AH7"/>
  <c r="AF7"/>
  <c r="H7"/>
  <c r="AJ6"/>
  <c r="AH6"/>
  <c r="AF6"/>
  <c r="AD6"/>
  <c r="AB6"/>
  <c r="Z6"/>
  <c r="X6"/>
  <c r="V6"/>
  <c r="T6"/>
  <c r="R6"/>
  <c r="P6"/>
  <c r="H6"/>
  <c r="AD5"/>
  <c r="AD27" s="1"/>
  <c r="H5"/>
  <c r="AH54" i="31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E53"/>
  <c r="G53" s="1"/>
  <c r="D53"/>
  <c r="B53"/>
  <c r="I52"/>
  <c r="G52"/>
  <c r="E52"/>
  <c r="D52"/>
  <c r="B52"/>
  <c r="I51"/>
  <c r="E51"/>
  <c r="G51" s="1"/>
  <c r="D51"/>
  <c r="B51"/>
  <c r="I50"/>
  <c r="E50"/>
  <c r="G50" s="1"/>
  <c r="D50"/>
  <c r="B50"/>
  <c r="I49"/>
  <c r="E49"/>
  <c r="G49" s="1"/>
  <c r="D49"/>
  <c r="B49"/>
  <c r="I48"/>
  <c r="E48"/>
  <c r="G48" s="1"/>
  <c r="D48"/>
  <c r="B48"/>
  <c r="I47"/>
  <c r="E47"/>
  <c r="G47" s="1"/>
  <c r="D47"/>
  <c r="B47"/>
  <c r="E46"/>
  <c r="G46" s="1"/>
  <c r="D46"/>
  <c r="B46"/>
  <c r="I45"/>
  <c r="E45"/>
  <c r="G45" s="1"/>
  <c r="D45"/>
  <c r="B45"/>
  <c r="G44"/>
  <c r="E44"/>
  <c r="D44"/>
  <c r="B44"/>
  <c r="AH43"/>
  <c r="AH55" s="1"/>
  <c r="AG43"/>
  <c r="AF43"/>
  <c r="AF55" s="1"/>
  <c r="AE43"/>
  <c r="AE55" s="1"/>
  <c r="AD43"/>
  <c r="AC43"/>
  <c r="AB43"/>
  <c r="AB55" s="1"/>
  <c r="AA43"/>
  <c r="Z43"/>
  <c r="Z55" s="1"/>
  <c r="Y43"/>
  <c r="X43"/>
  <c r="X55" s="1"/>
  <c r="W43"/>
  <c r="W55" s="1"/>
  <c r="V43"/>
  <c r="U43"/>
  <c r="T43"/>
  <c r="T55" s="1"/>
  <c r="S43"/>
  <c r="R43"/>
  <c r="R55" s="1"/>
  <c r="Q43"/>
  <c r="P43"/>
  <c r="P55" s="1"/>
  <c r="O43"/>
  <c r="O55" s="1"/>
  <c r="N43"/>
  <c r="M43"/>
  <c r="L43"/>
  <c r="L55" s="1"/>
  <c r="K43"/>
  <c r="J43"/>
  <c r="J55" s="1"/>
  <c r="F43"/>
  <c r="I42"/>
  <c r="E42"/>
  <c r="G42" s="1"/>
  <c r="D42"/>
  <c r="B42"/>
  <c r="I41"/>
  <c r="E41"/>
  <c r="G41" s="1"/>
  <c r="D41"/>
  <c r="B41"/>
  <c r="I40"/>
  <c r="G40"/>
  <c r="E40"/>
  <c r="D40"/>
  <c r="B40"/>
  <c r="I39"/>
  <c r="E39"/>
  <c r="G39" s="1"/>
  <c r="D39"/>
  <c r="B39"/>
  <c r="I38"/>
  <c r="E38"/>
  <c r="G38" s="1"/>
  <c r="D38"/>
  <c r="B38"/>
  <c r="I37"/>
  <c r="E37"/>
  <c r="G37" s="1"/>
  <c r="D37"/>
  <c r="B37"/>
  <c r="I36"/>
  <c r="E36"/>
  <c r="G36" s="1"/>
  <c r="D36"/>
  <c r="B36"/>
  <c r="I35"/>
  <c r="G35"/>
  <c r="D35"/>
  <c r="B35"/>
  <c r="I34"/>
  <c r="G34"/>
  <c r="E34"/>
  <c r="D34"/>
  <c r="B34"/>
  <c r="I33"/>
  <c r="E33"/>
  <c r="G33" s="1"/>
  <c r="D33"/>
  <c r="B33"/>
  <c r="AF29"/>
  <c r="AF28"/>
  <c r="AJ27"/>
  <c r="AH27"/>
  <c r="AF27"/>
  <c r="AD27"/>
  <c r="AB27"/>
  <c r="Z27"/>
  <c r="X27"/>
  <c r="V27"/>
  <c r="T27"/>
  <c r="R27"/>
  <c r="P27"/>
  <c r="G26"/>
  <c r="F26"/>
  <c r="AD17" s="1"/>
  <c r="E26"/>
  <c r="H25"/>
  <c r="H24"/>
  <c r="H23"/>
  <c r="H22"/>
  <c r="H21"/>
  <c r="H20"/>
  <c r="H19"/>
  <c r="AJ18"/>
  <c r="AH18"/>
  <c r="AF18"/>
  <c r="AD18"/>
  <c r="AB18"/>
  <c r="Z18"/>
  <c r="X18"/>
  <c r="V18"/>
  <c r="T18"/>
  <c r="R18"/>
  <c r="P18"/>
  <c r="H18"/>
  <c r="AF17"/>
  <c r="H17"/>
  <c r="AD16"/>
  <c r="H16"/>
  <c r="G15"/>
  <c r="G28" s="1"/>
  <c r="Z29" s="1"/>
  <c r="B17" i="37" s="1"/>
  <c r="F15" i="31"/>
  <c r="E15"/>
  <c r="E28" s="1"/>
  <c r="H14"/>
  <c r="H13"/>
  <c r="H12"/>
  <c r="H11"/>
  <c r="H10"/>
  <c r="H9"/>
  <c r="H8"/>
  <c r="AJ7"/>
  <c r="AH7"/>
  <c r="AF7"/>
  <c r="AD7"/>
  <c r="AB7"/>
  <c r="Z7"/>
  <c r="X7"/>
  <c r="V7"/>
  <c r="T7"/>
  <c r="R7"/>
  <c r="P7"/>
  <c r="H7"/>
  <c r="AJ6"/>
  <c r="AH6"/>
  <c r="AF6"/>
  <c r="AD6"/>
  <c r="AB6"/>
  <c r="Z6"/>
  <c r="X6"/>
  <c r="V6"/>
  <c r="T6"/>
  <c r="R6"/>
  <c r="P6"/>
  <c r="H6"/>
  <c r="AD5"/>
  <c r="H5"/>
  <c r="AH54" i="30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E53"/>
  <c r="G53" s="1"/>
  <c r="D53"/>
  <c r="B53"/>
  <c r="I52"/>
  <c r="E52"/>
  <c r="G52" s="1"/>
  <c r="D52"/>
  <c r="B52"/>
  <c r="I51"/>
  <c r="E51"/>
  <c r="G51" s="1"/>
  <c r="D51"/>
  <c r="B51"/>
  <c r="I50"/>
  <c r="E50"/>
  <c r="G50" s="1"/>
  <c r="D50"/>
  <c r="B50"/>
  <c r="I49"/>
  <c r="E49"/>
  <c r="G49" s="1"/>
  <c r="D49"/>
  <c r="B49"/>
  <c r="I48"/>
  <c r="E48"/>
  <c r="G48" s="1"/>
  <c r="D48"/>
  <c r="B48"/>
  <c r="I47"/>
  <c r="G47"/>
  <c r="E47"/>
  <c r="D47"/>
  <c r="B47"/>
  <c r="G46"/>
  <c r="E46"/>
  <c r="D46"/>
  <c r="B46"/>
  <c r="I45"/>
  <c r="E45"/>
  <c r="G45" s="1"/>
  <c r="D45"/>
  <c r="B45"/>
  <c r="E44"/>
  <c r="D44"/>
  <c r="B44"/>
  <c r="AH43"/>
  <c r="AH55" s="1"/>
  <c r="AG43"/>
  <c r="AG55" s="1"/>
  <c r="AF43"/>
  <c r="AF55" s="1"/>
  <c r="AE43"/>
  <c r="AD43"/>
  <c r="AC43"/>
  <c r="AC55" s="1"/>
  <c r="AB43"/>
  <c r="AA43"/>
  <c r="AA55" s="1"/>
  <c r="Z43"/>
  <c r="Z55" s="1"/>
  <c r="Y43"/>
  <c r="Y55" s="1"/>
  <c r="X43"/>
  <c r="X55" s="1"/>
  <c r="W43"/>
  <c r="V43"/>
  <c r="U43"/>
  <c r="U55" s="1"/>
  <c r="T43"/>
  <c r="S43"/>
  <c r="S55" s="1"/>
  <c r="R43"/>
  <c r="R55" s="1"/>
  <c r="Q43"/>
  <c r="Q55" s="1"/>
  <c r="P43"/>
  <c r="P55" s="1"/>
  <c r="O43"/>
  <c r="N43"/>
  <c r="M43"/>
  <c r="M55" s="1"/>
  <c r="L43"/>
  <c r="K43"/>
  <c r="K55" s="1"/>
  <c r="J43"/>
  <c r="J55" s="1"/>
  <c r="F43"/>
  <c r="F55" s="1"/>
  <c r="I42"/>
  <c r="E42"/>
  <c r="G42" s="1"/>
  <c r="D42"/>
  <c r="B42"/>
  <c r="I41"/>
  <c r="E41"/>
  <c r="G41" s="1"/>
  <c r="D41"/>
  <c r="B41"/>
  <c r="I40"/>
  <c r="G40"/>
  <c r="E40"/>
  <c r="D40"/>
  <c r="B40"/>
  <c r="I39"/>
  <c r="E39"/>
  <c r="G39" s="1"/>
  <c r="D39"/>
  <c r="B39"/>
  <c r="I38"/>
  <c r="E38"/>
  <c r="G38" s="1"/>
  <c r="D38"/>
  <c r="B38"/>
  <c r="I37"/>
  <c r="G37"/>
  <c r="D37"/>
  <c r="B37"/>
  <c r="I36"/>
  <c r="G36"/>
  <c r="D36"/>
  <c r="B36"/>
  <c r="I35"/>
  <c r="G35"/>
  <c r="D35"/>
  <c r="B35"/>
  <c r="I34"/>
  <c r="G34"/>
  <c r="E34"/>
  <c r="D34"/>
  <c r="B34"/>
  <c r="I33"/>
  <c r="G33"/>
  <c r="D33"/>
  <c r="B33"/>
  <c r="AJ27"/>
  <c r="AH27"/>
  <c r="AF27"/>
  <c r="AB27"/>
  <c r="Z27"/>
  <c r="X27"/>
  <c r="V27"/>
  <c r="T27"/>
  <c r="R27"/>
  <c r="P27"/>
  <c r="G26"/>
  <c r="F26"/>
  <c r="AH17" s="1"/>
  <c r="E26"/>
  <c r="H25"/>
  <c r="H24"/>
  <c r="H23"/>
  <c r="H22"/>
  <c r="H21"/>
  <c r="H20"/>
  <c r="H19"/>
  <c r="AJ18"/>
  <c r="AH18"/>
  <c r="AF18"/>
  <c r="AD18"/>
  <c r="AB18"/>
  <c r="Z18"/>
  <c r="X18"/>
  <c r="V18"/>
  <c r="T18"/>
  <c r="R18"/>
  <c r="P18"/>
  <c r="H18"/>
  <c r="AD17"/>
  <c r="AB17"/>
  <c r="Z17"/>
  <c r="V17"/>
  <c r="T17"/>
  <c r="P17"/>
  <c r="H17"/>
  <c r="AD16"/>
  <c r="H16"/>
  <c r="G15"/>
  <c r="R7" s="1"/>
  <c r="F15"/>
  <c r="P6" s="1"/>
  <c r="E15"/>
  <c r="H14"/>
  <c r="H13"/>
  <c r="H12"/>
  <c r="H11"/>
  <c r="H10"/>
  <c r="H9"/>
  <c r="H8"/>
  <c r="AJ7"/>
  <c r="AH7"/>
  <c r="AF7"/>
  <c r="H7"/>
  <c r="AJ6"/>
  <c r="AH6"/>
  <c r="AF6"/>
  <c r="H6"/>
  <c r="AD5"/>
  <c r="AD27" s="1"/>
  <c r="H5"/>
  <c r="AH54" i="29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G53"/>
  <c r="E53"/>
  <c r="D53"/>
  <c r="B53"/>
  <c r="I52"/>
  <c r="G52"/>
  <c r="E52"/>
  <c r="D52"/>
  <c r="B52"/>
  <c r="I51"/>
  <c r="E51"/>
  <c r="G51" s="1"/>
  <c r="D51"/>
  <c r="B51"/>
  <c r="I50"/>
  <c r="E50"/>
  <c r="G50" s="1"/>
  <c r="D50"/>
  <c r="B50"/>
  <c r="I49"/>
  <c r="G49"/>
  <c r="D49"/>
  <c r="B49"/>
  <c r="I48"/>
  <c r="E48"/>
  <c r="G48" s="1"/>
  <c r="D48"/>
  <c r="B48"/>
  <c r="I47"/>
  <c r="E47"/>
  <c r="G47" s="1"/>
  <c r="D47"/>
  <c r="B47"/>
  <c r="G46"/>
  <c r="D46"/>
  <c r="B46"/>
  <c r="I45"/>
  <c r="E45"/>
  <c r="G45" s="1"/>
  <c r="D45"/>
  <c r="B45"/>
  <c r="G44"/>
  <c r="D44"/>
  <c r="B44"/>
  <c r="AH43"/>
  <c r="AG43"/>
  <c r="AG55" s="1"/>
  <c r="AF43"/>
  <c r="AF55" s="1"/>
  <c r="AE43"/>
  <c r="AD43"/>
  <c r="AD55" s="1"/>
  <c r="AC43"/>
  <c r="AB43"/>
  <c r="AA43"/>
  <c r="AA55" s="1"/>
  <c r="Z43"/>
  <c r="Y43"/>
  <c r="X43"/>
  <c r="X55" s="1"/>
  <c r="W43"/>
  <c r="V43"/>
  <c r="V55" s="1"/>
  <c r="U43"/>
  <c r="T43"/>
  <c r="S43"/>
  <c r="S55" s="1"/>
  <c r="R43"/>
  <c r="Q43"/>
  <c r="P43"/>
  <c r="P55" s="1"/>
  <c r="O43"/>
  <c r="N43"/>
  <c r="N55" s="1"/>
  <c r="M43"/>
  <c r="L43"/>
  <c r="K43"/>
  <c r="J43"/>
  <c r="F43"/>
  <c r="I42"/>
  <c r="E42"/>
  <c r="G42" s="1"/>
  <c r="D42"/>
  <c r="B42"/>
  <c r="I41"/>
  <c r="E41"/>
  <c r="G41" s="1"/>
  <c r="D41"/>
  <c r="B41"/>
  <c r="I40"/>
  <c r="E40"/>
  <c r="G40" s="1"/>
  <c r="D40"/>
  <c r="B40"/>
  <c r="I39"/>
  <c r="E39"/>
  <c r="G39" s="1"/>
  <c r="D39"/>
  <c r="B39"/>
  <c r="I38"/>
  <c r="G38"/>
  <c r="D38"/>
  <c r="B38"/>
  <c r="I37"/>
  <c r="G37"/>
  <c r="D37"/>
  <c r="B37"/>
  <c r="I36"/>
  <c r="E36"/>
  <c r="G36" s="1"/>
  <c r="D36"/>
  <c r="B36"/>
  <c r="I35"/>
  <c r="G35"/>
  <c r="D35"/>
  <c r="B35"/>
  <c r="I34"/>
  <c r="G34"/>
  <c r="D34"/>
  <c r="B34"/>
  <c r="I33"/>
  <c r="G33"/>
  <c r="D33"/>
  <c r="B33"/>
  <c r="AJ27"/>
  <c r="AH27"/>
  <c r="AF27"/>
  <c r="AB27"/>
  <c r="Z27"/>
  <c r="X27"/>
  <c r="V27"/>
  <c r="T27"/>
  <c r="R27"/>
  <c r="P27"/>
  <c r="G26"/>
  <c r="AJ18" s="1"/>
  <c r="F26"/>
  <c r="E26"/>
  <c r="H25"/>
  <c r="H24"/>
  <c r="H23"/>
  <c r="H22"/>
  <c r="H21"/>
  <c r="H20"/>
  <c r="H19"/>
  <c r="AH18"/>
  <c r="Z18"/>
  <c r="X18"/>
  <c r="V18"/>
  <c r="T18"/>
  <c r="R18"/>
  <c r="P18"/>
  <c r="H18"/>
  <c r="H17"/>
  <c r="AD16"/>
  <c r="H16"/>
  <c r="G15"/>
  <c r="G28" s="1"/>
  <c r="F15"/>
  <c r="P13" s="1"/>
  <c r="E15"/>
  <c r="H14"/>
  <c r="H13"/>
  <c r="H12"/>
  <c r="H11"/>
  <c r="H10"/>
  <c r="H9"/>
  <c r="H8"/>
  <c r="AJ7"/>
  <c r="AH7"/>
  <c r="H7"/>
  <c r="AJ6"/>
  <c r="AH6"/>
  <c r="H6"/>
  <c r="AD5"/>
  <c r="H5"/>
  <c r="AH54" i="28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E53"/>
  <c r="G53" s="1"/>
  <c r="D53"/>
  <c r="B53"/>
  <c r="I52"/>
  <c r="E52"/>
  <c r="G52" s="1"/>
  <c r="D52"/>
  <c r="B52"/>
  <c r="I51"/>
  <c r="G51"/>
  <c r="E51"/>
  <c r="D51"/>
  <c r="B51"/>
  <c r="I50"/>
  <c r="E50"/>
  <c r="G50" s="1"/>
  <c r="D50"/>
  <c r="B50"/>
  <c r="I49"/>
  <c r="G49"/>
  <c r="E49"/>
  <c r="D49"/>
  <c r="B49"/>
  <c r="I48"/>
  <c r="E48"/>
  <c r="G48" s="1"/>
  <c r="D48"/>
  <c r="B48"/>
  <c r="I47"/>
  <c r="E47"/>
  <c r="G47" s="1"/>
  <c r="D47"/>
  <c r="B47"/>
  <c r="E46"/>
  <c r="G46" s="1"/>
  <c r="D46"/>
  <c r="B46"/>
  <c r="I45"/>
  <c r="E45"/>
  <c r="G45" s="1"/>
  <c r="D45"/>
  <c r="B45"/>
  <c r="E44"/>
  <c r="G44" s="1"/>
  <c r="D44"/>
  <c r="B44"/>
  <c r="AH43"/>
  <c r="AH55" s="1"/>
  <c r="AG43"/>
  <c r="AF43"/>
  <c r="AF55" s="1"/>
  <c r="AE43"/>
  <c r="AE55" s="1"/>
  <c r="AD43"/>
  <c r="AC43"/>
  <c r="AC55" s="1"/>
  <c r="AB43"/>
  <c r="AB55" s="1"/>
  <c r="AA43"/>
  <c r="Z43"/>
  <c r="Z55" s="1"/>
  <c r="Y43"/>
  <c r="X43"/>
  <c r="X55" s="1"/>
  <c r="W43"/>
  <c r="V43"/>
  <c r="U43"/>
  <c r="U55" s="1"/>
  <c r="T43"/>
  <c r="T55" s="1"/>
  <c r="S43"/>
  <c r="R43"/>
  <c r="R55" s="1"/>
  <c r="Q43"/>
  <c r="P43"/>
  <c r="P55" s="1"/>
  <c r="O43"/>
  <c r="O55" s="1"/>
  <c r="N43"/>
  <c r="M43"/>
  <c r="M55" s="1"/>
  <c r="L43"/>
  <c r="L55" s="1"/>
  <c r="K43"/>
  <c r="J43"/>
  <c r="J55" s="1"/>
  <c r="F43"/>
  <c r="F55" s="1"/>
  <c r="I42"/>
  <c r="E42"/>
  <c r="G42" s="1"/>
  <c r="D42"/>
  <c r="B42"/>
  <c r="I41"/>
  <c r="E41"/>
  <c r="G41" s="1"/>
  <c r="D41"/>
  <c r="B41"/>
  <c r="I40"/>
  <c r="G40"/>
  <c r="D40"/>
  <c r="B40"/>
  <c r="I39"/>
  <c r="E39"/>
  <c r="G39" s="1"/>
  <c r="D39"/>
  <c r="B39"/>
  <c r="I38"/>
  <c r="E38"/>
  <c r="G38" s="1"/>
  <c r="D38"/>
  <c r="B38"/>
  <c r="I37"/>
  <c r="G37"/>
  <c r="D37"/>
  <c r="B37"/>
  <c r="I36"/>
  <c r="G36"/>
  <c r="D36"/>
  <c r="B36"/>
  <c r="I35"/>
  <c r="G35"/>
  <c r="D35"/>
  <c r="B35"/>
  <c r="I34"/>
  <c r="E34"/>
  <c r="G34" s="1"/>
  <c r="D34"/>
  <c r="B34"/>
  <c r="I33"/>
  <c r="G33"/>
  <c r="D33"/>
  <c r="B33"/>
  <c r="AJ27"/>
  <c r="AH27"/>
  <c r="AF27"/>
  <c r="AB27"/>
  <c r="Z27"/>
  <c r="X27"/>
  <c r="V27"/>
  <c r="T27"/>
  <c r="R27"/>
  <c r="P27"/>
  <c r="G26"/>
  <c r="V18" s="1"/>
  <c r="F26"/>
  <c r="P24" s="1"/>
  <c r="E26"/>
  <c r="H25"/>
  <c r="H24"/>
  <c r="H23"/>
  <c r="H22"/>
  <c r="H21"/>
  <c r="H20"/>
  <c r="H19"/>
  <c r="AF18"/>
  <c r="H18"/>
  <c r="AF17"/>
  <c r="AD17"/>
  <c r="V17"/>
  <c r="P17"/>
  <c r="H17"/>
  <c r="AD16"/>
  <c r="H16"/>
  <c r="G15"/>
  <c r="P7" s="1"/>
  <c r="F15"/>
  <c r="P13" s="1"/>
  <c r="E15"/>
  <c r="E28" s="1"/>
  <c r="H14"/>
  <c r="H13"/>
  <c r="H12"/>
  <c r="H11"/>
  <c r="H10"/>
  <c r="H9"/>
  <c r="H8"/>
  <c r="AJ7"/>
  <c r="AH7"/>
  <c r="H7"/>
  <c r="AJ6"/>
  <c r="AH6"/>
  <c r="H6"/>
  <c r="AD5"/>
  <c r="H5"/>
  <c r="AH54" i="27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E53"/>
  <c r="G53" s="1"/>
  <c r="D53"/>
  <c r="B53"/>
  <c r="I52"/>
  <c r="E52"/>
  <c r="G52" s="1"/>
  <c r="D52"/>
  <c r="B52"/>
  <c r="I51"/>
  <c r="G51"/>
  <c r="E51"/>
  <c r="D51"/>
  <c r="B51"/>
  <c r="I50"/>
  <c r="E50"/>
  <c r="G50" s="1"/>
  <c r="D50"/>
  <c r="B50"/>
  <c r="I49"/>
  <c r="E49"/>
  <c r="G49" s="1"/>
  <c r="D49"/>
  <c r="B49"/>
  <c r="I48"/>
  <c r="E48"/>
  <c r="G48" s="1"/>
  <c r="D48"/>
  <c r="B48"/>
  <c r="I47"/>
  <c r="E47"/>
  <c r="G47" s="1"/>
  <c r="D47"/>
  <c r="B47"/>
  <c r="E46"/>
  <c r="G46" s="1"/>
  <c r="D46"/>
  <c r="B46"/>
  <c r="I45"/>
  <c r="E45"/>
  <c r="G45" s="1"/>
  <c r="D45"/>
  <c r="B45"/>
  <c r="E44"/>
  <c r="G44" s="1"/>
  <c r="D44"/>
  <c r="B44"/>
  <c r="AH43"/>
  <c r="AG43"/>
  <c r="AF43"/>
  <c r="AF55" s="1"/>
  <c r="AE43"/>
  <c r="AE55" s="1"/>
  <c r="AD43"/>
  <c r="AD55" s="1"/>
  <c r="AC43"/>
  <c r="AB43"/>
  <c r="AB55" s="1"/>
  <c r="AA43"/>
  <c r="AA55" s="1"/>
  <c r="Z43"/>
  <c r="Y43"/>
  <c r="X43"/>
  <c r="X55" s="1"/>
  <c r="W43"/>
  <c r="W55" s="1"/>
  <c r="V43"/>
  <c r="V55" s="1"/>
  <c r="U43"/>
  <c r="T43"/>
  <c r="T55" s="1"/>
  <c r="S43"/>
  <c r="S55" s="1"/>
  <c r="R43"/>
  <c r="Q43"/>
  <c r="P43"/>
  <c r="P55" s="1"/>
  <c r="O43"/>
  <c r="O55" s="1"/>
  <c r="N43"/>
  <c r="N55" s="1"/>
  <c r="M43"/>
  <c r="L43"/>
  <c r="L55" s="1"/>
  <c r="K43"/>
  <c r="K55" s="1"/>
  <c r="J43"/>
  <c r="F43"/>
  <c r="F55" s="1"/>
  <c r="I42"/>
  <c r="G42"/>
  <c r="E42"/>
  <c r="D42"/>
  <c r="B42"/>
  <c r="I41"/>
  <c r="E41"/>
  <c r="G41" s="1"/>
  <c r="D41"/>
  <c r="B41"/>
  <c r="I40"/>
  <c r="G40"/>
  <c r="D40"/>
  <c r="B40"/>
  <c r="I39"/>
  <c r="E39"/>
  <c r="G39" s="1"/>
  <c r="D39"/>
  <c r="B39"/>
  <c r="I38"/>
  <c r="E38"/>
  <c r="D38"/>
  <c r="B38"/>
  <c r="I37"/>
  <c r="E37"/>
  <c r="G37" s="1"/>
  <c r="D37"/>
  <c r="B37"/>
  <c r="I36"/>
  <c r="E36"/>
  <c r="G36" s="1"/>
  <c r="D36"/>
  <c r="B36"/>
  <c r="I35"/>
  <c r="G35"/>
  <c r="D35"/>
  <c r="B35"/>
  <c r="I34"/>
  <c r="E34"/>
  <c r="G34" s="1"/>
  <c r="D34"/>
  <c r="B34"/>
  <c r="I33"/>
  <c r="G33"/>
  <c r="D33"/>
  <c r="B33"/>
  <c r="AJ27"/>
  <c r="AH27"/>
  <c r="AF27"/>
  <c r="AB27"/>
  <c r="Z27"/>
  <c r="X27"/>
  <c r="V27"/>
  <c r="T27"/>
  <c r="R27"/>
  <c r="P27"/>
  <c r="H26"/>
  <c r="G26"/>
  <c r="F26"/>
  <c r="P26" s="1"/>
  <c r="E26"/>
  <c r="E28" s="1"/>
  <c r="H25"/>
  <c r="P24"/>
  <c r="H24"/>
  <c r="H23"/>
  <c r="H22"/>
  <c r="H21"/>
  <c r="H20"/>
  <c r="H19"/>
  <c r="AJ18"/>
  <c r="AH18"/>
  <c r="AF18"/>
  <c r="AD18"/>
  <c r="AB18"/>
  <c r="Z18"/>
  <c r="X18"/>
  <c r="V18"/>
  <c r="T18"/>
  <c r="R18"/>
  <c r="P18"/>
  <c r="H18"/>
  <c r="AJ17"/>
  <c r="AH17"/>
  <c r="AF17"/>
  <c r="AD17"/>
  <c r="AB17"/>
  <c r="Z17"/>
  <c r="X17"/>
  <c r="V17"/>
  <c r="T17"/>
  <c r="R17"/>
  <c r="P17"/>
  <c r="H17"/>
  <c r="AD16"/>
  <c r="H16"/>
  <c r="P15"/>
  <c r="G15"/>
  <c r="X7" s="1"/>
  <c r="F15"/>
  <c r="F28" s="1"/>
  <c r="E15"/>
  <c r="H14"/>
  <c r="H13"/>
  <c r="H12"/>
  <c r="H11"/>
  <c r="H10"/>
  <c r="H9"/>
  <c r="H8"/>
  <c r="AJ7"/>
  <c r="AH7"/>
  <c r="H7"/>
  <c r="AJ6"/>
  <c r="AH6"/>
  <c r="AF6"/>
  <c r="AD6"/>
  <c r="AB6"/>
  <c r="X6"/>
  <c r="V6"/>
  <c r="T6"/>
  <c r="R6"/>
  <c r="P6"/>
  <c r="H6"/>
  <c r="AD5"/>
  <c r="AD27" s="1"/>
  <c r="H5"/>
  <c r="AH54" i="26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E53"/>
  <c r="G53" s="1"/>
  <c r="D53"/>
  <c r="B53"/>
  <c r="I52"/>
  <c r="E52"/>
  <c r="G52" s="1"/>
  <c r="D52"/>
  <c r="B52"/>
  <c r="I51"/>
  <c r="G51"/>
  <c r="E51"/>
  <c r="D51"/>
  <c r="B51"/>
  <c r="I50"/>
  <c r="E50"/>
  <c r="G50" s="1"/>
  <c r="D50"/>
  <c r="B50"/>
  <c r="I49"/>
  <c r="E49"/>
  <c r="G49" s="1"/>
  <c r="D49"/>
  <c r="B49"/>
  <c r="I48"/>
  <c r="G48"/>
  <c r="D48"/>
  <c r="B48"/>
  <c r="I47"/>
  <c r="G47"/>
  <c r="E47"/>
  <c r="D47"/>
  <c r="B47"/>
  <c r="G46"/>
  <c r="D46"/>
  <c r="B46"/>
  <c r="I45"/>
  <c r="G45"/>
  <c r="E45"/>
  <c r="D45"/>
  <c r="B45"/>
  <c r="G44"/>
  <c r="D44"/>
  <c r="B44"/>
  <c r="AH43"/>
  <c r="AG43"/>
  <c r="AF43"/>
  <c r="AF55" s="1"/>
  <c r="AE43"/>
  <c r="AE55" s="1"/>
  <c r="AD43"/>
  <c r="AD55" s="1"/>
  <c r="AC43"/>
  <c r="AC55" s="1"/>
  <c r="AB43"/>
  <c r="AA43"/>
  <c r="AA55" s="1"/>
  <c r="Z43"/>
  <c r="Y43"/>
  <c r="X43"/>
  <c r="X55" s="1"/>
  <c r="W43"/>
  <c r="W55" s="1"/>
  <c r="V43"/>
  <c r="V55" s="1"/>
  <c r="U43"/>
  <c r="U55" s="1"/>
  <c r="T43"/>
  <c r="S43"/>
  <c r="S55" s="1"/>
  <c r="R43"/>
  <c r="Q43"/>
  <c r="P43"/>
  <c r="P55" s="1"/>
  <c r="O43"/>
  <c r="O55" s="1"/>
  <c r="N43"/>
  <c r="N55" s="1"/>
  <c r="M43"/>
  <c r="M55" s="1"/>
  <c r="L43"/>
  <c r="K43"/>
  <c r="K55" s="1"/>
  <c r="J43"/>
  <c r="F43"/>
  <c r="I42"/>
  <c r="E42"/>
  <c r="G42" s="1"/>
  <c r="D42"/>
  <c r="B42"/>
  <c r="I41"/>
  <c r="G41"/>
  <c r="E41"/>
  <c r="D41"/>
  <c r="B41"/>
  <c r="I40"/>
  <c r="E40"/>
  <c r="G40" s="1"/>
  <c r="D40"/>
  <c r="B40"/>
  <c r="I39"/>
  <c r="E39"/>
  <c r="G39" s="1"/>
  <c r="D39"/>
  <c r="B39"/>
  <c r="I38"/>
  <c r="E38"/>
  <c r="G38" s="1"/>
  <c r="D38"/>
  <c r="B38"/>
  <c r="I37"/>
  <c r="G37"/>
  <c r="D37"/>
  <c r="B37"/>
  <c r="I36"/>
  <c r="D36"/>
  <c r="B36"/>
  <c r="I35"/>
  <c r="G35"/>
  <c r="D35"/>
  <c r="B35"/>
  <c r="I34"/>
  <c r="G34"/>
  <c r="D34"/>
  <c r="B34"/>
  <c r="I33"/>
  <c r="G33"/>
  <c r="D33"/>
  <c r="B33"/>
  <c r="AJ27"/>
  <c r="AH27"/>
  <c r="AF27"/>
  <c r="AB27"/>
  <c r="Z27"/>
  <c r="X27"/>
  <c r="V27"/>
  <c r="T27"/>
  <c r="R27"/>
  <c r="P27"/>
  <c r="G26"/>
  <c r="AH18" s="1"/>
  <c r="F26"/>
  <c r="P24" s="1"/>
  <c r="E26"/>
  <c r="H25"/>
  <c r="H24"/>
  <c r="H23"/>
  <c r="H22"/>
  <c r="H21"/>
  <c r="H20"/>
  <c r="H19"/>
  <c r="AF18"/>
  <c r="H18"/>
  <c r="AF17"/>
  <c r="AB17"/>
  <c r="T17"/>
  <c r="R17"/>
  <c r="H17"/>
  <c r="AD16"/>
  <c r="H16"/>
  <c r="G15"/>
  <c r="F15"/>
  <c r="AB6" s="1"/>
  <c r="E15"/>
  <c r="E28" s="1"/>
  <c r="H14"/>
  <c r="H13"/>
  <c r="H12"/>
  <c r="H11"/>
  <c r="H10"/>
  <c r="H9"/>
  <c r="H8"/>
  <c r="AJ7"/>
  <c r="AH7"/>
  <c r="H7"/>
  <c r="AJ6"/>
  <c r="AH6"/>
  <c r="H6"/>
  <c r="AD5"/>
  <c r="AD27" s="1"/>
  <c r="H5"/>
  <c r="AH54" i="34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E53"/>
  <c r="G53" s="1"/>
  <c r="D53"/>
  <c r="B53"/>
  <c r="I52"/>
  <c r="E52"/>
  <c r="G52" s="1"/>
  <c r="D52"/>
  <c r="B52"/>
  <c r="I51"/>
  <c r="E51"/>
  <c r="G51" s="1"/>
  <c r="D51"/>
  <c r="B51"/>
  <c r="I50"/>
  <c r="E50"/>
  <c r="G50" s="1"/>
  <c r="D50"/>
  <c r="B50"/>
  <c r="I49"/>
  <c r="E49"/>
  <c r="G49" s="1"/>
  <c r="D49"/>
  <c r="B49"/>
  <c r="I48"/>
  <c r="E48"/>
  <c r="G48" s="1"/>
  <c r="D48"/>
  <c r="B48"/>
  <c r="I47"/>
  <c r="G47"/>
  <c r="E47"/>
  <c r="D47"/>
  <c r="B47"/>
  <c r="E46"/>
  <c r="G46" s="1"/>
  <c r="D46"/>
  <c r="B46"/>
  <c r="I45"/>
  <c r="G45"/>
  <c r="D45"/>
  <c r="B45"/>
  <c r="E44"/>
  <c r="D44"/>
  <c r="B44"/>
  <c r="AH43"/>
  <c r="AG43"/>
  <c r="AG55" s="1"/>
  <c r="AF43"/>
  <c r="AF55" s="1"/>
  <c r="AE43"/>
  <c r="AD43"/>
  <c r="AD55" s="1"/>
  <c r="AC43"/>
  <c r="AB43"/>
  <c r="AA43"/>
  <c r="AA55" s="1"/>
  <c r="Z43"/>
  <c r="Y43"/>
  <c r="Y55" s="1"/>
  <c r="X43"/>
  <c r="X55" s="1"/>
  <c r="W43"/>
  <c r="V43"/>
  <c r="V55" s="1"/>
  <c r="U43"/>
  <c r="T43"/>
  <c r="T55" s="1"/>
  <c r="S43"/>
  <c r="S55" s="1"/>
  <c r="R43"/>
  <c r="Q43"/>
  <c r="Q55" s="1"/>
  <c r="P43"/>
  <c r="P55" s="1"/>
  <c r="O43"/>
  <c r="N43"/>
  <c r="N55" s="1"/>
  <c r="M43"/>
  <c r="L43"/>
  <c r="L55" s="1"/>
  <c r="K43"/>
  <c r="K55" s="1"/>
  <c r="J43"/>
  <c r="F43"/>
  <c r="I42"/>
  <c r="G42"/>
  <c r="E42"/>
  <c r="D42"/>
  <c r="B42"/>
  <c r="I41"/>
  <c r="E41"/>
  <c r="G41" s="1"/>
  <c r="D41"/>
  <c r="B41"/>
  <c r="I40"/>
  <c r="G40"/>
  <c r="E40"/>
  <c r="D40"/>
  <c r="B40"/>
  <c r="I39"/>
  <c r="E39"/>
  <c r="G39" s="1"/>
  <c r="D39"/>
  <c r="B39"/>
  <c r="I38"/>
  <c r="E38"/>
  <c r="G38" s="1"/>
  <c r="D38"/>
  <c r="B38"/>
  <c r="I37"/>
  <c r="G37"/>
  <c r="D37"/>
  <c r="B37"/>
  <c r="I36"/>
  <c r="G36"/>
  <c r="D36"/>
  <c r="B36"/>
  <c r="I35"/>
  <c r="G35"/>
  <c r="D35"/>
  <c r="B35"/>
  <c r="I34"/>
  <c r="E34"/>
  <c r="G34" s="1"/>
  <c r="D34"/>
  <c r="B34"/>
  <c r="G33"/>
  <c r="D33"/>
  <c r="B33"/>
  <c r="AJ27"/>
  <c r="AH27"/>
  <c r="AF27"/>
  <c r="AB27"/>
  <c r="Z27"/>
  <c r="X27"/>
  <c r="V27"/>
  <c r="T27"/>
  <c r="R27"/>
  <c r="P27"/>
  <c r="G26"/>
  <c r="AH18" s="1"/>
  <c r="F26"/>
  <c r="P26" s="1"/>
  <c r="E26"/>
  <c r="H25"/>
  <c r="H24"/>
  <c r="H23"/>
  <c r="H22"/>
  <c r="H21"/>
  <c r="H20"/>
  <c r="H19"/>
  <c r="AJ18"/>
  <c r="AF18"/>
  <c r="AD18"/>
  <c r="V18"/>
  <c r="R18"/>
  <c r="P18"/>
  <c r="H18"/>
  <c r="H17"/>
  <c r="AD16"/>
  <c r="H16"/>
  <c r="G15"/>
  <c r="G28" s="1"/>
  <c r="AH29" s="1"/>
  <c r="F15"/>
  <c r="P13" s="1"/>
  <c r="E15"/>
  <c r="H14"/>
  <c r="H13"/>
  <c r="H12"/>
  <c r="H11"/>
  <c r="H10"/>
  <c r="H9"/>
  <c r="H8"/>
  <c r="AJ7"/>
  <c r="AH7"/>
  <c r="AF7"/>
  <c r="H7"/>
  <c r="AJ6"/>
  <c r="AH6"/>
  <c r="AF6"/>
  <c r="Z6"/>
  <c r="X6"/>
  <c r="T6"/>
  <c r="H6"/>
  <c r="AD5"/>
  <c r="AD27" s="1"/>
  <c r="H5"/>
  <c r="AH54" i="4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I54" s="1"/>
  <c r="F54"/>
  <c r="I53"/>
  <c r="E53"/>
  <c r="G53" s="1"/>
  <c r="D53"/>
  <c r="B53"/>
  <c r="I52"/>
  <c r="E52"/>
  <c r="G52" s="1"/>
  <c r="D52"/>
  <c r="B52"/>
  <c r="I51"/>
  <c r="G51"/>
  <c r="E51"/>
  <c r="D51"/>
  <c r="B51"/>
  <c r="I50"/>
  <c r="G50"/>
  <c r="E50"/>
  <c r="D50"/>
  <c r="B50"/>
  <c r="I49"/>
  <c r="G49"/>
  <c r="E49"/>
  <c r="D49"/>
  <c r="B49"/>
  <c r="I48"/>
  <c r="E48"/>
  <c r="G48" s="1"/>
  <c r="D48"/>
  <c r="B48"/>
  <c r="I47"/>
  <c r="E47"/>
  <c r="G47" s="1"/>
  <c r="D47"/>
  <c r="B47"/>
  <c r="E46"/>
  <c r="G46" s="1"/>
  <c r="D46"/>
  <c r="B46"/>
  <c r="I45"/>
  <c r="E45"/>
  <c r="G45" s="1"/>
  <c r="D45"/>
  <c r="B45"/>
  <c r="E44"/>
  <c r="G44" s="1"/>
  <c r="D44"/>
  <c r="B44"/>
  <c r="AH43"/>
  <c r="AG43"/>
  <c r="AG55" s="1"/>
  <c r="AF43"/>
  <c r="AF55" s="1"/>
  <c r="AE43"/>
  <c r="AE55" s="1"/>
  <c r="AD43"/>
  <c r="AD55" s="1"/>
  <c r="AC43"/>
  <c r="AB43"/>
  <c r="AB55" s="1"/>
  <c r="AA43"/>
  <c r="AA55" s="1"/>
  <c r="Z43"/>
  <c r="Y43"/>
  <c r="X43"/>
  <c r="X55" s="1"/>
  <c r="W43"/>
  <c r="W55" s="1"/>
  <c r="V43"/>
  <c r="V55" s="1"/>
  <c r="U43"/>
  <c r="T43"/>
  <c r="T55" s="1"/>
  <c r="S43"/>
  <c r="S55" s="1"/>
  <c r="R43"/>
  <c r="Q43"/>
  <c r="P43"/>
  <c r="P55" s="1"/>
  <c r="O43"/>
  <c r="O55" s="1"/>
  <c r="N43"/>
  <c r="N55" s="1"/>
  <c r="M43"/>
  <c r="L43"/>
  <c r="L55" s="1"/>
  <c r="K43"/>
  <c r="K55" s="1"/>
  <c r="J43"/>
  <c r="F43"/>
  <c r="F55" s="1"/>
  <c r="I42"/>
  <c r="E42"/>
  <c r="G42" s="1"/>
  <c r="D42"/>
  <c r="B42"/>
  <c r="I41"/>
  <c r="E41"/>
  <c r="G41" s="1"/>
  <c r="D41"/>
  <c r="B41"/>
  <c r="I40"/>
  <c r="G40"/>
  <c r="E40"/>
  <c r="D40"/>
  <c r="B40"/>
  <c r="I39"/>
  <c r="E39"/>
  <c r="G39" s="1"/>
  <c r="D39"/>
  <c r="B39"/>
  <c r="I38"/>
  <c r="E38"/>
  <c r="G38" s="1"/>
  <c r="D38"/>
  <c r="B38"/>
  <c r="I37"/>
  <c r="E37"/>
  <c r="G37" s="1"/>
  <c r="D37"/>
  <c r="B37"/>
  <c r="I36"/>
  <c r="G36"/>
  <c r="D36"/>
  <c r="B36"/>
  <c r="I35"/>
  <c r="G35"/>
  <c r="D35"/>
  <c r="B35"/>
  <c r="I34"/>
  <c r="E34"/>
  <c r="G34" s="1"/>
  <c r="D34"/>
  <c r="B34"/>
  <c r="I33"/>
  <c r="E33"/>
  <c r="G33" s="1"/>
  <c r="D33"/>
  <c r="B33"/>
  <c r="AJ27"/>
  <c r="AH27"/>
  <c r="AF27"/>
  <c r="AD27"/>
  <c r="AB27"/>
  <c r="Z27"/>
  <c r="X27"/>
  <c r="V27"/>
  <c r="T27"/>
  <c r="R27"/>
  <c r="P27"/>
  <c r="G26"/>
  <c r="AH18" s="1"/>
  <c r="F26"/>
  <c r="P26" s="1"/>
  <c r="E26"/>
  <c r="H25"/>
  <c r="H24"/>
  <c r="H23"/>
  <c r="H22"/>
  <c r="H21"/>
  <c r="H20"/>
  <c r="H19"/>
  <c r="AJ18"/>
  <c r="AF18"/>
  <c r="AD18"/>
  <c r="AB18"/>
  <c r="Z18"/>
  <c r="X18"/>
  <c r="V18"/>
  <c r="T18"/>
  <c r="R18"/>
  <c r="P18"/>
  <c r="H18"/>
  <c r="AJ17"/>
  <c r="AH17"/>
  <c r="AF17"/>
  <c r="AD17"/>
  <c r="AB17"/>
  <c r="Z17"/>
  <c r="X17"/>
  <c r="V17"/>
  <c r="T17"/>
  <c r="R17"/>
  <c r="P17"/>
  <c r="H17"/>
  <c r="AD16"/>
  <c r="H16"/>
  <c r="G15"/>
  <c r="G28" s="1"/>
  <c r="Z29" s="1"/>
  <c r="B10" i="37" s="1"/>
  <c r="F15" i="4"/>
  <c r="F28" s="1"/>
  <c r="X28" s="1"/>
  <c r="E15"/>
  <c r="E28" s="1"/>
  <c r="H14"/>
  <c r="H13"/>
  <c r="H12"/>
  <c r="H11"/>
  <c r="H10"/>
  <c r="H9"/>
  <c r="H8"/>
  <c r="AJ7"/>
  <c r="AH7"/>
  <c r="AD7"/>
  <c r="H7"/>
  <c r="AJ6"/>
  <c r="AH6"/>
  <c r="AF6"/>
  <c r="AD6"/>
  <c r="AB6"/>
  <c r="Z6"/>
  <c r="X6"/>
  <c r="V6"/>
  <c r="T6"/>
  <c r="R6"/>
  <c r="P6"/>
  <c r="H6"/>
  <c r="AD5"/>
  <c r="H5"/>
  <c r="AH54" i="9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E53"/>
  <c r="G53" s="1"/>
  <c r="D53"/>
  <c r="B53"/>
  <c r="I52"/>
  <c r="E52"/>
  <c r="G52" s="1"/>
  <c r="D52"/>
  <c r="B52"/>
  <c r="I51"/>
  <c r="E51"/>
  <c r="G51" s="1"/>
  <c r="D51"/>
  <c r="B51"/>
  <c r="I50"/>
  <c r="E50"/>
  <c r="G50" s="1"/>
  <c r="D50"/>
  <c r="B50"/>
  <c r="I49"/>
  <c r="E49"/>
  <c r="G49" s="1"/>
  <c r="D49"/>
  <c r="B49"/>
  <c r="I48"/>
  <c r="G48"/>
  <c r="E48"/>
  <c r="D48"/>
  <c r="B48"/>
  <c r="I47"/>
  <c r="G47"/>
  <c r="E47"/>
  <c r="D47"/>
  <c r="B47"/>
  <c r="G46"/>
  <c r="D46"/>
  <c r="B46"/>
  <c r="I45"/>
  <c r="E45"/>
  <c r="G45" s="1"/>
  <c r="D45"/>
  <c r="B45"/>
  <c r="E44"/>
  <c r="G44" s="1"/>
  <c r="D44"/>
  <c r="B44"/>
  <c r="AH43"/>
  <c r="AG43"/>
  <c r="AG55" s="1"/>
  <c r="AF43"/>
  <c r="AF55" s="1"/>
  <c r="AE43"/>
  <c r="AD43"/>
  <c r="AD55" s="1"/>
  <c r="AC43"/>
  <c r="AC55" s="1"/>
  <c r="AB43"/>
  <c r="AA43"/>
  <c r="AA55" s="1"/>
  <c r="Z43"/>
  <c r="Y43"/>
  <c r="Y55" s="1"/>
  <c r="X43"/>
  <c r="X55" s="1"/>
  <c r="W43"/>
  <c r="V43"/>
  <c r="V55" s="1"/>
  <c r="U43"/>
  <c r="U55" s="1"/>
  <c r="T43"/>
  <c r="S43"/>
  <c r="S55" s="1"/>
  <c r="R43"/>
  <c r="Q43"/>
  <c r="Q55" s="1"/>
  <c r="P43"/>
  <c r="P55" s="1"/>
  <c r="O43"/>
  <c r="N43"/>
  <c r="N55" s="1"/>
  <c r="M43"/>
  <c r="M55" s="1"/>
  <c r="L43"/>
  <c r="K43"/>
  <c r="K55" s="1"/>
  <c r="J43"/>
  <c r="F43"/>
  <c r="I42"/>
  <c r="E42"/>
  <c r="G42" s="1"/>
  <c r="D42"/>
  <c r="B42"/>
  <c r="I41"/>
  <c r="G41"/>
  <c r="E41"/>
  <c r="D41"/>
  <c r="B41"/>
  <c r="I40"/>
  <c r="E40"/>
  <c r="G40" s="1"/>
  <c r="D40"/>
  <c r="B40"/>
  <c r="I39"/>
  <c r="G39"/>
  <c r="E39"/>
  <c r="D39"/>
  <c r="B39"/>
  <c r="I38"/>
  <c r="E38"/>
  <c r="G38" s="1"/>
  <c r="D38"/>
  <c r="B38"/>
  <c r="I37"/>
  <c r="G37"/>
  <c r="E37"/>
  <c r="D37"/>
  <c r="B37"/>
  <c r="I36"/>
  <c r="E36"/>
  <c r="G36" s="1"/>
  <c r="D36"/>
  <c r="B36"/>
  <c r="I35"/>
  <c r="G35"/>
  <c r="D35"/>
  <c r="B35"/>
  <c r="I34"/>
  <c r="E34"/>
  <c r="G34" s="1"/>
  <c r="D34"/>
  <c r="B34"/>
  <c r="I33"/>
  <c r="E33"/>
  <c r="D33"/>
  <c r="B33"/>
  <c r="AJ27"/>
  <c r="AH27"/>
  <c r="AF27"/>
  <c r="AB27"/>
  <c r="Z27"/>
  <c r="X27"/>
  <c r="V27"/>
  <c r="T27"/>
  <c r="R27"/>
  <c r="P27"/>
  <c r="G26"/>
  <c r="AB18" s="1"/>
  <c r="F26"/>
  <c r="P26" s="1"/>
  <c r="E26"/>
  <c r="H25"/>
  <c r="H24"/>
  <c r="H23"/>
  <c r="H22"/>
  <c r="H21"/>
  <c r="H20"/>
  <c r="H19"/>
  <c r="AH18"/>
  <c r="Z18"/>
  <c r="P18"/>
  <c r="H18"/>
  <c r="AJ17"/>
  <c r="V17"/>
  <c r="T17"/>
  <c r="H17"/>
  <c r="AD16"/>
  <c r="AD18" s="1"/>
  <c r="H16"/>
  <c r="H15"/>
  <c r="G15"/>
  <c r="T7" s="1"/>
  <c r="F15"/>
  <c r="F28" s="1"/>
  <c r="E15"/>
  <c r="H14"/>
  <c r="P13"/>
  <c r="H13"/>
  <c r="H12"/>
  <c r="H11"/>
  <c r="H10"/>
  <c r="H9"/>
  <c r="H8"/>
  <c r="AJ7"/>
  <c r="AH7"/>
  <c r="AF7"/>
  <c r="Z7"/>
  <c r="V7"/>
  <c r="H7"/>
  <c r="AJ6"/>
  <c r="AH6"/>
  <c r="AF6"/>
  <c r="Z6"/>
  <c r="X6"/>
  <c r="V6"/>
  <c r="T6"/>
  <c r="R6"/>
  <c r="P6"/>
  <c r="H6"/>
  <c r="AD5"/>
  <c r="H5"/>
  <c r="AH54" i="5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G53"/>
  <c r="E53"/>
  <c r="D53"/>
  <c r="B53"/>
  <c r="I52"/>
  <c r="E52"/>
  <c r="G52" s="1"/>
  <c r="D52"/>
  <c r="B52"/>
  <c r="I51"/>
  <c r="G51"/>
  <c r="E51"/>
  <c r="D51"/>
  <c r="B51"/>
  <c r="I50"/>
  <c r="E50"/>
  <c r="G50" s="1"/>
  <c r="D50"/>
  <c r="B50"/>
  <c r="I49"/>
  <c r="E49"/>
  <c r="G49" s="1"/>
  <c r="D49"/>
  <c r="B49"/>
  <c r="I48"/>
  <c r="G48"/>
  <c r="D48"/>
  <c r="B48"/>
  <c r="I47"/>
  <c r="G47"/>
  <c r="D47"/>
  <c r="B47"/>
  <c r="G46"/>
  <c r="D46"/>
  <c r="B46"/>
  <c r="I45"/>
  <c r="E45"/>
  <c r="E54" s="1"/>
  <c r="G54" s="1"/>
  <c r="D45"/>
  <c r="B45"/>
  <c r="E44"/>
  <c r="G44" s="1"/>
  <c r="D44"/>
  <c r="B44"/>
  <c r="AH43"/>
  <c r="AG43"/>
  <c r="AG55" s="1"/>
  <c r="AF43"/>
  <c r="AF55" s="1"/>
  <c r="AE43"/>
  <c r="AE55" s="1"/>
  <c r="AD43"/>
  <c r="AD55" s="1"/>
  <c r="AC43"/>
  <c r="AB43"/>
  <c r="AB55" s="1"/>
  <c r="AA43"/>
  <c r="AA55" s="1"/>
  <c r="Z43"/>
  <c r="Y43"/>
  <c r="Y55" s="1"/>
  <c r="X43"/>
  <c r="X55" s="1"/>
  <c r="W43"/>
  <c r="W55" s="1"/>
  <c r="V43"/>
  <c r="V55" s="1"/>
  <c r="U43"/>
  <c r="T43"/>
  <c r="T55" s="1"/>
  <c r="S43"/>
  <c r="R43"/>
  <c r="Q43"/>
  <c r="Q55" s="1"/>
  <c r="P43"/>
  <c r="P55" s="1"/>
  <c r="O43"/>
  <c r="O55" s="1"/>
  <c r="N43"/>
  <c r="N55" s="1"/>
  <c r="M43"/>
  <c r="L43"/>
  <c r="L55" s="1"/>
  <c r="K43"/>
  <c r="J43"/>
  <c r="F43"/>
  <c r="F55" s="1"/>
  <c r="I42"/>
  <c r="E42"/>
  <c r="G42" s="1"/>
  <c r="D42"/>
  <c r="B42"/>
  <c r="I41"/>
  <c r="G41"/>
  <c r="E41"/>
  <c r="D41"/>
  <c r="B41"/>
  <c r="I40"/>
  <c r="E40"/>
  <c r="G40" s="1"/>
  <c r="D40"/>
  <c r="B40"/>
  <c r="I39"/>
  <c r="G39"/>
  <c r="E39"/>
  <c r="D39"/>
  <c r="B39"/>
  <c r="I38"/>
  <c r="E38"/>
  <c r="G38" s="1"/>
  <c r="D38"/>
  <c r="B38"/>
  <c r="I37"/>
  <c r="G37"/>
  <c r="D37"/>
  <c r="B37"/>
  <c r="I36"/>
  <c r="G36"/>
  <c r="E36"/>
  <c r="D36"/>
  <c r="B36"/>
  <c r="I35"/>
  <c r="G35"/>
  <c r="D35"/>
  <c r="B35"/>
  <c r="I34"/>
  <c r="G34"/>
  <c r="D34"/>
  <c r="B34"/>
  <c r="I33"/>
  <c r="E33"/>
  <c r="E43" s="1"/>
  <c r="D33"/>
  <c r="B33"/>
  <c r="AJ27"/>
  <c r="AH27"/>
  <c r="AF27"/>
  <c r="AB27"/>
  <c r="Z27"/>
  <c r="X27"/>
  <c r="V27"/>
  <c r="T27"/>
  <c r="R27"/>
  <c r="P27"/>
  <c r="G26"/>
  <c r="V18" s="1"/>
  <c r="F26"/>
  <c r="P24" s="1"/>
  <c r="E26"/>
  <c r="H25"/>
  <c r="H24"/>
  <c r="H23"/>
  <c r="H22"/>
  <c r="H21"/>
  <c r="H20"/>
  <c r="H19"/>
  <c r="H18"/>
  <c r="H17"/>
  <c r="AD16"/>
  <c r="H16"/>
  <c r="G15"/>
  <c r="Z7" s="1"/>
  <c r="F15"/>
  <c r="R6" s="1"/>
  <c r="E15"/>
  <c r="E28" s="1"/>
  <c r="H14"/>
  <c r="H13"/>
  <c r="H12"/>
  <c r="H11"/>
  <c r="H10"/>
  <c r="H9"/>
  <c r="H8"/>
  <c r="AJ7"/>
  <c r="AH7"/>
  <c r="H7"/>
  <c r="AJ6"/>
  <c r="AH6"/>
  <c r="T6"/>
  <c r="H6"/>
  <c r="AD5"/>
  <c r="AD27" s="1"/>
  <c r="H5"/>
  <c r="AH54" i="8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G53"/>
  <c r="E53"/>
  <c r="D53"/>
  <c r="B53"/>
  <c r="I52"/>
  <c r="E52"/>
  <c r="G52" s="1"/>
  <c r="D52"/>
  <c r="B52"/>
  <c r="I51"/>
  <c r="E51"/>
  <c r="G51" s="1"/>
  <c r="D51"/>
  <c r="B51"/>
  <c r="I50"/>
  <c r="E50"/>
  <c r="G50" s="1"/>
  <c r="D50"/>
  <c r="B50"/>
  <c r="I49"/>
  <c r="E49"/>
  <c r="G49" s="1"/>
  <c r="D49"/>
  <c r="B49"/>
  <c r="I48"/>
  <c r="E48"/>
  <c r="G48" s="1"/>
  <c r="D48"/>
  <c r="B48"/>
  <c r="I47"/>
  <c r="G47"/>
  <c r="E47"/>
  <c r="D47"/>
  <c r="B47"/>
  <c r="G46"/>
  <c r="D46"/>
  <c r="B46"/>
  <c r="I45"/>
  <c r="G45"/>
  <c r="E45"/>
  <c r="D45"/>
  <c r="B45"/>
  <c r="E44"/>
  <c r="G44" s="1"/>
  <c r="D44"/>
  <c r="B44"/>
  <c r="AH43"/>
  <c r="AG43"/>
  <c r="AG55" s="1"/>
  <c r="AF43"/>
  <c r="AF55" s="1"/>
  <c r="AE43"/>
  <c r="AD43"/>
  <c r="AD55" s="1"/>
  <c r="AC43"/>
  <c r="AB43"/>
  <c r="AB55" s="1"/>
  <c r="AA43"/>
  <c r="AA55" s="1"/>
  <c r="Z43"/>
  <c r="Y43"/>
  <c r="Y55" s="1"/>
  <c r="X43"/>
  <c r="X55" s="1"/>
  <c r="W43"/>
  <c r="V43"/>
  <c r="U43"/>
  <c r="T43"/>
  <c r="T55" s="1"/>
  <c r="S43"/>
  <c r="S55" s="1"/>
  <c r="R43"/>
  <c r="Q43"/>
  <c r="Q55" s="1"/>
  <c r="P43"/>
  <c r="P55" s="1"/>
  <c r="O43"/>
  <c r="N43"/>
  <c r="N55" s="1"/>
  <c r="M43"/>
  <c r="L43"/>
  <c r="K43"/>
  <c r="K55" s="1"/>
  <c r="J43"/>
  <c r="F43"/>
  <c r="I42"/>
  <c r="E42"/>
  <c r="G42" s="1"/>
  <c r="D42"/>
  <c r="B42"/>
  <c r="I41"/>
  <c r="E41"/>
  <c r="G41" s="1"/>
  <c r="D41"/>
  <c r="B41"/>
  <c r="I40"/>
  <c r="E40"/>
  <c r="G40" s="1"/>
  <c r="D40"/>
  <c r="B40"/>
  <c r="I39"/>
  <c r="G39"/>
  <c r="E39"/>
  <c r="D39"/>
  <c r="B39"/>
  <c r="I38"/>
  <c r="E38"/>
  <c r="G38" s="1"/>
  <c r="D38"/>
  <c r="B38"/>
  <c r="I37"/>
  <c r="G37"/>
  <c r="D37"/>
  <c r="B37"/>
  <c r="I36"/>
  <c r="E36"/>
  <c r="G36" s="1"/>
  <c r="D36"/>
  <c r="B36"/>
  <c r="I35"/>
  <c r="G35"/>
  <c r="D35"/>
  <c r="B35"/>
  <c r="I34"/>
  <c r="G34"/>
  <c r="E34"/>
  <c r="D34"/>
  <c r="B34"/>
  <c r="I33"/>
  <c r="D33"/>
  <c r="B33"/>
  <c r="AJ27"/>
  <c r="AH27"/>
  <c r="AF27"/>
  <c r="AB27"/>
  <c r="Z27"/>
  <c r="X27"/>
  <c r="V27"/>
  <c r="T27"/>
  <c r="R27"/>
  <c r="P27"/>
  <c r="G26"/>
  <c r="AB18" s="1"/>
  <c r="F26"/>
  <c r="H26" s="1"/>
  <c r="E26"/>
  <c r="H25"/>
  <c r="H24"/>
  <c r="H23"/>
  <c r="H22"/>
  <c r="H21"/>
  <c r="H20"/>
  <c r="H19"/>
  <c r="AF18"/>
  <c r="P18"/>
  <c r="H18"/>
  <c r="AJ17"/>
  <c r="AH17"/>
  <c r="AF17"/>
  <c r="X17"/>
  <c r="T17"/>
  <c r="R17"/>
  <c r="H17"/>
  <c r="AD16"/>
  <c r="H16"/>
  <c r="G15"/>
  <c r="AB7" s="1"/>
  <c r="F15"/>
  <c r="H15" s="1"/>
  <c r="E15"/>
  <c r="E28" s="1"/>
  <c r="H14"/>
  <c r="H13"/>
  <c r="H12"/>
  <c r="H11"/>
  <c r="H10"/>
  <c r="H9"/>
  <c r="H8"/>
  <c r="AJ7"/>
  <c r="AH7"/>
  <c r="AD7"/>
  <c r="Z7"/>
  <c r="V7"/>
  <c r="R7"/>
  <c r="H7"/>
  <c r="AJ6"/>
  <c r="AH6"/>
  <c r="AF6"/>
  <c r="H6"/>
  <c r="AD5"/>
  <c r="AD27" s="1"/>
  <c r="H5"/>
  <c r="AH54" i="7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G53"/>
  <c r="E53"/>
  <c r="D53"/>
  <c r="B53"/>
  <c r="I52"/>
  <c r="E52"/>
  <c r="G52" s="1"/>
  <c r="D52"/>
  <c r="B52"/>
  <c r="I51"/>
  <c r="G51"/>
  <c r="E51"/>
  <c r="D51"/>
  <c r="B51"/>
  <c r="I50"/>
  <c r="E50"/>
  <c r="G50" s="1"/>
  <c r="D50"/>
  <c r="B50"/>
  <c r="I49"/>
  <c r="G49"/>
  <c r="D49"/>
  <c r="B49"/>
  <c r="I48"/>
  <c r="G48"/>
  <c r="D48"/>
  <c r="B48"/>
  <c r="I47"/>
  <c r="E47"/>
  <c r="G47" s="1"/>
  <c r="D47"/>
  <c r="B47"/>
  <c r="G46"/>
  <c r="D46"/>
  <c r="B46"/>
  <c r="I45"/>
  <c r="E45"/>
  <c r="G45" s="1"/>
  <c r="D45"/>
  <c r="B45"/>
  <c r="G44"/>
  <c r="D44"/>
  <c r="B44"/>
  <c r="AH43"/>
  <c r="AH55" s="1"/>
  <c r="AG43"/>
  <c r="AG55" s="1"/>
  <c r="AF43"/>
  <c r="AF55" s="1"/>
  <c r="AE43"/>
  <c r="AE55" s="1"/>
  <c r="AD43"/>
  <c r="AC43"/>
  <c r="AC55" s="1"/>
  <c r="AB43"/>
  <c r="AB55" s="1"/>
  <c r="AA43"/>
  <c r="AA55" s="1"/>
  <c r="Z43"/>
  <c r="Z55" s="1"/>
  <c r="Y43"/>
  <c r="Y55" s="1"/>
  <c r="X43"/>
  <c r="X55" s="1"/>
  <c r="W43"/>
  <c r="V43"/>
  <c r="U43"/>
  <c r="U55" s="1"/>
  <c r="T43"/>
  <c r="T55" s="1"/>
  <c r="S43"/>
  <c r="S55" s="1"/>
  <c r="R43"/>
  <c r="Q43"/>
  <c r="Q55" s="1"/>
  <c r="P43"/>
  <c r="P55" s="1"/>
  <c r="O43"/>
  <c r="O55" s="1"/>
  <c r="N43"/>
  <c r="M43"/>
  <c r="M55" s="1"/>
  <c r="L43"/>
  <c r="L55" s="1"/>
  <c r="K43"/>
  <c r="K55" s="1"/>
  <c r="J43"/>
  <c r="J55" s="1"/>
  <c r="F43"/>
  <c r="I42"/>
  <c r="E42"/>
  <c r="G42" s="1"/>
  <c r="D42"/>
  <c r="B42"/>
  <c r="I41"/>
  <c r="E41"/>
  <c r="G41" s="1"/>
  <c r="D41"/>
  <c r="B41"/>
  <c r="I40"/>
  <c r="E40"/>
  <c r="G40" s="1"/>
  <c r="D40"/>
  <c r="B40"/>
  <c r="I39"/>
  <c r="G39"/>
  <c r="E39"/>
  <c r="D39"/>
  <c r="B39"/>
  <c r="I38"/>
  <c r="G38"/>
  <c r="D38"/>
  <c r="B38"/>
  <c r="I37"/>
  <c r="G37"/>
  <c r="D37"/>
  <c r="B37"/>
  <c r="I36"/>
  <c r="E36"/>
  <c r="G36" s="1"/>
  <c r="D36"/>
  <c r="B36"/>
  <c r="I35"/>
  <c r="G35"/>
  <c r="D35"/>
  <c r="B35"/>
  <c r="I34"/>
  <c r="G34"/>
  <c r="D34"/>
  <c r="B34"/>
  <c r="I33"/>
  <c r="D33"/>
  <c r="B33"/>
  <c r="AJ27"/>
  <c r="AH27"/>
  <c r="AF27"/>
  <c r="AB27"/>
  <c r="Z27"/>
  <c r="X27"/>
  <c r="V27"/>
  <c r="T27"/>
  <c r="R27"/>
  <c r="P27"/>
  <c r="G26"/>
  <c r="G28" s="1"/>
  <c r="F26"/>
  <c r="P24" s="1"/>
  <c r="E26"/>
  <c r="H25"/>
  <c r="H24"/>
  <c r="H23"/>
  <c r="H22"/>
  <c r="H21"/>
  <c r="H20"/>
  <c r="H19"/>
  <c r="AJ18"/>
  <c r="AH18"/>
  <c r="AB18"/>
  <c r="Z18"/>
  <c r="X18"/>
  <c r="V18"/>
  <c r="T18"/>
  <c r="R18"/>
  <c r="P18"/>
  <c r="H18"/>
  <c r="AJ17"/>
  <c r="AH17"/>
  <c r="AB17"/>
  <c r="Z17"/>
  <c r="V17"/>
  <c r="T17"/>
  <c r="R17"/>
  <c r="P17"/>
  <c r="H17"/>
  <c r="AD16"/>
  <c r="AD17" s="1"/>
  <c r="H16"/>
  <c r="G15"/>
  <c r="AF7" s="1"/>
  <c r="F15"/>
  <c r="AD6" s="1"/>
  <c r="E15"/>
  <c r="H14"/>
  <c r="H13"/>
  <c r="H12"/>
  <c r="H11"/>
  <c r="H10"/>
  <c r="H9"/>
  <c r="H8"/>
  <c r="AJ7"/>
  <c r="AH7"/>
  <c r="H7"/>
  <c r="AJ6"/>
  <c r="AH6"/>
  <c r="H6"/>
  <c r="AD5"/>
  <c r="H5"/>
  <c r="AH54" i="6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I54" s="1"/>
  <c r="M54"/>
  <c r="L54"/>
  <c r="K54"/>
  <c r="J54"/>
  <c r="F54"/>
  <c r="I53"/>
  <c r="G53"/>
  <c r="E53"/>
  <c r="D53"/>
  <c r="B53"/>
  <c r="I52"/>
  <c r="E52"/>
  <c r="G52" s="1"/>
  <c r="D52"/>
  <c r="B52"/>
  <c r="I51"/>
  <c r="G51"/>
  <c r="E51"/>
  <c r="D51"/>
  <c r="B51"/>
  <c r="I50"/>
  <c r="E50"/>
  <c r="G50" s="1"/>
  <c r="D50"/>
  <c r="B50"/>
  <c r="I49"/>
  <c r="E49"/>
  <c r="G49" s="1"/>
  <c r="D49"/>
  <c r="B49"/>
  <c r="I48"/>
  <c r="E48"/>
  <c r="G48" s="1"/>
  <c r="D48"/>
  <c r="B48"/>
  <c r="I47"/>
  <c r="E47"/>
  <c r="G47" s="1"/>
  <c r="D47"/>
  <c r="B47"/>
  <c r="G46"/>
  <c r="D46"/>
  <c r="B46"/>
  <c r="I45"/>
  <c r="E45"/>
  <c r="G45" s="1"/>
  <c r="D45"/>
  <c r="B45"/>
  <c r="E44"/>
  <c r="D44"/>
  <c r="B44"/>
  <c r="AH43"/>
  <c r="AH55" s="1"/>
  <c r="AG43"/>
  <c r="AF43"/>
  <c r="AF55" s="1"/>
  <c r="AE43"/>
  <c r="AE55" s="1"/>
  <c r="AD43"/>
  <c r="AC43"/>
  <c r="AC55" s="1"/>
  <c r="AB43"/>
  <c r="AB55" s="1"/>
  <c r="AA43"/>
  <c r="AA55" s="1"/>
  <c r="Z43"/>
  <c r="Z55" s="1"/>
  <c r="Y43"/>
  <c r="X43"/>
  <c r="X55" s="1"/>
  <c r="W43"/>
  <c r="W55" s="1"/>
  <c r="V43"/>
  <c r="U43"/>
  <c r="U55" s="1"/>
  <c r="T43"/>
  <c r="T55" s="1"/>
  <c r="S43"/>
  <c r="S55" s="1"/>
  <c r="R43"/>
  <c r="R55" s="1"/>
  <c r="Q43"/>
  <c r="P43"/>
  <c r="P55" s="1"/>
  <c r="O43"/>
  <c r="O55" s="1"/>
  <c r="N43"/>
  <c r="M43"/>
  <c r="M55" s="1"/>
  <c r="L43"/>
  <c r="L55" s="1"/>
  <c r="K43"/>
  <c r="K55" s="1"/>
  <c r="J43"/>
  <c r="J55" s="1"/>
  <c r="F43"/>
  <c r="F55" s="1"/>
  <c r="I42"/>
  <c r="E42"/>
  <c r="G42" s="1"/>
  <c r="D42"/>
  <c r="B42"/>
  <c r="I41"/>
  <c r="G41"/>
  <c r="E41"/>
  <c r="D41"/>
  <c r="B41"/>
  <c r="I40"/>
  <c r="E40"/>
  <c r="G40" s="1"/>
  <c r="D40"/>
  <c r="B40"/>
  <c r="I39"/>
  <c r="G39"/>
  <c r="E39"/>
  <c r="D39"/>
  <c r="B39"/>
  <c r="I38"/>
  <c r="E38"/>
  <c r="G38" s="1"/>
  <c r="D38"/>
  <c r="B38"/>
  <c r="I37"/>
  <c r="E37"/>
  <c r="G37" s="1"/>
  <c r="D37"/>
  <c r="B37"/>
  <c r="I36"/>
  <c r="G36"/>
  <c r="D36"/>
  <c r="B36"/>
  <c r="I35"/>
  <c r="G35"/>
  <c r="D35"/>
  <c r="B35"/>
  <c r="I34"/>
  <c r="D34"/>
  <c r="B34"/>
  <c r="I33"/>
  <c r="G33"/>
  <c r="D33"/>
  <c r="B33"/>
  <c r="AJ27"/>
  <c r="AH27"/>
  <c r="AF27"/>
  <c r="AB27"/>
  <c r="Z27"/>
  <c r="X27"/>
  <c r="V27"/>
  <c r="T27"/>
  <c r="R27"/>
  <c r="P27"/>
  <c r="G26"/>
  <c r="P18" s="1"/>
  <c r="F26"/>
  <c r="P24" s="1"/>
  <c r="E26"/>
  <c r="H25"/>
  <c r="H24"/>
  <c r="H23"/>
  <c r="H22"/>
  <c r="H21"/>
  <c r="H20"/>
  <c r="H19"/>
  <c r="AH18"/>
  <c r="AF18"/>
  <c r="X18"/>
  <c r="V18"/>
  <c r="R18"/>
  <c r="H18"/>
  <c r="AJ17"/>
  <c r="AH17"/>
  <c r="AF17"/>
  <c r="AD17"/>
  <c r="AB17"/>
  <c r="Z17"/>
  <c r="X17"/>
  <c r="V17"/>
  <c r="T17"/>
  <c r="R17"/>
  <c r="P17"/>
  <c r="H17"/>
  <c r="AD16"/>
  <c r="H16"/>
  <c r="G15"/>
  <c r="G28" s="1"/>
  <c r="F15"/>
  <c r="P15" s="1"/>
  <c r="E15"/>
  <c r="E28" s="1"/>
  <c r="H14"/>
  <c r="H13"/>
  <c r="H12"/>
  <c r="H11"/>
  <c r="H10"/>
  <c r="H9"/>
  <c r="H8"/>
  <c r="AJ7"/>
  <c r="AH7"/>
  <c r="V7"/>
  <c r="H7"/>
  <c r="AJ6"/>
  <c r="AH6"/>
  <c r="AF6"/>
  <c r="H6"/>
  <c r="AD5"/>
  <c r="AD27" s="1"/>
  <c r="H5"/>
  <c r="AH54" i="3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E53"/>
  <c r="G53" s="1"/>
  <c r="D53"/>
  <c r="B53"/>
  <c r="I52"/>
  <c r="E52"/>
  <c r="G52" s="1"/>
  <c r="D52"/>
  <c r="B52"/>
  <c r="I51"/>
  <c r="E51"/>
  <c r="G51" s="1"/>
  <c r="D51"/>
  <c r="B51"/>
  <c r="I50"/>
  <c r="E50"/>
  <c r="G50" s="1"/>
  <c r="D50"/>
  <c r="B50"/>
  <c r="I49"/>
  <c r="E49"/>
  <c r="G49" s="1"/>
  <c r="D49"/>
  <c r="B49"/>
  <c r="I48"/>
  <c r="G48"/>
  <c r="E48"/>
  <c r="D48"/>
  <c r="B48"/>
  <c r="I47"/>
  <c r="E47"/>
  <c r="G47" s="1"/>
  <c r="D47"/>
  <c r="B47"/>
  <c r="E46"/>
  <c r="G46" s="1"/>
  <c r="D46"/>
  <c r="B46"/>
  <c r="I45"/>
  <c r="E45"/>
  <c r="G45" s="1"/>
  <c r="D45"/>
  <c r="B45"/>
  <c r="G44"/>
  <c r="E44"/>
  <c r="D44"/>
  <c r="B44"/>
  <c r="AH43"/>
  <c r="AH55" s="1"/>
  <c r="AG43"/>
  <c r="AG55" s="1"/>
  <c r="AF43"/>
  <c r="AF55" s="1"/>
  <c r="AE43"/>
  <c r="AE55" s="1"/>
  <c r="AD43"/>
  <c r="AD55" s="1"/>
  <c r="AC43"/>
  <c r="AC55" s="1"/>
  <c r="AB43"/>
  <c r="AA43"/>
  <c r="AA55" s="1"/>
  <c r="Z43"/>
  <c r="Z55" s="1"/>
  <c r="Y43"/>
  <c r="Y55" s="1"/>
  <c r="X43"/>
  <c r="X55" s="1"/>
  <c r="W43"/>
  <c r="W55" s="1"/>
  <c r="V43"/>
  <c r="V55" s="1"/>
  <c r="U43"/>
  <c r="U55" s="1"/>
  <c r="T43"/>
  <c r="S43"/>
  <c r="S55" s="1"/>
  <c r="R43"/>
  <c r="R55" s="1"/>
  <c r="Q43"/>
  <c r="Q55" s="1"/>
  <c r="P43"/>
  <c r="P55" s="1"/>
  <c r="O43"/>
  <c r="O55" s="1"/>
  <c r="N43"/>
  <c r="N55" s="1"/>
  <c r="M43"/>
  <c r="M55" s="1"/>
  <c r="L43"/>
  <c r="K43"/>
  <c r="K55" s="1"/>
  <c r="J43"/>
  <c r="F43"/>
  <c r="F55" s="1"/>
  <c r="I42"/>
  <c r="E42"/>
  <c r="G42" s="1"/>
  <c r="D42"/>
  <c r="B42"/>
  <c r="I41"/>
  <c r="G41"/>
  <c r="E41"/>
  <c r="D41"/>
  <c r="B41"/>
  <c r="I40"/>
  <c r="E40"/>
  <c r="G40" s="1"/>
  <c r="D40"/>
  <c r="B40"/>
  <c r="I39"/>
  <c r="E39"/>
  <c r="G39" s="1"/>
  <c r="D39"/>
  <c r="B39"/>
  <c r="I38"/>
  <c r="E38"/>
  <c r="G38" s="1"/>
  <c r="D38"/>
  <c r="B38"/>
  <c r="I37"/>
  <c r="G37"/>
  <c r="D37"/>
  <c r="B37"/>
  <c r="I36"/>
  <c r="G36"/>
  <c r="D36"/>
  <c r="B36"/>
  <c r="I35"/>
  <c r="G35"/>
  <c r="D35"/>
  <c r="B35"/>
  <c r="I34"/>
  <c r="G34"/>
  <c r="D34"/>
  <c r="B34"/>
  <c r="I33"/>
  <c r="G33"/>
  <c r="D33"/>
  <c r="B33"/>
  <c r="AJ27"/>
  <c r="AH27"/>
  <c r="AF27"/>
  <c r="AB27"/>
  <c r="Z27"/>
  <c r="X27"/>
  <c r="V27"/>
  <c r="T27"/>
  <c r="R27"/>
  <c r="P27"/>
  <c r="G26"/>
  <c r="AJ18" s="1"/>
  <c r="F26"/>
  <c r="P26" s="1"/>
  <c r="E26"/>
  <c r="H25"/>
  <c r="H24"/>
  <c r="H23"/>
  <c r="H22"/>
  <c r="H21"/>
  <c r="H20"/>
  <c r="H19"/>
  <c r="AH18"/>
  <c r="AF18"/>
  <c r="AD18"/>
  <c r="AB18"/>
  <c r="Z18"/>
  <c r="X18"/>
  <c r="V18"/>
  <c r="T18"/>
  <c r="R18"/>
  <c r="P18"/>
  <c r="H18"/>
  <c r="AF17"/>
  <c r="AD17"/>
  <c r="H17"/>
  <c r="AD16"/>
  <c r="H16"/>
  <c r="G15"/>
  <c r="X7" s="1"/>
  <c r="F15"/>
  <c r="Z6" s="1"/>
  <c r="E15"/>
  <c r="E28" s="1"/>
  <c r="H14"/>
  <c r="H13"/>
  <c r="H12"/>
  <c r="H11"/>
  <c r="H10"/>
  <c r="H9"/>
  <c r="H8"/>
  <c r="AJ7"/>
  <c r="AH7"/>
  <c r="AF7"/>
  <c r="H7"/>
  <c r="AJ6"/>
  <c r="AH6"/>
  <c r="H6"/>
  <c r="AD5"/>
  <c r="AD27" s="1"/>
  <c r="H5"/>
  <c r="AH54" i="1"/>
  <c r="AG54"/>
  <c r="AF54"/>
  <c r="AE54"/>
  <c r="AD54"/>
  <c r="AC54"/>
  <c r="AB54"/>
  <c r="AB55" s="1"/>
  <c r="AA54"/>
  <c r="Z54"/>
  <c r="Y54"/>
  <c r="X54"/>
  <c r="W54"/>
  <c r="V54"/>
  <c r="U54"/>
  <c r="T54"/>
  <c r="T55" s="1"/>
  <c r="S54"/>
  <c r="R54"/>
  <c r="Q54"/>
  <c r="P54"/>
  <c r="O54"/>
  <c r="N54"/>
  <c r="M54"/>
  <c r="L54"/>
  <c r="K54"/>
  <c r="J54"/>
  <c r="F54"/>
  <c r="I53"/>
  <c r="E53"/>
  <c r="G53" s="1"/>
  <c r="D53"/>
  <c r="B53"/>
  <c r="I52"/>
  <c r="E52"/>
  <c r="G52" s="1"/>
  <c r="D52"/>
  <c r="B52"/>
  <c r="I51"/>
  <c r="E51"/>
  <c r="G51" s="1"/>
  <c r="D51"/>
  <c r="B51"/>
  <c r="I50"/>
  <c r="E50"/>
  <c r="G50" s="1"/>
  <c r="D50"/>
  <c r="B50"/>
  <c r="I49"/>
  <c r="G49"/>
  <c r="E49"/>
  <c r="D49"/>
  <c r="B49"/>
  <c r="I48"/>
  <c r="E48"/>
  <c r="G48" s="1"/>
  <c r="D48"/>
  <c r="B48"/>
  <c r="I47"/>
  <c r="E47"/>
  <c r="G47" s="1"/>
  <c r="D47"/>
  <c r="B47"/>
  <c r="E46"/>
  <c r="G46" s="1"/>
  <c r="D46"/>
  <c r="B46"/>
  <c r="I45"/>
  <c r="E45"/>
  <c r="G45" s="1"/>
  <c r="D45"/>
  <c r="B45"/>
  <c r="E44"/>
  <c r="G44" s="1"/>
  <c r="D44"/>
  <c r="B44"/>
  <c r="AH43"/>
  <c r="AG43"/>
  <c r="AG55" s="1"/>
  <c r="AF43"/>
  <c r="AF55" s="1"/>
  <c r="AE43"/>
  <c r="AD43"/>
  <c r="AD55" s="1"/>
  <c r="AC43"/>
  <c r="AC55" s="1"/>
  <c r="AB43"/>
  <c r="AA43"/>
  <c r="AA55" s="1"/>
  <c r="Z43"/>
  <c r="Y43"/>
  <c r="Y55" s="1"/>
  <c r="X43"/>
  <c r="X55" s="1"/>
  <c r="W43"/>
  <c r="V43"/>
  <c r="V55" s="1"/>
  <c r="U43"/>
  <c r="U55" s="1"/>
  <c r="T43"/>
  <c r="S43"/>
  <c r="S55" s="1"/>
  <c r="R43"/>
  <c r="Q43"/>
  <c r="Q55" s="1"/>
  <c r="P43"/>
  <c r="P55" s="1"/>
  <c r="O43"/>
  <c r="N43"/>
  <c r="N55" s="1"/>
  <c r="M43"/>
  <c r="L43"/>
  <c r="K43"/>
  <c r="K55" s="1"/>
  <c r="J43"/>
  <c r="F43"/>
  <c r="F55" s="1"/>
  <c r="I42"/>
  <c r="E42"/>
  <c r="G42" s="1"/>
  <c r="D42"/>
  <c r="B42"/>
  <c r="I41"/>
  <c r="G41"/>
  <c r="E41"/>
  <c r="D41"/>
  <c r="B41"/>
  <c r="I40"/>
  <c r="E40"/>
  <c r="G40" s="1"/>
  <c r="D40"/>
  <c r="B40"/>
  <c r="I39"/>
  <c r="E39"/>
  <c r="G39" s="1"/>
  <c r="D39"/>
  <c r="B39"/>
  <c r="I38"/>
  <c r="E38"/>
  <c r="G38" s="1"/>
  <c r="D38"/>
  <c r="B38"/>
  <c r="I37"/>
  <c r="G37"/>
  <c r="E37"/>
  <c r="D37"/>
  <c r="B37"/>
  <c r="I36"/>
  <c r="E36"/>
  <c r="G36" s="1"/>
  <c r="D36"/>
  <c r="B36"/>
  <c r="I35"/>
  <c r="G35"/>
  <c r="D35"/>
  <c r="B35"/>
  <c r="I34"/>
  <c r="E34"/>
  <c r="G34" s="1"/>
  <c r="D34"/>
  <c r="B34"/>
  <c r="I33"/>
  <c r="E33"/>
  <c r="G33" s="1"/>
  <c r="D33"/>
  <c r="B33"/>
  <c r="AJ27"/>
  <c r="AH27"/>
  <c r="AF27"/>
  <c r="AB27"/>
  <c r="Z27"/>
  <c r="X27"/>
  <c r="V27"/>
  <c r="T27"/>
  <c r="R27"/>
  <c r="P27"/>
  <c r="G26"/>
  <c r="F26"/>
  <c r="H26" s="1"/>
  <c r="E26"/>
  <c r="H25"/>
  <c r="H24"/>
  <c r="H23"/>
  <c r="H22"/>
  <c r="H21"/>
  <c r="H20"/>
  <c r="H19"/>
  <c r="AJ18"/>
  <c r="AH18"/>
  <c r="AF18"/>
  <c r="AD18"/>
  <c r="AB18"/>
  <c r="Z18"/>
  <c r="X18"/>
  <c r="V18"/>
  <c r="T18"/>
  <c r="R18"/>
  <c r="P18"/>
  <c r="H18"/>
  <c r="AJ17"/>
  <c r="AH17"/>
  <c r="AF17"/>
  <c r="AD17"/>
  <c r="AB17"/>
  <c r="Z17"/>
  <c r="X17"/>
  <c r="V17"/>
  <c r="T17"/>
  <c r="R17"/>
  <c r="P17"/>
  <c r="H17"/>
  <c r="AD16"/>
  <c r="H16"/>
  <c r="P15"/>
  <c r="G15"/>
  <c r="X7" s="1"/>
  <c r="F15"/>
  <c r="P13" s="1"/>
  <c r="E15"/>
  <c r="E28" s="1"/>
  <c r="H14"/>
  <c r="H13"/>
  <c r="H12"/>
  <c r="H11"/>
  <c r="H10"/>
  <c r="H9"/>
  <c r="H8"/>
  <c r="AJ7"/>
  <c r="AH7"/>
  <c r="R7"/>
  <c r="H7"/>
  <c r="AJ6"/>
  <c r="AH6"/>
  <c r="AF6"/>
  <c r="AD6"/>
  <c r="AB6"/>
  <c r="Z6"/>
  <c r="X6"/>
  <c r="V6"/>
  <c r="T6"/>
  <c r="R6"/>
  <c r="P6"/>
  <c r="H6"/>
  <c r="AD5"/>
  <c r="AD27" s="1"/>
  <c r="H5"/>
  <c r="AH54" i="32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F54"/>
  <c r="I53"/>
  <c r="E53"/>
  <c r="G53" s="1"/>
  <c r="D53"/>
  <c r="B53"/>
  <c r="I52"/>
  <c r="E52"/>
  <c r="G52" s="1"/>
  <c r="D52"/>
  <c r="B52"/>
  <c r="I51"/>
  <c r="G51"/>
  <c r="E51"/>
  <c r="D51"/>
  <c r="B51"/>
  <c r="I50"/>
  <c r="E50"/>
  <c r="G50" s="1"/>
  <c r="D50"/>
  <c r="B50"/>
  <c r="I49"/>
  <c r="E49"/>
  <c r="G49" s="1"/>
  <c r="D49"/>
  <c r="B49"/>
  <c r="I48"/>
  <c r="E48"/>
  <c r="G48" s="1"/>
  <c r="D48"/>
  <c r="B48"/>
  <c r="I47"/>
  <c r="G47"/>
  <c r="E47"/>
  <c r="D47"/>
  <c r="B47"/>
  <c r="G46"/>
  <c r="D46"/>
  <c r="B46"/>
  <c r="I45"/>
  <c r="E45"/>
  <c r="G45" s="1"/>
  <c r="D45"/>
  <c r="B45"/>
  <c r="E44"/>
  <c r="D44"/>
  <c r="B44"/>
  <c r="AH43"/>
  <c r="AH55" s="1"/>
  <c r="AG43"/>
  <c r="AF43"/>
  <c r="AF55" s="1"/>
  <c r="AE43"/>
  <c r="AE55" s="1"/>
  <c r="AD43"/>
  <c r="AC43"/>
  <c r="AC55" s="1"/>
  <c r="AB43"/>
  <c r="AB55" s="1"/>
  <c r="AA43"/>
  <c r="AA55" s="1"/>
  <c r="Z43"/>
  <c r="Y43"/>
  <c r="X43"/>
  <c r="X55" s="1"/>
  <c r="W43"/>
  <c r="W55" s="1"/>
  <c r="V43"/>
  <c r="U43"/>
  <c r="U55" s="1"/>
  <c r="T43"/>
  <c r="T55" s="1"/>
  <c r="S43"/>
  <c r="S55" s="1"/>
  <c r="R43"/>
  <c r="Q43"/>
  <c r="P43"/>
  <c r="P55" s="1"/>
  <c r="O43"/>
  <c r="O55" s="1"/>
  <c r="N43"/>
  <c r="M43"/>
  <c r="M55" s="1"/>
  <c r="L43"/>
  <c r="L55" s="1"/>
  <c r="K43"/>
  <c r="K55" s="1"/>
  <c r="J43"/>
  <c r="F43"/>
  <c r="I42"/>
  <c r="E42"/>
  <c r="D42"/>
  <c r="B42"/>
  <c r="I41"/>
  <c r="G41"/>
  <c r="E41"/>
  <c r="D41"/>
  <c r="B41"/>
  <c r="I40"/>
  <c r="G40"/>
  <c r="E40"/>
  <c r="D40"/>
  <c r="B40"/>
  <c r="I39"/>
  <c r="G39"/>
  <c r="E39"/>
  <c r="D39"/>
  <c r="B39"/>
  <c r="I38"/>
  <c r="G38"/>
  <c r="D38"/>
  <c r="B38"/>
  <c r="I37"/>
  <c r="G37"/>
  <c r="D37"/>
  <c r="B37"/>
  <c r="I36"/>
  <c r="G36"/>
  <c r="D36"/>
  <c r="B36"/>
  <c r="I35"/>
  <c r="G35"/>
  <c r="D35"/>
  <c r="B35"/>
  <c r="I34"/>
  <c r="G34"/>
  <c r="D34"/>
  <c r="B34"/>
  <c r="I33"/>
  <c r="E43"/>
  <c r="D33"/>
  <c r="B33"/>
  <c r="AJ27"/>
  <c r="AH27"/>
  <c r="AF27"/>
  <c r="AB27"/>
  <c r="Z27"/>
  <c r="X27"/>
  <c r="V27"/>
  <c r="T27"/>
  <c r="R27"/>
  <c r="P27"/>
  <c r="G26"/>
  <c r="V18" s="1"/>
  <c r="F26"/>
  <c r="P24" s="1"/>
  <c r="E26"/>
  <c r="H25"/>
  <c r="H24"/>
  <c r="H23"/>
  <c r="H22"/>
  <c r="H21"/>
  <c r="H20"/>
  <c r="H19"/>
  <c r="AF18"/>
  <c r="X18"/>
  <c r="H18"/>
  <c r="AF17"/>
  <c r="H17"/>
  <c r="AD16"/>
  <c r="H16"/>
  <c r="G15"/>
  <c r="F15"/>
  <c r="H15" s="1"/>
  <c r="E15"/>
  <c r="H14"/>
  <c r="P13"/>
  <c r="H13"/>
  <c r="H12"/>
  <c r="H11"/>
  <c r="H10"/>
  <c r="H9"/>
  <c r="H8"/>
  <c r="AJ7"/>
  <c r="AH7"/>
  <c r="H7"/>
  <c r="AJ6"/>
  <c r="AH6"/>
  <c r="AF6"/>
  <c r="Z6"/>
  <c r="H6"/>
  <c r="AD27"/>
  <c r="H5"/>
  <c r="AD7" i="17" l="1"/>
  <c r="AD27"/>
  <c r="V18"/>
  <c r="X18"/>
  <c r="Z18"/>
  <c r="AB18"/>
  <c r="AD18"/>
  <c r="P18"/>
  <c r="R18"/>
  <c r="AJ18"/>
  <c r="T18"/>
  <c r="P6"/>
  <c r="F28"/>
  <c r="AH28" s="1"/>
  <c r="X6"/>
  <c r="Z6"/>
  <c r="Z7"/>
  <c r="AB6"/>
  <c r="R17" i="33"/>
  <c r="X7" i="10"/>
  <c r="Z7"/>
  <c r="AC55" i="23"/>
  <c r="Y55"/>
  <c r="M55"/>
  <c r="AD17" i="24"/>
  <c r="X18"/>
  <c r="V17"/>
  <c r="P18"/>
  <c r="Z17"/>
  <c r="T18"/>
  <c r="AB17"/>
  <c r="V18"/>
  <c r="AH18"/>
  <c r="AJ18"/>
  <c r="Z18"/>
  <c r="AD18"/>
  <c r="AD6"/>
  <c r="AD27"/>
  <c r="AD28" s="1"/>
  <c r="AD7"/>
  <c r="X7"/>
  <c r="V7"/>
  <c r="V6"/>
  <c r="AB6"/>
  <c r="P6"/>
  <c r="R6"/>
  <c r="T6"/>
  <c r="X6"/>
  <c r="Z6"/>
  <c r="F28" i="23"/>
  <c r="AD28" s="1"/>
  <c r="V17"/>
  <c r="X17"/>
  <c r="AB17"/>
  <c r="AD17"/>
  <c r="X18"/>
  <c r="T17"/>
  <c r="AJ17"/>
  <c r="AD18"/>
  <c r="AD7" i="22"/>
  <c r="P7"/>
  <c r="V7"/>
  <c r="X7"/>
  <c r="AB7"/>
  <c r="Z7"/>
  <c r="G28"/>
  <c r="V7" i="20"/>
  <c r="AF6"/>
  <c r="E28" i="21"/>
  <c r="E9" i="2"/>
  <c r="E15" s="1"/>
  <c r="Q55" i="20"/>
  <c r="Y55"/>
  <c r="AG55"/>
  <c r="L55"/>
  <c r="T55"/>
  <c r="AB55"/>
  <c r="P55"/>
  <c r="AF55"/>
  <c r="I54"/>
  <c r="AD27"/>
  <c r="AH27" i="2"/>
  <c r="AD16"/>
  <c r="V55" i="18"/>
  <c r="F55"/>
  <c r="AB6" i="20"/>
  <c r="AD6"/>
  <c r="X7"/>
  <c r="Z7"/>
  <c r="AD7"/>
  <c r="P6"/>
  <c r="Z6"/>
  <c r="R6"/>
  <c r="V6"/>
  <c r="R7"/>
  <c r="AF17" i="18"/>
  <c r="Z17"/>
  <c r="AD29"/>
  <c r="Z18"/>
  <c r="E28"/>
  <c r="H15"/>
  <c r="T7" i="30"/>
  <c r="X7"/>
  <c r="Z7"/>
  <c r="G28"/>
  <c r="T6" i="29"/>
  <c r="P6"/>
  <c r="X6"/>
  <c r="Z6"/>
  <c r="F55" i="26"/>
  <c r="R7" i="28"/>
  <c r="AD7"/>
  <c r="AD7" i="26"/>
  <c r="I54"/>
  <c r="W55" i="7"/>
  <c r="R55"/>
  <c r="AD17" i="26"/>
  <c r="AH17"/>
  <c r="P17"/>
  <c r="V18"/>
  <c r="AF7"/>
  <c r="X7"/>
  <c r="V7"/>
  <c r="Z7"/>
  <c r="AD6"/>
  <c r="T18" i="34"/>
  <c r="X18"/>
  <c r="Z18"/>
  <c r="AB18"/>
  <c r="P17"/>
  <c r="E28"/>
  <c r="R6"/>
  <c r="Z7"/>
  <c r="AB7"/>
  <c r="P15"/>
  <c r="P6"/>
  <c r="AD7"/>
  <c r="P7"/>
  <c r="R7"/>
  <c r="T7"/>
  <c r="V7"/>
  <c r="X7"/>
  <c r="H15"/>
  <c r="I43" i="9"/>
  <c r="F55"/>
  <c r="AD27"/>
  <c r="X28"/>
  <c r="X17"/>
  <c r="Z17"/>
  <c r="R18"/>
  <c r="H26"/>
  <c r="AB17"/>
  <c r="X18"/>
  <c r="AD17"/>
  <c r="P17"/>
  <c r="E28"/>
  <c r="R17"/>
  <c r="AH17"/>
  <c r="AB6"/>
  <c r="AD7"/>
  <c r="P15"/>
  <c r="AD6"/>
  <c r="P17" i="5"/>
  <c r="R17"/>
  <c r="V17"/>
  <c r="AF18"/>
  <c r="AB17"/>
  <c r="AH17"/>
  <c r="AJ17"/>
  <c r="T17"/>
  <c r="X17"/>
  <c r="Z17"/>
  <c r="AF17"/>
  <c r="AD17"/>
  <c r="H26"/>
  <c r="AB6"/>
  <c r="V55" i="8"/>
  <c r="F55"/>
  <c r="P7" i="6"/>
  <c r="AF7"/>
  <c r="P6"/>
  <c r="X6"/>
  <c r="V17" i="8"/>
  <c r="Z17"/>
  <c r="V18"/>
  <c r="AB17"/>
  <c r="X18"/>
  <c r="AD17"/>
  <c r="AD18"/>
  <c r="P17"/>
  <c r="F55" i="7"/>
  <c r="AD18"/>
  <c r="AD27"/>
  <c r="Z29"/>
  <c r="B6" i="37" s="1"/>
  <c r="E28" i="7"/>
  <c r="X17"/>
  <c r="T6" i="6"/>
  <c r="T7"/>
  <c r="R6"/>
  <c r="R7"/>
  <c r="AB7"/>
  <c r="AD7"/>
  <c r="X7"/>
  <c r="Z7"/>
  <c r="Z6"/>
  <c r="P13"/>
  <c r="AB6"/>
  <c r="AD6"/>
  <c r="H15"/>
  <c r="V6"/>
  <c r="H15" i="3"/>
  <c r="P6"/>
  <c r="T6"/>
  <c r="V6"/>
  <c r="AF6"/>
  <c r="AD6"/>
  <c r="R6"/>
  <c r="F55" i="32"/>
  <c r="AB18"/>
  <c r="AD18"/>
  <c r="P18"/>
  <c r="R18"/>
  <c r="AH18"/>
  <c r="Z18"/>
  <c r="G28"/>
  <c r="T18"/>
  <c r="AJ18"/>
  <c r="P6"/>
  <c r="X6"/>
  <c r="V6"/>
  <c r="J55" i="13"/>
  <c r="I54" i="14"/>
  <c r="J55"/>
  <c r="I54" i="23"/>
  <c r="I54" i="32"/>
  <c r="J55" i="3"/>
  <c r="J55" i="11"/>
  <c r="I54" i="15"/>
  <c r="I54" i="27"/>
  <c r="I54" i="21"/>
  <c r="N55" i="7"/>
  <c r="V55"/>
  <c r="AD55"/>
  <c r="J55" i="26"/>
  <c r="R55"/>
  <c r="AH55"/>
  <c r="R55" i="20"/>
  <c r="Z55"/>
  <c r="AH55"/>
  <c r="I54" i="13"/>
  <c r="R55" i="16"/>
  <c r="Z55"/>
  <c r="AH55"/>
  <c r="O55" i="8"/>
  <c r="W55"/>
  <c r="AE55"/>
  <c r="I54"/>
  <c r="I54" i="28"/>
  <c r="I54" i="31"/>
  <c r="I54" i="18"/>
  <c r="P55" i="13"/>
  <c r="X55"/>
  <c r="AF55"/>
  <c r="L55" i="3"/>
  <c r="I54" i="7"/>
  <c r="L55" i="9"/>
  <c r="T55"/>
  <c r="AB55"/>
  <c r="K55" i="28"/>
  <c r="S55"/>
  <c r="AA55"/>
  <c r="N55" i="30"/>
  <c r="V55"/>
  <c r="AD55"/>
  <c r="I54"/>
  <c r="K55" i="31"/>
  <c r="S55"/>
  <c r="AA55"/>
  <c r="Q55" i="18"/>
  <c r="Y55"/>
  <c r="AG55"/>
  <c r="Q55" i="21"/>
  <c r="Y55"/>
  <c r="AG55"/>
  <c r="N55" i="22"/>
  <c r="V55"/>
  <c r="AD55"/>
  <c r="N55" i="10"/>
  <c r="AD55"/>
  <c r="J55" i="33"/>
  <c r="R55"/>
  <c r="Z55"/>
  <c r="AH55"/>
  <c r="I54"/>
  <c r="L55" i="17"/>
  <c r="T55"/>
  <c r="AB55"/>
  <c r="I54" i="5"/>
  <c r="M55" i="34"/>
  <c r="U55"/>
  <c r="AC55"/>
  <c r="I54"/>
  <c r="Q55" i="27"/>
  <c r="Y55"/>
  <c r="AG55"/>
  <c r="I54" i="11"/>
  <c r="P55" i="12"/>
  <c r="X55"/>
  <c r="AF55"/>
  <c r="N55" i="15"/>
  <c r="V55"/>
  <c r="AD55"/>
  <c r="I54" i="1"/>
  <c r="I54" i="9"/>
  <c r="I54" i="17"/>
  <c r="I54" i="3"/>
  <c r="I54" i="24"/>
  <c r="M55" i="31"/>
  <c r="U55"/>
  <c r="AC55"/>
  <c r="I43" i="20"/>
  <c r="I55" s="1"/>
  <c r="O55" i="11"/>
  <c r="N55" i="12"/>
  <c r="U55" i="13"/>
  <c r="M55" i="33"/>
  <c r="U55"/>
  <c r="AC55"/>
  <c r="I43" i="1"/>
  <c r="I43" i="22"/>
  <c r="T55" i="15"/>
  <c r="K55" i="5"/>
  <c r="S55"/>
  <c r="AG55" i="11"/>
  <c r="I43" i="32"/>
  <c r="I55" s="1"/>
  <c r="L55" i="1"/>
  <c r="T55" i="3"/>
  <c r="AB55"/>
  <c r="R55" i="34"/>
  <c r="J55" i="22"/>
  <c r="R55"/>
  <c r="Z55"/>
  <c r="T55" i="14"/>
  <c r="Q55" i="4"/>
  <c r="Y55"/>
  <c r="I43" i="18"/>
  <c r="N55" i="21"/>
  <c r="V55"/>
  <c r="I43" i="5"/>
  <c r="I55" s="1"/>
  <c r="AB55" i="34"/>
  <c r="Q55" i="23"/>
  <c r="AG55"/>
  <c r="AH55" i="13"/>
  <c r="K55" i="16"/>
  <c r="AA55"/>
  <c r="J55" i="32"/>
  <c r="R55"/>
  <c r="Z55"/>
  <c r="Z55" i="26"/>
  <c r="X18" i="5"/>
  <c r="X18" i="14"/>
  <c r="F28" i="1"/>
  <c r="X28" s="1"/>
  <c r="P17" i="3"/>
  <c r="T18" i="6"/>
  <c r="AJ18"/>
  <c r="Z18" i="8"/>
  <c r="Z18" i="5"/>
  <c r="R17" i="34"/>
  <c r="AH17"/>
  <c r="X18" i="26"/>
  <c r="P26"/>
  <c r="R17" i="28"/>
  <c r="AH17"/>
  <c r="Z18"/>
  <c r="R17" i="31"/>
  <c r="AH17"/>
  <c r="AB17" i="18"/>
  <c r="AD17" i="20"/>
  <c r="Z17" i="21"/>
  <c r="T18" i="22"/>
  <c r="AJ18"/>
  <c r="X17" i="13"/>
  <c r="Z18" i="14"/>
  <c r="X17" i="33"/>
  <c r="P17" i="32"/>
  <c r="R17" i="3"/>
  <c r="AH17"/>
  <c r="AB18" i="5"/>
  <c r="T17" i="34"/>
  <c r="AJ17"/>
  <c r="E54"/>
  <c r="G54" s="1"/>
  <c r="Z18" i="26"/>
  <c r="T17" i="28"/>
  <c r="AJ17"/>
  <c r="AB18"/>
  <c r="AF17" i="30"/>
  <c r="T17" i="31"/>
  <c r="AJ17"/>
  <c r="H26"/>
  <c r="AD17" i="18"/>
  <c r="H26"/>
  <c r="AB17" i="21"/>
  <c r="V18" i="22"/>
  <c r="AH17" i="11"/>
  <c r="F28" i="14"/>
  <c r="AJ17"/>
  <c r="AB18"/>
  <c r="AD17" i="16"/>
  <c r="V18"/>
  <c r="AD17" i="33"/>
  <c r="E54"/>
  <c r="G54" s="1"/>
  <c r="R17" i="17"/>
  <c r="AH17"/>
  <c r="E54" i="32"/>
  <c r="G54" s="1"/>
  <c r="T17" i="3"/>
  <c r="AJ17"/>
  <c r="AD18" i="5"/>
  <c r="T18" i="9"/>
  <c r="AJ18"/>
  <c r="V17" i="34"/>
  <c r="G44"/>
  <c r="AJ17" i="26"/>
  <c r="AB18"/>
  <c r="AD18" i="28"/>
  <c r="R17" i="30"/>
  <c r="AJ17"/>
  <c r="H26"/>
  <c r="F28" i="31"/>
  <c r="P28" s="1"/>
  <c r="V17"/>
  <c r="P26"/>
  <c r="P17" i="18"/>
  <c r="P17" i="20"/>
  <c r="AJ17"/>
  <c r="G28" i="14"/>
  <c r="AD18"/>
  <c r="E28" i="17"/>
  <c r="T17"/>
  <c r="AJ17"/>
  <c r="H26"/>
  <c r="P17" i="31"/>
  <c r="V17" i="3"/>
  <c r="E54"/>
  <c r="G54" s="1"/>
  <c r="Z18" i="6"/>
  <c r="P18" i="5"/>
  <c r="V18" i="9"/>
  <c r="X17" i="34"/>
  <c r="V17" i="26"/>
  <c r="AD18"/>
  <c r="X17" i="28"/>
  <c r="P18"/>
  <c r="X17" i="31"/>
  <c r="R17" i="18"/>
  <c r="AH17"/>
  <c r="R17" i="20"/>
  <c r="P17" i="21"/>
  <c r="Z18" i="22"/>
  <c r="E28" i="24"/>
  <c r="AB18" i="10"/>
  <c r="P18" i="13"/>
  <c r="P18" i="14"/>
  <c r="AF18"/>
  <c r="E54"/>
  <c r="G54" s="1"/>
  <c r="R17" i="16"/>
  <c r="AH17"/>
  <c r="AH17" i="33"/>
  <c r="V17" i="17"/>
  <c r="P26"/>
  <c r="AF17" i="34"/>
  <c r="X17" i="3"/>
  <c r="AB18" i="6"/>
  <c r="R18" i="5"/>
  <c r="AH18"/>
  <c r="Z17" i="34"/>
  <c r="P24"/>
  <c r="G28" i="26"/>
  <c r="X17"/>
  <c r="P18"/>
  <c r="Z17" i="28"/>
  <c r="R18"/>
  <c r="AH18"/>
  <c r="Z17" i="31"/>
  <c r="P24"/>
  <c r="T17" i="18"/>
  <c r="AJ17"/>
  <c r="T17" i="20"/>
  <c r="R17" i="21"/>
  <c r="AH17"/>
  <c r="AB18" i="22"/>
  <c r="E54" i="24"/>
  <c r="G54" s="1"/>
  <c r="R18" i="14"/>
  <c r="AH18"/>
  <c r="T17" i="16"/>
  <c r="AJ17"/>
  <c r="H26"/>
  <c r="X17" i="17"/>
  <c r="X18" i="28"/>
  <c r="P26" i="1"/>
  <c r="Z17" i="3"/>
  <c r="AD18" i="6"/>
  <c r="T18" i="5"/>
  <c r="AJ18"/>
  <c r="AB17" i="34"/>
  <c r="Z17" i="26"/>
  <c r="R18"/>
  <c r="AJ18"/>
  <c r="AB17" i="28"/>
  <c r="T18"/>
  <c r="AJ18"/>
  <c r="X17" i="30"/>
  <c r="P24"/>
  <c r="E54"/>
  <c r="G54" s="1"/>
  <c r="AB17" i="31"/>
  <c r="V17" i="18"/>
  <c r="V17" i="20"/>
  <c r="T17" i="21"/>
  <c r="AJ17"/>
  <c r="AD18" i="22"/>
  <c r="X18" i="13"/>
  <c r="T18" i="14"/>
  <c r="AJ18"/>
  <c r="AD17" i="15"/>
  <c r="V17" i="16"/>
  <c r="E54"/>
  <c r="G54" s="1"/>
  <c r="V18" i="33"/>
  <c r="Z17" i="17"/>
  <c r="P24"/>
  <c r="AB17" i="3"/>
  <c r="AD17" i="34"/>
  <c r="T18" i="26"/>
  <c r="E54" i="31"/>
  <c r="G54" s="1"/>
  <c r="X17" i="18"/>
  <c r="X17" i="20"/>
  <c r="V17" i="21"/>
  <c r="P18" i="22"/>
  <c r="AF18"/>
  <c r="R18" i="10"/>
  <c r="AJ18"/>
  <c r="P26" i="11"/>
  <c r="X17" i="16"/>
  <c r="P17" i="33"/>
  <c r="Z18"/>
  <c r="E54" i="17"/>
  <c r="G54" s="1"/>
  <c r="E28" i="32"/>
  <c r="E42" i="2"/>
  <c r="G42" s="1"/>
  <c r="D11" i="41" s="1"/>
  <c r="Z7" i="1"/>
  <c r="P15" i="3"/>
  <c r="V6" i="7"/>
  <c r="X6" i="8"/>
  <c r="V6" i="34"/>
  <c r="AB7" i="18"/>
  <c r="X6" i="20"/>
  <c r="P7"/>
  <c r="T7" i="24"/>
  <c r="AB7" i="11"/>
  <c r="G34" i="13"/>
  <c r="P6" i="14"/>
  <c r="AB7" i="16"/>
  <c r="V7" i="33"/>
  <c r="E43"/>
  <c r="R7" i="17"/>
  <c r="V6" i="8"/>
  <c r="Z7" i="18"/>
  <c r="AB7" i="32"/>
  <c r="AD7"/>
  <c r="AD7" i="1"/>
  <c r="X6" i="3"/>
  <c r="Z7"/>
  <c r="Z6" i="7"/>
  <c r="Z6" i="8"/>
  <c r="P15"/>
  <c r="AD7" i="18"/>
  <c r="R6" i="14"/>
  <c r="P15"/>
  <c r="AD6" i="15"/>
  <c r="AD7" i="16"/>
  <c r="X7" i="33"/>
  <c r="F28"/>
  <c r="G36"/>
  <c r="T7" i="17"/>
  <c r="G28"/>
  <c r="AF7" i="32"/>
  <c r="AB6" i="8"/>
  <c r="H15" i="31"/>
  <c r="P7" i="18"/>
  <c r="E43"/>
  <c r="G43" s="1"/>
  <c r="T6" i="14"/>
  <c r="P7" i="16"/>
  <c r="E28"/>
  <c r="Z7" i="33"/>
  <c r="V7" i="17"/>
  <c r="R6" i="7"/>
  <c r="Z7" i="16"/>
  <c r="E41" i="2"/>
  <c r="G41" s="1"/>
  <c r="D10" i="41" s="1"/>
  <c r="AB6" i="3"/>
  <c r="P13"/>
  <c r="AD6" i="8"/>
  <c r="E43" i="9"/>
  <c r="AB6" i="34"/>
  <c r="P15" i="31"/>
  <c r="R7" i="18"/>
  <c r="P6" i="22"/>
  <c r="AD6" i="23"/>
  <c r="Z7" i="24"/>
  <c r="P15"/>
  <c r="V6" i="14"/>
  <c r="AB7"/>
  <c r="P6" i="15"/>
  <c r="R7" i="16"/>
  <c r="P13"/>
  <c r="X7" i="17"/>
  <c r="P7" i="32"/>
  <c r="P6" i="8"/>
  <c r="P13"/>
  <c r="G33" i="5"/>
  <c r="G33" i="9"/>
  <c r="Z7" i="4"/>
  <c r="AD6" i="34"/>
  <c r="P6" i="26"/>
  <c r="E28" i="30"/>
  <c r="T7" i="18"/>
  <c r="E43" i="20"/>
  <c r="G43" s="1"/>
  <c r="AB7" i="24"/>
  <c r="E43" i="11"/>
  <c r="Z7" i="13"/>
  <c r="X6" i="14"/>
  <c r="T7" i="16"/>
  <c r="Z7" i="32"/>
  <c r="R6" i="8"/>
  <c r="R6" i="26"/>
  <c r="E43" i="28"/>
  <c r="E55" s="1"/>
  <c r="G55" s="1"/>
  <c r="C14" i="39" s="1"/>
  <c r="V7" i="18"/>
  <c r="AB6" i="14"/>
  <c r="V7" i="16"/>
  <c r="AB7" i="17"/>
  <c r="R7" i="32"/>
  <c r="X7"/>
  <c r="E43" i="3"/>
  <c r="G43" s="1"/>
  <c r="T6" i="8"/>
  <c r="V6" i="26"/>
  <c r="X7" i="18"/>
  <c r="T6" i="20"/>
  <c r="AB7"/>
  <c r="V6" i="22"/>
  <c r="F28"/>
  <c r="Z28" s="1"/>
  <c r="T6" i="23"/>
  <c r="P7" i="24"/>
  <c r="G33"/>
  <c r="AD6" i="14"/>
  <c r="X7" i="16"/>
  <c r="P15" i="4"/>
  <c r="P13"/>
  <c r="C2" i="41"/>
  <c r="H11" i="2"/>
  <c r="V7" i="4"/>
  <c r="H15"/>
  <c r="AB6" i="32"/>
  <c r="T7"/>
  <c r="AD6"/>
  <c r="V7"/>
  <c r="R6"/>
  <c r="T6"/>
  <c r="M55" i="20"/>
  <c r="O55" i="1"/>
  <c r="W55"/>
  <c r="AE55"/>
  <c r="J55" i="8"/>
  <c r="R55"/>
  <c r="Z55"/>
  <c r="AH55"/>
  <c r="R55" i="5"/>
  <c r="Z55"/>
  <c r="AH55"/>
  <c r="J55" i="4"/>
  <c r="R55"/>
  <c r="Z55"/>
  <c r="AH55"/>
  <c r="O55" i="34"/>
  <c r="AE55"/>
  <c r="Q55" i="26"/>
  <c r="Y55"/>
  <c r="AG55"/>
  <c r="N55" i="28"/>
  <c r="V55"/>
  <c r="AD55"/>
  <c r="N55" i="31"/>
  <c r="V55"/>
  <c r="AD55"/>
  <c r="O55" i="22"/>
  <c r="W55"/>
  <c r="AE55"/>
  <c r="L55" i="23"/>
  <c r="T55"/>
  <c r="AB55"/>
  <c r="P55" i="24"/>
  <c r="X55"/>
  <c r="AF55"/>
  <c r="P55" i="17"/>
  <c r="X55"/>
  <c r="AF55"/>
  <c r="I42" i="2"/>
  <c r="N55" i="6"/>
  <c r="V55"/>
  <c r="AD55"/>
  <c r="O55" i="9"/>
  <c r="W55"/>
  <c r="AE55"/>
  <c r="J55" i="27"/>
  <c r="R55"/>
  <c r="Z55"/>
  <c r="AH55"/>
  <c r="L55" i="30"/>
  <c r="T55"/>
  <c r="AB55"/>
  <c r="L55" i="18"/>
  <c r="T55"/>
  <c r="AB55"/>
  <c r="I54" i="22"/>
  <c r="N55" i="11"/>
  <c r="V55"/>
  <c r="AD55"/>
  <c r="O55" i="14"/>
  <c r="W55"/>
  <c r="AE55"/>
  <c r="Q55" i="15"/>
  <c r="Y55"/>
  <c r="AG55"/>
  <c r="O55" i="16"/>
  <c r="W55"/>
  <c r="AE55"/>
  <c r="AH55" i="10"/>
  <c r="N55" i="32"/>
  <c r="V55"/>
  <c r="AD55"/>
  <c r="J55" i="1"/>
  <c r="R55"/>
  <c r="Z55"/>
  <c r="AH55"/>
  <c r="M55" i="8"/>
  <c r="U55"/>
  <c r="AC55"/>
  <c r="M55" i="5"/>
  <c r="U55"/>
  <c r="AC55"/>
  <c r="I55" i="9"/>
  <c r="M55" i="4"/>
  <c r="U55"/>
  <c r="AC55"/>
  <c r="J55" i="34"/>
  <c r="Z55"/>
  <c r="AH55"/>
  <c r="L55" i="26"/>
  <c r="T55"/>
  <c r="AB55"/>
  <c r="Q55" i="28"/>
  <c r="Y55"/>
  <c r="AG55"/>
  <c r="Q55" i="31"/>
  <c r="Y55"/>
  <c r="AG55"/>
  <c r="O55" i="23"/>
  <c r="W55"/>
  <c r="AE55"/>
  <c r="K55" i="24"/>
  <c r="S55"/>
  <c r="AA55"/>
  <c r="K55" i="17"/>
  <c r="S55"/>
  <c r="AA55"/>
  <c r="Z55" i="10"/>
  <c r="AD55" i="12"/>
  <c r="I54"/>
  <c r="Q55" i="6"/>
  <c r="Y55"/>
  <c r="AG55"/>
  <c r="J55" i="9"/>
  <c r="R55"/>
  <c r="Z55"/>
  <c r="AH55"/>
  <c r="M55" i="27"/>
  <c r="U55"/>
  <c r="AC55"/>
  <c r="O55" i="30"/>
  <c r="W55"/>
  <c r="AE55"/>
  <c r="O55" i="18"/>
  <c r="W55"/>
  <c r="AE55"/>
  <c r="Q55" i="11"/>
  <c r="Y55"/>
  <c r="L55" i="15"/>
  <c r="AB55"/>
  <c r="I54" i="16"/>
  <c r="I55" s="1"/>
  <c r="I55" i="22"/>
  <c r="M55" i="10"/>
  <c r="U55"/>
  <c r="AC55"/>
  <c r="Q55" i="12"/>
  <c r="Y55"/>
  <c r="AG55"/>
  <c r="R55" i="10"/>
  <c r="V55" i="12"/>
  <c r="Q55" i="33"/>
  <c r="Q55" i="32"/>
  <c r="Y55"/>
  <c r="AG55"/>
  <c r="I55" i="1"/>
  <c r="R55" i="29"/>
  <c r="L55" i="14"/>
  <c r="AB55"/>
  <c r="L55" i="16"/>
  <c r="T55"/>
  <c r="AB55"/>
  <c r="I43" i="6"/>
  <c r="I55" s="1"/>
  <c r="J55" i="5"/>
  <c r="I43" i="4"/>
  <c r="I55" s="1"/>
  <c r="I43" i="23"/>
  <c r="J55" i="16"/>
  <c r="I34" i="2"/>
  <c r="M55" i="1"/>
  <c r="I43" i="21"/>
  <c r="I55" s="1"/>
  <c r="I43" i="17"/>
  <c r="I43" i="3"/>
  <c r="J55" i="20"/>
  <c r="L55" i="22"/>
  <c r="I43" i="33"/>
  <c r="I43" i="30"/>
  <c r="I55" s="1"/>
  <c r="I43" i="31"/>
  <c r="I55" s="1"/>
  <c r="I43" i="24"/>
  <c r="I55" s="1"/>
  <c r="K55" i="18"/>
  <c r="AH55" i="29"/>
  <c r="F55" i="31"/>
  <c r="F55" i="15"/>
  <c r="E54" i="6"/>
  <c r="G54" s="1"/>
  <c r="F55" i="11"/>
  <c r="E43" i="6"/>
  <c r="G43" s="1"/>
  <c r="AF29" i="29"/>
  <c r="AD27" i="10"/>
  <c r="AD27" i="14"/>
  <c r="AF29" i="22"/>
  <c r="AJ29"/>
  <c r="T29"/>
  <c r="AB29" i="17"/>
  <c r="D32" i="37" s="1"/>
  <c r="AF29" i="17"/>
  <c r="T29"/>
  <c r="R29"/>
  <c r="C32" i="37" s="1"/>
  <c r="P29" i="17"/>
  <c r="AJ29"/>
  <c r="AH29"/>
  <c r="V17" i="32"/>
  <c r="AB17"/>
  <c r="P24" i="3"/>
  <c r="H26" i="7"/>
  <c r="P26" i="8"/>
  <c r="E54"/>
  <c r="G54" s="1"/>
  <c r="G45" i="5"/>
  <c r="H26" i="28"/>
  <c r="P26" i="30"/>
  <c r="G44"/>
  <c r="AH18" i="18"/>
  <c r="P24"/>
  <c r="Z17" i="20"/>
  <c r="P24"/>
  <c r="P26" i="23"/>
  <c r="H26" i="24"/>
  <c r="G44"/>
  <c r="AB18" i="11"/>
  <c r="H26"/>
  <c r="R17" i="14"/>
  <c r="AH17"/>
  <c r="T18" i="15"/>
  <c r="X18" i="33"/>
  <c r="AD17" i="32"/>
  <c r="F28" i="6"/>
  <c r="P28" s="1"/>
  <c r="G44"/>
  <c r="P26" i="7"/>
  <c r="P24" i="9"/>
  <c r="P24" i="4"/>
  <c r="P26" i="28"/>
  <c r="P26" i="24"/>
  <c r="E54" i="10"/>
  <c r="G54" s="1"/>
  <c r="G44" i="32"/>
  <c r="P24" i="1"/>
  <c r="F28" i="3"/>
  <c r="X28" s="1"/>
  <c r="E54" i="7"/>
  <c r="G54" s="1"/>
  <c r="R18" i="8"/>
  <c r="AH18"/>
  <c r="P24"/>
  <c r="E55" i="5"/>
  <c r="G55" s="1"/>
  <c r="C8" i="39" s="1"/>
  <c r="H26" i="34"/>
  <c r="E54" i="27"/>
  <c r="G54" s="1"/>
  <c r="E54" i="28"/>
  <c r="G54" s="1"/>
  <c r="F28" i="20"/>
  <c r="AH28" s="1"/>
  <c r="E54" i="21"/>
  <c r="G54" s="1"/>
  <c r="H26" i="22"/>
  <c r="R18" i="23"/>
  <c r="P24"/>
  <c r="V17" i="14"/>
  <c r="P26"/>
  <c r="X18" i="15"/>
  <c r="E28" i="33"/>
  <c r="T17"/>
  <c r="AJ17"/>
  <c r="AB18"/>
  <c r="H26"/>
  <c r="R17" i="32"/>
  <c r="AH17"/>
  <c r="T18" i="8"/>
  <c r="AJ18"/>
  <c r="AB17" i="29"/>
  <c r="AF17"/>
  <c r="T29" i="20"/>
  <c r="P26" i="22"/>
  <c r="AH18" i="11"/>
  <c r="P24" i="13"/>
  <c r="AF17"/>
  <c r="X17" i="14"/>
  <c r="Z18" i="15"/>
  <c r="V17" i="33"/>
  <c r="AD18"/>
  <c r="P26"/>
  <c r="V28" i="17"/>
  <c r="F28" i="32"/>
  <c r="Z28" s="1"/>
  <c r="T17"/>
  <c r="AJ17"/>
  <c r="H26"/>
  <c r="H26" i="6"/>
  <c r="F28" i="8"/>
  <c r="AJ28" s="1"/>
  <c r="P26" i="5"/>
  <c r="T29" i="4"/>
  <c r="H26" i="26"/>
  <c r="E28" i="29"/>
  <c r="AD18"/>
  <c r="AF18"/>
  <c r="E54" i="18"/>
  <c r="G54" s="1"/>
  <c r="AH17" i="20"/>
  <c r="H26" i="21"/>
  <c r="H28" i="23"/>
  <c r="B22" i="39" s="1"/>
  <c r="Z18" i="13"/>
  <c r="AF18"/>
  <c r="Z17" i="14"/>
  <c r="P24"/>
  <c r="AB18" i="15"/>
  <c r="P18" i="33"/>
  <c r="E54" i="1"/>
  <c r="G54" s="1"/>
  <c r="H26" i="3"/>
  <c r="P26" i="6"/>
  <c r="H26" i="20"/>
  <c r="E54"/>
  <c r="G54" s="1"/>
  <c r="P26" i="21"/>
  <c r="P24" i="22"/>
  <c r="E54"/>
  <c r="G54" s="1"/>
  <c r="R28" i="24"/>
  <c r="AB17" i="10"/>
  <c r="AF17"/>
  <c r="E54" i="11"/>
  <c r="G54" s="1"/>
  <c r="AB17" i="14"/>
  <c r="AF18" i="15"/>
  <c r="Z17" i="33"/>
  <c r="R18"/>
  <c r="AH18"/>
  <c r="P24"/>
  <c r="P26" i="32"/>
  <c r="X17"/>
  <c r="E54" i="9"/>
  <c r="G54" s="1"/>
  <c r="H26" i="4"/>
  <c r="E54"/>
  <c r="G54" s="1"/>
  <c r="E54" i="26"/>
  <c r="G54" s="1"/>
  <c r="E54" i="23"/>
  <c r="G54" s="1"/>
  <c r="AH18" i="15"/>
  <c r="T18" i="33"/>
  <c r="Z17" i="32"/>
  <c r="AJ18" i="15"/>
  <c r="AD29" i="6"/>
  <c r="AB29"/>
  <c r="D5" i="37" s="1"/>
  <c r="P29" i="6"/>
  <c r="Z29"/>
  <c r="B5" i="37" s="1"/>
  <c r="X29" i="6"/>
  <c r="AF29"/>
  <c r="V29"/>
  <c r="AJ29"/>
  <c r="T29"/>
  <c r="AH29"/>
  <c r="R29"/>
  <c r="C5" i="37" s="1"/>
  <c r="E55" i="32"/>
  <c r="G55" s="1"/>
  <c r="C2" i="39" s="1"/>
  <c r="G43" i="32"/>
  <c r="X29"/>
  <c r="V29"/>
  <c r="P29"/>
  <c r="AJ29"/>
  <c r="T29"/>
  <c r="R29"/>
  <c r="C2" i="37" s="1"/>
  <c r="Z29" i="32"/>
  <c r="B2" i="37" s="1"/>
  <c r="AH29" i="32"/>
  <c r="AF29"/>
  <c r="AD29"/>
  <c r="AB29"/>
  <c r="D2" i="37" s="1"/>
  <c r="G43" i="9"/>
  <c r="AB29" i="16"/>
  <c r="D30" i="37" s="1"/>
  <c r="Z29" i="16"/>
  <c r="B30" i="37" s="1"/>
  <c r="X29" i="16"/>
  <c r="V29"/>
  <c r="AJ29"/>
  <c r="T29"/>
  <c r="AH29"/>
  <c r="R29"/>
  <c r="C30" i="37" s="1"/>
  <c r="AD29" i="16"/>
  <c r="P15" i="32"/>
  <c r="G42"/>
  <c r="AB7" i="1"/>
  <c r="G28"/>
  <c r="AB28"/>
  <c r="AB7" i="3"/>
  <c r="P7" i="8"/>
  <c r="AF7"/>
  <c r="T28"/>
  <c r="P7" i="5"/>
  <c r="X7" i="9"/>
  <c r="G28"/>
  <c r="H28" s="1"/>
  <c r="B9" i="39" s="1"/>
  <c r="AB28" i="9"/>
  <c r="X7" i="4"/>
  <c r="H28"/>
  <c r="B10" i="39" s="1"/>
  <c r="E43" i="4"/>
  <c r="Z29" i="18"/>
  <c r="B18" i="37" s="1"/>
  <c r="X29" i="18"/>
  <c r="V29"/>
  <c r="AJ29"/>
  <c r="T29"/>
  <c r="AH29"/>
  <c r="R29"/>
  <c r="C18" i="37" s="1"/>
  <c r="P29" i="18"/>
  <c r="AB29"/>
  <c r="D18" i="37" s="1"/>
  <c r="G43" i="24"/>
  <c r="G33" i="32"/>
  <c r="H28" i="1"/>
  <c r="B3" i="39" s="1"/>
  <c r="AD28" i="1"/>
  <c r="AD7" i="3"/>
  <c r="Z28"/>
  <c r="V28" i="8"/>
  <c r="AF7" i="5"/>
  <c r="AD28" i="9"/>
  <c r="X29" i="4"/>
  <c r="V29"/>
  <c r="AH29"/>
  <c r="R29"/>
  <c r="C10" i="37" s="1"/>
  <c r="AF29" i="4"/>
  <c r="P29"/>
  <c r="AD29"/>
  <c r="P28"/>
  <c r="AB29"/>
  <c r="D10" i="37" s="1"/>
  <c r="P29" i="34"/>
  <c r="AB28" i="31"/>
  <c r="Z28"/>
  <c r="X28"/>
  <c r="V28"/>
  <c r="AJ28"/>
  <c r="T28"/>
  <c r="AH28"/>
  <c r="R28"/>
  <c r="AD28"/>
  <c r="H28"/>
  <c r="B17" i="39" s="1"/>
  <c r="R7" i="15"/>
  <c r="P7"/>
  <c r="G28"/>
  <c r="AH29" s="1"/>
  <c r="AF7"/>
  <c r="AB7"/>
  <c r="Z7"/>
  <c r="X7"/>
  <c r="T7"/>
  <c r="P7" i="1"/>
  <c r="AF7"/>
  <c r="H15"/>
  <c r="P28"/>
  <c r="AF28"/>
  <c r="E43"/>
  <c r="P7" i="3"/>
  <c r="G28"/>
  <c r="E43" i="7"/>
  <c r="G43" s="1"/>
  <c r="T7" i="8"/>
  <c r="X28"/>
  <c r="AB7" i="9"/>
  <c r="P28"/>
  <c r="AF28"/>
  <c r="AB7" i="4"/>
  <c r="R28"/>
  <c r="AJ29"/>
  <c r="AH29" i="30"/>
  <c r="R29"/>
  <c r="C16" i="37" s="1"/>
  <c r="AF29" i="30"/>
  <c r="P29"/>
  <c r="AD29"/>
  <c r="AB29"/>
  <c r="D16" i="37" s="1"/>
  <c r="Z29" i="30"/>
  <c r="B16" i="37" s="1"/>
  <c r="X29" i="30"/>
  <c r="AJ29"/>
  <c r="T29"/>
  <c r="V29" i="31"/>
  <c r="AJ29"/>
  <c r="T29"/>
  <c r="AH29"/>
  <c r="R29"/>
  <c r="C17" i="37" s="1"/>
  <c r="P29" i="31"/>
  <c r="AD29"/>
  <c r="AB29"/>
  <c r="D17" i="37" s="1"/>
  <c r="X29" i="31"/>
  <c r="AF29" i="20"/>
  <c r="P29"/>
  <c r="AD29"/>
  <c r="AB29"/>
  <c r="D19" i="37" s="1"/>
  <c r="Z29" i="20"/>
  <c r="B19" i="37" s="1"/>
  <c r="X29" i="20"/>
  <c r="V29"/>
  <c r="AH29"/>
  <c r="R29"/>
  <c r="C19" i="37" s="1"/>
  <c r="R28" i="1"/>
  <c r="AH28"/>
  <c r="R7" i="3"/>
  <c r="Z28" i="8"/>
  <c r="R28" i="9"/>
  <c r="AH28"/>
  <c r="AD29" i="34"/>
  <c r="AB29"/>
  <c r="D11" i="37" s="1"/>
  <c r="X29" i="34"/>
  <c r="V29"/>
  <c r="T29"/>
  <c r="AJ29"/>
  <c r="R29"/>
  <c r="C11" i="37" s="1"/>
  <c r="AF29" i="34"/>
  <c r="H15" i="27"/>
  <c r="T7"/>
  <c r="P7"/>
  <c r="AF7"/>
  <c r="AD7"/>
  <c r="AB7"/>
  <c r="Z7"/>
  <c r="V7"/>
  <c r="V28" i="33"/>
  <c r="AJ28"/>
  <c r="T28"/>
  <c r="AH28"/>
  <c r="R28"/>
  <c r="AF28"/>
  <c r="P28"/>
  <c r="AD28"/>
  <c r="AB28"/>
  <c r="X28"/>
  <c r="Z28" i="9"/>
  <c r="AD28" i="4"/>
  <c r="AB28"/>
  <c r="V28"/>
  <c r="AJ28"/>
  <c r="T28"/>
  <c r="T7" i="1"/>
  <c r="T28"/>
  <c r="AJ28"/>
  <c r="T7" i="3"/>
  <c r="P28"/>
  <c r="AF28"/>
  <c r="X7" i="8"/>
  <c r="G28"/>
  <c r="AB28"/>
  <c r="P7" i="9"/>
  <c r="T28"/>
  <c r="AJ28"/>
  <c r="P7" i="4"/>
  <c r="AF7"/>
  <c r="Z28"/>
  <c r="V29" i="30"/>
  <c r="P29" i="16"/>
  <c r="Z28" i="33"/>
  <c r="Z28" i="1"/>
  <c r="X29" i="24"/>
  <c r="V29"/>
  <c r="AJ29"/>
  <c r="T29"/>
  <c r="AH29"/>
  <c r="R29"/>
  <c r="C23" i="37" s="1"/>
  <c r="AF29" i="24"/>
  <c r="P29"/>
  <c r="Z29"/>
  <c r="B23" i="37" s="1"/>
  <c r="V7" i="1"/>
  <c r="V28"/>
  <c r="V7" i="3"/>
  <c r="R28"/>
  <c r="AH28"/>
  <c r="H28" i="8"/>
  <c r="B7" i="39" s="1"/>
  <c r="AD28" i="8"/>
  <c r="R7" i="9"/>
  <c r="V28"/>
  <c r="R7" i="4"/>
  <c r="AF28"/>
  <c r="AB6" i="30"/>
  <c r="P13"/>
  <c r="Z6"/>
  <c r="X6"/>
  <c r="P15"/>
  <c r="V6"/>
  <c r="H15"/>
  <c r="T6"/>
  <c r="R6"/>
  <c r="F28"/>
  <c r="AD6"/>
  <c r="Z28" i="23"/>
  <c r="X28"/>
  <c r="V28"/>
  <c r="AJ28"/>
  <c r="T28"/>
  <c r="AH28"/>
  <c r="R28"/>
  <c r="AF28"/>
  <c r="P28"/>
  <c r="AB28"/>
  <c r="AB29" i="24"/>
  <c r="D23" i="37" s="1"/>
  <c r="V7" i="15"/>
  <c r="AF29" i="16"/>
  <c r="E43"/>
  <c r="E55" i="33"/>
  <c r="G55" s="1"/>
  <c r="C31" i="39" s="1"/>
  <c r="G43" i="33"/>
  <c r="T28" i="3"/>
  <c r="G34" i="6"/>
  <c r="T7" i="7"/>
  <c r="P28" i="8"/>
  <c r="T7" i="4"/>
  <c r="AH28"/>
  <c r="E43" i="31"/>
  <c r="V7" i="23"/>
  <c r="T7"/>
  <c r="R7"/>
  <c r="P7"/>
  <c r="AD7"/>
  <c r="AB7"/>
  <c r="G28"/>
  <c r="X7"/>
  <c r="H28" i="24"/>
  <c r="B23" i="39" s="1"/>
  <c r="AB28" i="24"/>
  <c r="Z28"/>
  <c r="X28"/>
  <c r="V28"/>
  <c r="AJ28"/>
  <c r="T28"/>
  <c r="AF28"/>
  <c r="P28"/>
  <c r="E43" i="27"/>
  <c r="V7" i="30"/>
  <c r="P15" i="18"/>
  <c r="G33"/>
  <c r="R29" i="22"/>
  <c r="C21" i="37" s="1"/>
  <c r="AH29" i="22"/>
  <c r="H15" i="24"/>
  <c r="E28" i="12"/>
  <c r="H15" i="14"/>
  <c r="AB6" i="33"/>
  <c r="T7"/>
  <c r="T28" i="17"/>
  <c r="AJ28"/>
  <c r="AD29"/>
  <c r="V29" i="22"/>
  <c r="H15" i="23"/>
  <c r="E43"/>
  <c r="G28" i="12"/>
  <c r="AF29" s="1"/>
  <c r="G28" i="33"/>
  <c r="H28" s="1"/>
  <c r="B31" i="39" s="1"/>
  <c r="X28" i="17"/>
  <c r="E43" i="34"/>
  <c r="AF29" i="26"/>
  <c r="AB7" i="30"/>
  <c r="E43"/>
  <c r="X29" i="22"/>
  <c r="P15" i="23"/>
  <c r="G28" i="10"/>
  <c r="V29" s="1"/>
  <c r="E43"/>
  <c r="E55" s="1"/>
  <c r="F28" i="16"/>
  <c r="Z28" i="17"/>
  <c r="F28" i="34"/>
  <c r="Z28" s="1"/>
  <c r="P15" i="26"/>
  <c r="AD7" i="30"/>
  <c r="P13" i="31"/>
  <c r="F28" i="18"/>
  <c r="AF28" s="1"/>
  <c r="H15" i="20"/>
  <c r="H15" i="22"/>
  <c r="Z29"/>
  <c r="B21" i="37" s="1"/>
  <c r="E43" i="22"/>
  <c r="AF6" i="11"/>
  <c r="G34" i="16"/>
  <c r="T6" i="33"/>
  <c r="AB7"/>
  <c r="H15"/>
  <c r="AB28" i="17"/>
  <c r="V29"/>
  <c r="Z29" i="34"/>
  <c r="B11" i="37" s="1"/>
  <c r="P7" i="30"/>
  <c r="P15" i="20"/>
  <c r="P15" i="22"/>
  <c r="AB29"/>
  <c r="D21" i="37" s="1"/>
  <c r="P13" i="23"/>
  <c r="E36" i="2"/>
  <c r="V6" i="33"/>
  <c r="AD7"/>
  <c r="P15"/>
  <c r="H28" i="17"/>
  <c r="B32" i="39" s="1"/>
  <c r="AD28" i="17"/>
  <c r="X29"/>
  <c r="F28" i="26"/>
  <c r="AD28" s="1"/>
  <c r="E38" i="2"/>
  <c r="AD29" i="22"/>
  <c r="E28" i="10"/>
  <c r="H15" i="16"/>
  <c r="X6" i="33"/>
  <c r="P7"/>
  <c r="H15" i="17"/>
  <c r="P28"/>
  <c r="AF28"/>
  <c r="Z29"/>
  <c r="B32" i="37" s="1"/>
  <c r="E43" i="17"/>
  <c r="AF6" i="26"/>
  <c r="Z6" i="27"/>
  <c r="P29" i="22"/>
  <c r="P13" i="12"/>
  <c r="Z6" i="33"/>
  <c r="R28" i="17"/>
  <c r="AD27" i="15"/>
  <c r="AD7"/>
  <c r="I43"/>
  <c r="V29"/>
  <c r="R17"/>
  <c r="AH17"/>
  <c r="E28"/>
  <c r="T17"/>
  <c r="AJ17"/>
  <c r="H26"/>
  <c r="V17"/>
  <c r="AD18"/>
  <c r="P26"/>
  <c r="X17"/>
  <c r="Z17"/>
  <c r="P24"/>
  <c r="E54"/>
  <c r="G54" s="1"/>
  <c r="H18" i="2"/>
  <c r="H20"/>
  <c r="F28" i="15"/>
  <c r="T29"/>
  <c r="AJ29"/>
  <c r="R6"/>
  <c r="X29"/>
  <c r="T6"/>
  <c r="H15"/>
  <c r="Z29"/>
  <c r="B29" i="37" s="1"/>
  <c r="E43" i="15"/>
  <c r="V6"/>
  <c r="P15"/>
  <c r="AB29"/>
  <c r="D29" i="37" s="1"/>
  <c r="X6" i="15"/>
  <c r="AD29"/>
  <c r="Z6"/>
  <c r="P13"/>
  <c r="P29"/>
  <c r="AF29"/>
  <c r="R29"/>
  <c r="C29" i="37" s="1"/>
  <c r="I43" i="14"/>
  <c r="I55" s="1"/>
  <c r="O55" i="10"/>
  <c r="I43" i="13"/>
  <c r="I55" s="1"/>
  <c r="AB28" i="14"/>
  <c r="Z28"/>
  <c r="X28"/>
  <c r="V28"/>
  <c r="AJ28"/>
  <c r="T28"/>
  <c r="AH28"/>
  <c r="R28"/>
  <c r="AF28"/>
  <c r="P28"/>
  <c r="AD28"/>
  <c r="H28"/>
  <c r="B28" i="39" s="1"/>
  <c r="V29" i="14"/>
  <c r="AJ29"/>
  <c r="T29"/>
  <c r="AH29"/>
  <c r="R29"/>
  <c r="C28" i="37" s="1"/>
  <c r="AF29" i="14"/>
  <c r="P29"/>
  <c r="AD29"/>
  <c r="AB29"/>
  <c r="D28" i="37" s="1"/>
  <c r="Z29" i="14"/>
  <c r="B28" i="37" s="1"/>
  <c r="X29" i="14"/>
  <c r="E43"/>
  <c r="AD7"/>
  <c r="P7"/>
  <c r="Z6"/>
  <c r="R7"/>
  <c r="P13"/>
  <c r="T7"/>
  <c r="V7"/>
  <c r="X7"/>
  <c r="P18" i="12"/>
  <c r="AF18"/>
  <c r="R18"/>
  <c r="AH18"/>
  <c r="T18"/>
  <c r="AJ18"/>
  <c r="V18"/>
  <c r="E54"/>
  <c r="G54" s="1"/>
  <c r="H21" i="2"/>
  <c r="Z18" i="12"/>
  <c r="P29"/>
  <c r="AB18"/>
  <c r="AD18"/>
  <c r="G26" i="2"/>
  <c r="AH18" s="1"/>
  <c r="P17" i="12"/>
  <c r="AD17"/>
  <c r="R17"/>
  <c r="AH17"/>
  <c r="T17"/>
  <c r="AJ17"/>
  <c r="H26"/>
  <c r="V17"/>
  <c r="P26"/>
  <c r="X17"/>
  <c r="Z17"/>
  <c r="P24"/>
  <c r="F26" i="2"/>
  <c r="V17" s="1"/>
  <c r="AF17" i="12"/>
  <c r="AD18" i="13"/>
  <c r="R18"/>
  <c r="AH18"/>
  <c r="T18"/>
  <c r="AJ18"/>
  <c r="E54"/>
  <c r="G54" s="1"/>
  <c r="AB17"/>
  <c r="R17"/>
  <c r="AH17"/>
  <c r="T17"/>
  <c r="AJ17"/>
  <c r="H26"/>
  <c r="V17"/>
  <c r="P26"/>
  <c r="Z17"/>
  <c r="E28"/>
  <c r="Z55" i="29"/>
  <c r="O55"/>
  <c r="W55"/>
  <c r="AE55"/>
  <c r="AB55"/>
  <c r="M55"/>
  <c r="U55"/>
  <c r="AC55"/>
  <c r="AD7" i="13"/>
  <c r="AD27"/>
  <c r="G43"/>
  <c r="P15"/>
  <c r="P13"/>
  <c r="AB6"/>
  <c r="T7"/>
  <c r="F28"/>
  <c r="AF28" s="1"/>
  <c r="G28"/>
  <c r="AF29" s="1"/>
  <c r="T6"/>
  <c r="I43" i="12"/>
  <c r="I55" s="1"/>
  <c r="K55"/>
  <c r="AD29"/>
  <c r="AB6"/>
  <c r="R29"/>
  <c r="C26" i="37" s="1"/>
  <c r="AD6" i="12"/>
  <c r="V7"/>
  <c r="F28"/>
  <c r="T29"/>
  <c r="AJ29"/>
  <c r="T6"/>
  <c r="AB7"/>
  <c r="H15"/>
  <c r="Z29"/>
  <c r="B26" i="37" s="1"/>
  <c r="G36" i="12"/>
  <c r="E43"/>
  <c r="V29"/>
  <c r="Z7"/>
  <c r="V6"/>
  <c r="AD7"/>
  <c r="P15"/>
  <c r="AB29"/>
  <c r="D26" i="37" s="1"/>
  <c r="R6" i="12"/>
  <c r="X29"/>
  <c r="I43" i="11"/>
  <c r="I55" s="1"/>
  <c r="L55" i="10"/>
  <c r="V55"/>
  <c r="K55"/>
  <c r="I43"/>
  <c r="J55"/>
  <c r="F55"/>
  <c r="AD7" i="11"/>
  <c r="G43"/>
  <c r="AD6"/>
  <c r="F28"/>
  <c r="T29"/>
  <c r="AJ29"/>
  <c r="R6"/>
  <c r="X29"/>
  <c r="T6"/>
  <c r="H15"/>
  <c r="Z29"/>
  <c r="B25" i="37" s="1"/>
  <c r="V6" i="11"/>
  <c r="P15"/>
  <c r="AB29"/>
  <c r="D25" i="37" s="1"/>
  <c r="V29" i="11"/>
  <c r="X6"/>
  <c r="AD29"/>
  <c r="Z6"/>
  <c r="P13"/>
  <c r="P29"/>
  <c r="AF29"/>
  <c r="R29"/>
  <c r="C25" i="37" s="1"/>
  <c r="I54" i="10"/>
  <c r="W55"/>
  <c r="AD17"/>
  <c r="R17"/>
  <c r="AH17"/>
  <c r="G46"/>
  <c r="E26" i="2"/>
  <c r="T17" i="10"/>
  <c r="AJ17"/>
  <c r="H26"/>
  <c r="F28"/>
  <c r="R28" s="1"/>
  <c r="V17"/>
  <c r="P26"/>
  <c r="X17"/>
  <c r="Z17"/>
  <c r="P24"/>
  <c r="R6"/>
  <c r="T6"/>
  <c r="AB7"/>
  <c r="H15"/>
  <c r="G36"/>
  <c r="V6"/>
  <c r="AD7"/>
  <c r="P15"/>
  <c r="X6"/>
  <c r="P7"/>
  <c r="Z6"/>
  <c r="R7"/>
  <c r="P13"/>
  <c r="AB6"/>
  <c r="T7"/>
  <c r="AD6"/>
  <c r="T29"/>
  <c r="K55" i="29"/>
  <c r="T55"/>
  <c r="J55"/>
  <c r="Y55"/>
  <c r="I37" i="2"/>
  <c r="Q55" i="29"/>
  <c r="L55"/>
  <c r="I54"/>
  <c r="F55"/>
  <c r="I41" i="2"/>
  <c r="AB6" i="29"/>
  <c r="AB7" i="5"/>
  <c r="P6"/>
  <c r="R7" i="7"/>
  <c r="AB29"/>
  <c r="D6" i="37" s="1"/>
  <c r="V7" i="7"/>
  <c r="P29"/>
  <c r="AF29"/>
  <c r="X7"/>
  <c r="R29"/>
  <c r="C6" i="37" s="1"/>
  <c r="AH29" i="7"/>
  <c r="AJ29"/>
  <c r="T29"/>
  <c r="AB7"/>
  <c r="H15"/>
  <c r="V29"/>
  <c r="AD29"/>
  <c r="AD7"/>
  <c r="X29"/>
  <c r="Z7"/>
  <c r="P7"/>
  <c r="P6"/>
  <c r="AF6"/>
  <c r="P13"/>
  <c r="T6"/>
  <c r="F28"/>
  <c r="X6"/>
  <c r="AB6"/>
  <c r="P15"/>
  <c r="I36" i="2"/>
  <c r="I43" i="34"/>
  <c r="AB27" i="2"/>
  <c r="G43" i="5"/>
  <c r="AD7"/>
  <c r="R7"/>
  <c r="G28"/>
  <c r="T7"/>
  <c r="V7"/>
  <c r="X7"/>
  <c r="H15"/>
  <c r="Z6"/>
  <c r="P15"/>
  <c r="AD6"/>
  <c r="P13"/>
  <c r="AF6"/>
  <c r="F28"/>
  <c r="V6"/>
  <c r="X6"/>
  <c r="V7" i="29"/>
  <c r="AF6"/>
  <c r="P15"/>
  <c r="R6"/>
  <c r="V6"/>
  <c r="AH43" i="2"/>
  <c r="I43" i="28"/>
  <c r="I55" s="1"/>
  <c r="W55"/>
  <c r="I39" i="2"/>
  <c r="H15" i="29"/>
  <c r="X7"/>
  <c r="Z7"/>
  <c r="AD7"/>
  <c r="AB7"/>
  <c r="AF7"/>
  <c r="AD43" i="2"/>
  <c r="I38"/>
  <c r="I43" i="29"/>
  <c r="X27" i="2"/>
  <c r="V27"/>
  <c r="T27"/>
  <c r="R27"/>
  <c r="P27"/>
  <c r="Z27"/>
  <c r="AF27"/>
  <c r="AD27" i="29"/>
  <c r="AD29" s="1"/>
  <c r="AD6"/>
  <c r="AD17"/>
  <c r="F28"/>
  <c r="AF28" s="1"/>
  <c r="R17"/>
  <c r="AH17"/>
  <c r="T17"/>
  <c r="AJ17"/>
  <c r="AB18"/>
  <c r="H26"/>
  <c r="H16" i="2"/>
  <c r="V17" i="29"/>
  <c r="P26"/>
  <c r="X17"/>
  <c r="P17"/>
  <c r="Z17"/>
  <c r="P24"/>
  <c r="E54"/>
  <c r="G54" s="1"/>
  <c r="X29"/>
  <c r="V29"/>
  <c r="AH29"/>
  <c r="R29"/>
  <c r="C15" i="37" s="1"/>
  <c r="AJ29" i="29"/>
  <c r="P29"/>
  <c r="AB29"/>
  <c r="D15" i="37" s="1"/>
  <c r="Z29" i="29"/>
  <c r="B15" i="37" s="1"/>
  <c r="T29" i="29"/>
  <c r="E43"/>
  <c r="P7"/>
  <c r="R7"/>
  <c r="T7"/>
  <c r="H10" i="2"/>
  <c r="AF7" i="28"/>
  <c r="AF6"/>
  <c r="E40" i="2"/>
  <c r="Q9" i="41" s="1"/>
  <c r="P6" i="28"/>
  <c r="R6"/>
  <c r="V7"/>
  <c r="P15"/>
  <c r="V6"/>
  <c r="X7"/>
  <c r="Z6"/>
  <c r="Z7"/>
  <c r="AD27"/>
  <c r="AD6"/>
  <c r="AB6"/>
  <c r="T7"/>
  <c r="F28"/>
  <c r="G28"/>
  <c r="T6"/>
  <c r="AB7"/>
  <c r="H15"/>
  <c r="H8" i="2"/>
  <c r="X6" i="28"/>
  <c r="AE43" i="2"/>
  <c r="O43"/>
  <c r="Y43"/>
  <c r="I43" i="27"/>
  <c r="I43" i="8"/>
  <c r="R43" i="2"/>
  <c r="Z43"/>
  <c r="W43"/>
  <c r="P43"/>
  <c r="X43"/>
  <c r="T43"/>
  <c r="U43"/>
  <c r="N43"/>
  <c r="L55" i="8"/>
  <c r="AG43" i="2"/>
  <c r="E43" i="8"/>
  <c r="E55" s="1"/>
  <c r="G55" s="1"/>
  <c r="C7" i="39" s="1"/>
  <c r="G33" i="8"/>
  <c r="AB43" i="2"/>
  <c r="AC43"/>
  <c r="I40"/>
  <c r="I43" i="7"/>
  <c r="S43" i="2"/>
  <c r="AA43"/>
  <c r="G33" i="7"/>
  <c r="E33" i="2"/>
  <c r="AD5"/>
  <c r="AF28" i="27"/>
  <c r="P28"/>
  <c r="AD28"/>
  <c r="AH28"/>
  <c r="AB28"/>
  <c r="Z28"/>
  <c r="X28"/>
  <c r="V28"/>
  <c r="AJ28"/>
  <c r="T28"/>
  <c r="R28"/>
  <c r="E55"/>
  <c r="G55" s="1"/>
  <c r="C13" i="39" s="1"/>
  <c r="G43" i="27"/>
  <c r="G38"/>
  <c r="R7"/>
  <c r="P13"/>
  <c r="E39" i="2"/>
  <c r="J8" i="41" s="1"/>
  <c r="H7" i="2"/>
  <c r="G28" i="27"/>
  <c r="H6" i="2"/>
  <c r="K43"/>
  <c r="K44" s="1"/>
  <c r="AF43"/>
  <c r="V43"/>
  <c r="Q43"/>
  <c r="M43"/>
  <c r="L43"/>
  <c r="L44" s="1"/>
  <c r="I35"/>
  <c r="I43" i="26"/>
  <c r="I55" s="1"/>
  <c r="J43" i="2"/>
  <c r="J44" s="1"/>
  <c r="F43"/>
  <c r="W55" i="34"/>
  <c r="I33" i="2"/>
  <c r="F55" i="34"/>
  <c r="X29" i="26"/>
  <c r="V29"/>
  <c r="AJ29"/>
  <c r="T29"/>
  <c r="AH29"/>
  <c r="R29"/>
  <c r="C12" i="37" s="1"/>
  <c r="P29" i="26"/>
  <c r="AD29"/>
  <c r="AB29"/>
  <c r="D12" i="37" s="1"/>
  <c r="Z29" i="26"/>
  <c r="B12" i="37" s="1"/>
  <c r="T6" i="26"/>
  <c r="AB7"/>
  <c r="H15"/>
  <c r="G36"/>
  <c r="E43"/>
  <c r="E35" i="2"/>
  <c r="X6" i="26"/>
  <c r="P7"/>
  <c r="H5" i="2"/>
  <c r="Z6" i="26"/>
  <c r="R7"/>
  <c r="P13"/>
  <c r="E34" i="2"/>
  <c r="T7" i="26"/>
  <c r="AH29" i="10" l="1"/>
  <c r="R29"/>
  <c r="C24" i="37" s="1"/>
  <c r="AD29" i="10"/>
  <c r="Z29"/>
  <c r="B24" i="37" s="1"/>
  <c r="AF29" i="10"/>
  <c r="AB29"/>
  <c r="D24" i="37" s="1"/>
  <c r="AJ29" i="10"/>
  <c r="P29"/>
  <c r="X29"/>
  <c r="AH28"/>
  <c r="Z28"/>
  <c r="P28"/>
  <c r="I55" i="23"/>
  <c r="AD27" i="2"/>
  <c r="E55" i="24"/>
  <c r="G55" s="1"/>
  <c r="C23" i="39" s="1"/>
  <c r="AD29" i="24"/>
  <c r="I55" i="18"/>
  <c r="I55" i="7"/>
  <c r="Z28" i="20"/>
  <c r="X28"/>
  <c r="T28"/>
  <c r="G43" i="28"/>
  <c r="U10" i="41"/>
  <c r="I8"/>
  <c r="N9"/>
  <c r="AA10"/>
  <c r="O8"/>
  <c r="AB9"/>
  <c r="G11"/>
  <c r="U8"/>
  <c r="H10"/>
  <c r="U11"/>
  <c r="I9"/>
  <c r="N10"/>
  <c r="M10"/>
  <c r="Z11"/>
  <c r="F9"/>
  <c r="S10"/>
  <c r="G8"/>
  <c r="T9"/>
  <c r="Y10"/>
  <c r="M8"/>
  <c r="Z9"/>
  <c r="M11"/>
  <c r="AA8"/>
  <c r="F10"/>
  <c r="E10"/>
  <c r="R11"/>
  <c r="X8"/>
  <c r="K10"/>
  <c r="X11"/>
  <c r="L9"/>
  <c r="Q10"/>
  <c r="E8"/>
  <c r="R9"/>
  <c r="E11"/>
  <c r="S8"/>
  <c r="X9"/>
  <c r="W9"/>
  <c r="J11"/>
  <c r="P8"/>
  <c r="AC9"/>
  <c r="P11"/>
  <c r="V8"/>
  <c r="I10"/>
  <c r="V11"/>
  <c r="J9"/>
  <c r="W10"/>
  <c r="K8"/>
  <c r="P9"/>
  <c r="AA11"/>
  <c r="O9"/>
  <c r="AB10"/>
  <c r="H8"/>
  <c r="U9"/>
  <c r="H11"/>
  <c r="N8"/>
  <c r="AA9"/>
  <c r="N11"/>
  <c r="AB8"/>
  <c r="O10"/>
  <c r="AB11"/>
  <c r="H9"/>
  <c r="S11"/>
  <c r="G9"/>
  <c r="T10"/>
  <c r="Y11"/>
  <c r="M9"/>
  <c r="Z10"/>
  <c r="F8"/>
  <c r="S9"/>
  <c r="F11"/>
  <c r="T8"/>
  <c r="G10"/>
  <c r="T11"/>
  <c r="Z8"/>
  <c r="K11"/>
  <c r="Y8"/>
  <c r="L10"/>
  <c r="Q11"/>
  <c r="E9"/>
  <c r="R10"/>
  <c r="W11"/>
  <c r="K9"/>
  <c r="X10"/>
  <c r="L8"/>
  <c r="Y9"/>
  <c r="L11"/>
  <c r="R8"/>
  <c r="AC10"/>
  <c r="Q8"/>
  <c r="V9"/>
  <c r="I11"/>
  <c r="W8"/>
  <c r="J10"/>
  <c r="O11"/>
  <c r="AC8"/>
  <c r="P10"/>
  <c r="AC11"/>
  <c r="V10"/>
  <c r="AF28" i="26"/>
  <c r="T28"/>
  <c r="P28"/>
  <c r="E55" i="9"/>
  <c r="G55" s="1"/>
  <c r="C9" i="39" s="1"/>
  <c r="R18" i="2"/>
  <c r="I55" i="8"/>
  <c r="AF17" i="2"/>
  <c r="R17"/>
  <c r="T17"/>
  <c r="AJ17"/>
  <c r="E4" i="41"/>
  <c r="M4"/>
  <c r="U4"/>
  <c r="AC4"/>
  <c r="L4"/>
  <c r="F4"/>
  <c r="N4"/>
  <c r="V4"/>
  <c r="T4"/>
  <c r="G4"/>
  <c r="O4"/>
  <c r="W4"/>
  <c r="AA4"/>
  <c r="H4"/>
  <c r="P4"/>
  <c r="X4"/>
  <c r="K4"/>
  <c r="I4"/>
  <c r="Q4"/>
  <c r="Y4"/>
  <c r="S4"/>
  <c r="J4"/>
  <c r="R4"/>
  <c r="Z4"/>
  <c r="AB4"/>
  <c r="L7"/>
  <c r="T7"/>
  <c r="AB7"/>
  <c r="M7"/>
  <c r="U7"/>
  <c r="AC7"/>
  <c r="N7"/>
  <c r="O7"/>
  <c r="Y7"/>
  <c r="E7"/>
  <c r="W7"/>
  <c r="I7"/>
  <c r="J7"/>
  <c r="F7"/>
  <c r="V7"/>
  <c r="Z7"/>
  <c r="G7"/>
  <c r="Q7"/>
  <c r="R7"/>
  <c r="H7"/>
  <c r="P7"/>
  <c r="X7"/>
  <c r="K7"/>
  <c r="S7"/>
  <c r="AA7"/>
  <c r="E5"/>
  <c r="M5"/>
  <c r="U5"/>
  <c r="AC5"/>
  <c r="Y5"/>
  <c r="R5"/>
  <c r="F5"/>
  <c r="N5"/>
  <c r="V5"/>
  <c r="I5"/>
  <c r="Z5"/>
  <c r="G5"/>
  <c r="O5"/>
  <c r="W5"/>
  <c r="X5"/>
  <c r="Q5"/>
  <c r="J5"/>
  <c r="H5"/>
  <c r="P5"/>
  <c r="K5"/>
  <c r="S5"/>
  <c r="AA5"/>
  <c r="L5"/>
  <c r="T5"/>
  <c r="AB5"/>
  <c r="G12"/>
  <c r="O12"/>
  <c r="W12"/>
  <c r="G2"/>
  <c r="O2"/>
  <c r="W2"/>
  <c r="H12"/>
  <c r="P12"/>
  <c r="X12"/>
  <c r="H2"/>
  <c r="P2"/>
  <c r="X2"/>
  <c r="R2"/>
  <c r="K12"/>
  <c r="AA12"/>
  <c r="K2"/>
  <c r="AA2"/>
  <c r="I12"/>
  <c r="Q12"/>
  <c r="Y12"/>
  <c r="I2"/>
  <c r="Q2"/>
  <c r="Y2"/>
  <c r="J12"/>
  <c r="R12"/>
  <c r="Z12"/>
  <c r="J2"/>
  <c r="Z2"/>
  <c r="S12"/>
  <c r="S2"/>
  <c r="L12"/>
  <c r="T12"/>
  <c r="AB12"/>
  <c r="L2"/>
  <c r="T2"/>
  <c r="AB2"/>
  <c r="AC12"/>
  <c r="M12"/>
  <c r="U12"/>
  <c r="E12"/>
  <c r="M2"/>
  <c r="U2"/>
  <c r="AC2"/>
  <c r="F12"/>
  <c r="N12"/>
  <c r="V12"/>
  <c r="F2"/>
  <c r="N2"/>
  <c r="V2"/>
  <c r="E2"/>
  <c r="E55" i="3"/>
  <c r="G55" s="1"/>
  <c r="C4" i="39" s="1"/>
  <c r="E3" i="41"/>
  <c r="M3"/>
  <c r="U3"/>
  <c r="AC3"/>
  <c r="F3"/>
  <c r="N3"/>
  <c r="V3"/>
  <c r="T3"/>
  <c r="G3"/>
  <c r="O3"/>
  <c r="W3"/>
  <c r="P3"/>
  <c r="X3"/>
  <c r="AA3"/>
  <c r="AB3"/>
  <c r="H3"/>
  <c r="I3"/>
  <c r="Q3"/>
  <c r="Y3"/>
  <c r="J3"/>
  <c r="R3"/>
  <c r="Z3"/>
  <c r="S3"/>
  <c r="L3"/>
  <c r="K3"/>
  <c r="AB28" i="3"/>
  <c r="X28" i="32"/>
  <c r="R28"/>
  <c r="AF28"/>
  <c r="I55" i="15"/>
  <c r="I55" i="3"/>
  <c r="I55" i="27"/>
  <c r="I55" i="17"/>
  <c r="I55" i="34"/>
  <c r="I55" i="33"/>
  <c r="W44" i="2"/>
  <c r="AE44"/>
  <c r="AG44"/>
  <c r="S44"/>
  <c r="R44"/>
  <c r="AD44"/>
  <c r="P44"/>
  <c r="N44"/>
  <c r="Q44"/>
  <c r="U44"/>
  <c r="AH44"/>
  <c r="Z44"/>
  <c r="M44"/>
  <c r="V44"/>
  <c r="Y44"/>
  <c r="AA44"/>
  <c r="AC44"/>
  <c r="T44"/>
  <c r="AF44"/>
  <c r="AB44"/>
  <c r="X44"/>
  <c r="O44"/>
  <c r="E55" i="34"/>
  <c r="G55" s="1"/>
  <c r="C11" i="39" s="1"/>
  <c r="AB28" i="20"/>
  <c r="AJ28"/>
  <c r="AB17" i="2"/>
  <c r="AH29" i="12"/>
  <c r="H28" i="20"/>
  <c r="B19" i="39" s="1"/>
  <c r="V28" i="20"/>
  <c r="AD28"/>
  <c r="B10" i="41"/>
  <c r="AF28" i="10"/>
  <c r="P28" i="20"/>
  <c r="E55" i="7"/>
  <c r="G55" s="1"/>
  <c r="C6" i="39" s="1"/>
  <c r="AF28" i="20"/>
  <c r="E55" i="11"/>
  <c r="G55" s="1"/>
  <c r="C25" i="39" s="1"/>
  <c r="R28" i="20"/>
  <c r="X28" i="22"/>
  <c r="AD17" i="2"/>
  <c r="AB28" i="10"/>
  <c r="T28" i="22"/>
  <c r="E55" i="18"/>
  <c r="G55" s="1"/>
  <c r="C18" i="39" s="1"/>
  <c r="AB28" i="22"/>
  <c r="AJ28"/>
  <c r="X28" i="6"/>
  <c r="V28" i="26"/>
  <c r="X28" i="10"/>
  <c r="H28" i="22"/>
  <c r="B21" i="39" s="1"/>
  <c r="V28" i="22"/>
  <c r="E55" i="6"/>
  <c r="G55" s="1"/>
  <c r="C5" i="39" s="1"/>
  <c r="AH28" i="26"/>
  <c r="AD28" i="22"/>
  <c r="AB28" i="6"/>
  <c r="B11" i="41"/>
  <c r="H28" i="26"/>
  <c r="B12" i="39" s="1"/>
  <c r="R28" i="26"/>
  <c r="G43" i="34"/>
  <c r="AH28" i="6"/>
  <c r="P28" i="22"/>
  <c r="AB28" i="26"/>
  <c r="G43" i="10"/>
  <c r="R28" i="6"/>
  <c r="AF28" i="22"/>
  <c r="AF28" i="6"/>
  <c r="Z28"/>
  <c r="H28"/>
  <c r="B5" i="39" s="1"/>
  <c r="Z28" i="26"/>
  <c r="T28" i="6"/>
  <c r="R28" i="22"/>
  <c r="E55" i="20"/>
  <c r="G55" s="1"/>
  <c r="C19" i="39" s="1"/>
  <c r="X28" i="26"/>
  <c r="AJ28"/>
  <c r="AH28" i="22"/>
  <c r="G35" i="2"/>
  <c r="D4" i="41" s="1"/>
  <c r="B4"/>
  <c r="F44" i="2"/>
  <c r="C12" i="41"/>
  <c r="G33" i="2"/>
  <c r="B2" i="41"/>
  <c r="G36" i="2"/>
  <c r="D5" i="41" s="1"/>
  <c r="B5"/>
  <c r="G34" i="2"/>
  <c r="D3" i="41" s="1"/>
  <c r="B3"/>
  <c r="G39" i="2"/>
  <c r="D8" i="41" s="1"/>
  <c r="B8"/>
  <c r="G38" i="2"/>
  <c r="D7" i="41" s="1"/>
  <c r="B7"/>
  <c r="G40" i="2"/>
  <c r="D9" i="41" s="1"/>
  <c r="B9"/>
  <c r="AH28" i="32"/>
  <c r="AB28"/>
  <c r="V28"/>
  <c r="T28"/>
  <c r="H28"/>
  <c r="B2" i="39" s="1"/>
  <c r="AJ28" i="32"/>
  <c r="AD28"/>
  <c r="P28"/>
  <c r="AF18" i="2"/>
  <c r="AB18"/>
  <c r="T18"/>
  <c r="AH17"/>
  <c r="AJ28" i="10"/>
  <c r="AJ28" i="3"/>
  <c r="AD28"/>
  <c r="V28"/>
  <c r="AJ18" i="2"/>
  <c r="Z18"/>
  <c r="V18"/>
  <c r="AJ28" i="6"/>
  <c r="AD28"/>
  <c r="V28"/>
  <c r="AD18" i="2"/>
  <c r="X18"/>
  <c r="P18"/>
  <c r="Z17"/>
  <c r="X17"/>
  <c r="AD28" i="10"/>
  <c r="AF28" i="8"/>
  <c r="AH28"/>
  <c r="R28"/>
  <c r="E55" i="17"/>
  <c r="G55" s="1"/>
  <c r="C32" i="39" s="1"/>
  <c r="G43" i="17"/>
  <c r="G43" i="22"/>
  <c r="E55"/>
  <c r="G55" s="1"/>
  <c r="C21" i="39" s="1"/>
  <c r="AH28" i="34"/>
  <c r="P28"/>
  <c r="AF28"/>
  <c r="H28"/>
  <c r="B11" i="39" s="1"/>
  <c r="AD28" i="34"/>
  <c r="AB28"/>
  <c r="X28"/>
  <c r="V28"/>
  <c r="AJ28"/>
  <c r="R28"/>
  <c r="T28"/>
  <c r="E55" i="30"/>
  <c r="G55" s="1"/>
  <c r="C16" i="39" s="1"/>
  <c r="G43" i="30"/>
  <c r="AD29" i="3"/>
  <c r="AB29"/>
  <c r="D4" i="37" s="1"/>
  <c r="AF29" i="3"/>
  <c r="Z29"/>
  <c r="B4" i="37" s="1"/>
  <c r="X29" i="3"/>
  <c r="H28"/>
  <c r="B4" i="39" s="1"/>
  <c r="V29" i="3"/>
  <c r="AJ29"/>
  <c r="T29"/>
  <c r="P29"/>
  <c r="AH29"/>
  <c r="R29"/>
  <c r="C4" i="37" s="1"/>
  <c r="AH29" i="1"/>
  <c r="R29"/>
  <c r="C3" i="37" s="1"/>
  <c r="AF29" i="1"/>
  <c r="P29"/>
  <c r="AD29"/>
  <c r="AB29"/>
  <c r="D3" i="37" s="1"/>
  <c r="T29" i="1"/>
  <c r="Z29"/>
  <c r="B3" i="37" s="1"/>
  <c r="AJ29" i="1"/>
  <c r="X29"/>
  <c r="V29"/>
  <c r="T28" i="10"/>
  <c r="E55" i="4"/>
  <c r="G55" s="1"/>
  <c r="C10" i="39" s="1"/>
  <c r="G43" i="4"/>
  <c r="AH28" i="16"/>
  <c r="R28"/>
  <c r="AF28"/>
  <c r="P28"/>
  <c r="AD28"/>
  <c r="H28"/>
  <c r="B30" i="39" s="1"/>
  <c r="AB28" i="16"/>
  <c r="Z28"/>
  <c r="X28"/>
  <c r="AJ28"/>
  <c r="T28"/>
  <c r="V28"/>
  <c r="E55" i="1"/>
  <c r="G55" s="1"/>
  <c r="C3" i="39" s="1"/>
  <c r="G43" i="1"/>
  <c r="H28" i="10"/>
  <c r="B24" i="39" s="1"/>
  <c r="V28" i="10"/>
  <c r="AJ29" i="23"/>
  <c r="T29"/>
  <c r="AH29"/>
  <c r="R29"/>
  <c r="C22" i="37" s="1"/>
  <c r="AF29" i="23"/>
  <c r="P29"/>
  <c r="AD29"/>
  <c r="AB29"/>
  <c r="D22" i="37" s="1"/>
  <c r="Z29" i="23"/>
  <c r="B22" i="37" s="1"/>
  <c r="V29" i="23"/>
  <c r="X29"/>
  <c r="E55" i="31"/>
  <c r="G55" s="1"/>
  <c r="C17" i="39" s="1"/>
  <c r="G43" i="31"/>
  <c r="P28" i="18"/>
  <c r="AD28"/>
  <c r="H28"/>
  <c r="B18" i="39" s="1"/>
  <c r="AB28" i="18"/>
  <c r="Z28"/>
  <c r="X28"/>
  <c r="V28"/>
  <c r="AH28"/>
  <c r="R28"/>
  <c r="AJ28"/>
  <c r="T28"/>
  <c r="AF29" i="33"/>
  <c r="P29"/>
  <c r="AD29"/>
  <c r="AB29"/>
  <c r="D31" i="37" s="1"/>
  <c r="Z29" i="33"/>
  <c r="B31" i="37" s="1"/>
  <c r="X29" i="33"/>
  <c r="V29"/>
  <c r="AH29"/>
  <c r="R29"/>
  <c r="C31" i="37" s="1"/>
  <c r="AJ29" i="33"/>
  <c r="T29"/>
  <c r="E55" i="16"/>
  <c r="G55" s="1"/>
  <c r="C30" i="39" s="1"/>
  <c r="G43" i="16"/>
  <c r="AH29" i="9"/>
  <c r="R29"/>
  <c r="C9" i="37" s="1"/>
  <c r="AF29" i="9"/>
  <c r="P29"/>
  <c r="AD29"/>
  <c r="AB29"/>
  <c r="D9" i="37" s="1"/>
  <c r="Z29" i="9"/>
  <c r="B9" i="37" s="1"/>
  <c r="X29" i="9"/>
  <c r="V29"/>
  <c r="AJ29"/>
  <c r="T29"/>
  <c r="Z29" i="8"/>
  <c r="B7" i="37" s="1"/>
  <c r="X29" i="8"/>
  <c r="V29"/>
  <c r="AJ29"/>
  <c r="T29"/>
  <c r="AB29"/>
  <c r="D7" i="37" s="1"/>
  <c r="AH29" i="8"/>
  <c r="R29"/>
  <c r="C7" i="37" s="1"/>
  <c r="AF29" i="8"/>
  <c r="P29"/>
  <c r="AD29"/>
  <c r="E55" i="23"/>
  <c r="G55" s="1"/>
  <c r="C22" i="39" s="1"/>
  <c r="G43" i="23"/>
  <c r="X28" i="30"/>
  <c r="V28"/>
  <c r="AJ28"/>
  <c r="T28"/>
  <c r="AH28"/>
  <c r="R28"/>
  <c r="AF28"/>
  <c r="P28"/>
  <c r="AD28"/>
  <c r="H28"/>
  <c r="B16" i="39" s="1"/>
  <c r="Z28" i="30"/>
  <c r="AB28"/>
  <c r="E55" i="15"/>
  <c r="G55" s="1"/>
  <c r="C29" i="39" s="1"/>
  <c r="G43" i="15"/>
  <c r="X28"/>
  <c r="AB28"/>
  <c r="V28"/>
  <c r="AJ28"/>
  <c r="T28"/>
  <c r="AH28"/>
  <c r="R28"/>
  <c r="AF28"/>
  <c r="P28"/>
  <c r="AD28"/>
  <c r="H28"/>
  <c r="B29" i="39" s="1"/>
  <c r="Z28" i="15"/>
  <c r="E55" i="14"/>
  <c r="G55" s="1"/>
  <c r="C28" i="39" s="1"/>
  <c r="G43" i="14"/>
  <c r="P26" i="2"/>
  <c r="P24"/>
  <c r="P17"/>
  <c r="H26"/>
  <c r="E28"/>
  <c r="E55" i="13"/>
  <c r="G55" s="1"/>
  <c r="C27" i="39" s="1"/>
  <c r="P28" i="13"/>
  <c r="AD28"/>
  <c r="H28"/>
  <c r="B27" i="39" s="1"/>
  <c r="AB28" i="13"/>
  <c r="Z28"/>
  <c r="X28"/>
  <c r="V28"/>
  <c r="AJ28"/>
  <c r="T28"/>
  <c r="AH28"/>
  <c r="R28"/>
  <c r="Z29"/>
  <c r="B27" i="37" s="1"/>
  <c r="X29" i="13"/>
  <c r="V29"/>
  <c r="AJ29"/>
  <c r="T29"/>
  <c r="AD29"/>
  <c r="AH29"/>
  <c r="R29"/>
  <c r="C27" i="37" s="1"/>
  <c r="P29" i="13"/>
  <c r="AB29"/>
  <c r="D27" i="37" s="1"/>
  <c r="G43" i="12"/>
  <c r="E55"/>
  <c r="G55" s="1"/>
  <c r="C26" i="39" s="1"/>
  <c r="AJ28" i="12"/>
  <c r="T28"/>
  <c r="AD28"/>
  <c r="H28"/>
  <c r="B26" i="39" s="1"/>
  <c r="AB28" i="12"/>
  <c r="AH28"/>
  <c r="R28"/>
  <c r="AF28"/>
  <c r="P28"/>
  <c r="Z28"/>
  <c r="X28"/>
  <c r="V28"/>
  <c r="I55" i="10"/>
  <c r="G55"/>
  <c r="C24" i="39" s="1"/>
  <c r="X28" i="11"/>
  <c r="V28"/>
  <c r="AJ28"/>
  <c r="T28"/>
  <c r="AH28"/>
  <c r="R28"/>
  <c r="AF28"/>
  <c r="P28"/>
  <c r="AD28"/>
  <c r="H28"/>
  <c r="B25" i="39" s="1"/>
  <c r="AB28" i="11"/>
  <c r="Z28"/>
  <c r="I55" i="29"/>
  <c r="X28"/>
  <c r="R28"/>
  <c r="AJ28" i="7"/>
  <c r="T28"/>
  <c r="AH28"/>
  <c r="R28"/>
  <c r="AF28"/>
  <c r="P28"/>
  <c r="AD28"/>
  <c r="H28"/>
  <c r="B6" i="39" s="1"/>
  <c r="AB28" i="7"/>
  <c r="Z28"/>
  <c r="V28"/>
  <c r="X28"/>
  <c r="X29" i="5"/>
  <c r="V29"/>
  <c r="AJ29"/>
  <c r="T29"/>
  <c r="AH29"/>
  <c r="R29"/>
  <c r="C8" i="37" s="1"/>
  <c r="AF29" i="5"/>
  <c r="P29"/>
  <c r="AD29"/>
  <c r="AB29"/>
  <c r="D8" i="37" s="1"/>
  <c r="Z29" i="5"/>
  <c r="B8" i="37" s="1"/>
  <c r="AH28" i="5"/>
  <c r="R28"/>
  <c r="AF28"/>
  <c r="P28"/>
  <c r="AD28"/>
  <c r="H28"/>
  <c r="B8" i="39" s="1"/>
  <c r="V28" i="5"/>
  <c r="AB28"/>
  <c r="Z28"/>
  <c r="X28"/>
  <c r="AJ28"/>
  <c r="T28"/>
  <c r="V28" i="29"/>
  <c r="P28"/>
  <c r="H28"/>
  <c r="B15" i="39" s="1"/>
  <c r="AB28" i="29"/>
  <c r="AJ28"/>
  <c r="T28"/>
  <c r="AH28"/>
  <c r="AD28"/>
  <c r="Z28"/>
  <c r="E55"/>
  <c r="G55" s="1"/>
  <c r="C15" i="39" s="1"/>
  <c r="G43" i="29"/>
  <c r="AF29" i="28"/>
  <c r="P29"/>
  <c r="AD29"/>
  <c r="AB29"/>
  <c r="D14" i="37" s="1"/>
  <c r="Z29" i="28"/>
  <c r="B14" i="37" s="1"/>
  <c r="X29" i="28"/>
  <c r="V29"/>
  <c r="AJ29"/>
  <c r="T29"/>
  <c r="AH29"/>
  <c r="R29"/>
  <c r="C14" i="37" s="1"/>
  <c r="V28" i="28"/>
  <c r="AJ28"/>
  <c r="T28"/>
  <c r="AH28"/>
  <c r="R28"/>
  <c r="AF28"/>
  <c r="P28"/>
  <c r="AD28"/>
  <c r="H28"/>
  <c r="B14" i="39" s="1"/>
  <c r="AB28" i="28"/>
  <c r="Z28"/>
  <c r="X28"/>
  <c r="G43" i="8"/>
  <c r="Z29" i="27"/>
  <c r="B13" i="37" s="1"/>
  <c r="X29" i="27"/>
  <c r="V29"/>
  <c r="AJ29"/>
  <c r="T29"/>
  <c r="AH29"/>
  <c r="R29"/>
  <c r="C13" i="37" s="1"/>
  <c r="AF29" i="27"/>
  <c r="P29"/>
  <c r="AD29"/>
  <c r="AB29"/>
  <c r="D13" i="37" s="1"/>
  <c r="H28" i="27"/>
  <c r="B13" i="39" s="1"/>
  <c r="I43" i="2"/>
  <c r="I44" s="1"/>
  <c r="E55" i="26"/>
  <c r="G55" s="1"/>
  <c r="C12" i="39" s="1"/>
  <c r="G43" i="26"/>
  <c r="D2" i="41" l="1"/>
  <c r="H9" i="21"/>
  <c r="E43"/>
  <c r="E55" s="1"/>
  <c r="G55" s="1"/>
  <c r="C20" i="39" s="1"/>
  <c r="F15" i="21"/>
  <c r="P6" s="1"/>
  <c r="F9" i="2"/>
  <c r="F15" s="1"/>
  <c r="G9"/>
  <c r="G15" s="1"/>
  <c r="G37" i="21"/>
  <c r="E37" i="2"/>
  <c r="U6" i="41" s="1"/>
  <c r="G15" i="21"/>
  <c r="AD7" s="1"/>
  <c r="F28" l="1"/>
  <c r="X28" s="1"/>
  <c r="P13"/>
  <c r="G28"/>
  <c r="T29" s="1"/>
  <c r="AB7"/>
  <c r="AF6" i="2"/>
  <c r="P15"/>
  <c r="T6"/>
  <c r="V6"/>
  <c r="X6"/>
  <c r="H15"/>
  <c r="R6"/>
  <c r="P13"/>
  <c r="P6"/>
  <c r="AB6"/>
  <c r="AH6"/>
  <c r="F28"/>
  <c r="AD6"/>
  <c r="Z6"/>
  <c r="AJ6"/>
  <c r="X7"/>
  <c r="V7"/>
  <c r="AD7"/>
  <c r="R7"/>
  <c r="P7"/>
  <c r="T7"/>
  <c r="AH7"/>
  <c r="AJ7"/>
  <c r="G28"/>
  <c r="AB7"/>
  <c r="Z7"/>
  <c r="AF7"/>
  <c r="AF29" i="21"/>
  <c r="AB6" i="41"/>
  <c r="G43" i="21"/>
  <c r="V29"/>
  <c r="T28"/>
  <c r="AC6" i="41"/>
  <c r="N6"/>
  <c r="L6"/>
  <c r="R6"/>
  <c r="V6" i="21"/>
  <c r="R7"/>
  <c r="V28"/>
  <c r="W6" i="41"/>
  <c r="P29" i="21"/>
  <c r="Z28"/>
  <c r="J6" i="41"/>
  <c r="F6"/>
  <c r="H6"/>
  <c r="Y6"/>
  <c r="R6" i="21"/>
  <c r="P7"/>
  <c r="AB28"/>
  <c r="G37" i="2"/>
  <c r="D6" i="41" s="1"/>
  <c r="AH29" i="21"/>
  <c r="AD28"/>
  <c r="Q6" i="41"/>
  <c r="AA6"/>
  <c r="I6"/>
  <c r="X6" i="21"/>
  <c r="T7"/>
  <c r="R29"/>
  <c r="C20" i="37" s="1"/>
  <c r="X29" i="21"/>
  <c r="R28"/>
  <c r="P6" i="41"/>
  <c r="G6"/>
  <c r="Z6"/>
  <c r="P15" i="21"/>
  <c r="H15"/>
  <c r="V7"/>
  <c r="AD29"/>
  <c r="H9" i="2"/>
  <c r="AF28" i="21"/>
  <c r="O6" i="41"/>
  <c r="K6"/>
  <c r="V6"/>
  <c r="T6" i="21"/>
  <c r="AD6"/>
  <c r="X7"/>
  <c r="M6" i="41"/>
  <c r="E43" i="2"/>
  <c r="AJ29" i="21"/>
  <c r="P28"/>
  <c r="AJ28"/>
  <c r="X6" i="41"/>
  <c r="E6"/>
  <c r="S6"/>
  <c r="AB6" i="21"/>
  <c r="Z6"/>
  <c r="Z7"/>
  <c r="Z29"/>
  <c r="B20" i="37" s="1"/>
  <c r="H28" i="21"/>
  <c r="B20" i="39" s="1"/>
  <c r="AB29" i="21"/>
  <c r="D20" i="37" s="1"/>
  <c r="AH28" i="21"/>
  <c r="T6" i="41"/>
  <c r="B6"/>
  <c r="B12" l="1"/>
  <c r="G43" i="2"/>
  <c r="D12" i="41" s="1"/>
  <c r="E44" i="2"/>
  <c r="G44" s="1"/>
  <c r="C33" i="39" s="1"/>
  <c r="AB28" i="2"/>
  <c r="R28"/>
  <c r="V28"/>
  <c r="AD28"/>
  <c r="P28"/>
  <c r="AH28"/>
  <c r="X28"/>
  <c r="T28"/>
  <c r="AF28"/>
  <c r="AJ28"/>
  <c r="H28"/>
  <c r="B33" i="39" s="1"/>
  <c r="Z28" i="2"/>
  <c r="T29"/>
  <c r="AH29"/>
  <c r="P29"/>
  <c r="AB29"/>
  <c r="D33" i="37" s="1"/>
  <c r="AD29" i="2"/>
  <c r="X29"/>
  <c r="AF29"/>
  <c r="AJ29"/>
  <c r="Z29"/>
  <c r="B33" i="37" s="1"/>
  <c r="V29" i="2"/>
  <c r="R29"/>
  <c r="C33" i="37" s="1"/>
</calcChain>
</file>

<file path=xl/sharedStrings.xml><?xml version="1.0" encoding="utf-8"?>
<sst xmlns="http://schemas.openxmlformats.org/spreadsheetml/2006/main" count="5865" uniqueCount="335">
  <si>
    <t>รายงานการผลิตครอบประจำวัน</t>
  </si>
  <si>
    <t>สัปดาห์ที่</t>
  </si>
  <si>
    <t>วันที่ผลิต</t>
  </si>
  <si>
    <t>MATERIAL DOCUMENT NO</t>
  </si>
  <si>
    <t xml:space="preserve"> </t>
  </si>
  <si>
    <t>จำนวนที่ผลิต</t>
  </si>
  <si>
    <t>ปริมาณการใช้วัตถุดิบ</t>
  </si>
  <si>
    <t>เถ้าลอย</t>
  </si>
  <si>
    <t>ปูนซีเมนต์</t>
  </si>
  <si>
    <t>ทราย</t>
  </si>
  <si>
    <t>Water Base</t>
  </si>
  <si>
    <t xml:space="preserve">MOULD </t>
  </si>
  <si>
    <t>Adva</t>
  </si>
  <si>
    <t>สีพื้น</t>
  </si>
  <si>
    <t>สีเหลือบ</t>
  </si>
  <si>
    <t>กะที่</t>
  </si>
  <si>
    <t>LOT NO.</t>
  </si>
  <si>
    <t>ลอน</t>
  </si>
  <si>
    <t>สี</t>
  </si>
  <si>
    <t>(แผ่น)</t>
  </si>
  <si>
    <t>ผสมตัว</t>
  </si>
  <si>
    <t>ผสมสี</t>
  </si>
  <si>
    <t xml:space="preserve">  Spray</t>
  </si>
  <si>
    <t>OIL</t>
  </si>
  <si>
    <t>Counter</t>
  </si>
  <si>
    <t>ห้องบ่ม</t>
  </si>
  <si>
    <t>แผ่นเสีย</t>
  </si>
  <si>
    <t>แผ่นดี</t>
  </si>
  <si>
    <t>Plan</t>
  </si>
  <si>
    <t>Wet Reject</t>
  </si>
  <si>
    <t>(ตัน)</t>
  </si>
  <si>
    <t>(ลิตร)</t>
  </si>
  <si>
    <t>(แผ่น/ถัง)</t>
  </si>
  <si>
    <t>ปริมาณการใช้กะ 1</t>
  </si>
  <si>
    <t xml:space="preserve">  คำนวณจาก  Counter  (ต่อพันแผ่น)</t>
  </si>
  <si>
    <t xml:space="preserve">  คำนวณจาก  ห้องบ่ม  (ต่อพันแผ่น)</t>
  </si>
  <si>
    <t>หมายเหตุ</t>
  </si>
  <si>
    <t>รวมกะที่ 1</t>
  </si>
  <si>
    <t>รวมกะที่ 2</t>
  </si>
  <si>
    <t>รวมทุกกะ</t>
  </si>
  <si>
    <t>รายงานการแกะครอบ</t>
  </si>
  <si>
    <t xml:space="preserve">  รายละเอียดครอบเสีย</t>
  </si>
  <si>
    <t>จำนวนที่นำมาแกะ</t>
  </si>
  <si>
    <t>Reject</t>
  </si>
  <si>
    <t>บิ่นแหว่ง</t>
  </si>
  <si>
    <t>แตกรูตะปู</t>
  </si>
  <si>
    <t>เนื้อแหว่งใต้ครอบ</t>
  </si>
  <si>
    <t>รูพรุน</t>
  </si>
  <si>
    <t>สีเป็นเม็ด</t>
  </si>
  <si>
    <t>สีด้าน</t>
  </si>
  <si>
    <t>สีปูด</t>
  </si>
  <si>
    <t>สีหยด</t>
  </si>
  <si>
    <t>อื่นๆ</t>
  </si>
  <si>
    <t xml:space="preserve"> ผู้ทำรายงาน</t>
  </si>
  <si>
    <t xml:space="preserve"> หม.ผลิต </t>
  </si>
  <si>
    <t xml:space="preserve"> หง.ผ </t>
  </si>
  <si>
    <t xml:space="preserve">  หม.จัดบรรทุก </t>
  </si>
  <si>
    <t xml:space="preserve">    พ.จ่ายสินค้า</t>
  </si>
  <si>
    <t xml:space="preserve"> ผร.</t>
  </si>
  <si>
    <t xml:space="preserve"> สำเนาเรียน : หัวหน้างานวางแผนผลิต, พนักงานควบคุมคุณภาพ</t>
  </si>
  <si>
    <t>GN-F-PD-212  (1 พฤศจิกายน 2551)</t>
  </si>
  <si>
    <t>ปริมาณการใช้รวม</t>
  </si>
  <si>
    <t>แผ่นดีนำไปกองเก็บจำนวนไม้ / แผ่น</t>
  </si>
  <si>
    <t>ครอบข้างผนัง</t>
  </si>
  <si>
    <t>ใช้ปูน ( Batch)</t>
  </si>
  <si>
    <t>ทิ้งปูน  (Batct)</t>
  </si>
  <si>
    <t>ทิ้งสีพื้น (ถัง)</t>
  </si>
  <si>
    <t>ทิ้งสีเหลือบ (ถัง)</t>
  </si>
  <si>
    <t>ใช้ผ้า (ผืน)</t>
  </si>
  <si>
    <t>ใช้ผ้า (แผ่น/ผืน)</t>
  </si>
  <si>
    <t>ใช้ตะแกรง (แผ่น/ผืน)</t>
  </si>
  <si>
    <t>ปริมาณการใช้กะ 2</t>
  </si>
  <si>
    <t>ใช้ตะแกรง (แผ่น)</t>
  </si>
  <si>
    <t>ครอบ Prestige  โรงงานสระบุรี 2/3</t>
  </si>
  <si>
    <t>ครอบสัน</t>
  </si>
  <si>
    <t>ครอบปิดจั่ว</t>
  </si>
  <si>
    <t>ครอบตะเข้</t>
  </si>
  <si>
    <t>ครอบปิดปลายตะเข้</t>
  </si>
  <si>
    <t>ครอบข้างซิมเลท</t>
  </si>
  <si>
    <t>ครอบข้างปิดปลายซิมเลท</t>
  </si>
  <si>
    <t>ครอบหัวผนัง</t>
  </si>
  <si>
    <t>ครอบปั้นลม</t>
  </si>
  <si>
    <t>ครอบปิดปลายปั้นลม</t>
  </si>
  <si>
    <t>00/68</t>
  </si>
  <si>
    <t>ร้าวผิว
ตัวกระเบื้อง</t>
  </si>
  <si>
    <t>ร้าว
รางลิ้นหงาย</t>
  </si>
  <si>
    <t>ร้าว
ล่างรางลิ้นคว่ำ</t>
  </si>
  <si>
    <t>ร้าว
ล่างตัวครอบ</t>
  </si>
  <si>
    <t>ร้าว
ชายกระเบื้อง</t>
  </si>
  <si>
    <t>ร้าว
เขื่อนรางลิ้นหงาย</t>
  </si>
  <si>
    <t>ร้าว
เขื่อนรางลิ้นคว่ำ</t>
  </si>
  <si>
    <t>ผิวครอบปูดบวม</t>
  </si>
  <si>
    <t>ผิวครอบไม่เรียบ</t>
  </si>
  <si>
    <t>ขอบไม่คม / ไม่เรียบ</t>
  </si>
  <si>
    <t>ปูนติดโมล</t>
  </si>
  <si>
    <t>สี Salary ไม่เต็ม</t>
  </si>
  <si>
    <t>สีพอง</t>
  </si>
  <si>
    <t>ครอบบาง/น้ำหนักเบา</t>
  </si>
  <si>
    <t xml:space="preserve">ยกชน Rack </t>
  </si>
  <si>
    <t>รถยกชน</t>
  </si>
  <si>
    <t>1-2</t>
  </si>
  <si>
    <t>รวมกะที่ 1-2</t>
  </si>
  <si>
    <t>ร้าวผิวกระเบื้อง</t>
  </si>
  <si>
    <t>ร้าวรางลิ้นหงาย</t>
  </si>
  <si>
    <t>ร้าวรางลิ่นคว่ำ</t>
  </si>
  <si>
    <t>ร้าวล่างตัวครอบ</t>
  </si>
  <si>
    <t>ร้าวชายกระเบื้อง
ชายกระเบื้อง</t>
  </si>
  <si>
    <t>ร้าวเขื่อนรางลิ้นหงาน</t>
  </si>
  <si>
    <t>ร้าวเขื่อนรางลิ้นคว่ำ</t>
  </si>
  <si>
    <t>0/11/2568</t>
  </si>
  <si>
    <t>Total</t>
  </si>
  <si>
    <t>00/69</t>
  </si>
  <si>
    <t>Wet reject Prestige</t>
  </si>
  <si>
    <t>Dry reject Prestige</t>
  </si>
  <si>
    <t>VANICLEAN Mar 2026</t>
  </si>
  <si>
    <t>Cement Prestige Mar 2026</t>
  </si>
  <si>
    <t>Usage water base Prestige Mar 2026</t>
  </si>
  <si>
    <t>00/08/2569</t>
  </si>
  <si>
    <t>0/8/2569</t>
  </si>
  <si>
    <t>I11690801</t>
  </si>
  <si>
    <t>I13690801</t>
  </si>
  <si>
    <t>I14690801</t>
  </si>
  <si>
    <t>I15690801</t>
  </si>
  <si>
    <t>I16690801</t>
  </si>
  <si>
    <t>มิดไนท์เกรย์*N</t>
  </si>
  <si>
    <t>I13690802</t>
  </si>
  <si>
    <t>ออเบิร์น บราวน์*N</t>
  </si>
  <si>
    <t>210*3+ศ.140+QC6</t>
  </si>
  <si>
    <t>280*6+ศ.141+QC6</t>
  </si>
  <si>
    <t>140*7+ศ.63+QC6</t>
  </si>
  <si>
    <t>210*15+ศ.70+QC6</t>
  </si>
  <si>
    <t>144*22+ศ.33+QC6</t>
  </si>
  <si>
    <t>จบ Lot. ส่งวันที่ 4/8/69</t>
  </si>
  <si>
    <t>I11690803</t>
  </si>
  <si>
    <t>I13690803</t>
  </si>
  <si>
    <t>I14690803</t>
  </si>
  <si>
    <t>I15690803</t>
  </si>
  <si>
    <t>I12690803</t>
  </si>
  <si>
    <t>I12690804</t>
  </si>
  <si>
    <t>144*30+ศ.105+QC6</t>
  </si>
  <si>
    <t>จบ Lot. ส่งวันที่ 5/8/69</t>
  </si>
  <si>
    <t>140*14+ศ.120+QC6</t>
  </si>
  <si>
    <t>280*9+ศ.180+QC6</t>
  </si>
  <si>
    <t>96*11+QC6</t>
  </si>
  <si>
    <t>จบ Lot. ส่งวันที่ 6/8/69</t>
  </si>
  <si>
    <t>210*35+ศ.14+QC6</t>
  </si>
  <si>
    <t>I11690804</t>
  </si>
  <si>
    <t>I13690804</t>
  </si>
  <si>
    <t>I14690804</t>
  </si>
  <si>
    <t>I15690804</t>
  </si>
  <si>
    <t>144*17+QC6</t>
  </si>
  <si>
    <t>280*8+ศ.152+QC6</t>
  </si>
  <si>
    <t>210*27+ศ.39+QC6</t>
  </si>
  <si>
    <t>I11690806</t>
  </si>
  <si>
    <t>I13690806</t>
  </si>
  <si>
    <t>I15690806</t>
  </si>
  <si>
    <t>I16690806</t>
  </si>
  <si>
    <t>ไอวอรี่เกรย์*N</t>
  </si>
  <si>
    <t>I11690807</t>
  </si>
  <si>
    <t>I13690807</t>
  </si>
  <si>
    <t>I15690807</t>
  </si>
  <si>
    <t>I16690807</t>
  </si>
  <si>
    <t>ดาร์กเกรย์*N</t>
  </si>
  <si>
    <t>144*5+ศ.76+QC6</t>
  </si>
  <si>
    <t>210*12+QC6</t>
  </si>
  <si>
    <t>280*3+QC6</t>
  </si>
  <si>
    <t>96*1+ศ.26+QC6</t>
  </si>
  <si>
    <t>210*16+ศ.129+QC6</t>
  </si>
  <si>
    <t>I13690809</t>
  </si>
  <si>
    <t>มิสทีเกรย์*N</t>
  </si>
  <si>
    <t>40*2+ศ.19</t>
  </si>
  <si>
    <t>จบ Lot. ส่งวันที่ 8/8/69</t>
  </si>
  <si>
    <t>40*2+ศ.24</t>
  </si>
  <si>
    <t>I12690806</t>
  </si>
  <si>
    <t>40*1+ศ.3</t>
  </si>
  <si>
    <t>210*23+ศ.10+QC6</t>
  </si>
  <si>
    <t>I13690811</t>
  </si>
  <si>
    <t>เทาปีกนางนวล (ไม่มีรูตะปู)*N</t>
  </si>
  <si>
    <t>I13690813</t>
  </si>
  <si>
    <t>ลิกไนท์เกรย์ (ไม่มีรูตะปู)*N</t>
  </si>
  <si>
    <t>210*25+ศ.175+QC6</t>
  </si>
  <si>
    <t>I13690815</t>
  </si>
  <si>
    <t>ขาวปุ่ยนุ่น (ไม่มีรูตะปู)*N</t>
  </si>
  <si>
    <t>I13690816</t>
  </si>
  <si>
    <t>แดงกุหลาบ (ไม่มีรูตะปู)*N</t>
  </si>
  <si>
    <t>280*6+ศ.109+QC6</t>
  </si>
  <si>
    <t>จบ Lot. ส่งวันที่ 11/8/69</t>
  </si>
  <si>
    <t>210*48+ศ.103+QC6</t>
  </si>
  <si>
    <t>จบ Lot. ส่งวันที่ 10/8/69</t>
  </si>
  <si>
    <t>210*19+QC6</t>
  </si>
  <si>
    <t>210*8+ศ.41+QC6</t>
  </si>
  <si>
    <t>I11690820</t>
  </si>
  <si>
    <t>I13690820</t>
  </si>
  <si>
    <t>I15690820</t>
  </si>
  <si>
    <t>มิดไนท์บลู*N</t>
  </si>
  <si>
    <t>I12690822</t>
  </si>
  <si>
    <t>โกลเด้นบราวน์*N</t>
  </si>
  <si>
    <t>ศ.10</t>
  </si>
  <si>
    <t>I11690823</t>
  </si>
  <si>
    <t>I12690823</t>
  </si>
  <si>
    <t>I13690823</t>
  </si>
  <si>
    <t>I15690823</t>
  </si>
  <si>
    <t>I11690824</t>
  </si>
  <si>
    <t>I13690824</t>
  </si>
  <si>
    <t>I15690824</t>
  </si>
  <si>
    <t>น้ำตาลมั่งมี*N</t>
  </si>
  <si>
    <t>140*9+ศ.65+QC6</t>
  </si>
  <si>
    <t>จบ Lot. ส่งวันที่ 13/8/69</t>
  </si>
  <si>
    <t>144*14+ศ.117+QC6</t>
  </si>
  <si>
    <t>280*7+ศ.252+QC6</t>
  </si>
  <si>
    <t>144*9+ศ.23+QC6</t>
  </si>
  <si>
    <t>280*7+QC6</t>
  </si>
  <si>
    <t>210*23+ศ.117+QC6</t>
  </si>
  <si>
    <t>40*3+ศ.25</t>
  </si>
  <si>
    <t>I11690826</t>
  </si>
  <si>
    <t>I13690826</t>
  </si>
  <si>
    <t>I15690826</t>
  </si>
  <si>
    <t>144*12+ศ.117+QC6</t>
  </si>
  <si>
    <t>จบ Lot. ส่งวันที่ 14/8/69</t>
  </si>
  <si>
    <t>ส่งครั้งที่ 1 (210*21+QC6)/ส่งครั้งที่ 2 (ศ.105)</t>
  </si>
  <si>
    <t>280*1+ศ.85+QC6</t>
  </si>
  <si>
    <t>144*1+L.52+๐ฉ6</t>
  </si>
  <si>
    <t>I11690827</t>
  </si>
  <si>
    <t>I13690827</t>
  </si>
  <si>
    <t>I15690827</t>
  </si>
  <si>
    <t>จบ Lot. ส่งวันที่ 15/8/69</t>
  </si>
  <si>
    <t>280*9+QC6</t>
  </si>
  <si>
    <t>144*25+ศ.100+QC6</t>
  </si>
  <si>
    <t>210*41+ศ.44+QC6</t>
  </si>
  <si>
    <t>I11690828</t>
  </si>
  <si>
    <t>I13690828</t>
  </si>
  <si>
    <t>I14690828</t>
  </si>
  <si>
    <t>I15690828</t>
  </si>
  <si>
    <t>144*25+ศ.27+QC6</t>
  </si>
  <si>
    <t>280*8+ศ.165+QC6</t>
  </si>
  <si>
    <t>210*35+ศ.155+QC6</t>
  </si>
  <si>
    <t>จบ Lot. ส่งวันที่ 17/8/69</t>
  </si>
  <si>
    <t>I11690829</t>
  </si>
  <si>
    <t>I13690829</t>
  </si>
  <si>
    <t>I14690829</t>
  </si>
  <si>
    <t>I15690829</t>
  </si>
  <si>
    <t>I11690830</t>
  </si>
  <si>
    <t>I13690830</t>
  </si>
  <si>
    <t>I14690830</t>
  </si>
  <si>
    <t>I15690830</t>
  </si>
  <si>
    <t>280*4+ศ.225+QC6</t>
  </si>
  <si>
    <t>140*5+ศ.7+QC6</t>
  </si>
  <si>
    <t>210*28+ศ.94+QC6</t>
  </si>
  <si>
    <t>144*9+ศ.69+QC6</t>
  </si>
  <si>
    <t>จบ Lot. ส่งวันที่ 18/8/69</t>
  </si>
  <si>
    <t>144*13+ศ.86+QC6</t>
  </si>
  <si>
    <t>I11690832</t>
  </si>
  <si>
    <t>I13690832</t>
  </si>
  <si>
    <t>I14690832</t>
  </si>
  <si>
    <t>I15690832</t>
  </si>
  <si>
    <t>96*6+ศ.94+QC6</t>
  </si>
  <si>
    <t>จบ Lot. ส่งวันที่ 19/8/69</t>
  </si>
  <si>
    <t>210*17+29+6</t>
  </si>
  <si>
    <t>140*7+128+6</t>
  </si>
  <si>
    <t>280*2+259+6</t>
  </si>
  <si>
    <t>144*11+141+6</t>
  </si>
  <si>
    <t>140*6+123+6</t>
  </si>
  <si>
    <t>280*2+230+6</t>
  </si>
  <si>
    <t>280*6+ศ.184+QC6</t>
  </si>
  <si>
    <t>140*16+ศ.121+QC6</t>
  </si>
  <si>
    <t>144*15+ศ.135+QC6</t>
  </si>
  <si>
    <t>จบ Lot. ส่งวันที่ 20/8/69</t>
  </si>
  <si>
    <t>I11690833</t>
  </si>
  <si>
    <t>I13690833</t>
  </si>
  <si>
    <t>I14690833</t>
  </si>
  <si>
    <t>I15690833</t>
  </si>
  <si>
    <t>I12690833</t>
  </si>
  <si>
    <t>I12690832</t>
  </si>
  <si>
    <t>280*6+ศ.93+QC6</t>
  </si>
  <si>
    <t>210*34+ศ.145+QC6</t>
  </si>
  <si>
    <t>จบ Lot. ส่งวันที่ 21/8/69</t>
  </si>
  <si>
    <t>I11690834</t>
  </si>
  <si>
    <t>I13690834</t>
  </si>
  <si>
    <t>I15690834</t>
  </si>
  <si>
    <t>ส่งครั้งที่ 1 (144*16+QC6)</t>
  </si>
  <si>
    <t>ส่งครั้งที่ 1 (210*2+QC6)</t>
  </si>
  <si>
    <t>ค้างแกะ 2,273 แผ่น</t>
  </si>
  <si>
    <t>ค้างแกะ 1,390 แผ่น</t>
  </si>
  <si>
    <t>144*17+ศ.26+QC6</t>
  </si>
  <si>
    <t>ส่งครั้งที่ 1 (210*14+QC6)/ส่งครั้งที่ 2 (ศ.145)</t>
  </si>
  <si>
    <t>ส่งครั้งที่ 1 (210*28+QC6)/ส่งครั้งที่ 2 (210*2+ศ.74)</t>
  </si>
  <si>
    <t>ส่งครั้งที่ 1 (210*20+QC6)/ส่งครั้งที่ 2 (210*24)</t>
  </si>
  <si>
    <t>จบ Lot. ส่งวันที่ 22/8/69</t>
  </si>
  <si>
    <t>I13690835</t>
  </si>
  <si>
    <t>I15690835</t>
  </si>
  <si>
    <t>I13690836</t>
  </si>
  <si>
    <t>ขาวปุยนุ่น (ไม่มีรู)*N</t>
  </si>
  <si>
    <t>I13690837</t>
  </si>
  <si>
    <t>ลิกไนท์เกรย์ (ไม่มีรู)*N</t>
  </si>
  <si>
    <t>ค้างแกะ 80 แผ่น</t>
  </si>
  <si>
    <t>ส่งครั้งที่ 1 (210*27+ศ.165+QC6)</t>
  </si>
  <si>
    <t>140*18+ศ.114+QC6</t>
  </si>
  <si>
    <t>จบ Lot. ส่งวันที่ 25/8/69</t>
  </si>
  <si>
    <t>40*5</t>
  </si>
  <si>
    <t>จบ Lot. ส่งวันที่ 26/8/69</t>
  </si>
  <si>
    <t>40*2+ศ.14</t>
  </si>
  <si>
    <t>I12690838</t>
  </si>
  <si>
    <t>ช็อกโก้บราวน์*N</t>
  </si>
  <si>
    <t>40*2+ศ.26</t>
  </si>
  <si>
    <t>I11690853</t>
  </si>
  <si>
    <t>I13690853</t>
  </si>
  <si>
    <t>I11690854</t>
  </si>
  <si>
    <t>I13690854</t>
  </si>
  <si>
    <t>ฮาร์โมนี่ เคลย์*N</t>
  </si>
  <si>
    <t>I11690855</t>
  </si>
  <si>
    <t>I13690855</t>
  </si>
  <si>
    <t>มิดไนท์บูล*N</t>
  </si>
  <si>
    <t>ดีฟฟอร์เรส*N</t>
  </si>
  <si>
    <t>ค้างแกะ 152 แผ่น</t>
  </si>
  <si>
    <t>ค้างแกะ 264 แผ่น</t>
  </si>
  <si>
    <t>ส่งครั้งที่ 1 (144*11+QC6)</t>
  </si>
  <si>
    <t>ส่งครั้งที่ 1 (96*8+QC6)</t>
  </si>
  <si>
    <t>ส่งครั้งที่ 1 (144*3+QC6)</t>
  </si>
  <si>
    <t>I16690855</t>
  </si>
  <si>
    <t>I17690855</t>
  </si>
  <si>
    <t>I16690856</t>
  </si>
  <si>
    <t>I17690856</t>
  </si>
  <si>
    <t>I12690856</t>
  </si>
  <si>
    <t>I16690853</t>
  </si>
  <si>
    <t>I17690853</t>
  </si>
  <si>
    <t>I16690854</t>
  </si>
  <si>
    <t>I17690854</t>
  </si>
  <si>
    <t>ค้างแกะ 462 แผ่น</t>
  </si>
  <si>
    <t>210*2+ศ.77+QC6</t>
  </si>
  <si>
    <t>Pallet Oil</t>
  </si>
  <si>
    <t>FT30</t>
  </si>
  <si>
    <t>BL</t>
  </si>
  <si>
    <t>Cacluim</t>
  </si>
  <si>
    <t>L</t>
  </si>
  <si>
    <t>Kg</t>
  </si>
</sst>
</file>

<file path=xl/styles.xml><?xml version="1.0" encoding="utf-8"?>
<styleSheet xmlns="http://schemas.openxmlformats.org/spreadsheetml/2006/main">
  <numFmts count="5">
    <numFmt numFmtId="164" formatCode="General_)"/>
    <numFmt numFmtId="165" formatCode="0.000"/>
    <numFmt numFmtId="166" formatCode="0.0"/>
    <numFmt numFmtId="167" formatCode="#,##0.00000_);\(#,##0.00000\)"/>
    <numFmt numFmtId="168" formatCode="#,##0.000_);\(#,##0.000\)"/>
  </numFmts>
  <fonts count="64">
    <font>
      <sz val="16"/>
      <name val="CordiaUPC"/>
    </font>
    <font>
      <sz val="12"/>
      <name val="Tms Rmn"/>
    </font>
    <font>
      <b/>
      <sz val="20"/>
      <name val="AngsanaUPC"/>
      <family val="1"/>
    </font>
    <font>
      <b/>
      <sz val="14"/>
      <name val="AngsanaUPC"/>
      <family val="1"/>
    </font>
    <font>
      <sz val="14"/>
      <name val="AngsanaUPC"/>
      <family val="1"/>
    </font>
    <font>
      <b/>
      <u/>
      <sz val="18"/>
      <name val="AngsanaUPC"/>
      <family val="1"/>
    </font>
    <font>
      <b/>
      <sz val="19"/>
      <name val="AngsanaUPC"/>
      <family val="1"/>
    </font>
    <font>
      <sz val="18"/>
      <name val="AngsanaUPC"/>
      <family val="1"/>
    </font>
    <font>
      <b/>
      <u/>
      <sz val="18"/>
      <name val="CordiaUPC"/>
      <family val="2"/>
      <charset val="222"/>
    </font>
    <font>
      <sz val="14"/>
      <name val="Cordia New"/>
      <family val="2"/>
    </font>
    <font>
      <b/>
      <sz val="18"/>
      <name val="AngsanaUPC"/>
      <family val="1"/>
      <charset val="222"/>
    </font>
    <font>
      <b/>
      <u/>
      <sz val="19"/>
      <name val="AngsanaUPC"/>
      <family val="1"/>
      <charset val="222"/>
    </font>
    <font>
      <sz val="14"/>
      <name val="AngsanaUPC"/>
      <family val="1"/>
      <charset val="222"/>
    </font>
    <font>
      <b/>
      <sz val="18"/>
      <color indexed="8"/>
      <name val="AngsanaUPC"/>
      <family val="1"/>
      <charset val="222"/>
    </font>
    <font>
      <b/>
      <sz val="16"/>
      <name val="AngsanaUPC"/>
      <family val="1"/>
    </font>
    <font>
      <sz val="16"/>
      <name val="AngsanaUPC"/>
      <family val="1"/>
    </font>
    <font>
      <sz val="18"/>
      <color indexed="8"/>
      <name val="AngsanaUPC"/>
      <family val="1"/>
      <charset val="222"/>
    </font>
    <font>
      <sz val="16"/>
      <color indexed="8"/>
      <name val="AngsanaUPC"/>
      <family val="1"/>
      <charset val="222"/>
    </font>
    <font>
      <sz val="18"/>
      <color indexed="10"/>
      <name val="AngsanaUPC"/>
      <family val="1"/>
      <charset val="222"/>
    </font>
    <font>
      <sz val="16"/>
      <color indexed="8"/>
      <name val="AngsanaUPC"/>
      <family val="1"/>
    </font>
    <font>
      <sz val="16"/>
      <color indexed="10"/>
      <name val="AngsanaUPC"/>
      <family val="1"/>
    </font>
    <font>
      <sz val="16"/>
      <color indexed="10"/>
      <name val="AngsanaUPC"/>
      <family val="1"/>
      <charset val="222"/>
    </font>
    <font>
      <b/>
      <sz val="18"/>
      <name val="AngsanaUPC"/>
      <family val="1"/>
    </font>
    <font>
      <b/>
      <sz val="17"/>
      <name val="AngsanaUPC"/>
      <family val="1"/>
    </font>
    <font>
      <sz val="17"/>
      <name val="AngsanaUPC"/>
      <family val="1"/>
    </font>
    <font>
      <b/>
      <sz val="16"/>
      <name val="AngsanaUPC"/>
      <family val="1"/>
      <charset val="222"/>
    </font>
    <font>
      <sz val="16"/>
      <color indexed="39"/>
      <name val="AngsanaUPC"/>
      <family val="1"/>
    </font>
    <font>
      <sz val="14"/>
      <color indexed="39"/>
      <name val="AngsanaUPC"/>
      <family val="1"/>
    </font>
    <font>
      <sz val="14"/>
      <color indexed="8"/>
      <name val="AngsanaUPC"/>
      <family val="1"/>
    </font>
    <font>
      <sz val="18"/>
      <color indexed="8"/>
      <name val="AngsanaUPC"/>
      <family val="1"/>
    </font>
    <font>
      <sz val="20"/>
      <name val="AngsanaUPC"/>
      <family val="1"/>
    </font>
    <font>
      <sz val="20"/>
      <color indexed="8"/>
      <name val="AngsanaUPC"/>
      <family val="1"/>
      <charset val="222"/>
    </font>
    <font>
      <sz val="48"/>
      <name val="AngsanaUPC"/>
      <family val="1"/>
    </font>
    <font>
      <sz val="48"/>
      <color indexed="8"/>
      <name val="AngsanaUPC"/>
      <family val="1"/>
    </font>
    <font>
      <sz val="22"/>
      <color indexed="8"/>
      <name val="AngsanaUPC"/>
      <family val="1"/>
      <charset val="222"/>
    </font>
    <font>
      <sz val="24"/>
      <color indexed="8"/>
      <name val="AngsanaUPC"/>
      <family val="1"/>
    </font>
    <font>
      <sz val="24"/>
      <name val="AngsanaUPC"/>
      <family val="1"/>
    </font>
    <font>
      <sz val="20"/>
      <color indexed="8"/>
      <name val="AngsanaUPC"/>
      <family val="1"/>
    </font>
    <font>
      <sz val="20"/>
      <color indexed="39"/>
      <name val="AngsanaUPC"/>
      <family val="1"/>
    </font>
    <font>
      <sz val="22"/>
      <color indexed="39"/>
      <name val="AngsanaUPC"/>
      <family val="1"/>
    </font>
    <font>
      <sz val="20"/>
      <color indexed="39"/>
      <name val="AngsanaUPC"/>
      <family val="1"/>
      <charset val="222"/>
    </font>
    <font>
      <sz val="18"/>
      <color indexed="39"/>
      <name val="AngsanaUPC"/>
      <family val="1"/>
    </font>
    <font>
      <sz val="22"/>
      <color indexed="8"/>
      <name val="AngsanaUPC"/>
      <family val="1"/>
    </font>
    <font>
      <sz val="14"/>
      <color indexed="39"/>
      <name val="AngsanaUPC"/>
      <family val="1"/>
      <charset val="222"/>
    </font>
    <font>
      <sz val="16"/>
      <name val="CordiaUPC"/>
      <family val="2"/>
      <charset val="222"/>
    </font>
    <font>
      <sz val="20"/>
      <color rgb="FF0000FF"/>
      <name val="AngsanaUPC"/>
      <family val="1"/>
      <charset val="222"/>
    </font>
    <font>
      <sz val="16"/>
      <color indexed="39"/>
      <name val="AngsanaUPC"/>
      <family val="1"/>
      <charset val="222"/>
    </font>
    <font>
      <sz val="16"/>
      <name val="CordiaUPC"/>
      <family val="2"/>
    </font>
    <font>
      <sz val="18"/>
      <color indexed="39"/>
      <name val="AngsanaUPC"/>
      <family val="1"/>
      <charset val="222"/>
    </font>
    <font>
      <sz val="22"/>
      <color indexed="39"/>
      <name val="AngsanaUPC"/>
      <family val="1"/>
      <charset val="222"/>
    </font>
    <font>
      <sz val="22"/>
      <name val="CordiaUPC"/>
      <family val="2"/>
      <charset val="222"/>
    </font>
    <font>
      <sz val="18"/>
      <name val="CordiaUPC"/>
      <family val="2"/>
      <charset val="222"/>
    </font>
    <font>
      <sz val="20"/>
      <name val="CordiaUPC"/>
      <family val="2"/>
      <charset val="222"/>
    </font>
    <font>
      <sz val="24"/>
      <color indexed="39"/>
      <name val="AngsanaUPC"/>
      <family val="1"/>
    </font>
    <font>
      <sz val="18"/>
      <name val="CordiaUPC"/>
      <family val="2"/>
    </font>
    <font>
      <sz val="11"/>
      <color theme="1"/>
      <name val="Calibri"/>
      <family val="2"/>
      <scheme val="minor"/>
    </font>
    <font>
      <sz val="16"/>
      <name val="AngsanaUPC"/>
      <family val="1"/>
      <charset val="222"/>
    </font>
    <font>
      <sz val="22"/>
      <name val="AngsanaUPC"/>
      <family val="1"/>
    </font>
    <font>
      <sz val="16"/>
      <color rgb="FF000000"/>
      <name val="AngsanaUPC"/>
      <family val="1"/>
    </font>
    <font>
      <sz val="16"/>
      <name val="CordiaUPC"/>
      <family val="2"/>
    </font>
    <font>
      <b/>
      <sz val="16"/>
      <name val="CordiaUPC"/>
      <family val="2"/>
    </font>
    <font>
      <sz val="22"/>
      <color rgb="FF0000FF"/>
      <name val="AngsanaUPC"/>
      <family val="1"/>
    </font>
    <font>
      <sz val="20"/>
      <name val="CordiaUPC"/>
      <family val="2"/>
    </font>
    <font>
      <sz val="24"/>
      <color indexed="8"/>
      <name val="AngsanaUPC"/>
      <family val="1"/>
      <charset val="222"/>
    </font>
  </fonts>
  <fills count="1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8"/>
      </left>
      <right style="thin">
        <color indexed="64"/>
      </right>
      <top/>
      <bottom style="medium">
        <color indexed="8"/>
      </bottom>
      <diagonal/>
    </border>
  </borders>
  <cellStyleXfs count="5">
    <xf numFmtId="0" fontId="0" fillId="0" borderId="0"/>
    <xf numFmtId="37" fontId="1" fillId="0" borderId="0"/>
    <xf numFmtId="0" fontId="9" fillId="0" borderId="0"/>
    <xf numFmtId="0" fontId="55" fillId="0" borderId="0"/>
    <xf numFmtId="9" fontId="59" fillId="0" borderId="0" applyFont="0" applyFill="0" applyBorder="0" applyAlignment="0" applyProtection="0"/>
  </cellStyleXfs>
  <cellXfs count="923">
    <xf numFmtId="0" fontId="0" fillId="0" borderId="0" xfId="0"/>
    <xf numFmtId="37" fontId="2" fillId="0" borderId="1" xfId="1" quotePrefix="1" applyFont="1" applyBorder="1" applyAlignment="1" applyProtection="1">
      <alignment horizontal="left" vertical="center"/>
    </xf>
    <xf numFmtId="37" fontId="3" fillId="0" borderId="2" xfId="1" applyFont="1" applyBorder="1" applyAlignment="1">
      <alignment horizontal="center" vertical="center"/>
    </xf>
    <xf numFmtId="37" fontId="4" fillId="0" borderId="2" xfId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Continuous" vertical="center"/>
    </xf>
    <xf numFmtId="0" fontId="6" fillId="0" borderId="3" xfId="1" applyNumberFormat="1" applyFont="1" applyBorder="1" applyAlignment="1">
      <alignment horizontal="centerContinuous" vertical="center"/>
    </xf>
    <xf numFmtId="0" fontId="4" fillId="0" borderId="0" xfId="1" applyNumberFormat="1" applyFont="1" applyAlignment="1">
      <alignment horizontal="centerContinuous" vertical="center"/>
    </xf>
    <xf numFmtId="0" fontId="4" fillId="0" borderId="0" xfId="1" applyNumberFormat="1" applyFont="1" applyBorder="1" applyAlignment="1">
      <alignment horizontal="centerContinuous" vertical="center"/>
    </xf>
    <xf numFmtId="37" fontId="7" fillId="0" borderId="0" xfId="1" quotePrefix="1" applyFont="1" applyBorder="1" applyAlignment="1">
      <alignment horizontal="left" vertical="center"/>
    </xf>
    <xf numFmtId="37" fontId="4" fillId="0" borderId="0" xfId="1" applyFont="1" applyAlignment="1">
      <alignment horizontal="center" vertical="center"/>
    </xf>
    <xf numFmtId="37" fontId="6" fillId="0" borderId="0" xfId="1" applyFont="1" applyBorder="1" applyAlignment="1">
      <alignment horizontal="right" vertical="center"/>
    </xf>
    <xf numFmtId="0" fontId="10" fillId="3" borderId="0" xfId="2" applyFont="1" applyFill="1" applyAlignment="1">
      <alignment horizontal="right"/>
    </xf>
    <xf numFmtId="37" fontId="10" fillId="0" borderId="0" xfId="1" applyFont="1" applyAlignment="1" applyProtection="1">
      <alignment horizontal="left"/>
    </xf>
    <xf numFmtId="0" fontId="0" fillId="0" borderId="0" xfId="0" applyAlignment="1">
      <alignment vertical="center"/>
    </xf>
    <xf numFmtId="0" fontId="12" fillId="0" borderId="0" xfId="2" applyFont="1" applyProtection="1"/>
    <xf numFmtId="49" fontId="13" fillId="3" borderId="0" xfId="2" applyNumberFormat="1" applyFont="1" applyFill="1" applyAlignment="1" applyProtection="1">
      <alignment horizontal="center"/>
    </xf>
    <xf numFmtId="37" fontId="10" fillId="3" borderId="0" xfId="1" applyFont="1" applyFill="1" applyAlignment="1" applyProtection="1">
      <alignment horizontal="left"/>
    </xf>
    <xf numFmtId="37" fontId="4" fillId="0" borderId="0" xfId="1" applyFont="1" applyAlignment="1">
      <alignment vertical="center"/>
    </xf>
    <xf numFmtId="0" fontId="12" fillId="0" borderId="0" xfId="2" applyFont="1"/>
    <xf numFmtId="37" fontId="12" fillId="0" borderId="0" xfId="1" applyFont="1" applyAlignment="1">
      <alignment horizontal="center"/>
    </xf>
    <xf numFmtId="0" fontId="12" fillId="0" borderId="0" xfId="2" applyFont="1" applyAlignment="1" applyProtection="1">
      <alignment horizontal="center"/>
    </xf>
    <xf numFmtId="37" fontId="12" fillId="0" borderId="0" xfId="1" applyFont="1"/>
    <xf numFmtId="37" fontId="14" fillId="5" borderId="1" xfId="1" applyFont="1" applyFill="1" applyBorder="1" applyAlignment="1" applyProtection="1">
      <alignment horizontal="center" vertical="center"/>
    </xf>
    <xf numFmtId="37" fontId="14" fillId="5" borderId="7" xfId="1" applyFont="1" applyFill="1" applyBorder="1" applyAlignment="1" applyProtection="1">
      <alignment horizontal="center" vertical="center"/>
    </xf>
    <xf numFmtId="37" fontId="14" fillId="5" borderId="1" xfId="1" applyFont="1" applyFill="1" applyBorder="1" applyAlignment="1" applyProtection="1">
      <alignment horizontal="center" vertical="center"/>
    </xf>
    <xf numFmtId="37" fontId="3" fillId="0" borderId="0" xfId="1" applyFont="1" applyAlignment="1">
      <alignment vertical="center"/>
    </xf>
    <xf numFmtId="37" fontId="14" fillId="5" borderId="13" xfId="1" applyFont="1" applyFill="1" applyBorder="1" applyAlignment="1" applyProtection="1">
      <alignment horizontal="center" vertical="center"/>
    </xf>
    <xf numFmtId="37" fontId="14" fillId="5" borderId="14" xfId="1" applyFont="1" applyFill="1" applyBorder="1" applyAlignment="1" applyProtection="1">
      <alignment horizontal="center" vertical="center"/>
    </xf>
    <xf numFmtId="37" fontId="14" fillId="5" borderId="21" xfId="1" applyFont="1" applyFill="1" applyBorder="1" applyAlignment="1">
      <alignment horizontal="center" vertical="center"/>
    </xf>
    <xf numFmtId="37" fontId="14" fillId="5" borderId="22" xfId="1" applyFont="1" applyFill="1" applyBorder="1" applyAlignment="1">
      <alignment horizontal="center" vertical="center"/>
    </xf>
    <xf numFmtId="37" fontId="14" fillId="0" borderId="23" xfId="1" applyFont="1" applyBorder="1" applyAlignment="1">
      <alignment horizontal="center" vertical="center"/>
    </xf>
    <xf numFmtId="37" fontId="14" fillId="0" borderId="23" xfId="1" applyFont="1" applyBorder="1" applyAlignment="1" applyProtection="1">
      <alignment horizontal="center" vertical="center"/>
    </xf>
    <xf numFmtId="0" fontId="15" fillId="0" borderId="24" xfId="0" applyFont="1" applyBorder="1" applyAlignment="1">
      <alignment vertical="center"/>
    </xf>
    <xf numFmtId="37" fontId="15" fillId="5" borderId="1" xfId="1" applyFont="1" applyFill="1" applyBorder="1" applyAlignment="1">
      <alignment vertical="center"/>
    </xf>
    <xf numFmtId="37" fontId="15" fillId="5" borderId="16" xfId="1" applyFont="1" applyFill="1" applyBorder="1" applyAlignment="1">
      <alignment horizontal="center" vertical="center"/>
    </xf>
    <xf numFmtId="37" fontId="14" fillId="5" borderId="16" xfId="1" applyFont="1" applyFill="1" applyBorder="1" applyAlignment="1" applyProtection="1">
      <alignment horizontal="center" vertical="center"/>
    </xf>
    <xf numFmtId="37" fontId="15" fillId="0" borderId="4" xfId="1" applyFont="1" applyBorder="1" applyAlignment="1">
      <alignment vertical="center"/>
    </xf>
    <xf numFmtId="37" fontId="15" fillId="5" borderId="1" xfId="1" applyFont="1" applyFill="1" applyBorder="1" applyAlignment="1" applyProtection="1">
      <alignment horizontal="center" vertical="center"/>
    </xf>
    <xf numFmtId="37" fontId="4" fillId="0" borderId="0" xfId="1" applyFont="1" applyBorder="1" applyAlignment="1">
      <alignment horizontal="center" vertical="center"/>
    </xf>
    <xf numFmtId="37" fontId="15" fillId="5" borderId="16" xfId="1" applyFont="1" applyFill="1" applyBorder="1" applyAlignment="1" applyProtection="1">
      <alignment horizontal="center" vertical="center"/>
    </xf>
    <xf numFmtId="10" fontId="15" fillId="6" borderId="69" xfId="1" applyNumberFormat="1" applyFont="1" applyFill="1" applyBorder="1" applyAlignment="1" applyProtection="1">
      <alignment horizontal="center" vertical="center"/>
    </xf>
    <xf numFmtId="37" fontId="15" fillId="0" borderId="21" xfId="1" applyFont="1" applyBorder="1" applyAlignment="1">
      <alignment horizontal="centerContinuous" vertical="center"/>
    </xf>
    <xf numFmtId="164" fontId="15" fillId="0" borderId="4" xfId="1" applyNumberFormat="1" applyFont="1" applyBorder="1" applyAlignment="1" applyProtection="1">
      <alignment horizontal="centerContinuous" vertical="center"/>
    </xf>
    <xf numFmtId="37" fontId="15" fillId="0" borderId="4" xfId="1" applyFont="1" applyBorder="1" applyAlignment="1" applyProtection="1">
      <alignment horizontal="centerContinuous" vertical="center"/>
    </xf>
    <xf numFmtId="37" fontId="15" fillId="0" borderId="0" xfId="1" applyFont="1" applyBorder="1" applyAlignment="1">
      <alignment horizontal="centerContinuous" vertical="center"/>
    </xf>
    <xf numFmtId="164" fontId="15" fillId="0" borderId="0" xfId="1" applyNumberFormat="1" applyFont="1" applyBorder="1" applyAlignment="1" applyProtection="1">
      <alignment horizontal="centerContinuous" vertical="center"/>
    </xf>
    <xf numFmtId="37" fontId="15" fillId="0" borderId="0" xfId="1" applyFont="1" applyBorder="1" applyAlignment="1" applyProtection="1">
      <alignment horizontal="centerContinuous" vertical="center"/>
    </xf>
    <xf numFmtId="37" fontId="15" fillId="0" borderId="0" xfId="1" applyNumberFormat="1" applyFont="1" applyFill="1" applyBorder="1" applyAlignment="1" applyProtection="1">
      <alignment horizontal="center" vertical="center"/>
    </xf>
    <xf numFmtId="165" fontId="19" fillId="0" borderId="0" xfId="1" applyNumberFormat="1" applyFont="1" applyFill="1" applyBorder="1" applyAlignment="1" applyProtection="1">
      <alignment horizontal="center" vertical="center"/>
    </xf>
    <xf numFmtId="165" fontId="19" fillId="0" borderId="0" xfId="0" applyNumberFormat="1" applyFont="1" applyFill="1" applyBorder="1" applyAlignment="1" applyProtection="1">
      <alignment horizontal="center" vertical="center"/>
    </xf>
    <xf numFmtId="1" fontId="19" fillId="0" borderId="0" xfId="1" applyNumberFormat="1" applyFont="1" applyFill="1" applyBorder="1" applyAlignment="1" applyProtection="1">
      <alignment horizontal="center" vertical="center"/>
    </xf>
    <xf numFmtId="164" fontId="22" fillId="5" borderId="5" xfId="1" applyNumberFormat="1" applyFont="1" applyFill="1" applyBorder="1" applyAlignment="1" applyProtection="1">
      <alignment horizontal="left" vertical="center"/>
    </xf>
    <xf numFmtId="164" fontId="23" fillId="5" borderId="56" xfId="1" applyNumberFormat="1" applyFont="1" applyFill="1" applyBorder="1" applyAlignment="1" applyProtection="1">
      <alignment horizontal="center" vertical="center"/>
    </xf>
    <xf numFmtId="37" fontId="24" fillId="5" borderId="56" xfId="1" applyFont="1" applyFill="1" applyBorder="1" applyAlignment="1">
      <alignment horizontal="center" vertical="center"/>
    </xf>
    <xf numFmtId="0" fontId="0" fillId="5" borderId="57" xfId="0" applyFill="1" applyBorder="1" applyAlignment="1">
      <alignment vertical="center"/>
    </xf>
    <xf numFmtId="0" fontId="0" fillId="0" borderId="0" xfId="0" applyBorder="1" applyAlignment="1">
      <alignment vertical="center"/>
    </xf>
    <xf numFmtId="37" fontId="22" fillId="5" borderId="5" xfId="1" quotePrefix="1" applyFont="1" applyFill="1" applyBorder="1" applyAlignment="1" applyProtection="1">
      <alignment horizontal="left" vertical="center"/>
    </xf>
    <xf numFmtId="37" fontId="24" fillId="5" borderId="56" xfId="1" applyFont="1" applyFill="1" applyBorder="1" applyAlignment="1">
      <alignment vertical="center"/>
    </xf>
    <xf numFmtId="0" fontId="0" fillId="5" borderId="56" xfId="0" applyFill="1" applyBorder="1" applyAlignment="1">
      <alignment horizontal="centerContinuous" vertical="center"/>
    </xf>
    <xf numFmtId="37" fontId="24" fillId="0" borderId="0" xfId="1" applyFont="1" applyAlignment="1">
      <alignment vertical="center"/>
    </xf>
    <xf numFmtId="37" fontId="14" fillId="7" borderId="78" xfId="1" applyFont="1" applyFill="1" applyBorder="1" applyAlignment="1" applyProtection="1">
      <alignment horizontal="center" vertical="center" textRotation="90" wrapText="1"/>
    </xf>
    <xf numFmtId="37" fontId="15" fillId="0" borderId="0" xfId="1" applyFont="1" applyAlignment="1">
      <alignment horizontal="center" vertical="center"/>
    </xf>
    <xf numFmtId="10" fontId="15" fillId="6" borderId="81" xfId="1" applyNumberFormat="1" applyFont="1" applyFill="1" applyBorder="1" applyAlignment="1" applyProtection="1">
      <alignment horizontal="center" vertical="center"/>
    </xf>
    <xf numFmtId="10" fontId="15" fillId="0" borderId="0" xfId="1" applyNumberFormat="1" applyFont="1" applyFill="1" applyBorder="1" applyAlignment="1" applyProtection="1">
      <alignment horizontal="center" vertical="center"/>
    </xf>
    <xf numFmtId="1" fontId="15" fillId="6" borderId="82" xfId="1" applyNumberFormat="1" applyFont="1" applyFill="1" applyBorder="1" applyAlignment="1">
      <alignment horizontal="center" vertical="center"/>
    </xf>
    <xf numFmtId="37" fontId="26" fillId="5" borderId="84" xfId="1" applyFont="1" applyFill="1" applyBorder="1" applyAlignment="1" applyProtection="1">
      <alignment vertical="center"/>
      <protection locked="0"/>
    </xf>
    <xf numFmtId="37" fontId="26" fillId="5" borderId="85" xfId="1" applyFont="1" applyFill="1" applyBorder="1" applyAlignment="1" applyProtection="1">
      <alignment vertical="center"/>
      <protection locked="0"/>
    </xf>
    <xf numFmtId="37" fontId="27" fillId="5" borderId="84" xfId="1" applyFont="1" applyFill="1" applyBorder="1" applyAlignment="1" applyProtection="1">
      <alignment horizontal="left" vertical="center"/>
    </xf>
    <xf numFmtId="37" fontId="27" fillId="5" borderId="85" xfId="1" applyFont="1" applyFill="1" applyBorder="1" applyAlignment="1" applyProtection="1">
      <alignment horizontal="left" vertical="center"/>
    </xf>
    <xf numFmtId="0" fontId="0" fillId="5" borderId="40" xfId="0" applyFill="1" applyBorder="1" applyAlignment="1">
      <alignment vertical="center"/>
    </xf>
    <xf numFmtId="10" fontId="15" fillId="6" borderId="86" xfId="1" applyNumberFormat="1" applyFont="1" applyFill="1" applyBorder="1" applyAlignment="1" applyProtection="1">
      <alignment horizontal="center" vertical="center"/>
    </xf>
    <xf numFmtId="37" fontId="26" fillId="5" borderId="65" xfId="1" applyFont="1" applyFill="1" applyBorder="1" applyAlignment="1" applyProtection="1">
      <alignment vertical="center"/>
      <protection locked="0"/>
    </xf>
    <xf numFmtId="37" fontId="26" fillId="5" borderId="49" xfId="1" applyFont="1" applyFill="1" applyBorder="1" applyAlignment="1" applyProtection="1">
      <alignment vertical="center"/>
      <protection locked="0"/>
    </xf>
    <xf numFmtId="37" fontId="27" fillId="5" borderId="65" xfId="1" applyFont="1" applyFill="1" applyBorder="1" applyAlignment="1" applyProtection="1">
      <alignment horizontal="left" vertical="center"/>
    </xf>
    <xf numFmtId="37" fontId="27" fillId="5" borderId="49" xfId="1" applyFont="1" applyFill="1" applyBorder="1" applyAlignment="1" applyProtection="1">
      <alignment horizontal="left" vertical="center"/>
    </xf>
    <xf numFmtId="0" fontId="0" fillId="5" borderId="45" xfId="0" applyFill="1" applyBorder="1" applyAlignment="1">
      <alignment vertical="center"/>
    </xf>
    <xf numFmtId="37" fontId="27" fillId="5" borderId="65" xfId="1" applyFont="1" applyFill="1" applyBorder="1" applyAlignment="1" applyProtection="1">
      <alignment horizontal="left" vertical="center"/>
      <protection locked="0"/>
    </xf>
    <xf numFmtId="37" fontId="15" fillId="8" borderId="95" xfId="1" applyNumberFormat="1" applyFont="1" applyFill="1" applyBorder="1" applyAlignment="1" applyProtection="1">
      <alignment horizontal="center" vertical="center"/>
    </xf>
    <xf numFmtId="37" fontId="15" fillId="8" borderId="96" xfId="1" applyNumberFormat="1" applyFont="1" applyFill="1" applyBorder="1" applyAlignment="1" applyProtection="1">
      <alignment horizontal="center" vertical="center"/>
    </xf>
    <xf numFmtId="37" fontId="19" fillId="8" borderId="97" xfId="1" applyFont="1" applyFill="1" applyBorder="1" applyAlignment="1" applyProtection="1">
      <alignment horizontal="center" vertical="center"/>
    </xf>
    <xf numFmtId="37" fontId="19" fillId="5" borderId="98" xfId="1" applyFont="1" applyFill="1" applyBorder="1" applyAlignment="1" applyProtection="1">
      <alignment horizontal="center" vertical="center"/>
    </xf>
    <xf numFmtId="0" fontId="0" fillId="5" borderId="92" xfId="0" applyFill="1" applyBorder="1" applyAlignment="1">
      <alignment vertical="center"/>
    </xf>
    <xf numFmtId="37" fontId="27" fillId="5" borderId="67" xfId="1" applyFont="1" applyFill="1" applyBorder="1" applyAlignment="1" applyProtection="1">
      <alignment horizontal="left" vertical="center"/>
    </xf>
    <xf numFmtId="37" fontId="27" fillId="5" borderId="90" xfId="1" applyFont="1" applyFill="1" applyBorder="1" applyAlignment="1" applyProtection="1">
      <alignment horizontal="left" vertical="center"/>
    </xf>
    <xf numFmtId="0" fontId="0" fillId="5" borderId="89" xfId="0" applyFill="1" applyBorder="1" applyAlignment="1">
      <alignment vertical="center"/>
    </xf>
    <xf numFmtId="37" fontId="27" fillId="5" borderId="49" xfId="1" applyFont="1" applyFill="1" applyBorder="1" applyAlignment="1" applyProtection="1">
      <alignment horizontal="left" vertical="center"/>
      <protection locked="0"/>
    </xf>
    <xf numFmtId="37" fontId="27" fillId="5" borderId="45" xfId="1" applyFont="1" applyFill="1" applyBorder="1" applyAlignment="1" applyProtection="1">
      <alignment horizontal="left" vertical="center"/>
    </xf>
    <xf numFmtId="37" fontId="15" fillId="8" borderId="94" xfId="1" applyFont="1" applyFill="1" applyBorder="1" applyAlignment="1">
      <alignment horizontal="center" vertical="center"/>
    </xf>
    <xf numFmtId="37" fontId="19" fillId="5" borderId="54" xfId="1" applyFont="1" applyFill="1" applyBorder="1" applyAlignment="1" applyProtection="1">
      <alignment horizontal="center" vertical="center"/>
    </xf>
    <xf numFmtId="37" fontId="19" fillId="5" borderId="91" xfId="1" applyFont="1" applyFill="1" applyBorder="1" applyAlignment="1" applyProtection="1">
      <alignment horizontal="center" vertical="center"/>
    </xf>
    <xf numFmtId="37" fontId="27" fillId="5" borderId="102" xfId="1" applyFont="1" applyFill="1" applyBorder="1" applyAlignment="1" applyProtection="1">
      <alignment horizontal="left" vertical="center"/>
    </xf>
    <xf numFmtId="37" fontId="27" fillId="5" borderId="54" xfId="1" applyFont="1" applyFill="1" applyBorder="1" applyAlignment="1" applyProtection="1">
      <alignment horizontal="left" vertical="center"/>
    </xf>
    <xf numFmtId="0" fontId="0" fillId="5" borderId="91" xfId="0" applyFill="1" applyBorder="1" applyAlignment="1">
      <alignment vertical="center"/>
    </xf>
    <xf numFmtId="37" fontId="19" fillId="0" borderId="4" xfId="1" applyFont="1" applyBorder="1" applyAlignment="1" applyProtection="1">
      <alignment horizontal="centerContinuous" vertical="center"/>
    </xf>
    <xf numFmtId="37" fontId="19" fillId="0" borderId="4" xfId="1" applyFont="1" applyBorder="1" applyAlignment="1">
      <alignment horizontal="centerContinuous" vertical="center"/>
    </xf>
    <xf numFmtId="10" fontId="19" fillId="0" borderId="0" xfId="1" applyNumberFormat="1" applyFont="1" applyFill="1" applyBorder="1" applyAlignment="1" applyProtection="1">
      <alignment horizontal="center" vertical="center"/>
    </xf>
    <xf numFmtId="37" fontId="19" fillId="6" borderId="94" xfId="1" applyFont="1" applyFill="1" applyBorder="1" applyAlignment="1">
      <alignment horizontal="center" vertical="center"/>
    </xf>
    <xf numFmtId="37" fontId="19" fillId="6" borderId="23" xfId="1" applyFont="1" applyFill="1" applyBorder="1" applyAlignment="1">
      <alignment horizontal="center" vertical="center"/>
    </xf>
    <xf numFmtId="37" fontId="19" fillId="5" borderId="92" xfId="1" applyFont="1" applyFill="1" applyBorder="1" applyAlignment="1" applyProtection="1">
      <alignment horizontal="center" vertical="center"/>
    </xf>
    <xf numFmtId="37" fontId="28" fillId="5" borderId="98" xfId="1" applyFont="1" applyFill="1" applyBorder="1" applyAlignment="1" applyProtection="1">
      <alignment horizontal="left" vertical="center"/>
    </xf>
    <xf numFmtId="37" fontId="28" fillId="5" borderId="99" xfId="1" applyFont="1" applyFill="1" applyBorder="1" applyAlignment="1" applyProtection="1">
      <alignment horizontal="left" vertical="center"/>
    </xf>
    <xf numFmtId="37" fontId="28" fillId="0" borderId="0" xfId="1" applyFont="1" applyAlignment="1">
      <alignment vertical="center"/>
    </xf>
    <xf numFmtId="37" fontId="14" fillId="0" borderId="56" xfId="1" applyFont="1" applyFill="1" applyBorder="1" applyAlignment="1">
      <alignment horizontal="centerContinuous" vertical="center"/>
    </xf>
    <xf numFmtId="0" fontId="15" fillId="0" borderId="57" xfId="0" applyFont="1" applyBorder="1" applyAlignment="1">
      <alignment vertical="center"/>
    </xf>
    <xf numFmtId="37" fontId="14" fillId="0" borderId="56" xfId="1" applyFont="1" applyBorder="1" applyAlignment="1" applyProtection="1">
      <alignment horizontal="center" vertical="center"/>
    </xf>
    <xf numFmtId="37" fontId="14" fillId="0" borderId="0" xfId="1" applyFont="1" applyBorder="1" applyAlignment="1">
      <alignment horizontal="center" vertical="center"/>
    </xf>
    <xf numFmtId="37" fontId="15" fillId="0" borderId="0" xfId="1" applyFont="1" applyAlignment="1">
      <alignment vertical="center"/>
    </xf>
    <xf numFmtId="37" fontId="15" fillId="0" borderId="49" xfId="1" applyFont="1" applyBorder="1" applyAlignment="1">
      <alignment horizontal="centerContinuous" vertical="center"/>
    </xf>
    <xf numFmtId="37" fontId="15" fillId="0" borderId="20" xfId="1" applyFont="1" applyBorder="1" applyAlignment="1">
      <alignment horizontal="centerContinuous" vertical="center"/>
    </xf>
    <xf numFmtId="167" fontId="12" fillId="0" borderId="0" xfId="1" applyNumberFormat="1" applyFont="1" applyAlignment="1">
      <alignment horizontal="center"/>
    </xf>
    <xf numFmtId="10" fontId="15" fillId="6" borderId="103" xfId="1" applyNumberFormat="1" applyFont="1" applyFill="1" applyBorder="1" applyAlignment="1" applyProtection="1">
      <alignment horizontal="center" vertical="center"/>
    </xf>
    <xf numFmtId="10" fontId="15" fillId="6" borderId="104" xfId="1" applyNumberFormat="1" applyFont="1" applyFill="1" applyBorder="1" applyAlignment="1" applyProtection="1">
      <alignment horizontal="center" vertical="center"/>
    </xf>
    <xf numFmtId="37" fontId="15" fillId="2" borderId="75" xfId="1" applyFont="1" applyFill="1" applyBorder="1" applyAlignment="1" applyProtection="1">
      <alignment horizontal="center" textRotation="90"/>
    </xf>
    <xf numFmtId="37" fontId="7" fillId="0" borderId="5" xfId="1" applyFont="1" applyBorder="1" applyAlignment="1" applyProtection="1">
      <alignment horizontal="center" vertical="center"/>
    </xf>
    <xf numFmtId="164" fontId="7" fillId="0" borderId="75" xfId="1" applyNumberFormat="1" applyFont="1" applyBorder="1" applyAlignment="1" applyProtection="1">
      <alignment horizontal="center" vertical="center"/>
    </xf>
    <xf numFmtId="37" fontId="7" fillId="0" borderId="75" xfId="1" applyFont="1" applyBorder="1" applyAlignment="1" applyProtection="1">
      <alignment horizontal="center" vertical="center"/>
    </xf>
    <xf numFmtId="37" fontId="7" fillId="0" borderId="76" xfId="1" applyFont="1" applyBorder="1" applyAlignment="1" applyProtection="1">
      <alignment horizontal="center" vertical="center" wrapText="1"/>
    </xf>
    <xf numFmtId="37" fontId="7" fillId="0" borderId="77" xfId="1" applyFont="1" applyBorder="1" applyAlignment="1" applyProtection="1">
      <alignment horizontal="center" vertical="center"/>
    </xf>
    <xf numFmtId="37" fontId="7" fillId="0" borderId="57" xfId="1" applyFont="1" applyBorder="1" applyAlignment="1" applyProtection="1">
      <alignment horizontal="center" vertical="center"/>
    </xf>
    <xf numFmtId="164" fontId="16" fillId="5" borderId="30" xfId="1" applyNumberFormat="1" applyFont="1" applyFill="1" applyBorder="1" applyAlignment="1" applyProtection="1">
      <alignment horizontal="center"/>
      <protection locked="0"/>
    </xf>
    <xf numFmtId="164" fontId="16" fillId="5" borderId="41" xfId="1" applyNumberFormat="1" applyFont="1" applyFill="1" applyBorder="1" applyAlignment="1" applyProtection="1">
      <alignment horizontal="center"/>
      <protection locked="0"/>
    </xf>
    <xf numFmtId="37" fontId="17" fillId="5" borderId="32" xfId="1" applyNumberFormat="1" applyFont="1" applyFill="1" applyBorder="1" applyAlignment="1" applyProtection="1">
      <alignment horizontal="center"/>
      <protection locked="0"/>
    </xf>
    <xf numFmtId="37" fontId="16" fillId="5" borderId="32" xfId="1" applyNumberFormat="1" applyFont="1" applyFill="1" applyBorder="1" applyAlignment="1" applyProtection="1">
      <alignment horizontal="center"/>
      <protection locked="0"/>
    </xf>
    <xf numFmtId="37" fontId="16" fillId="5" borderId="33" xfId="1" applyNumberFormat="1" applyFont="1" applyFill="1" applyBorder="1" applyAlignment="1" applyProtection="1">
      <alignment horizontal="center"/>
      <protection locked="0"/>
    </xf>
    <xf numFmtId="37" fontId="17" fillId="5" borderId="29" xfId="1" applyNumberFormat="1" applyFont="1" applyFill="1" applyBorder="1" applyAlignment="1" applyProtection="1">
      <alignment horizontal="center"/>
      <protection locked="0"/>
    </xf>
    <xf numFmtId="37" fontId="16" fillId="5" borderId="12" xfId="1" applyNumberFormat="1" applyFont="1" applyFill="1" applyBorder="1" applyAlignment="1" applyProtection="1">
      <alignment horizontal="center"/>
      <protection locked="0"/>
    </xf>
    <xf numFmtId="37" fontId="16" fillId="5" borderId="19" xfId="1" applyNumberFormat="1" applyFont="1" applyFill="1" applyBorder="1" applyAlignment="1" applyProtection="1">
      <alignment horizontal="center"/>
      <protection locked="0"/>
    </xf>
    <xf numFmtId="37" fontId="17" fillId="5" borderId="32" xfId="1" applyFont="1" applyFill="1" applyBorder="1" applyAlignment="1" applyProtection="1">
      <alignment horizontal="center"/>
      <protection locked="0"/>
    </xf>
    <xf numFmtId="37" fontId="17" fillId="5" borderId="12" xfId="1" applyNumberFormat="1" applyFont="1" applyFill="1" applyBorder="1" applyAlignment="1" applyProtection="1">
      <alignment horizontal="center"/>
      <protection locked="0"/>
    </xf>
    <xf numFmtId="37" fontId="29" fillId="5" borderId="12" xfId="1" applyFont="1" applyFill="1" applyBorder="1" applyAlignment="1" applyProtection="1">
      <alignment horizontal="center" vertical="center"/>
    </xf>
    <xf numFmtId="37" fontId="16" fillId="5" borderId="33" xfId="1" applyFont="1" applyFill="1" applyBorder="1" applyAlignment="1" applyProtection="1">
      <alignment horizontal="center" vertical="center"/>
    </xf>
    <xf numFmtId="37" fontId="16" fillId="5" borderId="19" xfId="1" applyFont="1" applyFill="1" applyBorder="1" applyAlignment="1" applyProtection="1">
      <alignment horizontal="center" vertical="center"/>
    </xf>
    <xf numFmtId="164" fontId="16" fillId="5" borderId="51" xfId="1" applyNumberFormat="1" applyFont="1" applyFill="1" applyBorder="1" applyAlignment="1" applyProtection="1">
      <alignment horizontal="center"/>
      <protection locked="0"/>
    </xf>
    <xf numFmtId="37" fontId="16" fillId="5" borderId="6" xfId="1" applyNumberFormat="1" applyFont="1" applyFill="1" applyBorder="1" applyAlignment="1" applyProtection="1">
      <alignment horizontal="center"/>
      <protection locked="0"/>
    </xf>
    <xf numFmtId="37" fontId="16" fillId="5" borderId="52" xfId="1" applyNumberFormat="1" applyFont="1" applyFill="1" applyBorder="1" applyAlignment="1" applyProtection="1">
      <alignment horizontal="center"/>
      <protection locked="0"/>
    </xf>
    <xf numFmtId="10" fontId="15" fillId="6" borderId="58" xfId="1" applyNumberFormat="1" applyFont="1" applyFill="1" applyBorder="1" applyAlignment="1" applyProtection="1">
      <alignment horizontal="center" vertical="center"/>
    </xf>
    <xf numFmtId="37" fontId="16" fillId="5" borderId="52" xfId="1" applyFont="1" applyFill="1" applyBorder="1" applyAlignment="1" applyProtection="1">
      <alignment horizontal="center" vertical="center"/>
    </xf>
    <xf numFmtId="37" fontId="17" fillId="5" borderId="6" xfId="1" applyNumberFormat="1" applyFont="1" applyFill="1" applyBorder="1" applyAlignment="1" applyProtection="1">
      <alignment horizontal="center"/>
      <protection locked="0"/>
    </xf>
    <xf numFmtId="0" fontId="15" fillId="6" borderId="105" xfId="0" applyFont="1" applyFill="1" applyBorder="1" applyAlignment="1">
      <alignment horizontal="centerContinuous" vertical="center"/>
    </xf>
    <xf numFmtId="0" fontId="15" fillId="6" borderId="105" xfId="0" applyFont="1" applyFill="1" applyBorder="1" applyAlignment="1">
      <alignment vertical="center"/>
    </xf>
    <xf numFmtId="37" fontId="15" fillId="6" borderId="10" xfId="1" applyFont="1" applyFill="1" applyBorder="1" applyAlignment="1" applyProtection="1">
      <alignment horizontal="centerContinuous" vertical="center"/>
    </xf>
    <xf numFmtId="10" fontId="15" fillId="6" borderId="10" xfId="1" applyNumberFormat="1" applyFont="1" applyFill="1" applyBorder="1" applyAlignment="1" applyProtection="1">
      <alignment horizontal="center" vertical="center"/>
    </xf>
    <xf numFmtId="37" fontId="15" fillId="6" borderId="28" xfId="1" applyFont="1" applyFill="1" applyBorder="1" applyAlignment="1" applyProtection="1">
      <alignment horizontal="centerContinuous" vertical="center"/>
    </xf>
    <xf numFmtId="37" fontId="15" fillId="6" borderId="28" xfId="1" applyNumberFormat="1" applyFont="1" applyFill="1" applyBorder="1" applyAlignment="1" applyProtection="1">
      <alignment horizontal="center" vertical="center"/>
    </xf>
    <xf numFmtId="10" fontId="15" fillId="6" borderId="11" xfId="1" applyNumberFormat="1" applyFont="1" applyFill="1" applyBorder="1" applyAlignment="1" applyProtection="1">
      <alignment horizontal="center" vertical="center"/>
    </xf>
    <xf numFmtId="37" fontId="15" fillId="6" borderId="58" xfId="1" applyNumberFormat="1" applyFont="1" applyFill="1" applyBorder="1" applyAlignment="1" applyProtection="1">
      <alignment horizontal="center" vertical="center"/>
    </xf>
    <xf numFmtId="37" fontId="15" fillId="0" borderId="58" xfId="1" applyFont="1" applyBorder="1" applyAlignment="1" applyProtection="1">
      <alignment horizontal="centerContinuous" vertical="center"/>
    </xf>
    <xf numFmtId="164" fontId="15" fillId="0" borderId="58" xfId="1" applyNumberFormat="1" applyFont="1" applyBorder="1" applyAlignment="1" applyProtection="1">
      <alignment horizontal="centerContinuous" vertical="center"/>
    </xf>
    <xf numFmtId="37" fontId="19" fillId="5" borderId="36" xfId="1" applyNumberFormat="1" applyFont="1" applyFill="1" applyBorder="1" applyAlignment="1" applyProtection="1">
      <alignment horizontal="center" vertical="center"/>
      <protection locked="0"/>
    </xf>
    <xf numFmtId="164" fontId="16" fillId="5" borderId="12" xfId="1" applyNumberFormat="1" applyFont="1" applyFill="1" applyBorder="1" applyAlignment="1" applyProtection="1">
      <alignment horizontal="center"/>
      <protection locked="0"/>
    </xf>
    <xf numFmtId="37" fontId="17" fillId="5" borderId="12" xfId="1" applyFont="1" applyFill="1" applyBorder="1" applyAlignment="1" applyProtection="1">
      <alignment horizontal="center"/>
      <protection locked="0"/>
    </xf>
    <xf numFmtId="37" fontId="19" fillId="5" borderId="46" xfId="1" applyNumberFormat="1" applyFont="1" applyFill="1" applyBorder="1" applyAlignment="1" applyProtection="1">
      <alignment horizontal="center" vertical="center"/>
      <protection locked="0"/>
    </xf>
    <xf numFmtId="164" fontId="17" fillId="5" borderId="100" xfId="1" applyNumberFormat="1" applyFont="1" applyFill="1" applyBorder="1" applyAlignment="1" applyProtection="1">
      <alignment horizontal="center"/>
      <protection locked="0"/>
    </xf>
    <xf numFmtId="164" fontId="16" fillId="5" borderId="59" xfId="1" applyNumberFormat="1" applyFont="1" applyFill="1" applyBorder="1" applyAlignment="1" applyProtection="1">
      <alignment horizontal="center"/>
      <protection locked="0"/>
    </xf>
    <xf numFmtId="37" fontId="19" fillId="5" borderId="64" xfId="1" applyNumberFormat="1" applyFont="1" applyFill="1" applyBorder="1" applyAlignment="1" applyProtection="1">
      <alignment horizontal="center" vertical="center"/>
      <protection locked="0"/>
    </xf>
    <xf numFmtId="164" fontId="17" fillId="5" borderId="101" xfId="1" applyNumberFormat="1" applyFont="1" applyFill="1" applyBorder="1" applyAlignment="1" applyProtection="1">
      <alignment horizontal="center"/>
      <protection locked="0"/>
    </xf>
    <xf numFmtId="164" fontId="16" fillId="5" borderId="6" xfId="1" applyNumberFormat="1" applyFont="1" applyFill="1" applyBorder="1" applyAlignment="1" applyProtection="1">
      <alignment horizontal="center"/>
      <protection locked="0"/>
    </xf>
    <xf numFmtId="164" fontId="16" fillId="5" borderId="15" xfId="1" applyNumberFormat="1" applyFont="1" applyFill="1" applyBorder="1" applyAlignment="1" applyProtection="1">
      <alignment horizontal="center"/>
      <protection locked="0"/>
    </xf>
    <xf numFmtId="37" fontId="19" fillId="5" borderId="14" xfId="1" applyNumberFormat="1" applyFont="1" applyFill="1" applyBorder="1" applyAlignment="1" applyProtection="1">
      <alignment horizontal="center" vertical="center"/>
      <protection locked="0"/>
    </xf>
    <xf numFmtId="164" fontId="16" fillId="5" borderId="107" xfId="1" applyNumberFormat="1" applyFont="1" applyFill="1" applyBorder="1" applyAlignment="1" applyProtection="1">
      <alignment horizontal="center"/>
      <protection locked="0"/>
    </xf>
    <xf numFmtId="164" fontId="16" fillId="5" borderId="108" xfId="1" applyNumberFormat="1" applyFont="1" applyFill="1" applyBorder="1" applyAlignment="1" applyProtection="1">
      <alignment horizontal="center"/>
      <protection locked="0"/>
    </xf>
    <xf numFmtId="37" fontId="16" fillId="5" borderId="29" xfId="1" applyNumberFormat="1" applyFont="1" applyFill="1" applyBorder="1" applyAlignment="1" applyProtection="1">
      <alignment horizontal="center"/>
      <protection locked="0"/>
    </xf>
    <xf numFmtId="164" fontId="16" fillId="5" borderId="93" xfId="1" applyNumberFormat="1" applyFont="1" applyFill="1" applyBorder="1" applyAlignment="1" applyProtection="1">
      <alignment horizontal="center"/>
      <protection locked="0"/>
    </xf>
    <xf numFmtId="164" fontId="17" fillId="5" borderId="59" xfId="1" applyNumberFormat="1" applyFont="1" applyFill="1" applyBorder="1" applyAlignment="1" applyProtection="1">
      <alignment horizontal="center"/>
      <protection locked="0"/>
    </xf>
    <xf numFmtId="37" fontId="19" fillId="8" borderId="112" xfId="1" applyFont="1" applyFill="1" applyBorder="1" applyAlignment="1">
      <alignment horizontal="center" vertical="center"/>
    </xf>
    <xf numFmtId="10" fontId="19" fillId="8" borderId="111" xfId="1" applyNumberFormat="1" applyFont="1" applyFill="1" applyBorder="1" applyAlignment="1" applyProtection="1">
      <alignment horizontal="center" vertical="center"/>
    </xf>
    <xf numFmtId="165" fontId="19" fillId="5" borderId="54" xfId="1" applyNumberFormat="1" applyFont="1" applyFill="1" applyBorder="1" applyAlignment="1" applyProtection="1">
      <alignment horizontal="center" vertical="center"/>
    </xf>
    <xf numFmtId="165" fontId="19" fillId="5" borderId="0" xfId="1" applyNumberFormat="1" applyFont="1" applyFill="1" applyBorder="1" applyAlignment="1" applyProtection="1">
      <alignment horizontal="center" vertical="center"/>
    </xf>
    <xf numFmtId="1" fontId="21" fillId="0" borderId="0" xfId="1" applyNumberFormat="1" applyFont="1" applyFill="1" applyBorder="1" applyAlignment="1" applyProtection="1">
      <alignment horizontal="center"/>
      <protection locked="0"/>
    </xf>
    <xf numFmtId="165" fontId="17" fillId="0" borderId="0" xfId="1" applyNumberFormat="1" applyFont="1" applyFill="1" applyBorder="1" applyAlignment="1" applyProtection="1">
      <alignment horizontal="center"/>
      <protection locked="0"/>
    </xf>
    <xf numFmtId="165" fontId="17" fillId="0" borderId="0" xfId="2" applyNumberFormat="1" applyFont="1" applyFill="1" applyBorder="1" applyAlignment="1" applyProtection="1">
      <alignment horizontal="center"/>
    </xf>
    <xf numFmtId="1" fontId="17" fillId="0" borderId="0" xfId="2" applyNumberFormat="1" applyFont="1" applyFill="1" applyBorder="1" applyAlignment="1" applyProtection="1">
      <alignment horizontal="center"/>
    </xf>
    <xf numFmtId="1" fontId="17" fillId="0" borderId="0" xfId="1" applyNumberFormat="1" applyFont="1" applyFill="1" applyBorder="1" applyAlignment="1" applyProtection="1">
      <alignment horizontal="left"/>
      <protection locked="0"/>
    </xf>
    <xf numFmtId="165" fontId="17" fillId="0" borderId="0" xfId="1" applyNumberFormat="1" applyFont="1" applyFill="1" applyBorder="1" applyAlignment="1" applyProtection="1">
      <alignment horizontal="left"/>
      <protection locked="0"/>
    </xf>
    <xf numFmtId="165" fontId="17" fillId="0" borderId="11" xfId="1" applyNumberFormat="1" applyFont="1" applyFill="1" applyBorder="1" applyAlignment="1" applyProtection="1">
      <alignment horizontal="left"/>
      <protection locked="0"/>
    </xf>
    <xf numFmtId="37" fontId="30" fillId="0" borderId="1" xfId="1" applyFont="1" applyBorder="1" applyAlignment="1">
      <alignment horizontal="centerContinuous" vertical="center"/>
    </xf>
    <xf numFmtId="0" fontId="30" fillId="0" borderId="2" xfId="0" applyFont="1" applyBorder="1" applyAlignment="1">
      <alignment horizontal="centerContinuous" vertical="center"/>
    </xf>
    <xf numFmtId="165" fontId="19" fillId="5" borderId="66" xfId="1" applyNumberFormat="1" applyFont="1" applyFill="1" applyBorder="1" applyAlignment="1" applyProtection="1">
      <alignment horizontal="center" vertical="center"/>
    </xf>
    <xf numFmtId="37" fontId="4" fillId="5" borderId="0" xfId="1" applyFont="1" applyFill="1" applyAlignment="1">
      <alignment vertical="center"/>
    </xf>
    <xf numFmtId="165" fontId="17" fillId="5" borderId="0" xfId="1" applyNumberFormat="1" applyFont="1" applyFill="1" applyBorder="1" applyAlignment="1" applyProtection="1">
      <alignment horizontal="center"/>
      <protection locked="0"/>
    </xf>
    <xf numFmtId="1" fontId="21" fillId="5" borderId="0" xfId="1" applyNumberFormat="1" applyFont="1" applyFill="1" applyBorder="1" applyAlignment="1" applyProtection="1">
      <alignment horizontal="center"/>
      <protection locked="0"/>
    </xf>
    <xf numFmtId="165" fontId="17" fillId="5" borderId="0" xfId="2" applyNumberFormat="1" applyFont="1" applyFill="1" applyBorder="1" applyAlignment="1" applyProtection="1">
      <alignment horizontal="center"/>
    </xf>
    <xf numFmtId="1" fontId="17" fillId="5" borderId="0" xfId="2" applyNumberFormat="1" applyFont="1" applyFill="1" applyBorder="1" applyAlignment="1" applyProtection="1">
      <alignment horizontal="center"/>
    </xf>
    <xf numFmtId="1" fontId="17" fillId="5" borderId="0" xfId="1" applyNumberFormat="1" applyFont="1" applyFill="1" applyBorder="1" applyAlignment="1" applyProtection="1">
      <alignment horizontal="left"/>
      <protection locked="0"/>
    </xf>
    <xf numFmtId="165" fontId="17" fillId="5" borderId="0" xfId="1" applyNumberFormat="1" applyFont="1" applyFill="1" applyBorder="1" applyAlignment="1" applyProtection="1">
      <alignment horizontal="left"/>
      <protection locked="0"/>
    </xf>
    <xf numFmtId="165" fontId="17" fillId="5" borderId="11" xfId="1" applyNumberFormat="1" applyFont="1" applyFill="1" applyBorder="1" applyAlignment="1" applyProtection="1">
      <alignment horizontal="left"/>
      <protection locked="0"/>
    </xf>
    <xf numFmtId="165" fontId="19" fillId="5" borderId="113" xfId="1" applyNumberFormat="1" applyFont="1" applyFill="1" applyBorder="1" applyAlignment="1" applyProtection="1">
      <alignment horizontal="center" vertical="center"/>
    </xf>
    <xf numFmtId="165" fontId="19" fillId="5" borderId="11" xfId="1" applyNumberFormat="1" applyFont="1" applyFill="1" applyBorder="1" applyAlignment="1" applyProtection="1">
      <alignment horizontal="center" vertical="center"/>
    </xf>
    <xf numFmtId="10" fontId="15" fillId="7" borderId="58" xfId="1" applyNumberFormat="1" applyFont="1" applyFill="1" applyBorder="1" applyAlignment="1" applyProtection="1">
      <alignment vertical="center"/>
    </xf>
    <xf numFmtId="10" fontId="15" fillId="6" borderId="118" xfId="1" applyNumberFormat="1" applyFont="1" applyFill="1" applyBorder="1" applyAlignment="1" applyProtection="1">
      <alignment horizontal="center" vertical="center"/>
    </xf>
    <xf numFmtId="37" fontId="15" fillId="5" borderId="68" xfId="1" applyFont="1" applyFill="1" applyBorder="1" applyAlignment="1" applyProtection="1">
      <alignment vertical="center"/>
    </xf>
    <xf numFmtId="10" fontId="15" fillId="7" borderId="69" xfId="1" applyNumberFormat="1" applyFont="1" applyFill="1" applyBorder="1" applyAlignment="1" applyProtection="1">
      <alignment vertical="center"/>
    </xf>
    <xf numFmtId="37" fontId="30" fillId="5" borderId="28" xfId="1" applyFont="1" applyFill="1" applyBorder="1" applyAlignment="1">
      <alignment vertical="center"/>
    </xf>
    <xf numFmtId="37" fontId="30" fillId="5" borderId="114" xfId="1" applyFont="1" applyFill="1" applyBorder="1" applyAlignment="1">
      <alignment vertical="center"/>
    </xf>
    <xf numFmtId="37" fontId="30" fillId="5" borderId="23" xfId="1" applyFont="1" applyFill="1" applyBorder="1" applyAlignment="1">
      <alignment vertical="center"/>
    </xf>
    <xf numFmtId="37" fontId="7" fillId="5" borderId="23" xfId="1" applyFont="1" applyFill="1" applyBorder="1" applyAlignment="1">
      <alignment horizontal="center" vertical="center"/>
    </xf>
    <xf numFmtId="10" fontId="15" fillId="6" borderId="58" xfId="1" applyNumberFormat="1" applyFont="1" applyFill="1" applyBorder="1" applyAlignment="1" applyProtection="1">
      <alignment vertical="center"/>
    </xf>
    <xf numFmtId="37" fontId="30" fillId="0" borderId="119" xfId="1" applyFont="1" applyBorder="1" applyAlignment="1" applyProtection="1">
      <alignment vertical="center"/>
    </xf>
    <xf numFmtId="37" fontId="30" fillId="0" borderId="23" xfId="1" applyFont="1" applyBorder="1" applyAlignment="1" applyProtection="1">
      <alignment vertical="center"/>
    </xf>
    <xf numFmtId="10" fontId="15" fillId="6" borderId="24" xfId="1" applyNumberFormat="1" applyFont="1" applyFill="1" applyBorder="1" applyAlignment="1" applyProtection="1">
      <alignment vertical="center"/>
    </xf>
    <xf numFmtId="37" fontId="30" fillId="0" borderId="28" xfId="1" applyFont="1" applyBorder="1" applyAlignment="1" applyProtection="1">
      <alignment vertical="center"/>
    </xf>
    <xf numFmtId="37" fontId="14" fillId="5" borderId="10" xfId="1" applyFont="1" applyFill="1" applyBorder="1" applyAlignment="1" applyProtection="1">
      <alignment horizontal="center" vertical="center"/>
    </xf>
    <xf numFmtId="37" fontId="7" fillId="0" borderId="23" xfId="1" applyFont="1" applyBorder="1" applyAlignment="1" applyProtection="1">
      <alignment horizontal="center" vertical="center"/>
    </xf>
    <xf numFmtId="37" fontId="15" fillId="5" borderId="23" xfId="1" applyFont="1" applyFill="1" applyBorder="1" applyAlignment="1" applyProtection="1">
      <alignment vertical="center"/>
    </xf>
    <xf numFmtId="37" fontId="15" fillId="7" borderId="58" xfId="1" applyFont="1" applyFill="1" applyBorder="1" applyAlignment="1" applyProtection="1">
      <alignment horizontal="center" vertical="center"/>
    </xf>
    <xf numFmtId="37" fontId="15" fillId="6" borderId="58" xfId="1" applyFont="1" applyFill="1" applyBorder="1" applyAlignment="1" applyProtection="1">
      <alignment horizontal="center" vertical="center"/>
    </xf>
    <xf numFmtId="164" fontId="16" fillId="5" borderId="29" xfId="1" applyNumberFormat="1" applyFont="1" applyFill="1" applyBorder="1" applyAlignment="1" applyProtection="1">
      <alignment horizontal="center"/>
      <protection locked="0"/>
    </xf>
    <xf numFmtId="164" fontId="17" fillId="5" borderId="120" xfId="1" applyNumberFormat="1" applyFont="1" applyFill="1" applyBorder="1" applyAlignment="1" applyProtection="1">
      <alignment horizontal="center"/>
      <protection locked="0"/>
    </xf>
    <xf numFmtId="164" fontId="16" fillId="5" borderId="120" xfId="1" applyNumberFormat="1" applyFont="1" applyFill="1" applyBorder="1" applyAlignment="1" applyProtection="1">
      <alignment horizontal="center"/>
      <protection locked="0"/>
    </xf>
    <xf numFmtId="37" fontId="19" fillId="5" borderId="100" xfId="1" applyNumberFormat="1" applyFont="1" applyFill="1" applyBorder="1" applyAlignment="1" applyProtection="1">
      <alignment horizontal="center" vertical="center"/>
      <protection locked="0"/>
    </xf>
    <xf numFmtId="10" fontId="15" fillId="6" borderId="89" xfId="1" applyNumberFormat="1" applyFont="1" applyFill="1" applyBorder="1" applyAlignment="1" applyProtection="1">
      <alignment horizontal="center" vertical="center"/>
    </xf>
    <xf numFmtId="37" fontId="7" fillId="5" borderId="68" xfId="1" applyFont="1" applyFill="1" applyBorder="1" applyAlignment="1" applyProtection="1">
      <alignment horizontal="center" vertical="center"/>
    </xf>
    <xf numFmtId="37" fontId="7" fillId="5" borderId="23" xfId="1" applyFont="1" applyFill="1" applyBorder="1" applyAlignment="1" applyProtection="1">
      <alignment horizontal="center" vertical="center"/>
    </xf>
    <xf numFmtId="37" fontId="31" fillId="5" borderId="83" xfId="1" applyFont="1" applyFill="1" applyBorder="1" applyAlignment="1" applyProtection="1">
      <alignment horizontal="center" vertical="center"/>
    </xf>
    <xf numFmtId="37" fontId="31" fillId="5" borderId="106" xfId="1" applyFont="1" applyFill="1" applyBorder="1" applyAlignment="1" applyProtection="1">
      <alignment horizontal="center" vertical="center"/>
    </xf>
    <xf numFmtId="37" fontId="31" fillId="5" borderId="90" xfId="1" applyFont="1" applyFill="1" applyBorder="1" applyAlignment="1" applyProtection="1">
      <alignment horizontal="center" vertical="center"/>
    </xf>
    <xf numFmtId="37" fontId="31" fillId="5" borderId="12" xfId="1" applyFont="1" applyFill="1" applyBorder="1" applyAlignment="1" applyProtection="1">
      <alignment horizontal="center" vertical="center"/>
    </xf>
    <xf numFmtId="37" fontId="31" fillId="5" borderId="59" xfId="1" applyFont="1" applyFill="1" applyBorder="1" applyAlignment="1" applyProtection="1">
      <alignment horizontal="center" vertical="center"/>
    </xf>
    <xf numFmtId="37" fontId="31" fillId="5" borderId="15" xfId="1" applyFont="1" applyFill="1" applyBorder="1" applyAlignment="1" applyProtection="1">
      <alignment horizontal="center" vertical="center"/>
    </xf>
    <xf numFmtId="37" fontId="32" fillId="0" borderId="58" xfId="1" applyFont="1" applyBorder="1" applyAlignment="1" applyProtection="1">
      <alignment horizontal="centerContinuous" vertical="center"/>
    </xf>
    <xf numFmtId="37" fontId="33" fillId="0" borderId="4" xfId="1" applyFont="1" applyBorder="1" applyAlignment="1">
      <alignment horizontal="centerContinuous" vertical="center"/>
    </xf>
    <xf numFmtId="164" fontId="16" fillId="5" borderId="41" xfId="1" applyNumberFormat="1" applyFont="1" applyFill="1" applyBorder="1" applyAlignment="1" applyProtection="1">
      <alignment horizontal="center" vertical="center"/>
      <protection locked="0"/>
    </xf>
    <xf numFmtId="37" fontId="16" fillId="5" borderId="12" xfId="1" applyNumberFormat="1" applyFont="1" applyFill="1" applyBorder="1" applyAlignment="1" applyProtection="1">
      <alignment horizontal="center" vertical="center"/>
      <protection locked="0"/>
    </xf>
    <xf numFmtId="37" fontId="16" fillId="5" borderId="19" xfId="1" applyNumberFormat="1" applyFont="1" applyFill="1" applyBorder="1" applyAlignment="1" applyProtection="1">
      <alignment horizontal="center" vertical="center"/>
      <protection locked="0"/>
    </xf>
    <xf numFmtId="164" fontId="34" fillId="5" borderId="30" xfId="1" applyNumberFormat="1" applyFont="1" applyFill="1" applyBorder="1" applyAlignment="1" applyProtection="1">
      <alignment horizontal="center" vertical="center"/>
      <protection locked="0"/>
    </xf>
    <xf numFmtId="37" fontId="34" fillId="5" borderId="32" xfId="1" applyNumberFormat="1" applyFont="1" applyFill="1" applyBorder="1" applyAlignment="1" applyProtection="1">
      <alignment horizontal="center" vertical="center"/>
      <protection locked="0"/>
    </xf>
    <xf numFmtId="37" fontId="34" fillId="5" borderId="33" xfId="1" applyNumberFormat="1" applyFont="1" applyFill="1" applyBorder="1" applyAlignment="1" applyProtection="1">
      <alignment horizontal="center" vertical="center"/>
      <protection locked="0"/>
    </xf>
    <xf numFmtId="37" fontId="34" fillId="5" borderId="29" xfId="1" applyNumberFormat="1" applyFont="1" applyFill="1" applyBorder="1" applyAlignment="1" applyProtection="1">
      <alignment horizontal="center" vertical="center"/>
      <protection locked="0"/>
    </xf>
    <xf numFmtId="37" fontId="34" fillId="5" borderId="12" xfId="1" applyNumberFormat="1" applyFont="1" applyFill="1" applyBorder="1" applyAlignment="1" applyProtection="1">
      <alignment horizontal="center" vertical="center"/>
      <protection locked="0"/>
    </xf>
    <xf numFmtId="37" fontId="34" fillId="5" borderId="19" xfId="1" applyNumberFormat="1" applyFont="1" applyFill="1" applyBorder="1" applyAlignment="1" applyProtection="1">
      <alignment horizontal="center" vertical="center"/>
      <protection locked="0"/>
    </xf>
    <xf numFmtId="37" fontId="34" fillId="5" borderId="32" xfId="1" applyFont="1" applyFill="1" applyBorder="1" applyAlignment="1" applyProtection="1">
      <alignment horizontal="center" vertical="center"/>
      <protection locked="0"/>
    </xf>
    <xf numFmtId="37" fontId="15" fillId="2" borderId="79" xfId="1" applyFont="1" applyFill="1" applyBorder="1" applyAlignment="1">
      <alignment horizontal="center" textRotation="90"/>
    </xf>
    <xf numFmtId="37" fontId="15" fillId="2" borderId="80" xfId="1" applyFont="1" applyFill="1" applyBorder="1" applyAlignment="1" applyProtection="1">
      <alignment horizontal="center" vertical="center"/>
    </xf>
    <xf numFmtId="37" fontId="17" fillId="5" borderId="29" xfId="1" applyNumberFormat="1" applyFont="1" applyFill="1" applyBorder="1" applyAlignment="1" applyProtection="1">
      <alignment horizontal="center" vertical="center"/>
      <protection locked="0"/>
    </xf>
    <xf numFmtId="37" fontId="14" fillId="0" borderId="5" xfId="1" applyFont="1" applyBorder="1" applyAlignment="1">
      <alignment horizontal="center" vertical="center"/>
    </xf>
    <xf numFmtId="37" fontId="14" fillId="0" borderId="57" xfId="1" applyFont="1" applyBorder="1" applyAlignment="1">
      <alignment horizontal="center" vertical="center"/>
    </xf>
    <xf numFmtId="164" fontId="31" fillId="5" borderId="30" xfId="1" applyNumberFormat="1" applyFont="1" applyFill="1" applyBorder="1" applyAlignment="1" applyProtection="1">
      <alignment horizontal="center" vertical="center"/>
      <protection locked="0"/>
    </xf>
    <xf numFmtId="37" fontId="31" fillId="5" borderId="32" xfId="1" applyNumberFormat="1" applyFont="1" applyFill="1" applyBorder="1" applyAlignment="1" applyProtection="1">
      <alignment horizontal="center" vertical="center"/>
      <protection locked="0"/>
    </xf>
    <xf numFmtId="37" fontId="31" fillId="5" borderId="33" xfId="1" applyNumberFormat="1" applyFont="1" applyFill="1" applyBorder="1" applyAlignment="1" applyProtection="1">
      <alignment horizontal="center" vertical="center"/>
      <protection locked="0"/>
    </xf>
    <xf numFmtId="164" fontId="31" fillId="5" borderId="41" xfId="1" applyNumberFormat="1" applyFont="1" applyFill="1" applyBorder="1" applyAlignment="1" applyProtection="1">
      <alignment horizontal="center" vertical="center"/>
      <protection locked="0"/>
    </xf>
    <xf numFmtId="37" fontId="31" fillId="5" borderId="29" xfId="1" applyNumberFormat="1" applyFont="1" applyFill="1" applyBorder="1" applyAlignment="1" applyProtection="1">
      <alignment horizontal="center" vertical="center"/>
      <protection locked="0"/>
    </xf>
    <xf numFmtId="37" fontId="31" fillId="5" borderId="12" xfId="1" applyNumberFormat="1" applyFont="1" applyFill="1" applyBorder="1" applyAlignment="1" applyProtection="1">
      <alignment horizontal="center" vertical="center"/>
      <protection locked="0"/>
    </xf>
    <xf numFmtId="37" fontId="31" fillId="5" borderId="19" xfId="1" applyNumberFormat="1" applyFont="1" applyFill="1" applyBorder="1" applyAlignment="1" applyProtection="1">
      <alignment horizontal="center" vertical="center"/>
      <protection locked="0"/>
    </xf>
    <xf numFmtId="1" fontId="15" fillId="6" borderId="47" xfId="1" applyNumberFormat="1" applyFont="1" applyFill="1" applyBorder="1" applyAlignment="1">
      <alignment horizontal="center" vertical="center"/>
    </xf>
    <xf numFmtId="10" fontId="15" fillId="6" borderId="24" xfId="1" applyNumberFormat="1" applyFont="1" applyFill="1" applyBorder="1" applyAlignment="1" applyProtection="1">
      <alignment horizontal="center" vertical="center"/>
    </xf>
    <xf numFmtId="37" fontId="15" fillId="0" borderId="2" xfId="1" applyFont="1" applyBorder="1" applyAlignment="1">
      <alignment horizontal="center" vertical="center"/>
    </xf>
    <xf numFmtId="37" fontId="3" fillId="0" borderId="2" xfId="1" applyFont="1" applyBorder="1" applyAlignment="1">
      <alignment vertical="center"/>
    </xf>
    <xf numFmtId="0" fontId="0" fillId="0" borderId="2" xfId="0" applyBorder="1" applyAlignment="1">
      <alignment vertical="center"/>
    </xf>
    <xf numFmtId="37" fontId="4" fillId="0" borderId="2" xfId="1" applyFont="1" applyBorder="1" applyAlignment="1">
      <alignment vertical="center"/>
    </xf>
    <xf numFmtId="37" fontId="15" fillId="0" borderId="18" xfId="1" applyFont="1" applyBorder="1" applyAlignment="1">
      <alignment horizontal="centerContinuous" vertical="center"/>
    </xf>
    <xf numFmtId="37" fontId="31" fillId="5" borderId="32" xfId="1" applyFont="1" applyFill="1" applyBorder="1" applyAlignment="1" applyProtection="1">
      <alignment horizontal="center" vertical="center"/>
      <protection locked="0"/>
    </xf>
    <xf numFmtId="37" fontId="31" fillId="5" borderId="29" xfId="1" applyFont="1" applyFill="1" applyBorder="1" applyAlignment="1" applyProtection="1">
      <alignment horizontal="center" vertical="center"/>
      <protection locked="0"/>
    </xf>
    <xf numFmtId="37" fontId="26" fillId="5" borderId="65" xfId="1" applyFont="1" applyFill="1" applyBorder="1" applyAlignment="1" applyProtection="1">
      <alignment horizontal="center" vertical="center"/>
      <protection locked="0"/>
    </xf>
    <xf numFmtId="37" fontId="26" fillId="5" borderId="45" xfId="1" applyFont="1" applyFill="1" applyBorder="1" applyAlignment="1" applyProtection="1">
      <alignment horizontal="center" vertical="center"/>
      <protection locked="0"/>
    </xf>
    <xf numFmtId="37" fontId="17" fillId="5" borderId="33" xfId="1" applyNumberFormat="1" applyFont="1" applyFill="1" applyBorder="1" applyAlignment="1" applyProtection="1">
      <alignment horizontal="center"/>
      <protection locked="0"/>
    </xf>
    <xf numFmtId="37" fontId="17" fillId="5" borderId="122" xfId="1" applyNumberFormat="1" applyFont="1" applyFill="1" applyBorder="1" applyAlignment="1" applyProtection="1">
      <alignment horizontal="center"/>
      <protection locked="0"/>
    </xf>
    <xf numFmtId="164" fontId="17" fillId="5" borderId="123" xfId="1" applyNumberFormat="1" applyFont="1" applyFill="1" applyBorder="1" applyAlignment="1" applyProtection="1">
      <alignment horizontal="center"/>
      <protection locked="0"/>
    </xf>
    <xf numFmtId="164" fontId="17" fillId="5" borderId="19" xfId="1" applyNumberFormat="1" applyFont="1" applyFill="1" applyBorder="1" applyAlignment="1" applyProtection="1">
      <alignment horizontal="center"/>
      <protection locked="0"/>
    </xf>
    <xf numFmtId="37" fontId="7" fillId="0" borderId="76" xfId="1" applyFont="1" applyBorder="1" applyAlignment="1" applyProtection="1">
      <alignment horizontal="center" vertical="center"/>
    </xf>
    <xf numFmtId="37" fontId="16" fillId="5" borderId="124" xfId="1" applyNumberFormat="1" applyFont="1" applyFill="1" applyBorder="1" applyAlignment="1" applyProtection="1">
      <alignment horizontal="center"/>
      <protection locked="0"/>
    </xf>
    <xf numFmtId="37" fontId="15" fillId="2" borderId="75" xfId="1" applyFont="1" applyFill="1" applyBorder="1" applyAlignment="1" applyProtection="1">
      <alignment horizontal="center" vertical="center"/>
    </xf>
    <xf numFmtId="37" fontId="16" fillId="5" borderId="9" xfId="1" applyNumberFormat="1" applyFont="1" applyFill="1" applyBorder="1" applyAlignment="1" applyProtection="1">
      <alignment horizontal="center"/>
      <protection locked="0"/>
    </xf>
    <xf numFmtId="37" fontId="16" fillId="5" borderId="122" xfId="1" applyNumberFormat="1" applyFont="1" applyFill="1" applyBorder="1" applyAlignment="1" applyProtection="1">
      <alignment horizontal="center"/>
      <protection locked="0"/>
    </xf>
    <xf numFmtId="37" fontId="19" fillId="8" borderId="73" xfId="1" applyFont="1" applyFill="1" applyBorder="1" applyAlignment="1" applyProtection="1">
      <alignment horizontal="center" vertical="center"/>
    </xf>
    <xf numFmtId="37" fontId="19" fillId="6" borderId="125" xfId="1" applyFont="1" applyFill="1" applyBorder="1" applyAlignment="1">
      <alignment horizontal="center" vertical="center"/>
    </xf>
    <xf numFmtId="37" fontId="26" fillId="5" borderId="40" xfId="1" applyFont="1" applyFill="1" applyBorder="1" applyAlignment="1" applyProtection="1">
      <alignment vertical="center"/>
      <protection locked="0"/>
    </xf>
    <xf numFmtId="37" fontId="19" fillId="5" borderId="102" xfId="1" applyFont="1" applyFill="1" applyBorder="1" applyAlignment="1" applyProtection="1">
      <alignment horizontal="center" vertical="center"/>
    </xf>
    <xf numFmtId="37" fontId="7" fillId="0" borderId="56" xfId="1" applyFont="1" applyBorder="1" applyAlignment="1" applyProtection="1">
      <alignment horizontal="center" vertical="center"/>
    </xf>
    <xf numFmtId="10" fontId="15" fillId="6" borderId="2" xfId="1" applyNumberFormat="1" applyFont="1" applyFill="1" applyBorder="1" applyAlignment="1" applyProtection="1">
      <alignment horizontal="center" vertical="center"/>
    </xf>
    <xf numFmtId="10" fontId="15" fillId="6" borderId="19" xfId="1" applyNumberFormat="1" applyFont="1" applyFill="1" applyBorder="1" applyAlignment="1" applyProtection="1">
      <alignment horizontal="center" vertical="center"/>
    </xf>
    <xf numFmtId="10" fontId="15" fillId="6" borderId="21" xfId="1" applyNumberFormat="1" applyFont="1" applyFill="1" applyBorder="1" applyAlignment="1" applyProtection="1">
      <alignment horizontal="center" vertical="center"/>
    </xf>
    <xf numFmtId="10" fontId="19" fillId="8" borderId="126" xfId="1" applyNumberFormat="1" applyFont="1" applyFill="1" applyBorder="1" applyAlignment="1" applyProtection="1">
      <alignment horizontal="center" vertical="center"/>
    </xf>
    <xf numFmtId="37" fontId="14" fillId="0" borderId="105" xfId="1" applyFont="1" applyBorder="1" applyAlignment="1" applyProtection="1">
      <alignment horizontal="center" vertical="center"/>
    </xf>
    <xf numFmtId="10" fontId="15" fillId="0" borderId="10" xfId="1" applyNumberFormat="1" applyFont="1" applyFill="1" applyBorder="1" applyAlignment="1" applyProtection="1">
      <alignment horizontal="center" vertical="center"/>
    </xf>
    <xf numFmtId="10" fontId="19" fillId="0" borderId="28" xfId="1" applyNumberFormat="1" applyFont="1" applyFill="1" applyBorder="1" applyAlignment="1" applyProtection="1">
      <alignment horizontal="center" vertical="center"/>
    </xf>
    <xf numFmtId="37" fontId="15" fillId="2" borderId="75" xfId="1" applyFont="1" applyFill="1" applyBorder="1" applyAlignment="1" applyProtection="1">
      <alignment horizontal="center" textRotation="90" wrapText="1"/>
    </xf>
    <xf numFmtId="164" fontId="35" fillId="5" borderId="41" xfId="1" applyNumberFormat="1" applyFont="1" applyFill="1" applyBorder="1" applyAlignment="1" applyProtection="1">
      <alignment horizontal="center" vertical="center"/>
      <protection locked="0"/>
    </xf>
    <xf numFmtId="37" fontId="35" fillId="5" borderId="32" xfId="1" applyNumberFormat="1" applyFont="1" applyFill="1" applyBorder="1" applyAlignment="1" applyProtection="1">
      <alignment horizontal="center" vertical="center"/>
      <protection locked="0"/>
    </xf>
    <xf numFmtId="37" fontId="35" fillId="5" borderId="29" xfId="1" applyNumberFormat="1" applyFont="1" applyFill="1" applyBorder="1" applyAlignment="1" applyProtection="1">
      <alignment horizontal="center" vertical="center"/>
      <protection locked="0"/>
    </xf>
    <xf numFmtId="37" fontId="35" fillId="5" borderId="12" xfId="1" applyNumberFormat="1" applyFont="1" applyFill="1" applyBorder="1" applyAlignment="1" applyProtection="1">
      <alignment horizontal="center" vertical="center"/>
      <protection locked="0"/>
    </xf>
    <xf numFmtId="37" fontId="35" fillId="5" borderId="19" xfId="1" applyNumberFormat="1" applyFont="1" applyFill="1" applyBorder="1" applyAlignment="1" applyProtection="1">
      <alignment horizontal="center" vertical="center"/>
      <protection locked="0"/>
    </xf>
    <xf numFmtId="164" fontId="35" fillId="5" borderId="51" xfId="1" applyNumberFormat="1" applyFont="1" applyFill="1" applyBorder="1" applyAlignment="1" applyProtection="1">
      <alignment horizontal="center" vertical="center"/>
      <protection locked="0"/>
    </xf>
    <xf numFmtId="37" fontId="35" fillId="5" borderId="6" xfId="1" applyNumberFormat="1" applyFont="1" applyFill="1" applyBorder="1" applyAlignment="1" applyProtection="1">
      <alignment horizontal="center" vertical="center"/>
      <protection locked="0"/>
    </xf>
    <xf numFmtId="37" fontId="35" fillId="5" borderId="52" xfId="1" applyNumberFormat="1" applyFont="1" applyFill="1" applyBorder="1" applyAlignment="1" applyProtection="1">
      <alignment horizontal="center" vertical="center"/>
      <protection locked="0"/>
    </xf>
    <xf numFmtId="37" fontId="36" fillId="0" borderId="23" xfId="1" applyFont="1" applyBorder="1" applyAlignment="1" applyProtection="1">
      <alignment vertical="center"/>
    </xf>
    <xf numFmtId="37" fontId="36" fillId="5" borderId="23" xfId="1" applyFont="1" applyFill="1" applyBorder="1" applyAlignment="1" applyProtection="1">
      <alignment vertical="center"/>
    </xf>
    <xf numFmtId="164" fontId="35" fillId="5" borderId="121" xfId="1" applyNumberFormat="1" applyFont="1" applyFill="1" applyBorder="1" applyAlignment="1" applyProtection="1">
      <alignment horizontal="center" vertical="center"/>
      <protection locked="0"/>
    </xf>
    <xf numFmtId="37" fontId="29" fillId="5" borderId="29" xfId="1" applyFont="1" applyFill="1" applyBorder="1" applyAlignment="1" applyProtection="1">
      <alignment horizontal="center" vertical="center"/>
    </xf>
    <xf numFmtId="37" fontId="35" fillId="5" borderId="29" xfId="1" applyFont="1" applyFill="1" applyBorder="1" applyAlignment="1" applyProtection="1">
      <alignment horizontal="center" vertical="center"/>
      <protection locked="0"/>
    </xf>
    <xf numFmtId="164" fontId="37" fillId="5" borderId="107" xfId="1" applyNumberFormat="1" applyFont="1" applyFill="1" applyBorder="1" applyAlignment="1" applyProtection="1">
      <alignment horizontal="center" vertical="center"/>
      <protection locked="0"/>
    </xf>
    <xf numFmtId="164" fontId="37" fillId="5" borderId="108" xfId="1" applyNumberFormat="1" applyFont="1" applyFill="1" applyBorder="1" applyAlignment="1" applyProtection="1">
      <alignment horizontal="center" vertical="center"/>
      <protection locked="0"/>
    </xf>
    <xf numFmtId="164" fontId="37" fillId="5" borderId="93" xfId="1" applyNumberFormat="1" applyFont="1" applyFill="1" applyBorder="1" applyAlignment="1" applyProtection="1">
      <alignment horizontal="center" vertical="center"/>
      <protection locked="0"/>
    </xf>
    <xf numFmtId="164" fontId="37" fillId="5" borderId="29" xfId="1" applyNumberFormat="1" applyFont="1" applyFill="1" applyBorder="1" applyAlignment="1" applyProtection="1">
      <alignment horizontal="center" vertical="center"/>
      <protection locked="0"/>
    </xf>
    <xf numFmtId="37" fontId="37" fillId="5" borderId="32" xfId="1" applyNumberFormat="1" applyFont="1" applyFill="1" applyBorder="1" applyAlignment="1" applyProtection="1">
      <alignment horizontal="center" vertical="center"/>
      <protection locked="0"/>
    </xf>
    <xf numFmtId="37" fontId="37" fillId="5" borderId="36" xfId="1" applyNumberFormat="1" applyFont="1" applyFill="1" applyBorder="1" applyAlignment="1" applyProtection="1">
      <alignment horizontal="center" vertical="center"/>
      <protection locked="0"/>
    </xf>
    <xf numFmtId="37" fontId="37" fillId="5" borderId="29" xfId="1" applyNumberFormat="1" applyFont="1" applyFill="1" applyBorder="1" applyAlignment="1" applyProtection="1">
      <alignment horizontal="center" vertical="center"/>
      <protection locked="0"/>
    </xf>
    <xf numFmtId="37" fontId="37" fillId="5" borderId="46" xfId="1" applyNumberFormat="1" applyFont="1" applyFill="1" applyBorder="1" applyAlignment="1" applyProtection="1">
      <alignment horizontal="center" vertical="center"/>
      <protection locked="0"/>
    </xf>
    <xf numFmtId="164" fontId="37" fillId="5" borderId="59" xfId="1" applyNumberFormat="1" applyFont="1" applyFill="1" applyBorder="1" applyAlignment="1" applyProtection="1">
      <alignment horizontal="center" vertical="center"/>
      <protection locked="0"/>
    </xf>
    <xf numFmtId="164" fontId="37" fillId="5" borderId="120" xfId="1" applyNumberFormat="1" applyFont="1" applyFill="1" applyBorder="1" applyAlignment="1" applyProtection="1">
      <alignment horizontal="center" vertical="center"/>
      <protection locked="0"/>
    </xf>
    <xf numFmtId="37" fontId="27" fillId="5" borderId="65" xfId="1" applyFont="1" applyFill="1" applyBorder="1" applyAlignment="1" applyProtection="1">
      <alignment vertical="center"/>
      <protection locked="0"/>
    </xf>
    <xf numFmtId="164" fontId="37" fillId="5" borderId="12" xfId="1" applyNumberFormat="1" applyFont="1" applyFill="1" applyBorder="1" applyAlignment="1" applyProtection="1">
      <alignment horizontal="center" vertical="center"/>
      <protection locked="0"/>
    </xf>
    <xf numFmtId="164" fontId="37" fillId="5" borderId="6" xfId="1" applyNumberFormat="1" applyFont="1" applyFill="1" applyBorder="1" applyAlignment="1" applyProtection="1">
      <alignment horizontal="center" vertical="center"/>
      <protection locked="0"/>
    </xf>
    <xf numFmtId="37" fontId="37" fillId="5" borderId="12" xfId="1" applyFont="1" applyFill="1" applyBorder="1" applyAlignment="1" applyProtection="1">
      <alignment horizontal="center" vertical="center"/>
      <protection locked="0"/>
    </xf>
    <xf numFmtId="37" fontId="37" fillId="5" borderId="12" xfId="1" applyNumberFormat="1" applyFont="1" applyFill="1" applyBorder="1" applyAlignment="1" applyProtection="1">
      <alignment horizontal="center" vertical="center"/>
      <protection locked="0"/>
    </xf>
    <xf numFmtId="164" fontId="37" fillId="5" borderId="100" xfId="1" applyNumberFormat="1" applyFont="1" applyFill="1" applyBorder="1" applyAlignment="1" applyProtection="1">
      <alignment horizontal="center" vertical="center"/>
      <protection locked="0"/>
    </xf>
    <xf numFmtId="164" fontId="37" fillId="5" borderId="101" xfId="1" applyNumberFormat="1" applyFont="1" applyFill="1" applyBorder="1" applyAlignment="1" applyProtection="1">
      <alignment horizontal="center" vertical="center"/>
      <protection locked="0"/>
    </xf>
    <xf numFmtId="164" fontId="42" fillId="5" borderId="107" xfId="1" applyNumberFormat="1" applyFont="1" applyFill="1" applyBorder="1" applyAlignment="1" applyProtection="1">
      <alignment horizontal="center" vertical="center"/>
      <protection locked="0"/>
    </xf>
    <xf numFmtId="37" fontId="42" fillId="5" borderId="32" xfId="1" applyNumberFormat="1" applyFont="1" applyFill="1" applyBorder="1" applyAlignment="1" applyProtection="1">
      <alignment horizontal="center" vertical="center"/>
      <protection locked="0"/>
    </xf>
    <xf numFmtId="164" fontId="37" fillId="5" borderId="30" xfId="1" applyNumberFormat="1" applyFont="1" applyFill="1" applyBorder="1" applyAlignment="1" applyProtection="1">
      <alignment horizontal="center" vertical="center"/>
      <protection locked="0"/>
    </xf>
    <xf numFmtId="164" fontId="37" fillId="5" borderId="41" xfId="1" applyNumberFormat="1" applyFont="1" applyFill="1" applyBorder="1" applyAlignment="1" applyProtection="1">
      <alignment horizontal="center" vertical="center"/>
      <protection locked="0"/>
    </xf>
    <xf numFmtId="37" fontId="37" fillId="5" borderId="32" xfId="1" applyFont="1" applyFill="1" applyBorder="1" applyAlignment="1" applyProtection="1">
      <alignment horizontal="center" vertical="center"/>
      <protection locked="0"/>
    </xf>
    <xf numFmtId="37" fontId="37" fillId="5" borderId="33" xfId="1" applyNumberFormat="1" applyFont="1" applyFill="1" applyBorder="1" applyAlignment="1" applyProtection="1">
      <alignment horizontal="center" vertical="center"/>
      <protection locked="0"/>
    </xf>
    <xf numFmtId="37" fontId="37" fillId="5" borderId="19" xfId="1" applyNumberFormat="1" applyFont="1" applyFill="1" applyBorder="1" applyAlignment="1" applyProtection="1">
      <alignment horizontal="center" vertical="center"/>
      <protection locked="0"/>
    </xf>
    <xf numFmtId="37" fontId="37" fillId="5" borderId="29" xfId="1" applyFont="1" applyFill="1" applyBorder="1" applyAlignment="1" applyProtection="1">
      <alignment horizontal="center" vertical="center"/>
      <protection locked="0"/>
    </xf>
    <xf numFmtId="37" fontId="37" fillId="5" borderId="29" xfId="1" applyNumberFormat="1" applyFont="1" applyFill="1" applyBorder="1" applyAlignment="1" applyProtection="1">
      <alignment horizontal="center"/>
      <protection locked="0"/>
    </xf>
    <xf numFmtId="37" fontId="37" fillId="5" borderId="12" xfId="1" applyNumberFormat="1" applyFont="1" applyFill="1" applyBorder="1" applyAlignment="1" applyProtection="1">
      <alignment horizontal="center"/>
      <protection locked="0"/>
    </xf>
    <xf numFmtId="37" fontId="37" fillId="5" borderId="19" xfId="1" applyNumberFormat="1" applyFont="1" applyFill="1" applyBorder="1" applyAlignment="1" applyProtection="1">
      <alignment horizontal="center"/>
      <protection locked="0"/>
    </xf>
    <xf numFmtId="37" fontId="42" fillId="5" borderId="12" xfId="1" applyNumberFormat="1" applyFont="1" applyFill="1" applyBorder="1" applyAlignment="1" applyProtection="1">
      <alignment horizontal="center" vertical="center"/>
      <protection locked="0"/>
    </xf>
    <xf numFmtId="37" fontId="42" fillId="5" borderId="29" xfId="1" applyNumberFormat="1" applyFont="1" applyFill="1" applyBorder="1" applyAlignment="1" applyProtection="1">
      <alignment horizontal="center" vertical="center"/>
      <protection locked="0"/>
    </xf>
    <xf numFmtId="37" fontId="37" fillId="5" borderId="64" xfId="1" applyNumberFormat="1" applyFont="1" applyFill="1" applyBorder="1" applyAlignment="1" applyProtection="1">
      <alignment horizontal="center" vertical="center"/>
      <protection locked="0"/>
    </xf>
    <xf numFmtId="164" fontId="42" fillId="5" borderId="108" xfId="1" applyNumberFormat="1" applyFont="1" applyFill="1" applyBorder="1" applyAlignment="1" applyProtection="1">
      <alignment horizontal="center" vertical="center"/>
      <protection locked="0"/>
    </xf>
    <xf numFmtId="164" fontId="42" fillId="5" borderId="93" xfId="1" applyNumberFormat="1" applyFont="1" applyFill="1" applyBorder="1" applyAlignment="1" applyProtection="1">
      <alignment horizontal="center" vertical="center"/>
      <protection locked="0"/>
    </xf>
    <xf numFmtId="37" fontId="42" fillId="5" borderId="46" xfId="1" applyNumberFormat="1" applyFont="1" applyFill="1" applyBorder="1" applyAlignment="1" applyProtection="1">
      <alignment horizontal="center" vertical="center"/>
      <protection locked="0"/>
    </xf>
    <xf numFmtId="164" fontId="42" fillId="5" borderId="59" xfId="1" applyNumberFormat="1" applyFont="1" applyFill="1" applyBorder="1" applyAlignment="1" applyProtection="1">
      <alignment horizontal="center" vertical="center"/>
      <protection locked="0"/>
    </xf>
    <xf numFmtId="37" fontId="42" fillId="5" borderId="64" xfId="1" applyNumberFormat="1" applyFont="1" applyFill="1" applyBorder="1" applyAlignment="1" applyProtection="1">
      <alignment horizontal="center" vertical="center"/>
      <protection locked="0"/>
    </xf>
    <xf numFmtId="165" fontId="17" fillId="5" borderId="0" xfId="1" applyNumberFormat="1" applyFont="1" applyFill="1" applyBorder="1" applyAlignment="1" applyProtection="1">
      <alignment horizontal="left"/>
      <protection locked="0"/>
    </xf>
    <xf numFmtId="165" fontId="17" fillId="5" borderId="11" xfId="1" applyNumberFormat="1" applyFont="1" applyFill="1" applyBorder="1" applyAlignment="1" applyProtection="1">
      <alignment horizontal="left"/>
      <protection locked="0"/>
    </xf>
    <xf numFmtId="1" fontId="21" fillId="5" borderId="0" xfId="1" applyNumberFormat="1" applyFont="1" applyFill="1" applyBorder="1" applyAlignment="1" applyProtection="1">
      <alignment horizontal="center"/>
      <protection locked="0"/>
    </xf>
    <xf numFmtId="165" fontId="17" fillId="5" borderId="0" xfId="1" applyNumberFormat="1" applyFont="1" applyFill="1" applyBorder="1" applyAlignment="1" applyProtection="1">
      <alignment horizontal="center"/>
      <protection locked="0"/>
    </xf>
    <xf numFmtId="165" fontId="17" fillId="5" borderId="0" xfId="2" applyNumberFormat="1" applyFont="1" applyFill="1" applyBorder="1" applyAlignment="1" applyProtection="1">
      <alignment horizontal="center"/>
    </xf>
    <xf numFmtId="1" fontId="17" fillId="5" borderId="0" xfId="2" applyNumberFormat="1" applyFont="1" applyFill="1" applyBorder="1" applyAlignment="1" applyProtection="1">
      <alignment horizontal="center"/>
    </xf>
    <xf numFmtId="1" fontId="17" fillId="5" borderId="0" xfId="1" applyNumberFormat="1" applyFont="1" applyFill="1" applyBorder="1" applyAlignment="1" applyProtection="1">
      <alignment horizontal="left"/>
      <protection locked="0"/>
    </xf>
    <xf numFmtId="1" fontId="21" fillId="0" borderId="0" xfId="1" applyNumberFormat="1" applyFont="1" applyFill="1" applyBorder="1" applyAlignment="1" applyProtection="1">
      <alignment horizontal="center"/>
      <protection locked="0"/>
    </xf>
    <xf numFmtId="165" fontId="17" fillId="0" borderId="0" xfId="1" applyNumberFormat="1" applyFont="1" applyFill="1" applyBorder="1" applyAlignment="1" applyProtection="1">
      <alignment horizontal="center"/>
      <protection locked="0"/>
    </xf>
    <xf numFmtId="165" fontId="17" fillId="0" borderId="0" xfId="2" applyNumberFormat="1" applyFont="1" applyFill="1" applyBorder="1" applyAlignment="1" applyProtection="1">
      <alignment horizontal="center"/>
    </xf>
    <xf numFmtId="1" fontId="17" fillId="0" borderId="0" xfId="2" applyNumberFormat="1" applyFont="1" applyFill="1" applyBorder="1" applyAlignment="1" applyProtection="1">
      <alignment horizontal="center"/>
    </xf>
    <xf numFmtId="1" fontId="17" fillId="0" borderId="0" xfId="1" applyNumberFormat="1" applyFont="1" applyFill="1" applyBorder="1" applyAlignment="1" applyProtection="1">
      <alignment horizontal="left"/>
      <protection locked="0"/>
    </xf>
    <xf numFmtId="165" fontId="17" fillId="0" borderId="0" xfId="1" applyNumberFormat="1" applyFont="1" applyFill="1" applyBorder="1" applyAlignment="1" applyProtection="1">
      <alignment horizontal="left"/>
      <protection locked="0"/>
    </xf>
    <xf numFmtId="165" fontId="17" fillId="0" borderId="11" xfId="1" applyNumberFormat="1" applyFont="1" applyFill="1" applyBorder="1" applyAlignment="1" applyProtection="1">
      <alignment horizontal="left"/>
      <protection locked="0"/>
    </xf>
    <xf numFmtId="165" fontId="19" fillId="5" borderId="0" xfId="1" applyNumberFormat="1" applyFont="1" applyFill="1" applyBorder="1" applyAlignment="1" applyProtection="1">
      <alignment horizontal="center" vertical="center"/>
    </xf>
    <xf numFmtId="165" fontId="19" fillId="5" borderId="54" xfId="1" applyNumberFormat="1" applyFont="1" applyFill="1" applyBorder="1" applyAlignment="1" applyProtection="1">
      <alignment horizontal="center" vertical="center"/>
    </xf>
    <xf numFmtId="37" fontId="14" fillId="5" borderId="1" xfId="1" applyFont="1" applyFill="1" applyBorder="1" applyAlignment="1" applyProtection="1">
      <alignment horizontal="center" vertical="center"/>
    </xf>
    <xf numFmtId="37" fontId="14" fillId="5" borderId="16" xfId="1" applyFont="1" applyFill="1" applyBorder="1" applyAlignment="1" applyProtection="1">
      <alignment horizontal="center" vertical="center"/>
    </xf>
    <xf numFmtId="37" fontId="15" fillId="5" borderId="68" xfId="1" applyFont="1" applyFill="1" applyBorder="1" applyAlignment="1" applyProtection="1">
      <alignment horizontal="center" vertical="center"/>
    </xf>
    <xf numFmtId="37" fontId="15" fillId="5" borderId="23" xfId="1" applyFont="1" applyFill="1" applyBorder="1" applyAlignment="1" applyProtection="1">
      <alignment horizontal="center" vertical="center"/>
    </xf>
    <xf numFmtId="0" fontId="15" fillId="6" borderId="105" xfId="0" applyFont="1" applyFill="1" applyBorder="1" applyAlignment="1">
      <alignment horizontal="center" vertical="center"/>
    </xf>
    <xf numFmtId="37" fontId="15" fillId="6" borderId="10" xfId="1" applyFont="1" applyFill="1" applyBorder="1" applyAlignment="1" applyProtection="1">
      <alignment horizontal="center" vertical="center"/>
    </xf>
    <xf numFmtId="37" fontId="15" fillId="6" borderId="28" xfId="1" applyFont="1" applyFill="1" applyBorder="1" applyAlignment="1" applyProtection="1">
      <alignment horizontal="center" vertical="center"/>
    </xf>
    <xf numFmtId="37" fontId="15" fillId="0" borderId="0" xfId="1" applyFont="1" applyBorder="1" applyAlignment="1" applyProtection="1">
      <alignment horizontal="center" vertical="center"/>
    </xf>
    <xf numFmtId="37" fontId="37" fillId="5" borderId="100" xfId="1" applyNumberFormat="1" applyFont="1" applyFill="1" applyBorder="1" applyAlignment="1" applyProtection="1">
      <alignment horizontal="center" vertical="center"/>
      <protection locked="0"/>
    </xf>
    <xf numFmtId="164" fontId="42" fillId="5" borderId="29" xfId="1" applyNumberFormat="1" applyFont="1" applyFill="1" applyBorder="1" applyAlignment="1" applyProtection="1">
      <alignment horizontal="center" vertical="center"/>
      <protection locked="0"/>
    </xf>
    <xf numFmtId="164" fontId="42" fillId="5" borderId="12" xfId="1" applyNumberFormat="1" applyFont="1" applyFill="1" applyBorder="1" applyAlignment="1" applyProtection="1">
      <alignment horizontal="center" vertical="center"/>
      <protection locked="0"/>
    </xf>
    <xf numFmtId="164" fontId="42" fillId="5" borderId="6" xfId="1" applyNumberFormat="1" applyFont="1" applyFill="1" applyBorder="1" applyAlignment="1" applyProtection="1">
      <alignment horizontal="center" vertical="center"/>
      <protection locked="0"/>
    </xf>
    <xf numFmtId="164" fontId="42" fillId="5" borderId="120" xfId="1" applyNumberFormat="1" applyFont="1" applyFill="1" applyBorder="1" applyAlignment="1" applyProtection="1">
      <alignment horizontal="center" vertical="center"/>
      <protection locked="0"/>
    </xf>
    <xf numFmtId="37" fontId="42" fillId="5" borderId="100" xfId="1" applyNumberFormat="1" applyFont="1" applyFill="1" applyBorder="1" applyAlignment="1" applyProtection="1">
      <alignment horizontal="center" vertical="center"/>
      <protection locked="0"/>
    </xf>
    <xf numFmtId="37" fontId="42" fillId="5" borderId="12" xfId="1" applyFont="1" applyFill="1" applyBorder="1" applyAlignment="1" applyProtection="1">
      <alignment horizontal="center" vertical="center"/>
      <protection locked="0"/>
    </xf>
    <xf numFmtId="164" fontId="42" fillId="5" borderId="100" xfId="1" applyNumberFormat="1" applyFont="1" applyFill="1" applyBorder="1" applyAlignment="1" applyProtection="1">
      <alignment horizontal="center" vertical="center"/>
      <protection locked="0"/>
    </xf>
    <xf numFmtId="164" fontId="42" fillId="5" borderId="101" xfId="1" applyNumberFormat="1" applyFont="1" applyFill="1" applyBorder="1" applyAlignment="1" applyProtection="1">
      <alignment horizontal="center" vertical="center"/>
      <protection locked="0"/>
    </xf>
    <xf numFmtId="164" fontId="42" fillId="5" borderId="15" xfId="1" applyNumberFormat="1" applyFont="1" applyFill="1" applyBorder="1" applyAlignment="1" applyProtection="1">
      <alignment horizontal="center" vertical="center"/>
      <protection locked="0"/>
    </xf>
    <xf numFmtId="37" fontId="42" fillId="5" borderId="14" xfId="1" applyNumberFormat="1" applyFont="1" applyFill="1" applyBorder="1" applyAlignment="1" applyProtection="1">
      <alignment horizontal="center" vertical="center"/>
      <protection locked="0"/>
    </xf>
    <xf numFmtId="37" fontId="19" fillId="5" borderId="46" xfId="1" applyFont="1" applyFill="1" applyBorder="1" applyAlignment="1" applyProtection="1">
      <alignment horizontal="center" vertical="center"/>
      <protection locked="0"/>
    </xf>
    <xf numFmtId="37" fontId="19" fillId="5" borderId="86" xfId="1" applyFont="1" applyFill="1" applyBorder="1" applyAlignment="1" applyProtection="1">
      <alignment horizontal="center" vertical="center"/>
    </xf>
    <xf numFmtId="164" fontId="34" fillId="5" borderId="41" xfId="1" applyNumberFormat="1" applyFont="1" applyFill="1" applyBorder="1" applyAlignment="1" applyProtection="1">
      <alignment horizontal="center" vertical="center"/>
      <protection locked="0"/>
    </xf>
    <xf numFmtId="37" fontId="14" fillId="0" borderId="16" xfId="1" applyFont="1" applyBorder="1" applyAlignment="1" applyProtection="1">
      <alignment horizontal="center" vertical="center"/>
    </xf>
    <xf numFmtId="37" fontId="14" fillId="0" borderId="0" xfId="1" applyFont="1" applyBorder="1" applyAlignment="1" applyProtection="1">
      <alignment horizontal="center" vertical="center"/>
    </xf>
    <xf numFmtId="37" fontId="14" fillId="0" borderId="5" xfId="1" applyFont="1" applyBorder="1" applyAlignment="1" applyProtection="1">
      <alignment horizontal="left" vertical="center"/>
    </xf>
    <xf numFmtId="37" fontId="14" fillId="0" borderId="5" xfId="1" applyFont="1" applyBorder="1" applyAlignment="1">
      <alignment horizontal="center" vertical="center"/>
    </xf>
    <xf numFmtId="37" fontId="14" fillId="0" borderId="57" xfId="1" applyFont="1" applyBorder="1" applyAlignment="1">
      <alignment horizontal="center" vertical="center"/>
    </xf>
    <xf numFmtId="37" fontId="14" fillId="0" borderId="56" xfId="1" applyFont="1" applyBorder="1" applyAlignment="1" applyProtection="1">
      <alignment horizontal="center" vertical="center"/>
    </xf>
    <xf numFmtId="37" fontId="15" fillId="0" borderId="109" xfId="1" applyFont="1" applyBorder="1" applyAlignment="1">
      <alignment vertical="center"/>
    </xf>
    <xf numFmtId="37" fontId="15" fillId="0" borderId="110" xfId="1" applyFont="1" applyBorder="1" applyAlignment="1">
      <alignment vertical="center"/>
    </xf>
    <xf numFmtId="37" fontId="15" fillId="0" borderId="110" xfId="1" applyFont="1" applyBorder="1" applyAlignment="1">
      <alignment horizontal="center" vertical="center"/>
    </xf>
    <xf numFmtId="37" fontId="14" fillId="0" borderId="110" xfId="1" applyFont="1" applyBorder="1" applyAlignment="1" applyProtection="1">
      <alignment horizontal="center" vertical="center"/>
    </xf>
    <xf numFmtId="164" fontId="16" fillId="5" borderId="17" xfId="1" applyNumberFormat="1" applyFont="1" applyFill="1" applyBorder="1" applyAlignment="1" applyProtection="1">
      <alignment horizontal="center"/>
      <protection locked="0"/>
    </xf>
    <xf numFmtId="37" fontId="31" fillId="5" borderId="0" xfId="1" applyFont="1" applyFill="1" applyBorder="1" applyAlignment="1" applyProtection="1">
      <alignment horizontal="center" vertical="center"/>
    </xf>
    <xf numFmtId="164" fontId="17" fillId="5" borderId="15" xfId="1" applyNumberFormat="1" applyFont="1" applyFill="1" applyBorder="1" applyAlignment="1" applyProtection="1">
      <alignment horizontal="center"/>
      <protection locked="0"/>
    </xf>
    <xf numFmtId="1" fontId="15" fillId="8" borderId="94" xfId="1" applyNumberFormat="1" applyFont="1" applyFill="1" applyBorder="1" applyAlignment="1">
      <alignment horizontal="center" vertical="center"/>
    </xf>
    <xf numFmtId="37" fontId="19" fillId="5" borderId="99" xfId="1" applyFont="1" applyFill="1" applyBorder="1" applyAlignment="1" applyProtection="1">
      <alignment horizontal="center" vertical="center"/>
    </xf>
    <xf numFmtId="37" fontId="27" fillId="5" borderId="98" xfId="1" applyFont="1" applyFill="1" applyBorder="1" applyAlignment="1" applyProtection="1">
      <alignment horizontal="left" vertical="center"/>
    </xf>
    <xf numFmtId="37" fontId="27" fillId="5" borderId="99" xfId="1" applyFont="1" applyFill="1" applyBorder="1" applyAlignment="1" applyProtection="1">
      <alignment horizontal="left" vertical="center"/>
    </xf>
    <xf numFmtId="37" fontId="15" fillId="0" borderId="1" xfId="1" applyFont="1" applyBorder="1" applyAlignment="1">
      <alignment vertical="center"/>
    </xf>
    <xf numFmtId="164" fontId="16" fillId="5" borderId="32" xfId="1" applyNumberFormat="1" applyFont="1" applyFill="1" applyBorder="1" applyAlignment="1" applyProtection="1">
      <alignment horizontal="center"/>
      <protection locked="0"/>
    </xf>
    <xf numFmtId="37" fontId="31" fillId="5" borderId="32" xfId="1" applyFont="1" applyFill="1" applyBorder="1" applyAlignment="1" applyProtection="1">
      <alignment horizontal="center" vertical="center"/>
    </xf>
    <xf numFmtId="1" fontId="15" fillId="6" borderId="127" xfId="1" applyNumberFormat="1" applyFont="1" applyFill="1" applyBorder="1" applyAlignment="1">
      <alignment horizontal="center" vertical="center"/>
    </xf>
    <xf numFmtId="37" fontId="15" fillId="0" borderId="16" xfId="1" applyFont="1" applyBorder="1" applyAlignment="1">
      <alignment vertical="center"/>
    </xf>
    <xf numFmtId="37" fontId="31" fillId="5" borderId="122" xfId="1" applyFont="1" applyFill="1" applyBorder="1" applyAlignment="1" applyProtection="1">
      <alignment horizontal="center" vertical="center"/>
    </xf>
    <xf numFmtId="164" fontId="17" fillId="5" borderId="14" xfId="1" applyNumberFormat="1" applyFont="1" applyFill="1" applyBorder="1" applyAlignment="1" applyProtection="1">
      <alignment horizontal="center"/>
      <protection locked="0"/>
    </xf>
    <xf numFmtId="37" fontId="15" fillId="0" borderId="19" xfId="1" applyFont="1" applyBorder="1" applyAlignment="1">
      <alignment horizontal="centerContinuous" vertical="center"/>
    </xf>
    <xf numFmtId="0" fontId="0" fillId="5" borderId="45" xfId="0" applyFill="1" applyBorder="1" applyAlignment="1">
      <alignment horizontal="left" vertical="center"/>
    </xf>
    <xf numFmtId="0" fontId="0" fillId="5" borderId="92" xfId="0" applyFill="1" applyBorder="1" applyAlignment="1">
      <alignment horizontal="left" vertical="center"/>
    </xf>
    <xf numFmtId="164" fontId="37" fillId="5" borderId="15" xfId="1" applyNumberFormat="1" applyFont="1" applyFill="1" applyBorder="1" applyAlignment="1" applyProtection="1">
      <alignment horizontal="center" vertical="center"/>
      <protection locked="0"/>
    </xf>
    <xf numFmtId="37" fontId="37" fillId="5" borderId="14" xfId="1" applyNumberFormat="1" applyFont="1" applyFill="1" applyBorder="1" applyAlignment="1" applyProtection="1">
      <alignment horizontal="center" vertical="center"/>
      <protection locked="0"/>
    </xf>
    <xf numFmtId="164" fontId="37" fillId="5" borderId="32" xfId="1" applyNumberFormat="1" applyFont="1" applyFill="1" applyBorder="1" applyAlignment="1" applyProtection="1">
      <alignment horizontal="center" vertical="center"/>
      <protection locked="0"/>
    </xf>
    <xf numFmtId="164" fontId="37" fillId="5" borderId="14" xfId="1" applyNumberFormat="1" applyFont="1" applyFill="1" applyBorder="1" applyAlignment="1" applyProtection="1">
      <alignment horizontal="center" vertical="center"/>
      <protection locked="0"/>
    </xf>
    <xf numFmtId="164" fontId="42" fillId="5" borderId="17" xfId="1" applyNumberFormat="1" applyFont="1" applyFill="1" applyBorder="1" applyAlignment="1" applyProtection="1">
      <alignment horizontal="center" vertical="center"/>
      <protection locked="0"/>
    </xf>
    <xf numFmtId="37" fontId="42" fillId="5" borderId="36" xfId="1" applyNumberFormat="1" applyFont="1" applyFill="1" applyBorder="1" applyAlignment="1" applyProtection="1">
      <alignment horizontal="center" vertical="center"/>
      <protection locked="0"/>
    </xf>
    <xf numFmtId="164" fontId="42" fillId="5" borderId="32" xfId="1" applyNumberFormat="1" applyFont="1" applyFill="1" applyBorder="1" applyAlignment="1" applyProtection="1">
      <alignment horizontal="center" vertical="center"/>
      <protection locked="0"/>
    </xf>
    <xf numFmtId="164" fontId="42" fillId="5" borderId="14" xfId="1" applyNumberFormat="1" applyFont="1" applyFill="1" applyBorder="1" applyAlignment="1" applyProtection="1">
      <alignment horizontal="center" vertical="center"/>
      <protection locked="0"/>
    </xf>
    <xf numFmtId="37" fontId="43" fillId="5" borderId="65" xfId="1" applyFont="1" applyFill="1" applyBorder="1" applyAlignment="1" applyProtection="1">
      <alignment horizontal="left" vertical="center"/>
    </xf>
    <xf numFmtId="37" fontId="43" fillId="5" borderId="49" xfId="1" applyFont="1" applyFill="1" applyBorder="1" applyAlignment="1" applyProtection="1">
      <alignment horizontal="left" vertical="center"/>
    </xf>
    <xf numFmtId="0" fontId="44" fillId="5" borderId="45" xfId="0" applyFont="1" applyFill="1" applyBorder="1" applyAlignment="1">
      <alignment horizontal="left" vertical="center"/>
    </xf>
    <xf numFmtId="37" fontId="16" fillId="5" borderId="23" xfId="1" applyNumberFormat="1" applyFont="1" applyFill="1" applyBorder="1" applyAlignment="1" applyProtection="1">
      <alignment horizontal="center"/>
      <protection locked="0"/>
    </xf>
    <xf numFmtId="37" fontId="26" fillId="5" borderId="45" xfId="1" applyFont="1" applyFill="1" applyBorder="1" applyAlignment="1" applyProtection="1">
      <alignment vertical="center"/>
      <protection locked="0"/>
    </xf>
    <xf numFmtId="37" fontId="49" fillId="5" borderId="90" xfId="1" applyFont="1" applyFill="1" applyBorder="1" applyAlignment="1" applyProtection="1">
      <alignment horizontal="left" vertical="center"/>
    </xf>
    <xf numFmtId="0" fontId="50" fillId="5" borderId="89" xfId="0" applyFont="1" applyFill="1" applyBorder="1" applyAlignment="1">
      <alignment vertical="center"/>
    </xf>
    <xf numFmtId="37" fontId="30" fillId="5" borderId="68" xfId="1" applyFont="1" applyFill="1" applyBorder="1" applyAlignment="1" applyProtection="1">
      <alignment vertical="center"/>
    </xf>
    <xf numFmtId="37" fontId="7" fillId="6" borderId="58" xfId="1" applyNumberFormat="1" applyFont="1" applyFill="1" applyBorder="1" applyAlignment="1" applyProtection="1">
      <alignment horizontal="center" vertical="center"/>
    </xf>
    <xf numFmtId="10" fontId="7" fillId="6" borderId="58" xfId="1" applyNumberFormat="1" applyFont="1" applyFill="1" applyBorder="1" applyAlignment="1" applyProtection="1">
      <alignment horizontal="center" vertical="center"/>
    </xf>
    <xf numFmtId="37" fontId="38" fillId="5" borderId="65" xfId="1" applyFont="1" applyFill="1" applyBorder="1" applyAlignment="1" applyProtection="1">
      <alignment vertical="center"/>
      <protection locked="0"/>
    </xf>
    <xf numFmtId="37" fontId="38" fillId="5" borderId="45" xfId="1" applyFont="1" applyFill="1" applyBorder="1" applyAlignment="1" applyProtection="1">
      <alignment vertical="center"/>
      <protection locked="0"/>
    </xf>
    <xf numFmtId="0" fontId="51" fillId="5" borderId="45" xfId="0" applyFont="1" applyFill="1" applyBorder="1" applyAlignment="1">
      <alignment vertical="center"/>
    </xf>
    <xf numFmtId="37" fontId="37" fillId="5" borderId="83" xfId="1" applyFont="1" applyFill="1" applyBorder="1" applyAlignment="1" applyProtection="1">
      <alignment horizontal="center" vertical="center"/>
    </xf>
    <xf numFmtId="37" fontId="37" fillId="5" borderId="106" xfId="1" applyFont="1" applyFill="1" applyBorder="1" applyAlignment="1" applyProtection="1">
      <alignment horizontal="center" vertical="center"/>
    </xf>
    <xf numFmtId="164" fontId="35" fillId="5" borderId="107" xfId="1" applyNumberFormat="1" applyFont="1" applyFill="1" applyBorder="1" applyAlignment="1" applyProtection="1">
      <alignment horizontal="center" vertical="center"/>
      <protection locked="0"/>
    </xf>
    <xf numFmtId="164" fontId="35" fillId="5" borderId="108" xfId="1" applyNumberFormat="1" applyFont="1" applyFill="1" applyBorder="1" applyAlignment="1" applyProtection="1">
      <alignment horizontal="center" vertical="center"/>
      <protection locked="0"/>
    </xf>
    <xf numFmtId="37" fontId="35" fillId="5" borderId="46" xfId="1" applyNumberFormat="1" applyFont="1" applyFill="1" applyBorder="1" applyAlignment="1" applyProtection="1">
      <alignment horizontal="center" vertical="center"/>
      <protection locked="0"/>
    </xf>
    <xf numFmtId="0" fontId="52" fillId="5" borderId="40" xfId="0" applyFont="1" applyFill="1" applyBorder="1" applyAlignment="1">
      <alignment vertical="center"/>
    </xf>
    <xf numFmtId="0" fontId="52" fillId="5" borderId="45" xfId="0" applyFont="1" applyFill="1" applyBorder="1" applyAlignment="1">
      <alignment vertical="center"/>
    </xf>
    <xf numFmtId="164" fontId="31" fillId="5" borderId="121" xfId="1" applyNumberFormat="1" applyFont="1" applyFill="1" applyBorder="1" applyAlignment="1" applyProtection="1">
      <alignment horizontal="center" vertical="center"/>
      <protection locked="0"/>
    </xf>
    <xf numFmtId="164" fontId="31" fillId="5" borderId="41" xfId="1" applyNumberFormat="1" applyFont="1" applyFill="1" applyBorder="1" applyAlignment="1" applyProtection="1">
      <alignment horizontal="center"/>
      <protection locked="0"/>
    </xf>
    <xf numFmtId="37" fontId="31" fillId="5" borderId="12" xfId="1" applyNumberFormat="1" applyFont="1" applyFill="1" applyBorder="1" applyAlignment="1" applyProtection="1">
      <alignment horizontal="center"/>
      <protection locked="0"/>
    </xf>
    <xf numFmtId="37" fontId="31" fillId="5" borderId="19" xfId="1" applyNumberFormat="1" applyFont="1" applyFill="1" applyBorder="1" applyAlignment="1" applyProtection="1">
      <alignment horizontal="center"/>
      <protection locked="0"/>
    </xf>
    <xf numFmtId="37" fontId="42" fillId="5" borderId="32" xfId="1" applyFont="1" applyFill="1" applyBorder="1" applyAlignment="1" applyProtection="1">
      <alignment horizontal="center" vertical="center"/>
      <protection locked="0"/>
    </xf>
    <xf numFmtId="37" fontId="42" fillId="5" borderId="33" xfId="1" applyNumberFormat="1" applyFont="1" applyFill="1" applyBorder="1" applyAlignment="1" applyProtection="1">
      <alignment horizontal="center" vertical="center"/>
      <protection locked="0"/>
    </xf>
    <xf numFmtId="37" fontId="42" fillId="5" borderId="19" xfId="1" applyNumberFormat="1" applyFont="1" applyFill="1" applyBorder="1" applyAlignment="1" applyProtection="1">
      <alignment horizontal="center" vertical="center"/>
      <protection locked="0"/>
    </xf>
    <xf numFmtId="37" fontId="42" fillId="5" borderId="29" xfId="1" applyFont="1" applyFill="1" applyBorder="1" applyAlignment="1" applyProtection="1">
      <alignment horizontal="center" vertical="center"/>
      <protection locked="0"/>
    </xf>
    <xf numFmtId="164" fontId="42" fillId="5" borderId="30" xfId="1" applyNumberFormat="1" applyFont="1" applyFill="1" applyBorder="1" applyAlignment="1" applyProtection="1">
      <alignment horizontal="center" vertical="center"/>
      <protection locked="0"/>
    </xf>
    <xf numFmtId="164" fontId="42" fillId="5" borderId="41" xfId="1" applyNumberFormat="1" applyFont="1" applyFill="1" applyBorder="1" applyAlignment="1" applyProtection="1">
      <alignment horizontal="center" vertical="center"/>
      <protection locked="0"/>
    </xf>
    <xf numFmtId="164" fontId="42" fillId="5" borderId="41" xfId="1" applyNumberFormat="1" applyFont="1" applyFill="1" applyBorder="1" applyAlignment="1" applyProtection="1">
      <alignment horizontal="center"/>
      <protection locked="0"/>
    </xf>
    <xf numFmtId="164" fontId="37" fillId="5" borderId="121" xfId="1" applyNumberFormat="1" applyFont="1" applyFill="1" applyBorder="1" applyAlignment="1" applyProtection="1">
      <alignment horizontal="center" vertical="center"/>
      <protection locked="0"/>
    </xf>
    <xf numFmtId="0" fontId="54" fillId="5" borderId="45" xfId="0" applyFont="1" applyFill="1" applyBorder="1" applyAlignment="1">
      <alignment vertical="center"/>
    </xf>
    <xf numFmtId="0" fontId="52" fillId="5" borderId="89" xfId="0" applyFont="1" applyFill="1" applyBorder="1" applyAlignment="1">
      <alignment vertical="center"/>
    </xf>
    <xf numFmtId="37" fontId="41" fillId="5" borderId="84" xfId="1" applyFont="1" applyFill="1" applyBorder="1" applyAlignment="1" applyProtection="1">
      <alignment horizontal="left" vertical="center"/>
    </xf>
    <xf numFmtId="37" fontId="41" fillId="5" borderId="67" xfId="1" applyFont="1" applyFill="1" applyBorder="1" applyAlignment="1" applyProtection="1">
      <alignment horizontal="left" vertical="center"/>
    </xf>
    <xf numFmtId="0" fontId="55" fillId="0" borderId="0" xfId="3"/>
    <xf numFmtId="39" fontId="55" fillId="0" borderId="0" xfId="3" applyNumberFormat="1"/>
    <xf numFmtId="2" fontId="55" fillId="0" borderId="0" xfId="3" applyNumberFormat="1"/>
    <xf numFmtId="165" fontId="55" fillId="0" borderId="0" xfId="3" applyNumberFormat="1"/>
    <xf numFmtId="37" fontId="26" fillId="5" borderId="49" xfId="1" applyFont="1" applyFill="1" applyBorder="1" applyAlignment="1" applyProtection="1">
      <alignment horizontal="center" vertical="center"/>
      <protection locked="0"/>
    </xf>
    <xf numFmtId="37" fontId="26" fillId="5" borderId="45" xfId="1" applyFont="1" applyFill="1" applyBorder="1" applyAlignment="1" applyProtection="1">
      <alignment horizontal="center" vertical="center"/>
      <protection locked="0"/>
    </xf>
    <xf numFmtId="37" fontId="38" fillId="5" borderId="67" xfId="1" applyFont="1" applyFill="1" applyBorder="1" applyAlignment="1" applyProtection="1">
      <alignment horizontal="left" vertical="center"/>
    </xf>
    <xf numFmtId="37" fontId="41" fillId="5" borderId="65" xfId="1" applyFont="1" applyFill="1" applyBorder="1" applyAlignment="1" applyProtection="1">
      <alignment horizontal="left" vertical="center"/>
    </xf>
    <xf numFmtId="37" fontId="38" fillId="5" borderId="65" xfId="1" applyFont="1" applyFill="1" applyBorder="1" applyAlignment="1" applyProtection="1">
      <alignment horizontal="left" vertical="center"/>
    </xf>
    <xf numFmtId="37" fontId="40" fillId="5" borderId="85" xfId="1" applyFont="1" applyFill="1" applyBorder="1" applyAlignment="1" applyProtection="1">
      <alignment horizontal="left" vertical="center"/>
    </xf>
    <xf numFmtId="37" fontId="40" fillId="5" borderId="67" xfId="1" applyFont="1" applyFill="1" applyBorder="1" applyAlignment="1" applyProtection="1">
      <alignment horizontal="left" vertical="center"/>
    </xf>
    <xf numFmtId="37" fontId="40" fillId="5" borderId="90" xfId="1" applyFont="1" applyFill="1" applyBorder="1" applyAlignment="1" applyProtection="1">
      <alignment horizontal="left" vertical="center"/>
    </xf>
    <xf numFmtId="37" fontId="48" fillId="5" borderId="84" xfId="1" applyFont="1" applyFill="1" applyBorder="1" applyAlignment="1" applyProtection="1">
      <alignment horizontal="left" vertical="center"/>
    </xf>
    <xf numFmtId="37" fontId="48" fillId="5" borderId="85" xfId="1" applyFont="1" applyFill="1" applyBorder="1" applyAlignment="1" applyProtection="1">
      <alignment horizontal="left" vertical="center"/>
    </xf>
    <xf numFmtId="37" fontId="48" fillId="5" borderId="65" xfId="1" applyFont="1" applyFill="1" applyBorder="1" applyAlignment="1" applyProtection="1">
      <alignment horizontal="left" vertical="center"/>
    </xf>
    <xf numFmtId="37" fontId="48" fillId="5" borderId="49" xfId="1" applyFont="1" applyFill="1" applyBorder="1" applyAlignment="1" applyProtection="1">
      <alignment horizontal="left" vertical="center"/>
    </xf>
    <xf numFmtId="37" fontId="40" fillId="5" borderId="65" xfId="1" applyFont="1" applyFill="1" applyBorder="1" applyAlignment="1" applyProtection="1">
      <alignment horizontal="left" vertical="center"/>
    </xf>
    <xf numFmtId="37" fontId="40" fillId="5" borderId="49" xfId="1" applyFont="1" applyFill="1" applyBorder="1" applyAlignment="1" applyProtection="1">
      <alignment horizontal="left" vertical="center"/>
    </xf>
    <xf numFmtId="37" fontId="26" fillId="5" borderId="65" xfId="1" applyFont="1" applyFill="1" applyBorder="1" applyAlignment="1" applyProtection="1">
      <alignment horizontal="center" vertical="center"/>
      <protection locked="0"/>
    </xf>
    <xf numFmtId="37" fontId="19" fillId="5" borderId="31" xfId="1" applyFont="1" applyFill="1" applyBorder="1" applyAlignment="1" applyProtection="1">
      <alignment horizontal="center" vertical="center"/>
      <protection locked="0"/>
    </xf>
    <xf numFmtId="37" fontId="19" fillId="5" borderId="83" xfId="1" applyFont="1" applyFill="1" applyBorder="1" applyAlignment="1" applyProtection="1">
      <alignment horizontal="center" vertical="center"/>
      <protection locked="0"/>
    </xf>
    <xf numFmtId="37" fontId="19" fillId="5" borderId="87" xfId="1" applyFont="1" applyFill="1" applyBorder="1" applyAlignment="1" applyProtection="1">
      <alignment horizontal="center" vertical="center"/>
      <protection locked="0"/>
    </xf>
    <xf numFmtId="37" fontId="19" fillId="5" borderId="88" xfId="1" applyFont="1" applyFill="1" applyBorder="1" applyAlignment="1" applyProtection="1">
      <alignment horizontal="center" vertical="center"/>
      <protection locked="0"/>
    </xf>
    <xf numFmtId="37" fontId="19" fillId="5" borderId="89" xfId="1" applyFont="1" applyFill="1" applyBorder="1" applyAlignment="1" applyProtection="1">
      <alignment horizontal="center" vertical="center"/>
    </xf>
    <xf numFmtId="37" fontId="19" fillId="5" borderId="93" xfId="1" applyFont="1" applyFill="1" applyBorder="1" applyAlignment="1" applyProtection="1">
      <alignment horizontal="center" vertical="center"/>
    </xf>
    <xf numFmtId="37" fontId="19" fillId="5" borderId="36" xfId="1" applyFont="1" applyFill="1" applyBorder="1" applyAlignment="1" applyProtection="1">
      <alignment horizontal="center" vertical="center"/>
      <protection locked="0"/>
    </xf>
    <xf numFmtId="37" fontId="19" fillId="5" borderId="81" xfId="1" applyFont="1" applyFill="1" applyBorder="1" applyAlignment="1" applyProtection="1">
      <alignment horizontal="center" vertical="center"/>
    </xf>
    <xf numFmtId="0" fontId="51" fillId="5" borderId="40" xfId="0" applyFont="1" applyFill="1" applyBorder="1" applyAlignment="1">
      <alignment vertical="center"/>
    </xf>
    <xf numFmtId="164" fontId="56" fillId="5" borderId="101" xfId="1" applyNumberFormat="1" applyFont="1" applyFill="1" applyBorder="1" applyAlignment="1" applyProtection="1">
      <alignment horizontal="center"/>
      <protection locked="0"/>
    </xf>
    <xf numFmtId="164" fontId="42" fillId="5" borderId="121" xfId="1" applyNumberFormat="1" applyFont="1" applyFill="1" applyBorder="1" applyAlignment="1" applyProtection="1">
      <alignment horizontal="center" vertical="center"/>
      <protection locked="0"/>
    </xf>
    <xf numFmtId="0" fontId="47" fillId="0" borderId="0" xfId="0" applyFont="1"/>
    <xf numFmtId="14" fontId="0" fillId="0" borderId="0" xfId="0" applyNumberFormat="1"/>
    <xf numFmtId="10" fontId="0" fillId="0" borderId="0" xfId="0" applyNumberFormat="1"/>
    <xf numFmtId="37" fontId="31" fillId="5" borderId="29" xfId="1" applyNumberFormat="1" applyFont="1" applyFill="1" applyBorder="1" applyAlignment="1" applyProtection="1">
      <alignment horizontal="center"/>
      <protection locked="0"/>
    </xf>
    <xf numFmtId="37" fontId="57" fillId="5" borderId="36" xfId="1" applyNumberFormat="1" applyFont="1" applyFill="1" applyBorder="1" applyAlignment="1" applyProtection="1">
      <alignment horizontal="center" vertical="center"/>
      <protection locked="0"/>
    </xf>
    <xf numFmtId="37" fontId="57" fillId="5" borderId="46" xfId="1" applyNumberFormat="1" applyFont="1" applyFill="1" applyBorder="1" applyAlignment="1" applyProtection="1">
      <alignment horizontal="center" vertical="center"/>
      <protection locked="0"/>
    </xf>
    <xf numFmtId="37" fontId="40" fillId="5" borderId="67" xfId="1" applyFont="1" applyFill="1" applyBorder="1" applyAlignment="1" applyProtection="1">
      <alignment horizontal="left" vertical="center"/>
    </xf>
    <xf numFmtId="37" fontId="40" fillId="5" borderId="90" xfId="1" applyFont="1" applyFill="1" applyBorder="1" applyAlignment="1" applyProtection="1">
      <alignment horizontal="left" vertical="center"/>
    </xf>
    <xf numFmtId="37" fontId="40" fillId="5" borderId="49" xfId="1" applyFont="1" applyFill="1" applyBorder="1" applyAlignment="1" applyProtection="1">
      <alignment horizontal="left" vertical="center"/>
    </xf>
    <xf numFmtId="37" fontId="48" fillId="5" borderId="65" xfId="1" applyFont="1" applyFill="1" applyBorder="1" applyAlignment="1" applyProtection="1">
      <alignment horizontal="left" vertical="center"/>
    </xf>
    <xf numFmtId="37" fontId="48" fillId="5" borderId="49" xfId="1" applyFont="1" applyFill="1" applyBorder="1" applyAlignment="1" applyProtection="1">
      <alignment horizontal="left" vertical="center"/>
    </xf>
    <xf numFmtId="37" fontId="48" fillId="5" borderId="65" xfId="1" applyFont="1" applyFill="1" applyBorder="1" applyAlignment="1" applyProtection="1">
      <alignment horizontal="left" vertical="center"/>
    </xf>
    <xf numFmtId="37" fontId="35" fillId="5" borderId="36" xfId="1" applyNumberFormat="1" applyFont="1" applyFill="1" applyBorder="1" applyAlignment="1" applyProtection="1">
      <alignment horizontal="center" vertical="center"/>
      <protection locked="0"/>
    </xf>
    <xf numFmtId="37" fontId="40" fillId="5" borderId="65" xfId="1" applyFont="1" applyFill="1" applyBorder="1" applyAlignment="1" applyProtection="1">
      <alignment horizontal="left" vertical="center"/>
    </xf>
    <xf numFmtId="37" fontId="40" fillId="5" borderId="49" xfId="1" applyFont="1" applyFill="1" applyBorder="1" applyAlignment="1" applyProtection="1">
      <alignment horizontal="left" vertical="center"/>
    </xf>
    <xf numFmtId="164" fontId="31" fillId="5" borderId="93" xfId="1" applyNumberFormat="1" applyFont="1" applyFill="1" applyBorder="1" applyAlignment="1" applyProtection="1">
      <alignment horizontal="center" vertical="center"/>
      <protection locked="0"/>
    </xf>
    <xf numFmtId="164" fontId="31" fillId="5" borderId="59" xfId="1" applyNumberFormat="1" applyFont="1" applyFill="1" applyBorder="1" applyAlignment="1" applyProtection="1">
      <alignment horizontal="center" vertical="center"/>
      <protection locked="0"/>
    </xf>
    <xf numFmtId="0" fontId="52" fillId="5" borderId="45" xfId="0" applyFont="1" applyFill="1" applyBorder="1" applyAlignment="1">
      <alignment horizontal="left" vertical="center"/>
    </xf>
    <xf numFmtId="37" fontId="40" fillId="5" borderId="65" xfId="1" applyFont="1" applyFill="1" applyBorder="1" applyAlignment="1" applyProtection="1">
      <alignment horizontal="left" vertical="center"/>
    </xf>
    <xf numFmtId="37" fontId="40" fillId="5" borderId="49" xfId="1" applyFont="1" applyFill="1" applyBorder="1" applyAlignment="1" applyProtection="1">
      <alignment horizontal="left" vertical="center"/>
    </xf>
    <xf numFmtId="37" fontId="41" fillId="5" borderId="65" xfId="1" applyFont="1" applyFill="1" applyBorder="1" applyAlignment="1" applyProtection="1">
      <alignment horizontal="left" vertical="center"/>
    </xf>
    <xf numFmtId="37" fontId="40" fillId="5" borderId="65" xfId="1" applyFont="1" applyFill="1" applyBorder="1" applyAlignment="1" applyProtection="1">
      <alignment horizontal="left" vertical="center"/>
    </xf>
    <xf numFmtId="37" fontId="40" fillId="5" borderId="49" xfId="1" applyFont="1" applyFill="1" applyBorder="1" applyAlignment="1" applyProtection="1">
      <alignment horizontal="left" vertical="center"/>
    </xf>
    <xf numFmtId="0" fontId="51" fillId="5" borderId="45" xfId="0" applyFont="1" applyFill="1" applyBorder="1" applyAlignment="1">
      <alignment horizontal="left" vertical="center"/>
    </xf>
    <xf numFmtId="37" fontId="46" fillId="5" borderId="85" xfId="1" applyFont="1" applyFill="1" applyBorder="1" applyAlignment="1" applyProtection="1">
      <alignment horizontal="left" vertical="center"/>
    </xf>
    <xf numFmtId="0" fontId="47" fillId="5" borderId="40" xfId="0" applyFont="1" applyFill="1" applyBorder="1" applyAlignment="1">
      <alignment horizontal="left" vertical="center"/>
    </xf>
    <xf numFmtId="37" fontId="46" fillId="5" borderId="49" xfId="1" applyFont="1" applyFill="1" applyBorder="1" applyAlignment="1" applyProtection="1">
      <alignment horizontal="left" vertical="center"/>
    </xf>
    <xf numFmtId="0" fontId="47" fillId="5" borderId="45" xfId="0" applyFont="1" applyFill="1" applyBorder="1" applyAlignment="1">
      <alignment horizontal="left" vertical="center"/>
    </xf>
    <xf numFmtId="14" fontId="55" fillId="0" borderId="0" xfId="3" applyNumberFormat="1" applyAlignment="1">
      <alignment horizontal="right"/>
    </xf>
    <xf numFmtId="0" fontId="55" fillId="0" borderId="0" xfId="3" applyAlignment="1">
      <alignment horizontal="right"/>
    </xf>
    <xf numFmtId="37" fontId="40" fillId="5" borderId="49" xfId="1" applyFont="1" applyFill="1" applyBorder="1" applyAlignment="1" applyProtection="1">
      <alignment horizontal="left" vertical="center"/>
    </xf>
    <xf numFmtId="37" fontId="38" fillId="5" borderId="49" xfId="1" applyFont="1" applyFill="1" applyBorder="1" applyAlignment="1" applyProtection="1">
      <alignment horizontal="left" vertical="center"/>
    </xf>
    <xf numFmtId="37" fontId="41" fillId="5" borderId="65" xfId="1" applyFont="1" applyFill="1" applyBorder="1" applyAlignment="1" applyProtection="1">
      <alignment horizontal="center" vertical="center"/>
      <protection locked="0"/>
    </xf>
    <xf numFmtId="37" fontId="41" fillId="5" borderId="49" xfId="1" applyFont="1" applyFill="1" applyBorder="1" applyAlignment="1" applyProtection="1">
      <alignment horizontal="center" vertical="center"/>
      <protection locked="0"/>
    </xf>
    <xf numFmtId="37" fontId="38" fillId="5" borderId="67" xfId="1" applyFont="1" applyFill="1" applyBorder="1" applyAlignment="1" applyProtection="1">
      <alignment horizontal="left" vertical="center"/>
    </xf>
    <xf numFmtId="37" fontId="40" fillId="5" borderId="90" xfId="1" applyFont="1" applyFill="1" applyBorder="1" applyAlignment="1" applyProtection="1">
      <alignment horizontal="left" vertical="center"/>
    </xf>
    <xf numFmtId="37" fontId="48" fillId="5" borderId="65" xfId="1" applyFont="1" applyFill="1" applyBorder="1" applyAlignment="1" applyProtection="1">
      <alignment horizontal="left" vertical="center"/>
    </xf>
    <xf numFmtId="37" fontId="48" fillId="5" borderId="49" xfId="1" applyFont="1" applyFill="1" applyBorder="1" applyAlignment="1" applyProtection="1">
      <alignment horizontal="left" vertical="center"/>
    </xf>
    <xf numFmtId="37" fontId="48" fillId="5" borderId="65" xfId="1" applyFont="1" applyFill="1" applyBorder="1" applyAlignment="1" applyProtection="1">
      <alignment horizontal="left" vertical="center"/>
    </xf>
    <xf numFmtId="37" fontId="48" fillId="5" borderId="49" xfId="1" applyFont="1" applyFill="1" applyBorder="1" applyAlignment="1" applyProtection="1">
      <alignment horizontal="left" vertical="center"/>
    </xf>
    <xf numFmtId="0" fontId="58" fillId="9" borderId="129" xfId="0" applyFont="1" applyFill="1" applyBorder="1" applyAlignment="1">
      <alignment horizontal="center" vertical="center"/>
    </xf>
    <xf numFmtId="0" fontId="58" fillId="9" borderId="130" xfId="0" applyFont="1" applyFill="1" applyBorder="1" applyAlignment="1">
      <alignment horizontal="center" vertical="center"/>
    </xf>
    <xf numFmtId="37" fontId="48" fillId="5" borderId="84" xfId="1" applyFont="1" applyFill="1" applyBorder="1" applyAlignment="1" applyProtection="1">
      <alignment horizontal="left" vertical="center"/>
    </xf>
    <xf numFmtId="37" fontId="48" fillId="5" borderId="85" xfId="1" applyFont="1" applyFill="1" applyBorder="1" applyAlignment="1" applyProtection="1">
      <alignment horizontal="left" vertical="center"/>
    </xf>
    <xf numFmtId="37" fontId="48" fillId="5" borderId="65" xfId="1" applyFont="1" applyFill="1" applyBorder="1" applyAlignment="1" applyProtection="1">
      <alignment horizontal="left" vertical="center"/>
    </xf>
    <xf numFmtId="37" fontId="48" fillId="5" borderId="49" xfId="1" applyFont="1" applyFill="1" applyBorder="1" applyAlignment="1" applyProtection="1">
      <alignment horizontal="left" vertical="center"/>
    </xf>
    <xf numFmtId="37" fontId="38" fillId="5" borderId="65" xfId="1" applyFont="1" applyFill="1" applyBorder="1" applyAlignment="1" applyProtection="1">
      <alignment horizontal="center" vertical="center"/>
      <protection locked="0"/>
    </xf>
    <xf numFmtId="37" fontId="38" fillId="5" borderId="49" xfId="1" applyFont="1" applyFill="1" applyBorder="1" applyAlignment="1" applyProtection="1">
      <alignment horizontal="center" vertical="center"/>
      <protection locked="0"/>
    </xf>
    <xf numFmtId="37" fontId="38" fillId="5" borderId="65" xfId="1" applyFont="1" applyFill="1" applyBorder="1" applyAlignment="1" applyProtection="1">
      <alignment horizontal="left" vertical="center"/>
    </xf>
    <xf numFmtId="37" fontId="41" fillId="5" borderId="65" xfId="1" applyFont="1" applyFill="1" applyBorder="1" applyAlignment="1" applyProtection="1">
      <alignment horizontal="center" vertical="center"/>
      <protection locked="0"/>
    </xf>
    <xf numFmtId="37" fontId="41" fillId="5" borderId="49" xfId="1" applyFont="1" applyFill="1" applyBorder="1" applyAlignment="1" applyProtection="1">
      <alignment horizontal="center" vertical="center"/>
      <protection locked="0"/>
    </xf>
    <xf numFmtId="37" fontId="48" fillId="5" borderId="84" xfId="1" applyFont="1" applyFill="1" applyBorder="1" applyAlignment="1" applyProtection="1">
      <alignment horizontal="left" vertical="center"/>
    </xf>
    <xf numFmtId="37" fontId="48" fillId="5" borderId="85" xfId="1" applyFont="1" applyFill="1" applyBorder="1" applyAlignment="1" applyProtection="1">
      <alignment horizontal="left" vertical="center"/>
    </xf>
    <xf numFmtId="37" fontId="48" fillId="5" borderId="65" xfId="1" applyFont="1" applyFill="1" applyBorder="1" applyAlignment="1" applyProtection="1">
      <alignment horizontal="left" vertical="center"/>
    </xf>
    <xf numFmtId="37" fontId="48" fillId="5" borderId="49" xfId="1" applyFont="1" applyFill="1" applyBorder="1" applyAlignment="1" applyProtection="1">
      <alignment horizontal="left" vertical="center"/>
    </xf>
    <xf numFmtId="37" fontId="40" fillId="5" borderId="65" xfId="1" applyFont="1" applyFill="1" applyBorder="1" applyAlignment="1" applyProtection="1">
      <alignment horizontal="left" vertical="center"/>
    </xf>
    <xf numFmtId="164" fontId="16" fillId="5" borderId="30" xfId="1" applyNumberFormat="1" applyFont="1" applyFill="1" applyBorder="1" applyAlignment="1" applyProtection="1">
      <alignment horizontal="center" vertical="center"/>
      <protection locked="0"/>
    </xf>
    <xf numFmtId="37" fontId="41" fillId="5" borderId="65" xfId="1" applyFont="1" applyFill="1" applyBorder="1" applyAlignment="1" applyProtection="1">
      <alignment vertical="center"/>
      <protection locked="0"/>
    </xf>
    <xf numFmtId="37" fontId="41" fillId="5" borderId="49" xfId="1" applyFont="1" applyFill="1" applyBorder="1" applyAlignment="1" applyProtection="1">
      <alignment vertical="center"/>
      <protection locked="0"/>
    </xf>
    <xf numFmtId="37" fontId="40" fillId="5" borderId="67" xfId="1" applyFont="1" applyFill="1" applyBorder="1" applyAlignment="1" applyProtection="1">
      <alignment horizontal="left" vertical="center"/>
    </xf>
    <xf numFmtId="37" fontId="48" fillId="5" borderId="65" xfId="1" applyFont="1" applyFill="1" applyBorder="1" applyAlignment="1" applyProtection="1">
      <alignment horizontal="left" vertical="center"/>
    </xf>
    <xf numFmtId="37" fontId="48" fillId="5" borderId="49" xfId="1" applyFont="1" applyFill="1" applyBorder="1" applyAlignment="1" applyProtection="1">
      <alignment horizontal="left" vertical="center"/>
    </xf>
    <xf numFmtId="37" fontId="40" fillId="5" borderId="65" xfId="1" applyFont="1" applyFill="1" applyBorder="1" applyAlignment="1" applyProtection="1">
      <alignment horizontal="left" vertical="center"/>
    </xf>
    <xf numFmtId="37" fontId="40" fillId="5" borderId="49" xfId="1" applyFont="1" applyFill="1" applyBorder="1" applyAlignment="1" applyProtection="1">
      <alignment horizontal="left" vertical="center"/>
    </xf>
    <xf numFmtId="37" fontId="49" fillId="5" borderId="84" xfId="1" applyFont="1" applyFill="1" applyBorder="1" applyAlignment="1" applyProtection="1">
      <alignment horizontal="left" vertical="center"/>
    </xf>
    <xf numFmtId="37" fontId="49" fillId="5" borderId="85" xfId="1" applyFont="1" applyFill="1" applyBorder="1" applyAlignment="1" applyProtection="1">
      <alignment horizontal="left" vertical="center"/>
    </xf>
    <xf numFmtId="0" fontId="50" fillId="5" borderId="40" xfId="0" applyFont="1" applyFill="1" applyBorder="1" applyAlignment="1">
      <alignment vertical="center"/>
    </xf>
    <xf numFmtId="37" fontId="14" fillId="5" borderId="131" xfId="1" applyFont="1" applyFill="1" applyBorder="1" applyAlignment="1" applyProtection="1">
      <alignment horizontal="center" vertical="center"/>
    </xf>
    <xf numFmtId="37" fontId="0" fillId="0" borderId="0" xfId="0" applyNumberFormat="1"/>
    <xf numFmtId="37" fontId="60" fillId="10" borderId="12" xfId="0" applyNumberFormat="1" applyFont="1" applyFill="1" applyBorder="1" applyAlignment="1">
      <alignment horizontal="center" vertical="center"/>
    </xf>
    <xf numFmtId="37" fontId="0" fillId="0" borderId="12" xfId="0" applyNumberFormat="1" applyBorder="1"/>
    <xf numFmtId="10" fontId="0" fillId="0" borderId="12" xfId="4" applyNumberFormat="1" applyFont="1" applyBorder="1"/>
    <xf numFmtId="37" fontId="47" fillId="0" borderId="12" xfId="0" applyNumberFormat="1" applyFont="1" applyBorder="1"/>
    <xf numFmtId="37" fontId="60" fillId="11" borderId="12" xfId="0" applyNumberFormat="1" applyFont="1" applyFill="1" applyBorder="1" applyAlignment="1">
      <alignment textRotation="90"/>
    </xf>
    <xf numFmtId="37" fontId="48" fillId="5" borderId="84" xfId="1" applyFont="1" applyFill="1" applyBorder="1" applyAlignment="1" applyProtection="1">
      <alignment horizontal="left" vertical="center"/>
    </xf>
    <xf numFmtId="37" fontId="48" fillId="5" borderId="65" xfId="1" applyFont="1" applyFill="1" applyBorder="1" applyAlignment="1" applyProtection="1">
      <alignment horizontal="left" vertical="center"/>
    </xf>
    <xf numFmtId="37" fontId="48" fillId="5" borderId="67" xfId="1" applyFont="1" applyFill="1" applyBorder="1" applyAlignment="1" applyProtection="1">
      <alignment horizontal="left" vertical="center"/>
    </xf>
    <xf numFmtId="37" fontId="38" fillId="5" borderId="49" xfId="1" applyFont="1" applyFill="1" applyBorder="1" applyAlignment="1" applyProtection="1">
      <alignment vertical="center"/>
      <protection locked="0"/>
    </xf>
    <xf numFmtId="37" fontId="40" fillId="5" borderId="85" xfId="1" applyFont="1" applyFill="1" applyBorder="1" applyAlignment="1" applyProtection="1">
      <alignment horizontal="left" vertical="center"/>
    </xf>
    <xf numFmtId="37" fontId="48" fillId="5" borderId="84" xfId="1" applyFont="1" applyFill="1" applyBorder="1" applyAlignment="1" applyProtection="1">
      <alignment horizontal="left" vertical="center"/>
    </xf>
    <xf numFmtId="37" fontId="38" fillId="5" borderId="65" xfId="1" applyFont="1" applyFill="1" applyBorder="1" applyAlignment="1" applyProtection="1">
      <alignment horizontal="left" vertical="center"/>
    </xf>
    <xf numFmtId="37" fontId="41" fillId="5" borderId="65" xfId="1" applyFont="1" applyFill="1" applyBorder="1" applyAlignment="1" applyProtection="1">
      <alignment horizontal="left" vertical="center"/>
    </xf>
    <xf numFmtId="37" fontId="40" fillId="5" borderId="90" xfId="1" applyFont="1" applyFill="1" applyBorder="1" applyAlignment="1" applyProtection="1">
      <alignment horizontal="left" vertical="center"/>
    </xf>
    <xf numFmtId="37" fontId="48" fillId="5" borderId="49" xfId="1" applyFont="1" applyFill="1" applyBorder="1" applyAlignment="1" applyProtection="1">
      <alignment horizontal="left" vertical="center"/>
    </xf>
    <xf numFmtId="37" fontId="48" fillId="5" borderId="67" xfId="1" applyFont="1" applyFill="1" applyBorder="1" applyAlignment="1" applyProtection="1">
      <alignment horizontal="left" vertical="center"/>
    </xf>
    <xf numFmtId="37" fontId="38" fillId="5" borderId="49" xfId="1" applyFont="1" applyFill="1" applyBorder="1" applyAlignment="1" applyProtection="1">
      <alignment horizontal="left" vertical="center"/>
    </xf>
    <xf numFmtId="37" fontId="41" fillId="5" borderId="65" xfId="1" applyFont="1" applyFill="1" applyBorder="1" applyAlignment="1" applyProtection="1">
      <alignment horizontal="left" vertical="center"/>
    </xf>
    <xf numFmtId="37" fontId="49" fillId="5" borderId="65" xfId="1" applyFont="1" applyFill="1" applyBorder="1" applyAlignment="1" applyProtection="1">
      <alignment horizontal="left" vertical="center"/>
    </xf>
    <xf numFmtId="37" fontId="49" fillId="5" borderId="49" xfId="1" applyFont="1" applyFill="1" applyBorder="1" applyAlignment="1" applyProtection="1">
      <alignment horizontal="left" vertical="center"/>
    </xf>
    <xf numFmtId="0" fontId="50" fillId="5" borderId="45" xfId="0" applyFont="1" applyFill="1" applyBorder="1" applyAlignment="1">
      <alignment horizontal="left" vertical="center"/>
    </xf>
    <xf numFmtId="37" fontId="38" fillId="5" borderId="49" xfId="1" applyFont="1" applyFill="1" applyBorder="1" applyAlignment="1" applyProtection="1">
      <alignment horizontal="left" vertical="center"/>
    </xf>
    <xf numFmtId="37" fontId="41" fillId="5" borderId="49" xfId="1" applyFont="1" applyFill="1" applyBorder="1" applyAlignment="1" applyProtection="1">
      <alignment horizontal="left" vertical="center"/>
    </xf>
    <xf numFmtId="37" fontId="39" fillId="5" borderId="65" xfId="1" applyFont="1" applyFill="1" applyBorder="1" applyAlignment="1" applyProtection="1">
      <alignment horizontal="left" vertical="center"/>
    </xf>
    <xf numFmtId="37" fontId="39" fillId="5" borderId="49" xfId="1" applyFont="1" applyFill="1" applyBorder="1" applyAlignment="1" applyProtection="1">
      <alignment horizontal="left" vertical="center"/>
    </xf>
    <xf numFmtId="37" fontId="17" fillId="5" borderId="12" xfId="1" applyNumberFormat="1" applyFont="1" applyFill="1" applyBorder="1" applyAlignment="1" applyProtection="1">
      <alignment horizontal="center" vertical="center"/>
      <protection locked="0"/>
    </xf>
    <xf numFmtId="37" fontId="38" fillId="5" borderId="65" xfId="1" applyFont="1" applyFill="1" applyBorder="1" applyAlignment="1" applyProtection="1">
      <alignment horizontal="left" vertical="center"/>
    </xf>
    <xf numFmtId="37" fontId="40" fillId="5" borderId="67" xfId="1" applyFont="1" applyFill="1" applyBorder="1" applyAlignment="1" applyProtection="1">
      <alignment horizontal="left" vertical="center"/>
    </xf>
    <xf numFmtId="37" fontId="38" fillId="5" borderId="49" xfId="1" applyFont="1" applyFill="1" applyBorder="1" applyAlignment="1" applyProtection="1">
      <alignment horizontal="left" vertical="center"/>
    </xf>
    <xf numFmtId="37" fontId="38" fillId="5" borderId="65" xfId="1" applyFont="1" applyFill="1" applyBorder="1" applyAlignment="1" applyProtection="1">
      <alignment horizontal="left" vertical="center"/>
    </xf>
    <xf numFmtId="37" fontId="38" fillId="5" borderId="84" xfId="1" applyFont="1" applyFill="1" applyBorder="1" applyAlignment="1" applyProtection="1">
      <alignment horizontal="left" vertical="center"/>
    </xf>
    <xf numFmtId="37" fontId="39" fillId="5" borderId="65" xfId="1" applyFont="1" applyFill="1" applyBorder="1" applyAlignment="1" applyProtection="1">
      <alignment horizontal="left" vertical="center"/>
      <protection locked="0"/>
    </xf>
    <xf numFmtId="37" fontId="39" fillId="5" borderId="45" xfId="1" applyFont="1" applyFill="1" applyBorder="1" applyAlignment="1" applyProtection="1">
      <alignment horizontal="left" vertical="center"/>
      <protection locked="0"/>
    </xf>
    <xf numFmtId="37" fontId="48" fillId="5" borderId="67" xfId="1" applyFont="1" applyFill="1" applyBorder="1" applyAlignment="1" applyProtection="1">
      <alignment horizontal="left" vertical="center"/>
    </xf>
    <xf numFmtId="37" fontId="40" fillId="5" borderId="65" xfId="1" applyFont="1" applyFill="1" applyBorder="1" applyAlignment="1" applyProtection="1">
      <alignment horizontal="left" vertical="center"/>
    </xf>
    <xf numFmtId="37" fontId="40" fillId="5" borderId="49" xfId="1" applyFont="1" applyFill="1" applyBorder="1" applyAlignment="1" applyProtection="1">
      <alignment horizontal="left" vertical="center"/>
    </xf>
    <xf numFmtId="164" fontId="35" fillId="5" borderId="32" xfId="1" applyNumberFormat="1" applyFont="1" applyFill="1" applyBorder="1" applyAlignment="1" applyProtection="1">
      <alignment horizontal="center" vertical="center"/>
      <protection locked="0"/>
    </xf>
    <xf numFmtId="164" fontId="35" fillId="5" borderId="12" xfId="1" applyNumberFormat="1" applyFont="1" applyFill="1" applyBorder="1" applyAlignment="1" applyProtection="1">
      <alignment horizontal="center" vertical="center"/>
      <protection locked="0"/>
    </xf>
    <xf numFmtId="164" fontId="35" fillId="5" borderId="100" xfId="1" applyNumberFormat="1" applyFont="1" applyFill="1" applyBorder="1" applyAlignment="1" applyProtection="1">
      <alignment horizontal="center" vertical="center"/>
      <protection locked="0"/>
    </xf>
    <xf numFmtId="164" fontId="35" fillId="5" borderId="59" xfId="1" applyNumberFormat="1" applyFont="1" applyFill="1" applyBorder="1" applyAlignment="1" applyProtection="1">
      <alignment horizontal="center" vertical="center"/>
      <protection locked="0"/>
    </xf>
    <xf numFmtId="164" fontId="35" fillId="5" borderId="101" xfId="1" applyNumberFormat="1" applyFont="1" applyFill="1" applyBorder="1" applyAlignment="1" applyProtection="1">
      <alignment horizontal="center" vertical="center"/>
      <protection locked="0"/>
    </xf>
    <xf numFmtId="0" fontId="62" fillId="5" borderId="45" xfId="0" applyFont="1" applyFill="1" applyBorder="1" applyAlignment="1">
      <alignment horizontal="left" vertical="center"/>
    </xf>
    <xf numFmtId="0" fontId="40" fillId="5" borderId="45" xfId="0" applyFont="1" applyFill="1" applyBorder="1" applyAlignment="1">
      <alignment horizontal="left" vertical="center"/>
    </xf>
    <xf numFmtId="37" fontId="41" fillId="5" borderId="65" xfId="1" applyFont="1" applyFill="1" applyBorder="1" applyAlignment="1" applyProtection="1">
      <alignment horizontal="left" vertical="center"/>
    </xf>
    <xf numFmtId="37" fontId="35" fillId="5" borderId="64" xfId="1" applyNumberFormat="1" applyFont="1" applyFill="1" applyBorder="1" applyAlignment="1" applyProtection="1">
      <alignment horizontal="center" vertical="center"/>
      <protection locked="0"/>
    </xf>
    <xf numFmtId="0" fontId="49" fillId="5" borderId="45" xfId="0" applyFont="1" applyFill="1" applyBorder="1" applyAlignment="1">
      <alignment horizontal="left" vertical="center"/>
    </xf>
    <xf numFmtId="37" fontId="37" fillId="12" borderId="46" xfId="1" applyNumberFormat="1" applyFont="1" applyFill="1" applyBorder="1" applyAlignment="1" applyProtection="1">
      <alignment horizontal="center" vertical="center"/>
      <protection locked="0"/>
    </xf>
    <xf numFmtId="37" fontId="48" fillId="5" borderId="49" xfId="1" applyFont="1" applyFill="1" applyBorder="1" applyAlignment="1" applyProtection="1">
      <alignment horizontal="left" vertical="center"/>
    </xf>
    <xf numFmtId="37" fontId="40" fillId="5" borderId="65" xfId="1" applyFont="1" applyFill="1" applyBorder="1" applyAlignment="1" applyProtection="1">
      <alignment horizontal="left" vertical="center"/>
    </xf>
    <xf numFmtId="37" fontId="40" fillId="5" borderId="49" xfId="1" applyFont="1" applyFill="1" applyBorder="1" applyAlignment="1" applyProtection="1">
      <alignment horizontal="left" vertical="center"/>
    </xf>
    <xf numFmtId="164" fontId="63" fillId="5" borderId="30" xfId="1" applyNumberFormat="1" applyFont="1" applyFill="1" applyBorder="1" applyAlignment="1" applyProtection="1">
      <alignment horizontal="center" vertical="center"/>
      <protection locked="0"/>
    </xf>
    <xf numFmtId="164" fontId="63" fillId="5" borderId="41" xfId="1" applyNumberFormat="1" applyFont="1" applyFill="1" applyBorder="1" applyAlignment="1" applyProtection="1">
      <alignment horizontal="center" vertical="center"/>
      <protection locked="0"/>
    </xf>
    <xf numFmtId="37" fontId="63" fillId="5" borderId="32" xfId="1" applyNumberFormat="1" applyFont="1" applyFill="1" applyBorder="1" applyAlignment="1" applyProtection="1">
      <alignment horizontal="center" vertical="center"/>
      <protection locked="0"/>
    </xf>
    <xf numFmtId="37" fontId="63" fillId="5" borderId="33" xfId="1" applyNumberFormat="1" applyFont="1" applyFill="1" applyBorder="1" applyAlignment="1" applyProtection="1">
      <alignment horizontal="center" vertical="center"/>
      <protection locked="0"/>
    </xf>
    <xf numFmtId="37" fontId="63" fillId="5" borderId="29" xfId="1" applyNumberFormat="1" applyFont="1" applyFill="1" applyBorder="1" applyAlignment="1" applyProtection="1">
      <alignment horizontal="center" vertical="center"/>
      <protection locked="0"/>
    </xf>
    <xf numFmtId="37" fontId="63" fillId="5" borderId="12" xfId="1" applyNumberFormat="1" applyFont="1" applyFill="1" applyBorder="1" applyAlignment="1" applyProtection="1">
      <alignment horizontal="center" vertical="center"/>
      <protection locked="0"/>
    </xf>
    <xf numFmtId="37" fontId="63" fillId="5" borderId="19" xfId="1" applyNumberFormat="1" applyFont="1" applyFill="1" applyBorder="1" applyAlignment="1" applyProtection="1">
      <alignment horizontal="center" vertical="center"/>
      <protection locked="0"/>
    </xf>
    <xf numFmtId="37" fontId="38" fillId="5" borderId="65" xfId="1" applyFont="1" applyFill="1" applyBorder="1" applyAlignment="1" applyProtection="1">
      <alignment horizontal="center" vertical="center"/>
      <protection locked="0"/>
    </xf>
    <xf numFmtId="37" fontId="38" fillId="5" borderId="49" xfId="1" applyFont="1" applyFill="1" applyBorder="1" applyAlignment="1" applyProtection="1">
      <alignment horizontal="center" vertical="center"/>
      <protection locked="0"/>
    </xf>
    <xf numFmtId="37" fontId="40" fillId="5" borderId="65" xfId="1" applyFont="1" applyFill="1" applyBorder="1" applyAlignment="1" applyProtection="1">
      <alignment horizontal="left" vertical="center"/>
    </xf>
    <xf numFmtId="37" fontId="40" fillId="5" borderId="49" xfId="1" applyFont="1" applyFill="1" applyBorder="1" applyAlignment="1" applyProtection="1">
      <alignment horizontal="left" vertical="center"/>
    </xf>
    <xf numFmtId="37" fontId="37" fillId="12" borderId="36" xfId="1" applyNumberFormat="1" applyFont="1" applyFill="1" applyBorder="1" applyAlignment="1" applyProtection="1">
      <alignment horizontal="center" vertical="center"/>
      <protection locked="0"/>
    </xf>
    <xf numFmtId="37" fontId="40" fillId="12" borderId="84" xfId="1" applyFont="1" applyFill="1" applyBorder="1" applyAlignment="1" applyProtection="1">
      <alignment horizontal="left" vertical="center"/>
    </xf>
    <xf numFmtId="37" fontId="40" fillId="12" borderId="85" xfId="1" applyFont="1" applyFill="1" applyBorder="1" applyAlignment="1" applyProtection="1">
      <alignment horizontal="left" vertical="center"/>
    </xf>
    <xf numFmtId="0" fontId="52" fillId="12" borderId="40" xfId="0" applyFont="1" applyFill="1" applyBorder="1" applyAlignment="1">
      <alignment horizontal="left" vertical="center"/>
    </xf>
    <xf numFmtId="37" fontId="40" fillId="12" borderId="65" xfId="1" applyFont="1" applyFill="1" applyBorder="1" applyAlignment="1" applyProtection="1">
      <alignment horizontal="left" vertical="center"/>
    </xf>
    <xf numFmtId="37" fontId="40" fillId="12" borderId="49" xfId="1" applyFont="1" applyFill="1" applyBorder="1" applyAlignment="1" applyProtection="1">
      <alignment horizontal="left" vertical="center"/>
    </xf>
    <xf numFmtId="0" fontId="52" fillId="12" borderId="45" xfId="0" applyFont="1" applyFill="1" applyBorder="1" applyAlignment="1">
      <alignment horizontal="left" vertical="center"/>
    </xf>
    <xf numFmtId="37" fontId="42" fillId="12" borderId="64" xfId="1" applyNumberFormat="1" applyFont="1" applyFill="1" applyBorder="1" applyAlignment="1" applyProtection="1">
      <alignment horizontal="center" vertical="center"/>
      <protection locked="0"/>
    </xf>
    <xf numFmtId="37" fontId="38" fillId="5" borderId="65" xfId="1" applyFont="1" applyFill="1" applyBorder="1" applyAlignment="1" applyProtection="1">
      <alignment horizontal="left" vertical="center"/>
    </xf>
    <xf numFmtId="37" fontId="37" fillId="12" borderId="64" xfId="1" applyNumberFormat="1" applyFont="1" applyFill="1" applyBorder="1" applyAlignment="1" applyProtection="1">
      <alignment horizontal="center" vertical="center"/>
      <protection locked="0"/>
    </xf>
    <xf numFmtId="37" fontId="38" fillId="5" borderId="65" xfId="1" applyFont="1" applyFill="1" applyBorder="1" applyAlignment="1" applyProtection="1">
      <alignment horizontal="left" vertical="center"/>
    </xf>
    <xf numFmtId="37" fontId="40" fillId="5" borderId="65" xfId="1" applyFont="1" applyFill="1" applyBorder="1" applyAlignment="1" applyProtection="1">
      <alignment horizontal="left" vertical="center"/>
    </xf>
    <xf numFmtId="37" fontId="39" fillId="12" borderId="49" xfId="1" applyFont="1" applyFill="1" applyBorder="1" applyAlignment="1" applyProtection="1">
      <alignment horizontal="left" vertical="center"/>
    </xf>
    <xf numFmtId="37" fontId="27" fillId="12" borderId="49" xfId="1" applyFont="1" applyFill="1" applyBorder="1" applyAlignment="1" applyProtection="1">
      <alignment horizontal="left" vertical="center"/>
    </xf>
    <xf numFmtId="0" fontId="0" fillId="12" borderId="45" xfId="0" applyFill="1" applyBorder="1" applyAlignment="1">
      <alignment vertical="center"/>
    </xf>
    <xf numFmtId="37" fontId="39" fillId="5" borderId="84" xfId="1" applyFont="1" applyFill="1" applyBorder="1" applyAlignment="1" applyProtection="1">
      <alignment horizontal="left" vertical="center"/>
    </xf>
    <xf numFmtId="37" fontId="39" fillId="5" borderId="65" xfId="1" applyFont="1" applyFill="1" applyBorder="1" applyAlignment="1" applyProtection="1">
      <alignment horizontal="left" vertical="center"/>
    </xf>
    <xf numFmtId="37" fontId="41" fillId="5" borderId="65" xfId="1" applyFont="1" applyFill="1" applyBorder="1" applyAlignment="1" applyProtection="1">
      <alignment horizontal="left" vertical="center"/>
      <protection locked="0"/>
    </xf>
    <xf numFmtId="37" fontId="7" fillId="0" borderId="58" xfId="1" applyFont="1" applyBorder="1" applyAlignment="1">
      <alignment horizontal="center" vertical="center"/>
    </xf>
    <xf numFmtId="37" fontId="38" fillId="5" borderId="49" xfId="1" applyFont="1" applyFill="1" applyBorder="1" applyAlignment="1" applyProtection="1">
      <alignment horizontal="center" vertical="center"/>
      <protection locked="0"/>
    </xf>
    <xf numFmtId="37" fontId="38" fillId="5" borderId="45" xfId="1" applyFont="1" applyFill="1" applyBorder="1" applyAlignment="1" applyProtection="1">
      <alignment horizontal="center" vertical="center"/>
      <protection locked="0"/>
    </xf>
    <xf numFmtId="37" fontId="14" fillId="0" borderId="5" xfId="1" applyFont="1" applyBorder="1" applyAlignment="1" applyProtection="1">
      <alignment horizontal="left" vertical="center"/>
    </xf>
    <xf numFmtId="37" fontId="14" fillId="0" borderId="56" xfId="1" applyFont="1" applyBorder="1" applyAlignment="1" applyProtection="1">
      <alignment horizontal="left" vertical="center"/>
    </xf>
    <xf numFmtId="37" fontId="14" fillId="0" borderId="57" xfId="1" applyFont="1" applyBorder="1" applyAlignment="1" applyProtection="1">
      <alignment horizontal="left" vertical="center"/>
    </xf>
    <xf numFmtId="37" fontId="14" fillId="0" borderId="5" xfId="1" applyFont="1" applyBorder="1" applyAlignment="1">
      <alignment horizontal="center" vertical="center"/>
    </xf>
    <xf numFmtId="37" fontId="14" fillId="0" borderId="56" xfId="1" applyFont="1" applyBorder="1" applyAlignment="1">
      <alignment horizontal="center" vertical="center"/>
    </xf>
    <xf numFmtId="37" fontId="14" fillId="0" borderId="57" xfId="1" applyFont="1" applyBorder="1" applyAlignment="1">
      <alignment horizontal="center" vertical="center"/>
    </xf>
    <xf numFmtId="37" fontId="22" fillId="0" borderId="5" xfId="1" applyFont="1" applyBorder="1" applyAlignment="1">
      <alignment horizontal="left" vertical="center"/>
    </xf>
    <xf numFmtId="37" fontId="22" fillId="0" borderId="56" xfId="1" applyFont="1" applyBorder="1" applyAlignment="1">
      <alignment horizontal="left" vertical="center"/>
    </xf>
    <xf numFmtId="37" fontId="22" fillId="0" borderId="57" xfId="1" applyFont="1" applyBorder="1" applyAlignment="1">
      <alignment horizontal="left" vertical="center"/>
    </xf>
    <xf numFmtId="37" fontId="14" fillId="5" borderId="26" xfId="1" applyFont="1" applyFill="1" applyBorder="1" applyAlignment="1" applyProtection="1">
      <alignment horizontal="center" vertical="center"/>
    </xf>
    <xf numFmtId="37" fontId="14" fillId="5" borderId="27" xfId="1" applyFont="1" applyFill="1" applyBorder="1" applyAlignment="1" applyProtection="1">
      <alignment horizontal="center" vertical="center"/>
    </xf>
    <xf numFmtId="37" fontId="14" fillId="5" borderId="25" xfId="1" applyFont="1" applyFill="1" applyBorder="1" applyAlignment="1" applyProtection="1">
      <alignment horizontal="center" vertical="center"/>
    </xf>
    <xf numFmtId="1" fontId="19" fillId="6" borderId="19" xfId="1" applyNumberFormat="1" applyFont="1" applyFill="1" applyBorder="1" applyAlignment="1" applyProtection="1">
      <alignment horizontal="center" vertical="center"/>
    </xf>
    <xf numFmtId="1" fontId="19" fillId="6" borderId="45" xfId="1" applyNumberFormat="1" applyFont="1" applyFill="1" applyBorder="1" applyAlignment="1" applyProtection="1">
      <alignment horizontal="center" vertical="center"/>
    </xf>
    <xf numFmtId="1" fontId="16" fillId="4" borderId="32" xfId="1" applyNumberFormat="1" applyFont="1" applyFill="1" applyBorder="1" applyAlignment="1" applyProtection="1">
      <alignment horizontal="center"/>
      <protection locked="0"/>
    </xf>
    <xf numFmtId="1" fontId="16" fillId="4" borderId="39" xfId="1" applyNumberFormat="1" applyFont="1" applyFill="1" applyBorder="1" applyAlignment="1" applyProtection="1">
      <alignment horizontal="center"/>
      <protection locked="0"/>
    </xf>
    <xf numFmtId="165" fontId="19" fillId="6" borderId="41" xfId="1" applyNumberFormat="1" applyFont="1" applyFill="1" applyBorder="1" applyAlignment="1" applyProtection="1">
      <alignment horizontal="center" vertical="center"/>
    </xf>
    <xf numFmtId="165" fontId="19" fillId="6" borderId="12" xfId="1" applyNumberFormat="1" applyFont="1" applyFill="1" applyBorder="1" applyAlignment="1" applyProtection="1">
      <alignment horizontal="center" vertical="center"/>
    </xf>
    <xf numFmtId="165" fontId="19" fillId="5" borderId="52" xfId="1" applyNumberFormat="1" applyFont="1" applyFill="1" applyBorder="1" applyAlignment="1" applyProtection="1">
      <alignment horizontal="center" vertical="center"/>
    </xf>
    <xf numFmtId="165" fontId="19" fillId="5" borderId="54" xfId="1" applyNumberFormat="1" applyFont="1" applyFill="1" applyBorder="1" applyAlignment="1" applyProtection="1">
      <alignment horizontal="center" vertical="center"/>
    </xf>
    <xf numFmtId="37" fontId="15" fillId="0" borderId="41" xfId="1" applyFont="1" applyBorder="1" applyAlignment="1" applyProtection="1">
      <alignment horizontal="center" vertical="center"/>
    </xf>
    <xf numFmtId="37" fontId="15" fillId="0" borderId="12" xfId="1" applyFont="1" applyBorder="1" applyAlignment="1" applyProtection="1">
      <alignment horizontal="center" vertical="center"/>
    </xf>
    <xf numFmtId="37" fontId="15" fillId="0" borderId="19" xfId="1" applyFont="1" applyBorder="1" applyAlignment="1" applyProtection="1">
      <alignment horizontal="center" vertical="center"/>
    </xf>
    <xf numFmtId="165" fontId="19" fillId="6" borderId="47" xfId="1" applyNumberFormat="1" applyFont="1" applyFill="1" applyBorder="1" applyAlignment="1" applyProtection="1">
      <alignment horizontal="center" vertical="center"/>
    </xf>
    <xf numFmtId="165" fontId="19" fillId="6" borderId="48" xfId="1" applyNumberFormat="1" applyFont="1" applyFill="1" applyBorder="1" applyAlignment="1" applyProtection="1">
      <alignment horizontal="center" vertical="center"/>
    </xf>
    <xf numFmtId="165" fontId="19" fillId="5" borderId="0" xfId="1" applyNumberFormat="1" applyFont="1" applyFill="1" applyBorder="1" applyAlignment="1" applyProtection="1">
      <alignment horizontal="center" vertical="center"/>
    </xf>
    <xf numFmtId="165" fontId="19" fillId="5" borderId="17" xfId="1" applyNumberFormat="1" applyFont="1" applyFill="1" applyBorder="1" applyAlignment="1" applyProtection="1">
      <alignment horizontal="center" vertical="center"/>
    </xf>
    <xf numFmtId="165" fontId="19" fillId="5" borderId="18" xfId="1" applyNumberFormat="1" applyFont="1" applyFill="1" applyBorder="1" applyAlignment="1" applyProtection="1">
      <alignment horizontal="center" vertical="center"/>
    </xf>
    <xf numFmtId="0" fontId="8" fillId="2" borderId="4" xfId="0" quotePrefix="1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14" fontId="11" fillId="4" borderId="0" xfId="2" applyNumberFormat="1" applyFont="1" applyFill="1" applyBorder="1" applyAlignment="1" applyProtection="1">
      <alignment horizontal="left"/>
      <protection locked="0"/>
    </xf>
    <xf numFmtId="37" fontId="14" fillId="5" borderId="7" xfId="1" applyFont="1" applyFill="1" applyBorder="1" applyAlignment="1">
      <alignment horizontal="center" vertical="center"/>
    </xf>
    <xf numFmtId="37" fontId="14" fillId="5" borderId="2" xfId="1" applyFont="1" applyFill="1" applyBorder="1" applyAlignment="1">
      <alignment horizontal="center" vertical="center"/>
    </xf>
    <xf numFmtId="37" fontId="14" fillId="5" borderId="3" xfId="1" applyFont="1" applyFill="1" applyBorder="1" applyAlignment="1">
      <alignment horizontal="center" vertical="center"/>
    </xf>
    <xf numFmtId="37" fontId="14" fillId="0" borderId="1" xfId="1" applyFont="1" applyBorder="1" applyAlignment="1" applyProtection="1">
      <alignment horizontal="center" vertical="center"/>
    </xf>
    <xf numFmtId="37" fontId="14" fillId="0" borderId="2" xfId="1" applyFont="1" applyBorder="1" applyAlignment="1" applyProtection="1">
      <alignment horizontal="center" vertical="center"/>
    </xf>
    <xf numFmtId="37" fontId="14" fillId="0" borderId="3" xfId="1" applyFont="1" applyBorder="1" applyAlignment="1" applyProtection="1">
      <alignment horizontal="center" vertical="center"/>
    </xf>
    <xf numFmtId="37" fontId="14" fillId="0" borderId="16" xfId="1" applyFont="1" applyBorder="1" applyAlignment="1" applyProtection="1">
      <alignment horizontal="center" vertical="center"/>
    </xf>
    <xf numFmtId="37" fontId="14" fillId="0" borderId="0" xfId="1" applyFont="1" applyBorder="1" applyAlignment="1" applyProtection="1">
      <alignment horizontal="center" vertical="center"/>
    </xf>
    <xf numFmtId="37" fontId="14" fillId="0" borderId="11" xfId="1" applyFont="1" applyBorder="1" applyAlignment="1" applyProtection="1">
      <alignment horizontal="center" vertical="center"/>
    </xf>
    <xf numFmtId="37" fontId="14" fillId="5" borderId="1" xfId="1" applyFont="1" applyFill="1" applyBorder="1" applyAlignment="1" applyProtection="1">
      <alignment horizontal="center" vertical="center"/>
    </xf>
    <xf numFmtId="37" fontId="14" fillId="5" borderId="8" xfId="1" applyFont="1" applyFill="1" applyBorder="1" applyAlignment="1" applyProtection="1">
      <alignment horizontal="center" vertical="center"/>
    </xf>
    <xf numFmtId="37" fontId="14" fillId="5" borderId="16" xfId="1" applyFont="1" applyFill="1" applyBorder="1" applyAlignment="1" applyProtection="1">
      <alignment horizontal="center" vertical="center"/>
    </xf>
    <xf numFmtId="37" fontId="14" fillId="5" borderId="17" xfId="1" applyFont="1" applyFill="1" applyBorder="1" applyAlignment="1" applyProtection="1">
      <alignment horizontal="center" vertical="center"/>
    </xf>
    <xf numFmtId="37" fontId="14" fillId="5" borderId="9" xfId="1" applyFont="1" applyFill="1" applyBorder="1" applyAlignment="1" applyProtection="1">
      <alignment horizontal="center" vertical="center"/>
    </xf>
    <xf numFmtId="37" fontId="14" fillId="5" borderId="2" xfId="1" applyFont="1" applyFill="1" applyBorder="1" applyAlignment="1" applyProtection="1">
      <alignment horizontal="center" vertical="center"/>
    </xf>
    <xf numFmtId="37" fontId="14" fillId="5" borderId="3" xfId="1" applyFont="1" applyFill="1" applyBorder="1" applyAlignment="1" applyProtection="1">
      <alignment horizontal="center" vertical="center"/>
    </xf>
    <xf numFmtId="37" fontId="14" fillId="5" borderId="15" xfId="1" applyFont="1" applyFill="1" applyBorder="1" applyAlignment="1" applyProtection="1">
      <alignment horizontal="center" vertical="center"/>
    </xf>
    <xf numFmtId="37" fontId="14" fillId="5" borderId="0" xfId="1" applyFont="1" applyFill="1" applyBorder="1" applyAlignment="1" applyProtection="1">
      <alignment horizontal="center" vertical="center"/>
    </xf>
    <xf numFmtId="37" fontId="14" fillId="5" borderId="11" xfId="1" applyFont="1" applyFill="1" applyBorder="1" applyAlignment="1" applyProtection="1">
      <alignment horizontal="center" vertical="center"/>
    </xf>
    <xf numFmtId="37" fontId="14" fillId="5" borderId="18" xfId="1" applyFont="1" applyFill="1" applyBorder="1" applyAlignment="1" applyProtection="1">
      <alignment horizontal="center" vertical="center"/>
    </xf>
    <xf numFmtId="37" fontId="14" fillId="5" borderId="4" xfId="1" applyFont="1" applyFill="1" applyBorder="1" applyAlignment="1" applyProtection="1">
      <alignment horizontal="center" vertical="center"/>
    </xf>
    <xf numFmtId="165" fontId="19" fillId="5" borderId="53" xfId="1" applyNumberFormat="1" applyFont="1" applyFill="1" applyBorder="1" applyAlignment="1" applyProtection="1">
      <alignment horizontal="center" vertical="center"/>
    </xf>
    <xf numFmtId="1" fontId="19" fillId="5" borderId="53" xfId="1" applyNumberFormat="1" applyFont="1" applyFill="1" applyBorder="1" applyAlignment="1" applyProtection="1">
      <alignment horizontal="center" vertical="center"/>
    </xf>
    <xf numFmtId="1" fontId="19" fillId="5" borderId="52" xfId="1" applyNumberFormat="1" applyFont="1" applyFill="1" applyBorder="1" applyAlignment="1" applyProtection="1">
      <alignment horizontal="center" vertical="center"/>
    </xf>
    <xf numFmtId="37" fontId="14" fillId="5" borderId="21" xfId="1" applyFont="1" applyFill="1" applyBorder="1" applyAlignment="1" applyProtection="1">
      <alignment horizontal="center" vertical="center"/>
    </xf>
    <xf numFmtId="1" fontId="19" fillId="6" borderId="20" xfId="1" applyNumberFormat="1" applyFont="1" applyFill="1" applyBorder="1" applyAlignment="1" applyProtection="1">
      <alignment horizontal="center" vertical="center"/>
    </xf>
    <xf numFmtId="165" fontId="19" fillId="6" borderId="43" xfId="1" applyNumberFormat="1" applyFont="1" applyFill="1" applyBorder="1" applyAlignment="1" applyProtection="1">
      <alignment horizontal="center" vertical="center"/>
    </xf>
    <xf numFmtId="165" fontId="19" fillId="6" borderId="44" xfId="1" applyNumberFormat="1" applyFont="1" applyFill="1" applyBorder="1" applyAlignment="1" applyProtection="1">
      <alignment horizontal="center" vertical="center"/>
    </xf>
    <xf numFmtId="166" fontId="18" fillId="4" borderId="32" xfId="1" applyNumberFormat="1" applyFont="1" applyFill="1" applyBorder="1" applyAlignment="1" applyProtection="1">
      <alignment horizontal="center"/>
      <protection locked="0"/>
    </xf>
    <xf numFmtId="37" fontId="15" fillId="0" borderId="30" xfId="1" applyFont="1" applyBorder="1" applyAlignment="1" applyProtection="1">
      <alignment horizontal="center" vertical="center"/>
    </xf>
    <xf numFmtId="37" fontId="15" fillId="0" borderId="32" xfId="1" applyFont="1" applyBorder="1" applyAlignment="1" applyProtection="1">
      <alignment horizontal="center" vertical="center"/>
    </xf>
    <xf numFmtId="37" fontId="15" fillId="0" borderId="33" xfId="1" applyFont="1" applyBorder="1" applyAlignment="1" applyProtection="1">
      <alignment horizontal="center" vertical="center"/>
    </xf>
    <xf numFmtId="165" fontId="18" fillId="4" borderId="35" xfId="1" applyNumberFormat="1" applyFont="1" applyFill="1" applyBorder="1" applyAlignment="1" applyProtection="1">
      <alignment horizontal="center"/>
      <protection locked="0"/>
    </xf>
    <xf numFmtId="165" fontId="18" fillId="4" borderId="36" xfId="1" applyNumberFormat="1" applyFont="1" applyFill="1" applyBorder="1" applyAlignment="1" applyProtection="1">
      <alignment horizontal="center"/>
      <protection locked="0"/>
    </xf>
    <xf numFmtId="165" fontId="18" fillId="4" borderId="37" xfId="1" applyNumberFormat="1" applyFont="1" applyFill="1" applyBorder="1" applyAlignment="1" applyProtection="1">
      <alignment horizontal="center"/>
      <protection locked="0"/>
    </xf>
    <xf numFmtId="165" fontId="16" fillId="2" borderId="37" xfId="1" applyNumberFormat="1" applyFont="1" applyFill="1" applyBorder="1" applyAlignment="1" applyProtection="1">
      <alignment horizontal="center"/>
      <protection locked="0"/>
    </xf>
    <xf numFmtId="165" fontId="16" fillId="2" borderId="36" xfId="1" applyNumberFormat="1" applyFont="1" applyFill="1" applyBorder="1" applyAlignment="1" applyProtection="1">
      <alignment horizontal="center"/>
      <protection locked="0"/>
    </xf>
    <xf numFmtId="165" fontId="18" fillId="4" borderId="7" xfId="1" applyNumberFormat="1" applyFont="1" applyFill="1" applyBorder="1" applyAlignment="1" applyProtection="1">
      <alignment horizontal="center"/>
      <protection locked="0"/>
    </xf>
    <xf numFmtId="165" fontId="18" fillId="4" borderId="38" xfId="1" applyNumberFormat="1" applyFont="1" applyFill="1" applyBorder="1" applyAlignment="1" applyProtection="1">
      <alignment horizontal="center"/>
      <protection locked="0"/>
    </xf>
    <xf numFmtId="165" fontId="16" fillId="2" borderId="7" xfId="1" applyNumberFormat="1" applyFont="1" applyFill="1" applyBorder="1" applyAlignment="1" applyProtection="1">
      <alignment horizontal="center"/>
      <protection locked="0"/>
    </xf>
    <xf numFmtId="165" fontId="16" fillId="2" borderId="38" xfId="1" applyNumberFormat="1" applyFont="1" applyFill="1" applyBorder="1" applyAlignment="1" applyProtection="1">
      <alignment horizontal="center"/>
      <protection locked="0"/>
    </xf>
    <xf numFmtId="1" fontId="18" fillId="4" borderId="37" xfId="1" applyNumberFormat="1" applyFont="1" applyFill="1" applyBorder="1" applyAlignment="1" applyProtection="1">
      <alignment horizontal="center"/>
      <protection locked="0"/>
    </xf>
    <xf numFmtId="1" fontId="18" fillId="4" borderId="34" xfId="1" applyNumberFormat="1" applyFont="1" applyFill="1" applyBorder="1" applyAlignment="1" applyProtection="1">
      <alignment horizontal="center"/>
      <protection locked="0"/>
    </xf>
    <xf numFmtId="2" fontId="16" fillId="2" borderId="32" xfId="1" applyNumberFormat="1" applyFont="1" applyFill="1" applyBorder="1" applyAlignment="1" applyProtection="1">
      <alignment horizontal="center"/>
      <protection locked="0"/>
    </xf>
    <xf numFmtId="1" fontId="19" fillId="5" borderId="55" xfId="1" applyNumberFormat="1" applyFont="1" applyFill="1" applyBorder="1" applyAlignment="1" applyProtection="1">
      <alignment horizontal="center" vertical="center"/>
    </xf>
    <xf numFmtId="37" fontId="15" fillId="0" borderId="41" xfId="1" applyFont="1" applyBorder="1" applyAlignment="1">
      <alignment horizontal="center" vertical="center"/>
    </xf>
    <xf numFmtId="37" fontId="15" fillId="0" borderId="12" xfId="1" applyFont="1" applyBorder="1" applyAlignment="1">
      <alignment horizontal="center" vertical="center"/>
    </xf>
    <xf numFmtId="37" fontId="15" fillId="0" borderId="19" xfId="1" applyFont="1" applyBorder="1" applyAlignment="1">
      <alignment horizontal="center" vertical="center"/>
    </xf>
    <xf numFmtId="1" fontId="19" fillId="5" borderId="17" xfId="1" applyNumberFormat="1" applyFont="1" applyFill="1" applyBorder="1" applyAlignment="1" applyProtection="1">
      <alignment horizontal="center" vertical="center"/>
    </xf>
    <xf numFmtId="1" fontId="19" fillId="5" borderId="18" xfId="1" applyNumberFormat="1" applyFont="1" applyFill="1" applyBorder="1" applyAlignment="1" applyProtection="1">
      <alignment horizontal="center" vertical="center"/>
    </xf>
    <xf numFmtId="1" fontId="19" fillId="5" borderId="69" xfId="1" applyNumberFormat="1" applyFont="1" applyFill="1" applyBorder="1" applyAlignment="1" applyProtection="1">
      <alignment horizontal="center" vertical="center"/>
    </xf>
    <xf numFmtId="165" fontId="19" fillId="6" borderId="51" xfId="1" applyNumberFormat="1" applyFont="1" applyFill="1" applyBorder="1" applyAlignment="1" applyProtection="1">
      <alignment horizontal="center" vertical="center"/>
    </xf>
    <xf numFmtId="165" fontId="19" fillId="6" borderId="6" xfId="1" applyNumberFormat="1" applyFont="1" applyFill="1" applyBorder="1" applyAlignment="1" applyProtection="1">
      <alignment horizontal="center" vertical="center"/>
    </xf>
    <xf numFmtId="37" fontId="15" fillId="0" borderId="51" xfId="1" applyFont="1" applyBorder="1" applyAlignment="1">
      <alignment horizontal="center" vertical="center"/>
    </xf>
    <xf numFmtId="37" fontId="15" fillId="0" borderId="6" xfId="1" applyFont="1" applyBorder="1" applyAlignment="1">
      <alignment horizontal="center" vertical="center"/>
    </xf>
    <xf numFmtId="37" fontId="15" fillId="0" borderId="52" xfId="1" applyFont="1" applyBorder="1" applyAlignment="1">
      <alignment horizontal="center" vertical="center"/>
    </xf>
    <xf numFmtId="165" fontId="17" fillId="0" borderId="0" xfId="1" applyNumberFormat="1" applyFont="1" applyFill="1" applyBorder="1" applyAlignment="1" applyProtection="1">
      <alignment horizontal="center"/>
      <protection locked="0"/>
    </xf>
    <xf numFmtId="1" fontId="17" fillId="0" borderId="0" xfId="1" applyNumberFormat="1" applyFont="1" applyFill="1" applyBorder="1" applyAlignment="1" applyProtection="1">
      <alignment horizontal="left"/>
      <protection locked="0"/>
    </xf>
    <xf numFmtId="37" fontId="15" fillId="0" borderId="4" xfId="1" applyFont="1" applyBorder="1" applyAlignment="1">
      <alignment horizontal="left" vertical="center"/>
    </xf>
    <xf numFmtId="165" fontId="17" fillId="0" borderId="0" xfId="1" applyNumberFormat="1" applyFont="1" applyFill="1" applyBorder="1" applyAlignment="1" applyProtection="1">
      <alignment horizontal="left"/>
      <protection locked="0"/>
    </xf>
    <xf numFmtId="165" fontId="17" fillId="0" borderId="11" xfId="1" applyNumberFormat="1" applyFont="1" applyFill="1" applyBorder="1" applyAlignment="1" applyProtection="1">
      <alignment horizontal="left"/>
      <protection locked="0"/>
    </xf>
    <xf numFmtId="165" fontId="19" fillId="0" borderId="4" xfId="1" applyNumberFormat="1" applyFont="1" applyFill="1" applyBorder="1" applyAlignment="1" applyProtection="1">
      <alignment horizontal="left"/>
      <protection locked="0"/>
    </xf>
    <xf numFmtId="165" fontId="19" fillId="0" borderId="27" xfId="1" applyNumberFormat="1" applyFont="1" applyFill="1" applyBorder="1" applyAlignment="1" applyProtection="1">
      <alignment horizontal="left"/>
      <protection locked="0"/>
    </xf>
    <xf numFmtId="37" fontId="15" fillId="0" borderId="4" xfId="1" applyFont="1" applyBorder="1" applyAlignment="1">
      <alignment horizontal="center" vertical="center"/>
    </xf>
    <xf numFmtId="37" fontId="15" fillId="0" borderId="65" xfId="1" applyFont="1" applyBorder="1" applyAlignment="1" applyProtection="1">
      <alignment horizontal="center" vertical="center"/>
    </xf>
    <xf numFmtId="37" fontId="15" fillId="0" borderId="49" xfId="1" applyFont="1" applyBorder="1" applyAlignment="1" applyProtection="1">
      <alignment horizontal="center" vertical="center"/>
    </xf>
    <xf numFmtId="37" fontId="15" fillId="0" borderId="45" xfId="1" applyFont="1" applyBorder="1" applyAlignment="1" applyProtection="1">
      <alignment horizontal="center" vertical="center"/>
    </xf>
    <xf numFmtId="165" fontId="17" fillId="7" borderId="65" xfId="1" applyNumberFormat="1" applyFont="1" applyFill="1" applyBorder="1" applyAlignment="1" applyProtection="1">
      <alignment horizontal="center"/>
      <protection locked="0"/>
    </xf>
    <xf numFmtId="165" fontId="17" fillId="7" borderId="20" xfId="1" applyNumberFormat="1" applyFont="1" applyFill="1" applyBorder="1" applyAlignment="1" applyProtection="1">
      <alignment horizontal="center"/>
      <protection locked="0"/>
    </xf>
    <xf numFmtId="1" fontId="21" fillId="0" borderId="18" xfId="1" applyNumberFormat="1" applyFont="1" applyFill="1" applyBorder="1" applyAlignment="1" applyProtection="1">
      <alignment horizontal="center"/>
      <protection locked="0"/>
    </xf>
    <xf numFmtId="1" fontId="21" fillId="0" borderId="0" xfId="1" applyNumberFormat="1" applyFont="1" applyFill="1" applyBorder="1" applyAlignment="1" applyProtection="1">
      <alignment horizontal="center"/>
      <protection locked="0"/>
    </xf>
    <xf numFmtId="165" fontId="17" fillId="0" borderId="0" xfId="2" applyNumberFormat="1" applyFont="1" applyFill="1" applyBorder="1" applyAlignment="1" applyProtection="1">
      <alignment horizontal="center"/>
    </xf>
    <xf numFmtId="1" fontId="17" fillId="0" borderId="0" xfId="2" applyNumberFormat="1" applyFont="1" applyFill="1" applyBorder="1" applyAlignment="1" applyProtection="1">
      <alignment horizontal="center"/>
    </xf>
    <xf numFmtId="37" fontId="15" fillId="0" borderId="98" xfId="1" applyFont="1" applyBorder="1" applyAlignment="1" applyProtection="1">
      <alignment horizontal="center" vertical="center"/>
    </xf>
    <xf numFmtId="37" fontId="15" fillId="0" borderId="99" xfId="1" applyFont="1" applyBorder="1" applyAlignment="1" applyProtection="1">
      <alignment horizontal="center" vertical="center"/>
    </xf>
    <xf numFmtId="37" fontId="15" fillId="0" borderId="92" xfId="1" applyFont="1" applyBorder="1" applyAlignment="1" applyProtection="1">
      <alignment horizontal="center" vertical="center"/>
    </xf>
    <xf numFmtId="168" fontId="15" fillId="7" borderId="21" xfId="1" applyNumberFormat="1" applyFont="1" applyFill="1" applyBorder="1" applyAlignment="1">
      <alignment horizontal="center" vertical="center"/>
    </xf>
    <xf numFmtId="168" fontId="15" fillId="7" borderId="25" xfId="1" applyNumberFormat="1" applyFont="1" applyFill="1" applyBorder="1" applyAlignment="1">
      <alignment horizontal="center" vertical="center"/>
    </xf>
    <xf numFmtId="37" fontId="20" fillId="0" borderId="4" xfId="1" applyFont="1" applyBorder="1" applyAlignment="1">
      <alignment horizontal="center" vertical="center"/>
    </xf>
    <xf numFmtId="2" fontId="16" fillId="2" borderId="29" xfId="1" applyNumberFormat="1" applyFont="1" applyFill="1" applyBorder="1" applyAlignment="1" applyProtection="1">
      <alignment horizontal="center"/>
      <protection locked="0"/>
    </xf>
    <xf numFmtId="166" fontId="18" fillId="4" borderId="29" xfId="1" applyNumberFormat="1" applyFont="1" applyFill="1" applyBorder="1" applyAlignment="1" applyProtection="1">
      <alignment horizontal="center"/>
      <protection locked="0"/>
    </xf>
    <xf numFmtId="37" fontId="15" fillId="0" borderId="84" xfId="1" applyFont="1" applyBorder="1" applyAlignment="1" applyProtection="1">
      <alignment horizontal="center" vertical="center"/>
    </xf>
    <xf numFmtId="37" fontId="15" fillId="0" borderId="85" xfId="1" applyFont="1" applyBorder="1" applyAlignment="1" applyProtection="1">
      <alignment horizontal="center" vertical="center"/>
    </xf>
    <xf numFmtId="37" fontId="15" fillId="0" borderId="40" xfId="1" applyFont="1" applyBorder="1" applyAlignment="1" applyProtection="1">
      <alignment horizontal="center" vertical="center"/>
    </xf>
    <xf numFmtId="165" fontId="18" fillId="4" borderId="42" xfId="1" applyNumberFormat="1" applyFont="1" applyFill="1" applyBorder="1" applyAlignment="1" applyProtection="1">
      <alignment horizontal="center"/>
      <protection locked="0"/>
    </xf>
    <xf numFmtId="165" fontId="18" fillId="4" borderId="46" xfId="1" applyNumberFormat="1" applyFont="1" applyFill="1" applyBorder="1" applyAlignment="1" applyProtection="1">
      <alignment horizontal="center"/>
      <protection locked="0"/>
    </xf>
    <xf numFmtId="165" fontId="18" fillId="4" borderId="59" xfId="1" applyNumberFormat="1" applyFont="1" applyFill="1" applyBorder="1" applyAlignment="1" applyProtection="1">
      <alignment horizontal="center"/>
      <protection locked="0"/>
    </xf>
    <xf numFmtId="165" fontId="16" fillId="2" borderId="59" xfId="1" applyNumberFormat="1" applyFont="1" applyFill="1" applyBorder="1" applyAlignment="1" applyProtection="1">
      <alignment horizontal="center"/>
      <protection locked="0"/>
    </xf>
    <xf numFmtId="165" fontId="16" fillId="2" borderId="46" xfId="1" applyNumberFormat="1" applyFont="1" applyFill="1" applyBorder="1" applyAlignment="1" applyProtection="1">
      <alignment horizontal="center"/>
      <protection locked="0"/>
    </xf>
    <xf numFmtId="165" fontId="18" fillId="4" borderId="15" xfId="1" applyNumberFormat="1" applyFont="1" applyFill="1" applyBorder="1" applyAlignment="1" applyProtection="1">
      <alignment horizontal="center"/>
      <protection locked="0"/>
    </xf>
    <xf numFmtId="165" fontId="18" fillId="4" borderId="60" xfId="1" applyNumberFormat="1" applyFont="1" applyFill="1" applyBorder="1" applyAlignment="1" applyProtection="1">
      <alignment horizontal="center"/>
      <protection locked="0"/>
    </xf>
    <xf numFmtId="165" fontId="16" fillId="2" borderId="15" xfId="1" applyNumberFormat="1" applyFont="1" applyFill="1" applyBorder="1" applyAlignment="1" applyProtection="1">
      <alignment horizontal="center"/>
      <protection locked="0"/>
    </xf>
    <xf numFmtId="165" fontId="16" fillId="2" borderId="60" xfId="1" applyNumberFormat="1" applyFont="1" applyFill="1" applyBorder="1" applyAlignment="1" applyProtection="1">
      <alignment horizontal="center"/>
      <protection locked="0"/>
    </xf>
    <xf numFmtId="0" fontId="18" fillId="4" borderId="29" xfId="1" applyNumberFormat="1" applyFont="1" applyFill="1" applyBorder="1" applyAlignment="1" applyProtection="1">
      <alignment horizontal="center"/>
      <protection locked="0"/>
    </xf>
    <xf numFmtId="1" fontId="18" fillId="4" borderId="59" xfId="1" applyNumberFormat="1" applyFont="1" applyFill="1" applyBorder="1" applyAlignment="1" applyProtection="1">
      <alignment horizontal="center"/>
      <protection locked="0"/>
    </xf>
    <xf numFmtId="1" fontId="18" fillId="4" borderId="42" xfId="1" applyNumberFormat="1" applyFont="1" applyFill="1" applyBorder="1" applyAlignment="1" applyProtection="1">
      <alignment horizontal="center"/>
      <protection locked="0"/>
    </xf>
    <xf numFmtId="1" fontId="19" fillId="6" borderId="12" xfId="1" applyNumberFormat="1" applyFont="1" applyFill="1" applyBorder="1" applyAlignment="1" applyProtection="1">
      <alignment horizontal="center" vertical="center"/>
    </xf>
    <xf numFmtId="1" fontId="19" fillId="6" borderId="50" xfId="1" applyNumberFormat="1" applyFont="1" applyFill="1" applyBorder="1" applyAlignment="1" applyProtection="1">
      <alignment horizontal="center" vertical="center"/>
    </xf>
    <xf numFmtId="165" fontId="19" fillId="6" borderId="61" xfId="1" applyNumberFormat="1" applyFont="1" applyFill="1" applyBorder="1" applyAlignment="1" applyProtection="1">
      <alignment horizontal="center" vertical="center"/>
    </xf>
    <xf numFmtId="165" fontId="19" fillId="6" borderId="62" xfId="1" applyNumberFormat="1" applyFont="1" applyFill="1" applyBorder="1" applyAlignment="1" applyProtection="1">
      <alignment horizontal="center" vertical="center"/>
    </xf>
    <xf numFmtId="165" fontId="19" fillId="6" borderId="63" xfId="1" applyNumberFormat="1" applyFont="1" applyFill="1" applyBorder="1" applyAlignment="1" applyProtection="1">
      <alignment horizontal="center" vertical="center"/>
    </xf>
    <xf numFmtId="1" fontId="19" fillId="6" borderId="52" xfId="1" applyNumberFormat="1" applyFont="1" applyFill="1" applyBorder="1" applyAlignment="1" applyProtection="1">
      <alignment horizontal="center" vertical="center"/>
    </xf>
    <xf numFmtId="1" fontId="19" fillId="6" borderId="53" xfId="1" applyNumberFormat="1" applyFont="1" applyFill="1" applyBorder="1" applyAlignment="1" applyProtection="1">
      <alignment horizontal="center" vertical="center"/>
    </xf>
    <xf numFmtId="1" fontId="19" fillId="6" borderId="116" xfId="1" applyNumberFormat="1" applyFont="1" applyFill="1" applyBorder="1" applyAlignment="1" applyProtection="1">
      <alignment horizontal="center" vertical="center"/>
    </xf>
    <xf numFmtId="1" fontId="19" fillId="6" borderId="117" xfId="1" applyNumberFormat="1" applyFont="1" applyFill="1" applyBorder="1" applyAlignment="1" applyProtection="1">
      <alignment horizontal="center" vertical="center"/>
    </xf>
    <xf numFmtId="165" fontId="19" fillId="6" borderId="66" xfId="1" applyNumberFormat="1" applyFont="1" applyFill="1" applyBorder="1" applyAlignment="1" applyProtection="1">
      <alignment horizontal="center" vertical="center"/>
    </xf>
    <xf numFmtId="165" fontId="19" fillId="6" borderId="115" xfId="1" applyNumberFormat="1" applyFont="1" applyFill="1" applyBorder="1" applyAlignment="1" applyProtection="1">
      <alignment horizontal="center" vertical="center"/>
    </xf>
    <xf numFmtId="165" fontId="19" fillId="6" borderId="59" xfId="1" applyNumberFormat="1" applyFont="1" applyFill="1" applyBorder="1" applyAlignment="1" applyProtection="1">
      <alignment horizontal="center" vertical="center"/>
    </xf>
    <xf numFmtId="165" fontId="19" fillId="6" borderId="46" xfId="1" applyNumberFormat="1" applyFont="1" applyFill="1" applyBorder="1" applyAlignment="1" applyProtection="1">
      <alignment horizontal="center" vertical="center"/>
    </xf>
    <xf numFmtId="165" fontId="19" fillId="7" borderId="65" xfId="1" applyNumberFormat="1" applyFont="1" applyFill="1" applyBorder="1" applyAlignment="1" applyProtection="1">
      <alignment horizontal="center" vertical="center"/>
    </xf>
    <xf numFmtId="165" fontId="19" fillId="7" borderId="20" xfId="1" applyNumberFormat="1" applyFont="1" applyFill="1" applyBorder="1" applyAlignment="1" applyProtection="1">
      <alignment horizontal="center" vertical="center"/>
    </xf>
    <xf numFmtId="166" fontId="19" fillId="6" borderId="12" xfId="1" applyNumberFormat="1" applyFont="1" applyFill="1" applyBorder="1" applyAlignment="1" applyProtection="1">
      <alignment horizontal="center" vertical="center"/>
    </xf>
    <xf numFmtId="1" fontId="19" fillId="6" borderId="32" xfId="1" applyNumberFormat="1" applyFont="1" applyFill="1" applyBorder="1" applyAlignment="1" applyProtection="1">
      <alignment horizontal="center" vertical="center"/>
    </xf>
    <xf numFmtId="1" fontId="19" fillId="6" borderId="39" xfId="1" applyNumberFormat="1" applyFont="1" applyFill="1" applyBorder="1" applyAlignment="1" applyProtection="1">
      <alignment horizontal="center" vertical="center"/>
    </xf>
    <xf numFmtId="165" fontId="17" fillId="5" borderId="0" xfId="1" applyNumberFormat="1" applyFont="1" applyFill="1" applyBorder="1" applyAlignment="1" applyProtection="1">
      <alignment horizontal="left"/>
      <protection locked="0"/>
    </xf>
    <xf numFmtId="165" fontId="17" fillId="5" borderId="11" xfId="1" applyNumberFormat="1" applyFont="1" applyFill="1" applyBorder="1" applyAlignment="1" applyProtection="1">
      <alignment horizontal="left"/>
      <protection locked="0"/>
    </xf>
    <xf numFmtId="1" fontId="21" fillId="5" borderId="0" xfId="1" applyNumberFormat="1" applyFont="1" applyFill="1" applyBorder="1" applyAlignment="1" applyProtection="1">
      <alignment horizontal="center"/>
      <protection locked="0"/>
    </xf>
    <xf numFmtId="165" fontId="17" fillId="5" borderId="0" xfId="1" applyNumberFormat="1" applyFont="1" applyFill="1" applyBorder="1" applyAlignment="1" applyProtection="1">
      <alignment horizontal="center"/>
      <protection locked="0"/>
    </xf>
    <xf numFmtId="165" fontId="17" fillId="5" borderId="0" xfId="2" applyNumberFormat="1" applyFont="1" applyFill="1" applyBorder="1" applyAlignment="1" applyProtection="1">
      <alignment horizontal="center"/>
    </xf>
    <xf numFmtId="1" fontId="17" fillId="5" borderId="0" xfId="2" applyNumberFormat="1" applyFont="1" applyFill="1" applyBorder="1" applyAlignment="1" applyProtection="1">
      <alignment horizontal="center"/>
    </xf>
    <xf numFmtId="1" fontId="17" fillId="5" borderId="0" xfId="1" applyNumberFormat="1" applyFont="1" applyFill="1" applyBorder="1" applyAlignment="1" applyProtection="1">
      <alignment horizontal="left"/>
      <protection locked="0"/>
    </xf>
    <xf numFmtId="165" fontId="17" fillId="7" borderId="41" xfId="1" applyNumberFormat="1" applyFont="1" applyFill="1" applyBorder="1" applyAlignment="1" applyProtection="1">
      <alignment horizontal="center"/>
      <protection locked="0"/>
    </xf>
    <xf numFmtId="165" fontId="17" fillId="7" borderId="12" xfId="1" applyNumberFormat="1" applyFont="1" applyFill="1" applyBorder="1" applyAlignment="1" applyProtection="1">
      <alignment horizontal="center"/>
      <protection locked="0"/>
    </xf>
    <xf numFmtId="2" fontId="19" fillId="6" borderId="32" xfId="1" applyNumberFormat="1" applyFont="1" applyFill="1" applyBorder="1" applyAlignment="1" applyProtection="1">
      <alignment horizontal="center" vertical="center"/>
    </xf>
    <xf numFmtId="166" fontId="19" fillId="6" borderId="32" xfId="1" applyNumberFormat="1" applyFont="1" applyFill="1" applyBorder="1" applyAlignment="1" applyProtection="1">
      <alignment horizontal="center" vertical="center"/>
    </xf>
    <xf numFmtId="165" fontId="19" fillId="6" borderId="73" xfId="1" applyNumberFormat="1" applyFont="1" applyFill="1" applyBorder="1" applyAlignment="1" applyProtection="1">
      <alignment horizontal="center" vertical="center"/>
    </xf>
    <xf numFmtId="165" fontId="19" fillId="6" borderId="74" xfId="1" applyNumberFormat="1" applyFont="1" applyFill="1" applyBorder="1" applyAlignment="1" applyProtection="1">
      <alignment horizontal="center" vertical="center"/>
    </xf>
    <xf numFmtId="165" fontId="19" fillId="6" borderId="23" xfId="1" applyNumberFormat="1" applyFont="1" applyFill="1" applyBorder="1" applyAlignment="1" applyProtection="1">
      <alignment horizontal="center" vertical="center"/>
    </xf>
    <xf numFmtId="166" fontId="19" fillId="6" borderId="23" xfId="1" applyNumberFormat="1" applyFont="1" applyFill="1" applyBorder="1" applyAlignment="1" applyProtection="1">
      <alignment horizontal="center" vertical="center"/>
    </xf>
    <xf numFmtId="1" fontId="19" fillId="6" borderId="23" xfId="1" applyNumberFormat="1" applyFont="1" applyFill="1" applyBorder="1" applyAlignment="1" applyProtection="1">
      <alignment horizontal="center" vertical="center"/>
    </xf>
    <xf numFmtId="1" fontId="19" fillId="6" borderId="24" xfId="1" applyNumberFormat="1" applyFont="1" applyFill="1" applyBorder="1" applyAlignment="1" applyProtection="1">
      <alignment horizontal="center" vertical="center"/>
    </xf>
    <xf numFmtId="37" fontId="15" fillId="0" borderId="84" xfId="1" applyFont="1" applyBorder="1" applyAlignment="1">
      <alignment horizontal="center" vertical="center"/>
    </xf>
    <xf numFmtId="37" fontId="15" fillId="0" borderId="85" xfId="1" applyFont="1" applyBorder="1" applyAlignment="1">
      <alignment horizontal="center" vertical="center"/>
    </xf>
    <xf numFmtId="37" fontId="15" fillId="0" borderId="40" xfId="1" applyFont="1" applyBorder="1" applyAlignment="1">
      <alignment horizontal="center" vertical="center"/>
    </xf>
    <xf numFmtId="165" fontId="19" fillId="6" borderId="35" xfId="1" applyNumberFormat="1" applyFont="1" applyFill="1" applyBorder="1" applyAlignment="1" applyProtection="1">
      <alignment horizontal="center" vertical="center"/>
    </xf>
    <xf numFmtId="165" fontId="19" fillId="6" borderId="36" xfId="1" applyNumberFormat="1" applyFont="1" applyFill="1" applyBorder="1" applyAlignment="1" applyProtection="1">
      <alignment horizontal="center" vertical="center"/>
    </xf>
    <xf numFmtId="165" fontId="19" fillId="6" borderId="37" xfId="1" applyNumberFormat="1" applyFont="1" applyFill="1" applyBorder="1" applyAlignment="1" applyProtection="1">
      <alignment horizontal="center" vertical="center"/>
    </xf>
    <xf numFmtId="166" fontId="19" fillId="6" borderId="37" xfId="1" applyNumberFormat="1" applyFont="1" applyFill="1" applyBorder="1" applyAlignment="1" applyProtection="1">
      <alignment horizontal="center" vertical="center"/>
    </xf>
    <xf numFmtId="166" fontId="19" fillId="6" borderId="34" xfId="1" applyNumberFormat="1" applyFont="1" applyFill="1" applyBorder="1" applyAlignment="1" applyProtection="1">
      <alignment horizontal="center" vertical="center"/>
    </xf>
    <xf numFmtId="37" fontId="15" fillId="7" borderId="114" xfId="1" applyFont="1" applyFill="1" applyBorder="1" applyAlignment="1">
      <alignment horizontal="center" vertical="center"/>
    </xf>
    <xf numFmtId="37" fontId="15" fillId="7" borderId="23" xfId="1" applyFont="1" applyFill="1" applyBorder="1" applyAlignment="1">
      <alignment horizontal="center" vertical="center"/>
    </xf>
    <xf numFmtId="37" fontId="7" fillId="5" borderId="21" xfId="1" applyFont="1" applyFill="1" applyBorder="1" applyAlignment="1">
      <alignment horizontal="center" vertical="center"/>
    </xf>
    <xf numFmtId="37" fontId="7" fillId="5" borderId="4" xfId="1" applyFont="1" applyFill="1" applyBorder="1" applyAlignment="1">
      <alignment horizontal="center" vertical="center"/>
    </xf>
    <xf numFmtId="37" fontId="7" fillId="5" borderId="27" xfId="1" applyFont="1" applyFill="1" applyBorder="1" applyAlignment="1">
      <alignment horizontal="center" vertical="center"/>
    </xf>
    <xf numFmtId="37" fontId="30" fillId="0" borderId="58" xfId="1" applyFont="1" applyBorder="1" applyAlignment="1" applyProtection="1">
      <alignment horizontal="center" vertical="center"/>
    </xf>
    <xf numFmtId="165" fontId="19" fillId="6" borderId="71" xfId="1" applyNumberFormat="1" applyFont="1" applyFill="1" applyBorder="1" applyAlignment="1" applyProtection="1">
      <alignment horizontal="center" vertical="center"/>
    </xf>
    <xf numFmtId="165" fontId="19" fillId="6" borderId="72" xfId="1" applyNumberFormat="1" applyFont="1" applyFill="1" applyBorder="1" applyAlignment="1" applyProtection="1">
      <alignment horizontal="center" vertical="center"/>
    </xf>
    <xf numFmtId="165" fontId="19" fillId="6" borderId="73" xfId="0" applyNumberFormat="1" applyFont="1" applyFill="1" applyBorder="1" applyAlignment="1" applyProtection="1">
      <alignment horizontal="center" vertical="center" wrapText="1"/>
    </xf>
    <xf numFmtId="165" fontId="19" fillId="6" borderId="72" xfId="0" applyNumberFormat="1" applyFont="1" applyFill="1" applyBorder="1" applyAlignment="1" applyProtection="1">
      <alignment horizontal="center" vertical="center" wrapText="1"/>
    </xf>
    <xf numFmtId="165" fontId="19" fillId="6" borderId="73" xfId="0" applyNumberFormat="1" applyFont="1" applyFill="1" applyBorder="1" applyAlignment="1" applyProtection="1">
      <alignment horizontal="center" vertical="center"/>
    </xf>
    <xf numFmtId="165" fontId="19" fillId="6" borderId="72" xfId="0" applyNumberFormat="1" applyFont="1" applyFill="1" applyBorder="1" applyAlignment="1" applyProtection="1">
      <alignment horizontal="center" vertical="center"/>
    </xf>
    <xf numFmtId="37" fontId="30" fillId="0" borderId="16" xfId="1" applyFont="1" applyBorder="1" applyAlignment="1">
      <alignment horizontal="center" vertical="center"/>
    </xf>
    <xf numFmtId="37" fontId="30" fillId="0" borderId="0" xfId="1" applyFont="1" applyBorder="1" applyAlignment="1">
      <alignment horizontal="center" vertical="center"/>
    </xf>
    <xf numFmtId="165" fontId="19" fillId="6" borderId="70" xfId="1" applyNumberFormat="1" applyFont="1" applyFill="1" applyBorder="1" applyAlignment="1" applyProtection="1">
      <alignment horizontal="center" vertical="center"/>
    </xf>
    <xf numFmtId="165" fontId="19" fillId="6" borderId="63" xfId="0" applyNumberFormat="1" applyFont="1" applyFill="1" applyBorder="1" applyAlignment="1" applyProtection="1">
      <alignment horizontal="center" vertical="center"/>
    </xf>
    <xf numFmtId="165" fontId="19" fillId="6" borderId="62" xfId="0" applyNumberFormat="1" applyFont="1" applyFill="1" applyBorder="1" applyAlignment="1" applyProtection="1">
      <alignment horizontal="center" vertical="center"/>
    </xf>
    <xf numFmtId="37" fontId="38" fillId="5" borderId="65" xfId="1" applyFont="1" applyFill="1" applyBorder="1" applyAlignment="1" applyProtection="1">
      <alignment horizontal="center" vertical="center"/>
      <protection locked="0"/>
    </xf>
    <xf numFmtId="37" fontId="38" fillId="5" borderId="84" xfId="1" applyFont="1" applyFill="1" applyBorder="1" applyAlignment="1" applyProtection="1">
      <alignment horizontal="center" vertical="center"/>
      <protection locked="0"/>
    </xf>
    <xf numFmtId="37" fontId="38" fillId="5" borderId="40" xfId="1" applyFont="1" applyFill="1" applyBorder="1" applyAlignment="1" applyProtection="1">
      <alignment horizontal="center" vertical="center"/>
      <protection locked="0"/>
    </xf>
    <xf numFmtId="37" fontId="25" fillId="0" borderId="1" xfId="1" applyFont="1" applyBorder="1" applyAlignment="1">
      <alignment horizontal="center" vertical="center" wrapText="1"/>
    </xf>
    <xf numFmtId="37" fontId="25" fillId="0" borderId="3" xfId="1" applyFont="1" applyBorder="1" applyAlignment="1">
      <alignment horizontal="center" vertical="center" wrapText="1"/>
    </xf>
    <xf numFmtId="37" fontId="25" fillId="0" borderId="16" xfId="1" applyFont="1" applyBorder="1" applyAlignment="1">
      <alignment horizontal="center" vertical="center" wrapText="1"/>
    </xf>
    <xf numFmtId="37" fontId="25" fillId="0" borderId="11" xfId="1" applyFont="1" applyBorder="1" applyAlignment="1">
      <alignment horizontal="center" vertical="center" wrapText="1"/>
    </xf>
    <xf numFmtId="37" fontId="14" fillId="0" borderId="21" xfId="1" applyFont="1" applyBorder="1" applyAlignment="1" applyProtection="1">
      <alignment horizontal="center" vertical="center"/>
    </xf>
    <xf numFmtId="37" fontId="14" fillId="0" borderId="4" xfId="1" applyFont="1" applyBorder="1" applyAlignment="1" applyProtection="1">
      <alignment horizontal="center" vertical="center"/>
    </xf>
    <xf numFmtId="37" fontId="14" fillId="0" borderId="27" xfId="1" applyFont="1" applyBorder="1" applyAlignment="1" applyProtection="1">
      <alignment horizontal="center" vertical="center"/>
    </xf>
    <xf numFmtId="37" fontId="38" fillId="5" borderId="90" xfId="1" applyFont="1" applyFill="1" applyBorder="1" applyAlignment="1" applyProtection="1">
      <alignment horizontal="center" vertical="center"/>
      <protection locked="0"/>
    </xf>
    <xf numFmtId="37" fontId="38" fillId="5" borderId="89" xfId="1" applyFont="1" applyFill="1" applyBorder="1" applyAlignment="1" applyProtection="1">
      <alignment horizontal="center" vertical="center"/>
      <protection locked="0"/>
    </xf>
    <xf numFmtId="37" fontId="26" fillId="5" borderId="49" xfId="1" applyFont="1" applyFill="1" applyBorder="1" applyAlignment="1" applyProtection="1">
      <alignment horizontal="center" vertical="center"/>
      <protection locked="0"/>
    </xf>
    <xf numFmtId="37" fontId="26" fillId="5" borderId="45" xfId="1" applyFont="1" applyFill="1" applyBorder="1" applyAlignment="1" applyProtection="1">
      <alignment horizontal="center" vertical="center"/>
      <protection locked="0"/>
    </xf>
    <xf numFmtId="37" fontId="41" fillId="5" borderId="65" xfId="1" applyFont="1" applyFill="1" applyBorder="1" applyAlignment="1" applyProtection="1">
      <alignment horizontal="center" vertical="center"/>
      <protection locked="0"/>
    </xf>
    <xf numFmtId="37" fontId="41" fillId="5" borderId="45" xfId="1" applyFont="1" applyFill="1" applyBorder="1" applyAlignment="1" applyProtection="1">
      <alignment horizontal="center" vertical="center"/>
      <protection locked="0"/>
    </xf>
    <xf numFmtId="37" fontId="26" fillId="5" borderId="90" xfId="1" applyFont="1" applyFill="1" applyBorder="1" applyAlignment="1" applyProtection="1">
      <alignment horizontal="center" vertical="center"/>
      <protection locked="0"/>
    </xf>
    <xf numFmtId="37" fontId="26" fillId="5" borderId="89" xfId="1" applyFont="1" applyFill="1" applyBorder="1" applyAlignment="1" applyProtection="1">
      <alignment horizontal="center" vertical="center"/>
      <protection locked="0"/>
    </xf>
    <xf numFmtId="37" fontId="39" fillId="5" borderId="84" xfId="1" applyFont="1" applyFill="1" applyBorder="1" applyAlignment="1" applyProtection="1">
      <alignment horizontal="center" vertical="center"/>
      <protection locked="0"/>
    </xf>
    <xf numFmtId="37" fontId="39" fillId="5" borderId="40" xfId="1" applyFont="1" applyFill="1" applyBorder="1" applyAlignment="1" applyProtection="1">
      <alignment horizontal="center" vertical="center"/>
      <protection locked="0"/>
    </xf>
    <xf numFmtId="37" fontId="39" fillId="5" borderId="84" xfId="1" applyFont="1" applyFill="1" applyBorder="1" applyAlignment="1" applyProtection="1">
      <alignment horizontal="left" vertical="center"/>
    </xf>
    <xf numFmtId="37" fontId="39" fillId="5" borderId="85" xfId="1" applyFont="1" applyFill="1" applyBorder="1" applyAlignment="1" applyProtection="1">
      <alignment horizontal="left" vertical="center"/>
    </xf>
    <xf numFmtId="37" fontId="39" fillId="5" borderId="40" xfId="1" applyFont="1" applyFill="1" applyBorder="1" applyAlignment="1" applyProtection="1">
      <alignment horizontal="left" vertical="center"/>
    </xf>
    <xf numFmtId="37" fontId="53" fillId="5" borderId="65" xfId="1" applyFont="1" applyFill="1" applyBorder="1" applyAlignment="1" applyProtection="1">
      <alignment horizontal="center" vertical="center"/>
      <protection locked="0"/>
    </xf>
    <xf numFmtId="37" fontId="53" fillId="5" borderId="45" xfId="1" applyFont="1" applyFill="1" applyBorder="1" applyAlignment="1" applyProtection="1">
      <alignment horizontal="center" vertical="center"/>
      <protection locked="0"/>
    </xf>
    <xf numFmtId="37" fontId="38" fillId="5" borderId="65" xfId="1" applyFont="1" applyFill="1" applyBorder="1" applyAlignment="1" applyProtection="1">
      <alignment horizontal="left" vertical="center"/>
    </xf>
    <xf numFmtId="37" fontId="38" fillId="5" borderId="49" xfId="1" applyFont="1" applyFill="1" applyBorder="1" applyAlignment="1" applyProtection="1">
      <alignment horizontal="left" vertical="center"/>
    </xf>
    <xf numFmtId="37" fontId="38" fillId="5" borderId="45" xfId="1" applyFont="1" applyFill="1" applyBorder="1" applyAlignment="1" applyProtection="1">
      <alignment horizontal="left" vertical="center"/>
    </xf>
    <xf numFmtId="37" fontId="39" fillId="5" borderId="67" xfId="1" applyFont="1" applyFill="1" applyBorder="1" applyAlignment="1" applyProtection="1">
      <alignment horizontal="left" vertical="center"/>
    </xf>
    <xf numFmtId="37" fontId="39" fillId="5" borderId="90" xfId="1" applyFont="1" applyFill="1" applyBorder="1" applyAlignment="1" applyProtection="1">
      <alignment horizontal="left" vertical="center"/>
    </xf>
    <xf numFmtId="37" fontId="39" fillId="5" borderId="89" xfId="1" applyFont="1" applyFill="1" applyBorder="1" applyAlignment="1" applyProtection="1">
      <alignment horizontal="left" vertical="center"/>
    </xf>
    <xf numFmtId="37" fontId="39" fillId="5" borderId="65" xfId="1" applyFont="1" applyFill="1" applyBorder="1" applyAlignment="1" applyProtection="1">
      <alignment horizontal="center" vertical="center"/>
      <protection locked="0"/>
    </xf>
    <xf numFmtId="37" fontId="39" fillId="5" borderId="45" xfId="1" applyFont="1" applyFill="1" applyBorder="1" applyAlignment="1" applyProtection="1">
      <alignment horizontal="center" vertical="center"/>
      <protection locked="0"/>
    </xf>
    <xf numFmtId="37" fontId="39" fillId="5" borderId="67" xfId="1" applyFont="1" applyFill="1" applyBorder="1" applyAlignment="1" applyProtection="1">
      <alignment horizontal="center" vertical="center"/>
      <protection locked="0"/>
    </xf>
    <xf numFmtId="37" fontId="39" fillId="5" borderId="89" xfId="1" applyFont="1" applyFill="1" applyBorder="1" applyAlignment="1" applyProtection="1">
      <alignment horizontal="center" vertical="center"/>
      <protection locked="0"/>
    </xf>
    <xf numFmtId="37" fontId="38" fillId="5" borderId="67" xfId="1" applyFont="1" applyFill="1" applyBorder="1" applyAlignment="1" applyProtection="1">
      <alignment horizontal="left" vertical="center"/>
    </xf>
    <xf numFmtId="37" fontId="38" fillId="5" borderId="90" xfId="1" applyFont="1" applyFill="1" applyBorder="1" applyAlignment="1" applyProtection="1">
      <alignment horizontal="left" vertical="center"/>
    </xf>
    <xf numFmtId="37" fontId="38" fillId="5" borderId="89" xfId="1" applyFont="1" applyFill="1" applyBorder="1" applyAlignment="1" applyProtection="1">
      <alignment horizontal="left" vertical="center"/>
    </xf>
    <xf numFmtId="37" fontId="41" fillId="5" borderId="65" xfId="1" applyFont="1" applyFill="1" applyBorder="1" applyAlignment="1" applyProtection="1">
      <alignment horizontal="left" vertical="center"/>
    </xf>
    <xf numFmtId="37" fontId="41" fillId="5" borderId="49" xfId="1" applyFont="1" applyFill="1" applyBorder="1" applyAlignment="1" applyProtection="1">
      <alignment horizontal="left" vertical="center"/>
    </xf>
    <xf numFmtId="37" fontId="41" fillId="5" borderId="45" xfId="1" applyFont="1" applyFill="1" applyBorder="1" applyAlignment="1" applyProtection="1">
      <alignment horizontal="left" vertical="center"/>
    </xf>
    <xf numFmtId="37" fontId="38" fillId="5" borderId="84" xfId="1" applyFont="1" applyFill="1" applyBorder="1" applyAlignment="1" applyProtection="1">
      <alignment horizontal="left" vertical="center"/>
    </xf>
    <xf numFmtId="37" fontId="38" fillId="5" borderId="85" xfId="1" applyFont="1" applyFill="1" applyBorder="1" applyAlignment="1" applyProtection="1">
      <alignment horizontal="left" vertical="center"/>
    </xf>
    <xf numFmtId="37" fontId="38" fillId="5" borderId="40" xfId="1" applyFont="1" applyFill="1" applyBorder="1" applyAlignment="1" applyProtection="1">
      <alignment horizontal="left" vertical="center"/>
    </xf>
    <xf numFmtId="37" fontId="14" fillId="0" borderId="65" xfId="1" applyFont="1" applyBorder="1" applyAlignment="1" applyProtection="1">
      <alignment horizontal="center" vertical="center"/>
    </xf>
    <xf numFmtId="37" fontId="14" fillId="0" borderId="49" xfId="1" applyFont="1" applyBorder="1" applyAlignment="1" applyProtection="1">
      <alignment horizontal="center" vertical="center"/>
    </xf>
    <xf numFmtId="37" fontId="14" fillId="0" borderId="45" xfId="1" applyFont="1" applyBorder="1" applyAlignment="1" applyProtection="1">
      <alignment horizontal="center" vertical="center"/>
    </xf>
    <xf numFmtId="37" fontId="49" fillId="5" borderId="84" xfId="1" applyFont="1" applyFill="1" applyBorder="1" applyAlignment="1" applyProtection="1">
      <alignment horizontal="left" vertical="center"/>
    </xf>
    <xf numFmtId="37" fontId="49" fillId="5" borderId="85" xfId="1" applyFont="1" applyFill="1" applyBorder="1" applyAlignment="1" applyProtection="1">
      <alignment horizontal="left" vertical="center"/>
    </xf>
    <xf numFmtId="37" fontId="49" fillId="5" borderId="40" xfId="1" applyFont="1" applyFill="1" applyBorder="1" applyAlignment="1" applyProtection="1">
      <alignment horizontal="left" vertical="center"/>
    </xf>
    <xf numFmtId="37" fontId="49" fillId="5" borderId="67" xfId="1" applyFont="1" applyFill="1" applyBorder="1" applyAlignment="1" applyProtection="1">
      <alignment horizontal="left" vertical="center"/>
    </xf>
    <xf numFmtId="37" fontId="49" fillId="5" borderId="90" xfId="1" applyFont="1" applyFill="1" applyBorder="1" applyAlignment="1" applyProtection="1">
      <alignment horizontal="left" vertical="center"/>
    </xf>
    <xf numFmtId="37" fontId="49" fillId="5" borderId="89" xfId="1" applyFont="1" applyFill="1" applyBorder="1" applyAlignment="1" applyProtection="1">
      <alignment horizontal="left" vertical="center"/>
    </xf>
    <xf numFmtId="37" fontId="45" fillId="5" borderId="67" xfId="1" applyFont="1" applyFill="1" applyBorder="1" applyAlignment="1" applyProtection="1">
      <alignment horizontal="left" vertical="center"/>
    </xf>
    <xf numFmtId="37" fontId="40" fillId="5" borderId="90" xfId="1" applyFont="1" applyFill="1" applyBorder="1" applyAlignment="1" applyProtection="1">
      <alignment horizontal="left" vertical="center"/>
    </xf>
    <xf numFmtId="37" fontId="40" fillId="5" borderId="89" xfId="1" applyFont="1" applyFill="1" applyBorder="1" applyAlignment="1" applyProtection="1">
      <alignment horizontal="left" vertical="center"/>
    </xf>
    <xf numFmtId="37" fontId="39" fillId="5" borderId="49" xfId="1" applyFont="1" applyFill="1" applyBorder="1" applyAlignment="1" applyProtection="1">
      <alignment horizontal="center" vertical="center"/>
      <protection locked="0"/>
    </xf>
    <xf numFmtId="37" fontId="39" fillId="5" borderId="90" xfId="1" applyFont="1" applyFill="1" applyBorder="1" applyAlignment="1" applyProtection="1">
      <alignment horizontal="center" vertical="center"/>
      <protection locked="0"/>
    </xf>
    <xf numFmtId="37" fontId="40" fillId="5" borderId="84" xfId="1" applyFont="1" applyFill="1" applyBorder="1" applyAlignment="1" applyProtection="1">
      <alignment horizontal="left" vertical="center"/>
    </xf>
    <xf numFmtId="37" fontId="40" fillId="5" borderId="85" xfId="1" applyFont="1" applyFill="1" applyBorder="1" applyAlignment="1" applyProtection="1">
      <alignment horizontal="left" vertical="center"/>
    </xf>
    <xf numFmtId="37" fontId="40" fillId="5" borderId="40" xfId="1" applyFont="1" applyFill="1" applyBorder="1" applyAlignment="1" applyProtection="1">
      <alignment horizontal="left" vertical="center"/>
    </xf>
    <xf numFmtId="37" fontId="40" fillId="5" borderId="67" xfId="1" applyFont="1" applyFill="1" applyBorder="1" applyAlignment="1" applyProtection="1">
      <alignment horizontal="left" vertical="center"/>
    </xf>
    <xf numFmtId="37" fontId="41" fillId="5" borderId="84" xfId="1" applyFont="1" applyFill="1" applyBorder="1" applyAlignment="1" applyProtection="1">
      <alignment horizontal="left" vertical="center"/>
    </xf>
    <xf numFmtId="37" fontId="41" fillId="5" borderId="85" xfId="1" applyFont="1" applyFill="1" applyBorder="1" applyAlignment="1" applyProtection="1">
      <alignment horizontal="left" vertical="center"/>
    </xf>
    <xf numFmtId="37" fontId="41" fillId="5" borderId="40" xfId="1" applyFont="1" applyFill="1" applyBorder="1" applyAlignment="1" applyProtection="1">
      <alignment horizontal="left" vertical="center"/>
    </xf>
    <xf numFmtId="37" fontId="38" fillId="5" borderId="67" xfId="1" applyFont="1" applyFill="1" applyBorder="1" applyAlignment="1" applyProtection="1">
      <alignment horizontal="center" vertical="center"/>
    </xf>
    <xf numFmtId="37" fontId="38" fillId="5" borderId="90" xfId="1" applyFont="1" applyFill="1" applyBorder="1" applyAlignment="1" applyProtection="1">
      <alignment horizontal="center" vertical="center"/>
    </xf>
    <xf numFmtId="37" fontId="38" fillId="5" borderId="89" xfId="1" applyFont="1" applyFill="1" applyBorder="1" applyAlignment="1" applyProtection="1">
      <alignment horizontal="center" vertical="center"/>
    </xf>
    <xf numFmtId="37" fontId="38" fillId="5" borderId="67" xfId="1" applyFont="1" applyFill="1" applyBorder="1" applyAlignment="1" applyProtection="1">
      <alignment horizontal="center" vertical="center"/>
      <protection locked="0"/>
    </xf>
    <xf numFmtId="37" fontId="38" fillId="5" borderId="65" xfId="1" applyFont="1" applyFill="1" applyBorder="1" applyAlignment="1" applyProtection="1">
      <alignment horizontal="center" vertical="center"/>
    </xf>
    <xf numFmtId="37" fontId="38" fillId="5" borderId="49" xfId="1" applyFont="1" applyFill="1" applyBorder="1" applyAlignment="1" applyProtection="1">
      <alignment horizontal="center" vertical="center"/>
    </xf>
    <xf numFmtId="37" fontId="38" fillId="5" borderId="45" xfId="1" applyFont="1" applyFill="1" applyBorder="1" applyAlignment="1" applyProtection="1">
      <alignment horizontal="center" vertical="center"/>
    </xf>
    <xf numFmtId="37" fontId="39" fillId="5" borderId="65" xfId="1" applyFont="1" applyFill="1" applyBorder="1" applyAlignment="1" applyProtection="1">
      <alignment horizontal="left" vertical="center"/>
    </xf>
    <xf numFmtId="37" fontId="39" fillId="5" borderId="49" xfId="1" applyFont="1" applyFill="1" applyBorder="1" applyAlignment="1" applyProtection="1">
      <alignment horizontal="left" vertical="center"/>
    </xf>
    <xf numFmtId="37" fontId="39" fillId="5" borderId="45" xfId="1" applyFont="1" applyFill="1" applyBorder="1" applyAlignment="1" applyProtection="1">
      <alignment horizontal="left" vertical="center"/>
    </xf>
    <xf numFmtId="37" fontId="39" fillId="5" borderId="67" xfId="1" applyFont="1" applyFill="1" applyBorder="1" applyAlignment="1" applyProtection="1">
      <alignment horizontal="left" vertical="center"/>
      <protection locked="0"/>
    </xf>
    <xf numFmtId="37" fontId="39" fillId="5" borderId="89" xfId="1" applyFont="1" applyFill="1" applyBorder="1" applyAlignment="1" applyProtection="1">
      <alignment horizontal="left" vertical="center"/>
      <protection locked="0"/>
    </xf>
    <xf numFmtId="37" fontId="41" fillId="5" borderId="49" xfId="1" applyFont="1" applyFill="1" applyBorder="1" applyAlignment="1" applyProtection="1">
      <alignment horizontal="center" vertical="center"/>
      <protection locked="0"/>
    </xf>
    <xf numFmtId="37" fontId="61" fillId="5" borderId="84" xfId="1" applyFont="1" applyFill="1" applyBorder="1" applyAlignment="1" applyProtection="1">
      <alignment horizontal="center" vertical="center"/>
      <protection locked="0"/>
    </xf>
    <xf numFmtId="37" fontId="41" fillId="5" borderId="90" xfId="1" applyFont="1" applyFill="1" applyBorder="1" applyAlignment="1" applyProtection="1">
      <alignment horizontal="center" vertical="center"/>
      <protection locked="0"/>
    </xf>
    <xf numFmtId="37" fontId="41" fillId="5" borderId="89" xfId="1" applyFont="1" applyFill="1" applyBorder="1" applyAlignment="1" applyProtection="1">
      <alignment horizontal="center" vertical="center"/>
      <protection locked="0"/>
    </xf>
    <xf numFmtId="37" fontId="48" fillId="5" borderId="84" xfId="1" applyFont="1" applyFill="1" applyBorder="1" applyAlignment="1" applyProtection="1">
      <alignment horizontal="left" vertical="center"/>
    </xf>
    <xf numFmtId="37" fontId="48" fillId="5" borderId="85" xfId="1" applyFont="1" applyFill="1" applyBorder="1" applyAlignment="1" applyProtection="1">
      <alignment horizontal="left" vertical="center"/>
    </xf>
    <xf numFmtId="37" fontId="48" fillId="5" borderId="40" xfId="1" applyFont="1" applyFill="1" applyBorder="1" applyAlignment="1" applyProtection="1">
      <alignment horizontal="left" vertical="center"/>
    </xf>
    <xf numFmtId="37" fontId="48" fillId="5" borderId="65" xfId="1" applyFont="1" applyFill="1" applyBorder="1" applyAlignment="1" applyProtection="1">
      <alignment horizontal="left" vertical="center"/>
    </xf>
    <xf numFmtId="37" fontId="48" fillId="5" borderId="49" xfId="1" applyFont="1" applyFill="1" applyBorder="1" applyAlignment="1" applyProtection="1">
      <alignment horizontal="left" vertical="center"/>
    </xf>
    <xf numFmtId="37" fontId="48" fillId="5" borderId="45" xfId="1" applyFont="1" applyFill="1" applyBorder="1" applyAlignment="1" applyProtection="1">
      <alignment horizontal="left" vertical="center"/>
    </xf>
    <xf numFmtId="37" fontId="48" fillId="5" borderId="67" xfId="1" applyFont="1" applyFill="1" applyBorder="1" applyAlignment="1" applyProtection="1">
      <alignment horizontal="left" vertical="center"/>
    </xf>
    <xf numFmtId="37" fontId="48" fillId="5" borderId="90" xfId="1" applyFont="1" applyFill="1" applyBorder="1" applyAlignment="1" applyProtection="1">
      <alignment horizontal="left" vertical="center"/>
    </xf>
    <xf numFmtId="37" fontId="48" fillId="5" borderId="89" xfId="1" applyFont="1" applyFill="1" applyBorder="1" applyAlignment="1" applyProtection="1">
      <alignment horizontal="left" vertical="center"/>
    </xf>
    <xf numFmtId="37" fontId="48" fillId="5" borderId="67" xfId="1" applyFont="1" applyFill="1" applyBorder="1" applyAlignment="1" applyProtection="1">
      <alignment horizontal="center" vertical="center"/>
    </xf>
    <xf numFmtId="37" fontId="48" fillId="5" borderId="90" xfId="1" applyFont="1" applyFill="1" applyBorder="1" applyAlignment="1" applyProtection="1">
      <alignment horizontal="center" vertical="center"/>
    </xf>
    <xf numFmtId="37" fontId="48" fillId="5" borderId="89" xfId="1" applyFont="1" applyFill="1" applyBorder="1" applyAlignment="1" applyProtection="1">
      <alignment horizontal="center" vertical="center"/>
    </xf>
    <xf numFmtId="37" fontId="49" fillId="5" borderId="65" xfId="1" applyFont="1" applyFill="1" applyBorder="1" applyAlignment="1" applyProtection="1">
      <alignment horizontal="left" vertical="center"/>
    </xf>
    <xf numFmtId="37" fontId="49" fillId="5" borderId="49" xfId="1" applyFont="1" applyFill="1" applyBorder="1" applyAlignment="1" applyProtection="1">
      <alignment horizontal="left" vertical="center"/>
    </xf>
    <xf numFmtId="37" fontId="49" fillId="5" borderId="45" xfId="1" applyFont="1" applyFill="1" applyBorder="1" applyAlignment="1" applyProtection="1">
      <alignment horizontal="left" vertical="center"/>
    </xf>
    <xf numFmtId="37" fontId="41" fillId="5" borderId="65" xfId="1" applyFont="1" applyFill="1" applyBorder="1" applyAlignment="1" applyProtection="1">
      <alignment horizontal="center" vertical="center"/>
    </xf>
    <xf numFmtId="37" fontId="41" fillId="5" borderId="49" xfId="1" applyFont="1" applyFill="1" applyBorder="1" applyAlignment="1" applyProtection="1">
      <alignment horizontal="center" vertical="center"/>
    </xf>
    <xf numFmtId="37" fontId="41" fillId="5" borderId="45" xfId="1" applyFont="1" applyFill="1" applyBorder="1" applyAlignment="1" applyProtection="1">
      <alignment horizontal="center" vertical="center"/>
    </xf>
    <xf numFmtId="37" fontId="40" fillId="5" borderId="65" xfId="1" applyFont="1" applyFill="1" applyBorder="1" applyAlignment="1" applyProtection="1">
      <alignment horizontal="left" vertical="center"/>
    </xf>
    <xf numFmtId="37" fontId="40" fillId="5" borderId="49" xfId="1" applyFont="1" applyFill="1" applyBorder="1" applyAlignment="1" applyProtection="1">
      <alignment horizontal="left" vertical="center"/>
    </xf>
    <xf numFmtId="37" fontId="40" fillId="5" borderId="45" xfId="1" applyFont="1" applyFill="1" applyBorder="1" applyAlignment="1" applyProtection="1">
      <alignment horizontal="left" vertical="center"/>
    </xf>
    <xf numFmtId="37" fontId="41" fillId="5" borderId="84" xfId="1" applyFont="1" applyFill="1" applyBorder="1" applyAlignment="1" applyProtection="1">
      <alignment horizontal="center" vertical="center"/>
    </xf>
    <xf numFmtId="37" fontId="41" fillId="5" borderId="85" xfId="1" applyFont="1" applyFill="1" applyBorder="1" applyAlignment="1" applyProtection="1">
      <alignment horizontal="center" vertical="center"/>
    </xf>
    <xf numFmtId="37" fontId="41" fillId="5" borderId="40" xfId="1" applyFont="1" applyFill="1" applyBorder="1" applyAlignment="1" applyProtection="1">
      <alignment horizontal="center" vertical="center"/>
    </xf>
    <xf numFmtId="37" fontId="41" fillId="5" borderId="67" xfId="1" applyFont="1" applyFill="1" applyBorder="1" applyAlignment="1" applyProtection="1">
      <alignment horizontal="center" vertical="center"/>
      <protection locked="0"/>
    </xf>
    <xf numFmtId="37" fontId="25" fillId="0" borderId="21" xfId="1" applyFont="1" applyBorder="1" applyAlignment="1">
      <alignment horizontal="center" vertical="center" wrapText="1"/>
    </xf>
    <xf numFmtId="37" fontId="25" fillId="0" borderId="27" xfId="1" applyFont="1" applyBorder="1" applyAlignment="1">
      <alignment horizontal="center" vertical="center" wrapText="1"/>
    </xf>
    <xf numFmtId="37" fontId="41" fillId="5" borderId="84" xfId="1" applyFont="1" applyFill="1" applyBorder="1" applyAlignment="1" applyProtection="1">
      <alignment horizontal="center" vertical="center"/>
      <protection locked="0"/>
    </xf>
    <xf numFmtId="37" fontId="41" fillId="5" borderId="40" xfId="1" applyFont="1" applyFill="1" applyBorder="1" applyAlignment="1" applyProtection="1">
      <alignment horizontal="center" vertical="center"/>
      <protection locked="0"/>
    </xf>
    <xf numFmtId="1" fontId="18" fillId="4" borderId="128" xfId="1" applyNumberFormat="1" applyFont="1" applyFill="1" applyBorder="1" applyAlignment="1" applyProtection="1">
      <alignment horizontal="center"/>
      <protection locked="0"/>
    </xf>
    <xf numFmtId="166" fontId="18" fillId="4" borderId="33" xfId="1" applyNumberFormat="1" applyFont="1" applyFill="1" applyBorder="1" applyAlignment="1" applyProtection="1">
      <alignment horizontal="center"/>
      <protection locked="0"/>
    </xf>
    <xf numFmtId="166" fontId="18" fillId="4" borderId="107" xfId="1" applyNumberFormat="1" applyFont="1" applyFill="1" applyBorder="1" applyAlignment="1" applyProtection="1">
      <alignment horizontal="center"/>
      <protection locked="0"/>
    </xf>
    <xf numFmtId="2" fontId="19" fillId="6" borderId="19" xfId="1" applyNumberFormat="1" applyFont="1" applyFill="1" applyBorder="1" applyAlignment="1" applyProtection="1">
      <alignment horizontal="center" vertical="center"/>
    </xf>
    <xf numFmtId="2" fontId="19" fillId="6" borderId="20" xfId="1" applyNumberFormat="1" applyFont="1" applyFill="1" applyBorder="1" applyAlignment="1" applyProtection="1">
      <alignment horizontal="center" vertical="center"/>
    </xf>
    <xf numFmtId="2" fontId="19" fillId="6" borderId="12" xfId="1" applyNumberFormat="1" applyFont="1" applyFill="1" applyBorder="1" applyAlignment="1" applyProtection="1">
      <alignment horizontal="center" vertical="center"/>
    </xf>
    <xf numFmtId="49" fontId="15" fillId="0" borderId="109" xfId="1" applyNumberFormat="1" applyFont="1" applyBorder="1" applyAlignment="1">
      <alignment horizontal="center" vertical="center"/>
    </xf>
    <xf numFmtId="49" fontId="15" fillId="0" borderId="110" xfId="1" applyNumberFormat="1" applyFont="1" applyBorder="1" applyAlignment="1">
      <alignment horizontal="center" vertical="center"/>
    </xf>
    <xf numFmtId="37" fontId="14" fillId="0" borderId="5" xfId="1" applyFont="1" applyBorder="1" applyAlignment="1" applyProtection="1">
      <alignment horizontal="center" vertical="center"/>
    </xf>
    <xf numFmtId="37" fontId="14" fillId="0" borderId="56" xfId="1" applyFont="1" applyBorder="1" applyAlignment="1" applyProtection="1">
      <alignment horizontal="center" vertical="center"/>
    </xf>
    <xf numFmtId="37" fontId="26" fillId="5" borderId="65" xfId="1" applyFont="1" applyFill="1" applyBorder="1" applyAlignment="1" applyProtection="1">
      <alignment horizontal="center" vertical="center"/>
      <protection locked="0"/>
    </xf>
  </cellXfs>
  <cellStyles count="5">
    <cellStyle name="Normal" xfId="0" builtinId="0"/>
    <cellStyle name="Normal 2" xfId="3"/>
    <cellStyle name="Normal_FORMTILE" xfId="1"/>
    <cellStyle name="Normal_TNP1M100347" xfId="2"/>
    <cellStyle name="Percent" xfId="4" builtinId="5"/>
  </cellStyles>
  <dxfs count="1">
    <dxf>
      <font>
        <color theme="0"/>
      </font>
    </dxf>
  </dxfs>
  <tableStyles count="0" defaultTableStyle="TableStyleMedium2" defaultPivotStyle="PivotStyleLight16"/>
  <colors>
    <mruColors>
      <color rgb="FFFF33CC"/>
      <color rgb="FF3333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Dry reject Prestige</a:t>
            </a:r>
            <a:r>
              <a:rPr lang="en-US" baseline="0"/>
              <a:t> Aug</a:t>
            </a:r>
            <a:r>
              <a:rPr lang="en-US"/>
              <a:t> 26</a:t>
            </a:r>
          </a:p>
        </c:rich>
      </c:tx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 Pareto Dry reject'!$A$2:$A$12</c:f>
              <c:strCache>
                <c:ptCount val="1"/>
                <c:pt idx="0">
                  <c:v>ครอบสัน ครอบปิดจั่ว ครอบตะเข้ ครอบปิดปลายตะเข้ ครอบข้างซิมเลท ครอบข้างปิดปลายซิมเลท ครอบหัวผนัง ครอบข้างผนัง ครอบปั้นลม ครอบปิดปลายปั้นลม 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Pareto Dry reject'!$D$2:$D$12</c:f>
              <c:strCache>
                <c:ptCount val="11"/>
                <c:pt idx="0">
                  <c:v>15.15%</c:v>
                </c:pt>
                <c:pt idx="1">
                  <c:v>0.74%</c:v>
                </c:pt>
                <c:pt idx="2">
                  <c:v>5.86%</c:v>
                </c:pt>
                <c:pt idx="3">
                  <c:v>11.73%</c:v>
                </c:pt>
                <c:pt idx="4">
                  <c:v>6.18%</c:v>
                </c:pt>
                <c:pt idx="5">
                  <c:v>10.23%</c:v>
                </c:pt>
                <c:pt idx="6">
                  <c:v>11.22%</c:v>
                </c:pt>
                <c:pt idx="10">
                  <c:v>8.25%</c:v>
                </c:pt>
              </c:strCache>
            </c:strRef>
          </c:cat>
          <c:val>
            <c:numRef>
              <c:f>' Pareto Dry reject'!$D$2:$D$12</c:f>
              <c:numCache>
                <c:formatCode>0.00%</c:formatCode>
                <c:ptCount val="11"/>
                <c:pt idx="0">
                  <c:v>0.15151720860769805</c:v>
                </c:pt>
                <c:pt idx="1">
                  <c:v>7.4349442379182153E-3</c:v>
                </c:pt>
                <c:pt idx="2">
                  <c:v>5.8566722245044264E-2</c:v>
                </c:pt>
                <c:pt idx="3">
                  <c:v>0.11727462407367437</c:v>
                </c:pt>
                <c:pt idx="4">
                  <c:v>6.1760606168912401E-2</c:v>
                </c:pt>
                <c:pt idx="5">
                  <c:v>0.1023461407684461</c:v>
                </c:pt>
                <c:pt idx="6">
                  <c:v>0.11224489795918367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8.247302502121627E-2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F6C-47A6-A23E-397F0EAA1000}"/>
            </c:ext>
          </c:extLst>
        </c:ser>
        <c:dLbls>
          <c:showVal val="1"/>
        </c:dLbls>
        <c:gapWidth val="100"/>
        <c:overlap val="-24"/>
        <c:axId val="211401728"/>
        <c:axId val="262910720"/>
      </c:barChart>
      <c:catAx>
        <c:axId val="21140172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910720"/>
        <c:crosses val="autoZero"/>
        <c:auto val="1"/>
        <c:lblAlgn val="ctr"/>
        <c:lblOffset val="100"/>
      </c:catAx>
      <c:valAx>
        <c:axId val="26291072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0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Cement Prestige </a:t>
            </a:r>
            <a:r>
              <a:rPr lang="en-US" sz="1400" b="1" i="0" u="none" strike="noStrike" cap="none" baseline="0">
                <a:effectLst/>
              </a:rPr>
              <a:t>Aug 2026</a:t>
            </a:r>
            <a:endParaRPr lang="en-US"/>
          </a:p>
        </c:rich>
      </c:tx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usage!$C$1</c:f>
              <c:strCache>
                <c:ptCount val="1"/>
                <c:pt idx="0">
                  <c:v>Cement Prestige Mar 2026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usage!$A$2:$A$33</c:f>
              <c:strCache>
                <c:ptCount val="32"/>
                <c:pt idx="0">
                  <c:v>8/1/2569</c:v>
                </c:pt>
                <c:pt idx="1">
                  <c:v>00/08/2569</c:v>
                </c:pt>
                <c:pt idx="2">
                  <c:v>8/3/2569</c:v>
                </c:pt>
                <c:pt idx="3">
                  <c:v>00/08/2569</c:v>
                </c:pt>
                <c:pt idx="4">
                  <c:v>8/5/2569</c:v>
                </c:pt>
                <c:pt idx="5">
                  <c:v>8/6/2569</c:v>
                </c:pt>
                <c:pt idx="6">
                  <c:v>8/7/2569</c:v>
                </c:pt>
                <c:pt idx="7">
                  <c:v>8/8/2569</c:v>
                </c:pt>
                <c:pt idx="8">
                  <c:v>00/08/2569</c:v>
                </c:pt>
                <c:pt idx="9">
                  <c:v>8/10/2569</c:v>
                </c:pt>
                <c:pt idx="10">
                  <c:v>8/11/2569</c:v>
                </c:pt>
                <c:pt idx="11">
                  <c:v>00/08/2569</c:v>
                </c:pt>
                <c:pt idx="12">
                  <c:v>8/13/2569</c:v>
                </c:pt>
                <c:pt idx="13">
                  <c:v>8/14/2569</c:v>
                </c:pt>
                <c:pt idx="14">
                  <c:v>8/15/2569</c:v>
                </c:pt>
                <c:pt idx="15">
                  <c:v>00/08/2569</c:v>
                </c:pt>
                <c:pt idx="16">
                  <c:v>8/17/2569</c:v>
                </c:pt>
                <c:pt idx="17">
                  <c:v>8/18/2569</c:v>
                </c:pt>
                <c:pt idx="18">
                  <c:v>8/19/2569</c:v>
                </c:pt>
                <c:pt idx="19">
                  <c:v>8/20/2569</c:v>
                </c:pt>
                <c:pt idx="20">
                  <c:v>8/21/2569</c:v>
                </c:pt>
                <c:pt idx="21">
                  <c:v>8/22/2569</c:v>
                </c:pt>
                <c:pt idx="22">
                  <c:v>8/23/2569</c:v>
                </c:pt>
                <c:pt idx="23">
                  <c:v>00/08/2569</c:v>
                </c:pt>
                <c:pt idx="24">
                  <c:v>00/08/2569</c:v>
                </c:pt>
                <c:pt idx="25">
                  <c:v>00/08/2569</c:v>
                </c:pt>
                <c:pt idx="26">
                  <c:v>00/08/2569</c:v>
                </c:pt>
                <c:pt idx="27">
                  <c:v>00/08/2569</c:v>
                </c:pt>
                <c:pt idx="28">
                  <c:v>00/08/2569</c:v>
                </c:pt>
                <c:pt idx="29">
                  <c:v>8/31/2569</c:v>
                </c:pt>
                <c:pt idx="30">
                  <c:v>8/31/2569</c:v>
                </c:pt>
                <c:pt idx="31">
                  <c:v>Total</c:v>
                </c:pt>
              </c:strCache>
            </c:strRef>
          </c:cat>
          <c:val>
            <c:numRef>
              <c:f>usage!$C$2:$C$33</c:f>
              <c:numCache>
                <c:formatCode>0.00</c:formatCode>
                <c:ptCount val="32"/>
                <c:pt idx="0">
                  <c:v>0.95188768084924236</c:v>
                </c:pt>
                <c:pt idx="1">
                  <c:v>0</c:v>
                </c:pt>
                <c:pt idx="2">
                  <c:v>0.83653296766083873</c:v>
                </c:pt>
                <c:pt idx="3">
                  <c:v>0.83259259259259255</c:v>
                </c:pt>
                <c:pt idx="4">
                  <c:v>0.88039892596854619</c:v>
                </c:pt>
                <c:pt idx="5">
                  <c:v>0.90702639751552794</c:v>
                </c:pt>
                <c:pt idx="6">
                  <c:v>0.96147985615895659</c:v>
                </c:pt>
                <c:pt idx="7">
                  <c:v>1.0894166401020082</c:v>
                </c:pt>
                <c:pt idx="8">
                  <c:v>0</c:v>
                </c:pt>
                <c:pt idx="9">
                  <c:v>0.97944051230198859</c:v>
                </c:pt>
                <c:pt idx="10">
                  <c:v>0.91300699300699306</c:v>
                </c:pt>
                <c:pt idx="11">
                  <c:v>0</c:v>
                </c:pt>
                <c:pt idx="12">
                  <c:v>0.87021469609918356</c:v>
                </c:pt>
                <c:pt idx="13">
                  <c:v>0.87058353849224834</c:v>
                </c:pt>
                <c:pt idx="14">
                  <c:v>0.84215439186035657</c:v>
                </c:pt>
                <c:pt idx="15">
                  <c:v>0</c:v>
                </c:pt>
                <c:pt idx="16">
                  <c:v>0.83705732246218956</c:v>
                </c:pt>
                <c:pt idx="17">
                  <c:v>0.81458820294238965</c:v>
                </c:pt>
                <c:pt idx="18">
                  <c:v>0.8095531587057011</c:v>
                </c:pt>
                <c:pt idx="19">
                  <c:v>0.97329893195727835</c:v>
                </c:pt>
                <c:pt idx="20">
                  <c:v>0.89524883688143242</c:v>
                </c:pt>
                <c:pt idx="21">
                  <c:v>1.1776573572321802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0.98285378743394014</c:v>
                </c:pt>
                <c:pt idx="30">
                  <c:v>0</c:v>
                </c:pt>
                <c:pt idx="31" formatCode="0.000">
                  <c:v>0.88649057915249596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9E3-4972-8A08-8C1EFBB1C849}"/>
            </c:ext>
          </c:extLst>
        </c:ser>
        <c:dLbls/>
        <c:marker val="1"/>
        <c:axId val="214142976"/>
        <c:axId val="214144512"/>
      </c:lineChart>
      <c:catAx>
        <c:axId val="214142976"/>
        <c:scaling>
          <c:orientation val="minMax"/>
        </c:scaling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44512"/>
        <c:crosses val="autoZero"/>
        <c:auto val="1"/>
        <c:lblAlgn val="ctr"/>
        <c:lblOffset val="100"/>
      </c:catAx>
      <c:valAx>
        <c:axId val="214144512"/>
        <c:scaling>
          <c:orientation val="minMax"/>
        </c:scaling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4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Usage water base Prestige Aug 2026</a:t>
            </a:r>
          </a:p>
        </c:rich>
      </c:tx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usage!$B$1</c:f>
              <c:strCache>
                <c:ptCount val="1"/>
                <c:pt idx="0">
                  <c:v>Usage water base Prestige Mar 2026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usage!$A$2:$A$33</c:f>
              <c:strCache>
                <c:ptCount val="32"/>
                <c:pt idx="0">
                  <c:v>8/1/2569</c:v>
                </c:pt>
                <c:pt idx="1">
                  <c:v>00/08/2569</c:v>
                </c:pt>
                <c:pt idx="2">
                  <c:v>8/3/2569</c:v>
                </c:pt>
                <c:pt idx="3">
                  <c:v>00/08/2569</c:v>
                </c:pt>
                <c:pt idx="4">
                  <c:v>8/5/2569</c:v>
                </c:pt>
                <c:pt idx="5">
                  <c:v>8/6/2569</c:v>
                </c:pt>
                <c:pt idx="6">
                  <c:v>8/7/2569</c:v>
                </c:pt>
                <c:pt idx="7">
                  <c:v>8/8/2569</c:v>
                </c:pt>
                <c:pt idx="8">
                  <c:v>00/08/2569</c:v>
                </c:pt>
                <c:pt idx="9">
                  <c:v>8/10/2569</c:v>
                </c:pt>
                <c:pt idx="10">
                  <c:v>8/11/2569</c:v>
                </c:pt>
                <c:pt idx="11">
                  <c:v>00/08/2569</c:v>
                </c:pt>
                <c:pt idx="12">
                  <c:v>8/13/2569</c:v>
                </c:pt>
                <c:pt idx="13">
                  <c:v>8/14/2569</c:v>
                </c:pt>
                <c:pt idx="14">
                  <c:v>8/15/2569</c:v>
                </c:pt>
                <c:pt idx="15">
                  <c:v>00/08/2569</c:v>
                </c:pt>
                <c:pt idx="16">
                  <c:v>8/17/2569</c:v>
                </c:pt>
                <c:pt idx="17">
                  <c:v>8/18/2569</c:v>
                </c:pt>
                <c:pt idx="18">
                  <c:v>8/19/2569</c:v>
                </c:pt>
                <c:pt idx="19">
                  <c:v>8/20/2569</c:v>
                </c:pt>
                <c:pt idx="20">
                  <c:v>8/21/2569</c:v>
                </c:pt>
                <c:pt idx="21">
                  <c:v>8/22/2569</c:v>
                </c:pt>
                <c:pt idx="22">
                  <c:v>8/23/2569</c:v>
                </c:pt>
                <c:pt idx="23">
                  <c:v>00/08/2569</c:v>
                </c:pt>
                <c:pt idx="24">
                  <c:v>00/08/2569</c:v>
                </c:pt>
                <c:pt idx="25">
                  <c:v>00/08/2569</c:v>
                </c:pt>
                <c:pt idx="26">
                  <c:v>00/08/2569</c:v>
                </c:pt>
                <c:pt idx="27">
                  <c:v>00/08/2569</c:v>
                </c:pt>
                <c:pt idx="28">
                  <c:v>00/08/2569</c:v>
                </c:pt>
                <c:pt idx="29">
                  <c:v>8/31/2569</c:v>
                </c:pt>
                <c:pt idx="30">
                  <c:v>8/31/2569</c:v>
                </c:pt>
                <c:pt idx="31">
                  <c:v>Total</c:v>
                </c:pt>
              </c:strCache>
            </c:strRef>
          </c:cat>
          <c:val>
            <c:numRef>
              <c:f>usage!$B$2:$B$33</c:f>
              <c:numCache>
                <c:formatCode>#,##0.00_);\(#,##0.00\)</c:formatCode>
                <c:ptCount val="32"/>
                <c:pt idx="0">
                  <c:v>30.990497388922183</c:v>
                </c:pt>
                <c:pt idx="1">
                  <c:v>0</c:v>
                </c:pt>
                <c:pt idx="2">
                  <c:v>31.31070734773169</c:v>
                </c:pt>
                <c:pt idx="3">
                  <c:v>34.74074074074074</c:v>
                </c:pt>
                <c:pt idx="4">
                  <c:v>37.667817414652859</c:v>
                </c:pt>
                <c:pt idx="5">
                  <c:v>42.119565217391305</c:v>
                </c:pt>
                <c:pt idx="6">
                  <c:v>34.375571402450177</c:v>
                </c:pt>
                <c:pt idx="7">
                  <c:v>39.84698756773988</c:v>
                </c:pt>
                <c:pt idx="8">
                  <c:v>0</c:v>
                </c:pt>
                <c:pt idx="9">
                  <c:v>38.647342995169083</c:v>
                </c:pt>
                <c:pt idx="10">
                  <c:v>33.752913752913756</c:v>
                </c:pt>
                <c:pt idx="11">
                  <c:v>0</c:v>
                </c:pt>
                <c:pt idx="12">
                  <c:v>30.843664953129725</c:v>
                </c:pt>
                <c:pt idx="13">
                  <c:v>31.539024552531771</c:v>
                </c:pt>
                <c:pt idx="14">
                  <c:v>37.151124801642865</c:v>
                </c:pt>
                <c:pt idx="15">
                  <c:v>0</c:v>
                </c:pt>
                <c:pt idx="16">
                  <c:v>30.372813842036471</c:v>
                </c:pt>
                <c:pt idx="17">
                  <c:v>36.161143957101608</c:v>
                </c:pt>
                <c:pt idx="18">
                  <c:v>31.309707241910633</c:v>
                </c:pt>
                <c:pt idx="19">
                  <c:v>32.881315252610108</c:v>
                </c:pt>
                <c:pt idx="20">
                  <c:v>32.990272099252785</c:v>
                </c:pt>
                <c:pt idx="21">
                  <c:v>37.348895373072111</c:v>
                </c:pt>
                <c:pt idx="22">
                  <c:v>198.11320754716982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35.231943628890193</c:v>
                </c:pt>
                <c:pt idx="30">
                  <c:v>33.790498906777977</c:v>
                </c:pt>
                <c:pt idx="31" formatCode="0.000">
                  <c:v>34.059032346150978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0E3-4654-9D7C-57BBAF83114E}"/>
            </c:ext>
          </c:extLst>
        </c:ser>
        <c:dLbls/>
        <c:marker val="1"/>
        <c:axId val="262804992"/>
        <c:axId val="262806528"/>
      </c:lineChart>
      <c:catAx>
        <c:axId val="262804992"/>
        <c:scaling>
          <c:orientation val="minMax"/>
        </c:scaling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06528"/>
        <c:crosses val="autoZero"/>
        <c:auto val="1"/>
        <c:lblAlgn val="ctr"/>
        <c:lblOffset val="100"/>
      </c:catAx>
      <c:valAx>
        <c:axId val="262806528"/>
        <c:scaling>
          <c:orientation val="minMax"/>
        </c:scaling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_);\(#,##0.00\)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04992"/>
        <c:crosses val="autoZero"/>
        <c:crossBetween val="between"/>
      </c:valAx>
      <c:spPr>
        <a:noFill/>
        <a:ln>
          <a:noFill/>
        </a:ln>
        <a:effectLst/>
      </c:spPr>
    </c:plotArea>
    <c:dispBlanksAs val="gap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VANICLEAN Aug 2026</a:t>
            </a:r>
          </a:p>
        </c:rich>
      </c:tx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usage!$D$1</c:f>
              <c:strCache>
                <c:ptCount val="1"/>
                <c:pt idx="0">
                  <c:v>VANICLEAN Mar 2026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usage!$A$2:$A$33</c:f>
              <c:strCache>
                <c:ptCount val="32"/>
                <c:pt idx="0">
                  <c:v>8/1/2569</c:v>
                </c:pt>
                <c:pt idx="1">
                  <c:v>00/08/2569</c:v>
                </c:pt>
                <c:pt idx="2">
                  <c:v>8/3/2569</c:v>
                </c:pt>
                <c:pt idx="3">
                  <c:v>00/08/2569</c:v>
                </c:pt>
                <c:pt idx="4">
                  <c:v>8/5/2569</c:v>
                </c:pt>
                <c:pt idx="5">
                  <c:v>8/6/2569</c:v>
                </c:pt>
                <c:pt idx="6">
                  <c:v>8/7/2569</c:v>
                </c:pt>
                <c:pt idx="7">
                  <c:v>8/8/2569</c:v>
                </c:pt>
                <c:pt idx="8">
                  <c:v>00/08/2569</c:v>
                </c:pt>
                <c:pt idx="9">
                  <c:v>8/10/2569</c:v>
                </c:pt>
                <c:pt idx="10">
                  <c:v>8/11/2569</c:v>
                </c:pt>
                <c:pt idx="11">
                  <c:v>00/08/2569</c:v>
                </c:pt>
                <c:pt idx="12">
                  <c:v>8/13/2569</c:v>
                </c:pt>
                <c:pt idx="13">
                  <c:v>8/14/2569</c:v>
                </c:pt>
                <c:pt idx="14">
                  <c:v>8/15/2569</c:v>
                </c:pt>
                <c:pt idx="15">
                  <c:v>00/08/2569</c:v>
                </c:pt>
                <c:pt idx="16">
                  <c:v>8/17/2569</c:v>
                </c:pt>
                <c:pt idx="17">
                  <c:v>8/18/2569</c:v>
                </c:pt>
                <c:pt idx="18">
                  <c:v>8/19/2569</c:v>
                </c:pt>
                <c:pt idx="19">
                  <c:v>8/20/2569</c:v>
                </c:pt>
                <c:pt idx="20">
                  <c:v>8/21/2569</c:v>
                </c:pt>
                <c:pt idx="21">
                  <c:v>8/22/2569</c:v>
                </c:pt>
                <c:pt idx="22">
                  <c:v>8/23/2569</c:v>
                </c:pt>
                <c:pt idx="23">
                  <c:v>00/08/2569</c:v>
                </c:pt>
                <c:pt idx="24">
                  <c:v>00/08/2569</c:v>
                </c:pt>
                <c:pt idx="25">
                  <c:v>00/08/2569</c:v>
                </c:pt>
                <c:pt idx="26">
                  <c:v>00/08/2569</c:v>
                </c:pt>
                <c:pt idx="27">
                  <c:v>00/08/2569</c:v>
                </c:pt>
                <c:pt idx="28">
                  <c:v>00/08/2569</c:v>
                </c:pt>
                <c:pt idx="29">
                  <c:v>8/31/2569</c:v>
                </c:pt>
                <c:pt idx="30">
                  <c:v>8/31/2569</c:v>
                </c:pt>
                <c:pt idx="31">
                  <c:v>Total</c:v>
                </c:pt>
              </c:strCache>
            </c:strRef>
          </c:cat>
          <c:val>
            <c:numRef>
              <c:f>usage!$D$2:$D$33</c:f>
              <c:numCache>
                <c:formatCode>0.00</c:formatCode>
                <c:ptCount val="32"/>
                <c:pt idx="0">
                  <c:v>3.8524098964129783</c:v>
                </c:pt>
                <c:pt idx="1">
                  <c:v>0</c:v>
                </c:pt>
                <c:pt idx="2">
                  <c:v>3.6567249457204891</c:v>
                </c:pt>
                <c:pt idx="3">
                  <c:v>4.8148148148148149</c:v>
                </c:pt>
                <c:pt idx="4">
                  <c:v>4.9865746068277712</c:v>
                </c:pt>
                <c:pt idx="5">
                  <c:v>4.8524844720496896</c:v>
                </c:pt>
                <c:pt idx="6">
                  <c:v>4.6931187907600416</c:v>
                </c:pt>
                <c:pt idx="7">
                  <c:v>12.91042397194772</c:v>
                </c:pt>
                <c:pt idx="8">
                  <c:v>0</c:v>
                </c:pt>
                <c:pt idx="9">
                  <c:v>7.6395910571845862</c:v>
                </c:pt>
                <c:pt idx="10">
                  <c:v>5.6876456876456878</c:v>
                </c:pt>
                <c:pt idx="11">
                  <c:v>0</c:v>
                </c:pt>
                <c:pt idx="12">
                  <c:v>3.6891442394919869</c:v>
                </c:pt>
                <c:pt idx="13">
                  <c:v>4.1918956683744764</c:v>
                </c:pt>
                <c:pt idx="14">
                  <c:v>4.107159525809764</c:v>
                </c:pt>
                <c:pt idx="15">
                  <c:v>0</c:v>
                </c:pt>
                <c:pt idx="16">
                  <c:v>4.6679529470342942</c:v>
                </c:pt>
                <c:pt idx="17">
                  <c:v>5.0185618039323527</c:v>
                </c:pt>
                <c:pt idx="18">
                  <c:v>4.8690292758089369</c:v>
                </c:pt>
                <c:pt idx="19">
                  <c:v>4.3801752070082802</c:v>
                </c:pt>
                <c:pt idx="20">
                  <c:v>5.0754264768081203</c:v>
                </c:pt>
                <c:pt idx="21">
                  <c:v>6.0858691121300543</c:v>
                </c:pt>
                <c:pt idx="22">
                  <c:v>18.867924528301888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5.5196711685261306</c:v>
                </c:pt>
                <c:pt idx="30">
                  <c:v>3.1802822500496921</c:v>
                </c:pt>
                <c:pt idx="31">
                  <c:v>4.9359117576479736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D6A-486A-870E-4AD3847194FD}"/>
            </c:ext>
          </c:extLst>
        </c:ser>
        <c:dLbls/>
        <c:marker val="1"/>
        <c:axId val="262831488"/>
        <c:axId val="262861952"/>
      </c:lineChart>
      <c:catAx>
        <c:axId val="26283148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61952"/>
        <c:crosses val="autoZero"/>
        <c:auto val="1"/>
        <c:lblAlgn val="ctr"/>
        <c:lblOffset val="100"/>
      </c:catAx>
      <c:valAx>
        <c:axId val="26286195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3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'wet&amp;dry '!$B$1</c:f>
              <c:strCache>
                <c:ptCount val="1"/>
                <c:pt idx="0">
                  <c:v>Wet reject Prestige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'wet&amp;dry '!$A$2:$A$33</c:f>
              <c:strCache>
                <c:ptCount val="32"/>
                <c:pt idx="0">
                  <c:v>8/1/2569</c:v>
                </c:pt>
                <c:pt idx="1">
                  <c:v>00/08/2569</c:v>
                </c:pt>
                <c:pt idx="2">
                  <c:v>8/3/2569</c:v>
                </c:pt>
                <c:pt idx="3">
                  <c:v>00/08/2569</c:v>
                </c:pt>
                <c:pt idx="4">
                  <c:v>8/5/2569</c:v>
                </c:pt>
                <c:pt idx="5">
                  <c:v>8/6/2569</c:v>
                </c:pt>
                <c:pt idx="6">
                  <c:v>8/7/2569</c:v>
                </c:pt>
                <c:pt idx="7">
                  <c:v>8/8/2569</c:v>
                </c:pt>
                <c:pt idx="8">
                  <c:v>00/08/2569</c:v>
                </c:pt>
                <c:pt idx="9">
                  <c:v>8/10/2569</c:v>
                </c:pt>
                <c:pt idx="10">
                  <c:v>8/11/2569</c:v>
                </c:pt>
                <c:pt idx="11">
                  <c:v>00/08/2569</c:v>
                </c:pt>
                <c:pt idx="12">
                  <c:v>8/13/2569</c:v>
                </c:pt>
                <c:pt idx="13">
                  <c:v>8/14/2569</c:v>
                </c:pt>
                <c:pt idx="14">
                  <c:v>8/15/2569</c:v>
                </c:pt>
                <c:pt idx="15">
                  <c:v>00/08/2569</c:v>
                </c:pt>
                <c:pt idx="16">
                  <c:v>8/17/2569</c:v>
                </c:pt>
                <c:pt idx="17">
                  <c:v>8/18/2569</c:v>
                </c:pt>
                <c:pt idx="18">
                  <c:v>8/19/2569</c:v>
                </c:pt>
                <c:pt idx="19">
                  <c:v>8/20/2569</c:v>
                </c:pt>
                <c:pt idx="20">
                  <c:v>8/21/2569</c:v>
                </c:pt>
                <c:pt idx="21">
                  <c:v>8/22/2569</c:v>
                </c:pt>
                <c:pt idx="22">
                  <c:v>8/23/2569</c:v>
                </c:pt>
                <c:pt idx="23">
                  <c:v>00/08/2569</c:v>
                </c:pt>
                <c:pt idx="24">
                  <c:v>00/08/2569</c:v>
                </c:pt>
                <c:pt idx="25">
                  <c:v>00/08/2569</c:v>
                </c:pt>
                <c:pt idx="26">
                  <c:v>00/08/2569</c:v>
                </c:pt>
                <c:pt idx="27">
                  <c:v>00/08/2569</c:v>
                </c:pt>
                <c:pt idx="28">
                  <c:v>00/08/2569</c:v>
                </c:pt>
                <c:pt idx="29">
                  <c:v>8/31/2569</c:v>
                </c:pt>
                <c:pt idx="30">
                  <c:v>8/31/2569</c:v>
                </c:pt>
                <c:pt idx="31">
                  <c:v>Total</c:v>
                </c:pt>
              </c:strCache>
            </c:strRef>
          </c:cat>
          <c:val>
            <c:numRef>
              <c:f>'wet&amp;dry '!$B$2:$B$33</c:f>
              <c:numCache>
                <c:formatCode>0.00%</c:formatCode>
                <c:ptCount val="32"/>
                <c:pt idx="0">
                  <c:v>9.1184937368707697E-2</c:v>
                </c:pt>
                <c:pt idx="1">
                  <c:v>0</c:v>
                </c:pt>
                <c:pt idx="2">
                  <c:v>8.0052562417871218E-2</c:v>
                </c:pt>
                <c:pt idx="3">
                  <c:v>0.12457039102522534</c:v>
                </c:pt>
                <c:pt idx="4">
                  <c:v>0.13302294645826404</c:v>
                </c:pt>
                <c:pt idx="5">
                  <c:v>0.10726044013169295</c:v>
                </c:pt>
                <c:pt idx="6">
                  <c:v>0.17919855920756417</c:v>
                </c:pt>
                <c:pt idx="7">
                  <c:v>0.13018161652571744</c:v>
                </c:pt>
                <c:pt idx="8">
                  <c:v>0</c:v>
                </c:pt>
                <c:pt idx="9">
                  <c:v>0.13025210084033614</c:v>
                </c:pt>
                <c:pt idx="10">
                  <c:v>9.7298207221614336E-2</c:v>
                </c:pt>
                <c:pt idx="11">
                  <c:v>0</c:v>
                </c:pt>
                <c:pt idx="12">
                  <c:v>8.2408435072142058E-2</c:v>
                </c:pt>
                <c:pt idx="13">
                  <c:v>9.3710426340227942E-2</c:v>
                </c:pt>
                <c:pt idx="14">
                  <c:v>7.3029332871852551E-2</c:v>
                </c:pt>
                <c:pt idx="15">
                  <c:v>0</c:v>
                </c:pt>
                <c:pt idx="16">
                  <c:v>9.6801394119961776E-2</c:v>
                </c:pt>
                <c:pt idx="17">
                  <c:v>9.4271481942714813E-2</c:v>
                </c:pt>
                <c:pt idx="18">
                  <c:v>8.8175789591997303E-2</c:v>
                </c:pt>
                <c:pt idx="19">
                  <c:v>9.1176791362198709E-2</c:v>
                </c:pt>
                <c:pt idx="20">
                  <c:v>9.7926999872822079E-2</c:v>
                </c:pt>
                <c:pt idx="21">
                  <c:v>0.12330068703405934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0.116792863810808</c:v>
                </c:pt>
                <c:pt idx="30">
                  <c:v>0.10016097299230907</c:v>
                </c:pt>
                <c:pt idx="31">
                  <c:v>0.10629848472523165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50-4FCC-BE44-E07736BA975F}"/>
            </c:ext>
          </c:extLst>
        </c:ser>
        <c:dLbls/>
        <c:marker val="1"/>
        <c:axId val="263284992"/>
        <c:axId val="263290880"/>
      </c:lineChart>
      <c:catAx>
        <c:axId val="26328499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290880"/>
        <c:crosses val="autoZero"/>
        <c:auto val="1"/>
        <c:lblAlgn val="ctr"/>
        <c:lblOffset val="100"/>
      </c:catAx>
      <c:valAx>
        <c:axId val="26329088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28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'wet&amp;dry '!$C$1</c:f>
              <c:strCache>
                <c:ptCount val="1"/>
                <c:pt idx="0">
                  <c:v>Dry reject Prestige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'wet&amp;dry '!$A$2:$A$33</c:f>
              <c:strCache>
                <c:ptCount val="32"/>
                <c:pt idx="0">
                  <c:v>8/1/2569</c:v>
                </c:pt>
                <c:pt idx="1">
                  <c:v>00/08/2569</c:v>
                </c:pt>
                <c:pt idx="2">
                  <c:v>8/3/2569</c:v>
                </c:pt>
                <c:pt idx="3">
                  <c:v>00/08/2569</c:v>
                </c:pt>
                <c:pt idx="4">
                  <c:v>8/5/2569</c:v>
                </c:pt>
                <c:pt idx="5">
                  <c:v>8/6/2569</c:v>
                </c:pt>
                <c:pt idx="6">
                  <c:v>8/7/2569</c:v>
                </c:pt>
                <c:pt idx="7">
                  <c:v>8/8/2569</c:v>
                </c:pt>
                <c:pt idx="8">
                  <c:v>00/08/2569</c:v>
                </c:pt>
                <c:pt idx="9">
                  <c:v>8/10/2569</c:v>
                </c:pt>
                <c:pt idx="10">
                  <c:v>8/11/2569</c:v>
                </c:pt>
                <c:pt idx="11">
                  <c:v>00/08/2569</c:v>
                </c:pt>
                <c:pt idx="12">
                  <c:v>8/13/2569</c:v>
                </c:pt>
                <c:pt idx="13">
                  <c:v>8/14/2569</c:v>
                </c:pt>
                <c:pt idx="14">
                  <c:v>8/15/2569</c:v>
                </c:pt>
                <c:pt idx="15">
                  <c:v>00/08/2569</c:v>
                </c:pt>
                <c:pt idx="16">
                  <c:v>8/17/2569</c:v>
                </c:pt>
                <c:pt idx="17">
                  <c:v>8/18/2569</c:v>
                </c:pt>
                <c:pt idx="18">
                  <c:v>8/19/2569</c:v>
                </c:pt>
                <c:pt idx="19">
                  <c:v>8/20/2569</c:v>
                </c:pt>
                <c:pt idx="20">
                  <c:v>8/21/2569</c:v>
                </c:pt>
                <c:pt idx="21">
                  <c:v>8/22/2569</c:v>
                </c:pt>
                <c:pt idx="22">
                  <c:v>8/23/2569</c:v>
                </c:pt>
                <c:pt idx="23">
                  <c:v>00/08/2569</c:v>
                </c:pt>
                <c:pt idx="24">
                  <c:v>00/08/2569</c:v>
                </c:pt>
                <c:pt idx="25">
                  <c:v>00/08/2569</c:v>
                </c:pt>
                <c:pt idx="26">
                  <c:v>00/08/2569</c:v>
                </c:pt>
                <c:pt idx="27">
                  <c:v>00/08/2569</c:v>
                </c:pt>
                <c:pt idx="28">
                  <c:v>00/08/2569</c:v>
                </c:pt>
                <c:pt idx="29">
                  <c:v>8/31/2569</c:v>
                </c:pt>
                <c:pt idx="30">
                  <c:v>8/31/2569</c:v>
                </c:pt>
                <c:pt idx="31">
                  <c:v>Total</c:v>
                </c:pt>
              </c:strCache>
            </c:strRef>
          </c:cat>
          <c:val>
            <c:numRef>
              <c:f>'wet&amp;dry '!$C$2:$C$33</c:f>
              <c:numCache>
                <c:formatCode>0.00%</c:formatCode>
                <c:ptCount val="32"/>
                <c:pt idx="0">
                  <c:v>4.5715264104100678E-2</c:v>
                </c:pt>
                <c:pt idx="1">
                  <c:v>0</c:v>
                </c:pt>
                <c:pt idx="2">
                  <c:v>4.6280425094274942E-2</c:v>
                </c:pt>
                <c:pt idx="3">
                  <c:v>0.10406091370558376</c:v>
                </c:pt>
                <c:pt idx="4">
                  <c:v>4.4879171461449943E-2</c:v>
                </c:pt>
                <c:pt idx="5">
                  <c:v>5.93944099378882E-2</c:v>
                </c:pt>
                <c:pt idx="6">
                  <c:v>4.7967331017248732E-2</c:v>
                </c:pt>
                <c:pt idx="7">
                  <c:v>8.7822760599298694E-2</c:v>
                </c:pt>
                <c:pt idx="8">
                  <c:v>0</c:v>
                </c:pt>
                <c:pt idx="9">
                  <c:v>9.2910908886641955E-2</c:v>
                </c:pt>
                <c:pt idx="10">
                  <c:v>6.8438228438228443E-2</c:v>
                </c:pt>
                <c:pt idx="11">
                  <c:v>0</c:v>
                </c:pt>
                <c:pt idx="12">
                  <c:v>9.9364983368612034E-2</c:v>
                </c:pt>
                <c:pt idx="13">
                  <c:v>9.807705103466631E-2</c:v>
                </c:pt>
                <c:pt idx="14">
                  <c:v>0.12116120601138804</c:v>
                </c:pt>
                <c:pt idx="15">
                  <c:v>0</c:v>
                </c:pt>
                <c:pt idx="16">
                  <c:v>0.12273604282068837</c:v>
                </c:pt>
                <c:pt idx="17">
                  <c:v>9.8240065997525092E-2</c:v>
                </c:pt>
                <c:pt idx="18">
                  <c:v>0.11963020030816642</c:v>
                </c:pt>
                <c:pt idx="19">
                  <c:v>6.7753595324155966E-2</c:v>
                </c:pt>
                <c:pt idx="20">
                  <c:v>4.5744159451070084E-2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7.9276315789473681E-2</c:v>
                </c:pt>
                <c:pt idx="30">
                  <c:v>0</c:v>
                </c:pt>
                <c:pt idx="31">
                  <c:v>8.247302502121627E-2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7CD-4C2C-9BD0-E66B9077A3C6}"/>
            </c:ext>
          </c:extLst>
        </c:ser>
        <c:dLbls/>
        <c:marker val="1"/>
        <c:axId val="263352704"/>
        <c:axId val="263354240"/>
      </c:lineChart>
      <c:catAx>
        <c:axId val="26335270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54240"/>
        <c:crosses val="autoZero"/>
        <c:auto val="1"/>
        <c:lblAlgn val="ctr"/>
        <c:lblOffset val="100"/>
      </c:catAx>
      <c:valAx>
        <c:axId val="26335424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5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_xlchart.v1.6</cx:f>
      </cx:strDim>
      <cx:numDim type="val">
        <cx:f dir="row"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Reject </a:t>
            </a:r>
            <a:r>
              <a:rPr lang="th-TH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ครอบสัน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BD31E8B0-B9D6-4AB2-AEEB-9CE074AC5B18}">
          <cx:dataLabels/>
          <cx:dataId val="0"/>
          <cx:layoutPr>
            <cx:aggregation/>
          </cx:layoutPr>
          <cx:axisId val="1"/>
        </cx:series>
        <cx:series layoutId="paretoLine" ownerIdx="0" uniqueId="{A9980B64-1C4B-4B13-8D3F-443D776C8DB6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_xlchart.v1.10</cx:f>
      </cx:strDim>
      <cx:numDim type="val">
        <cx:f dir="row"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Reject </a:t>
            </a:r>
            <a:r>
              <a:rPr lang="th-TH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ครอบตะเข้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28CDD89B-B7C7-4C71-BE1E-A9630D3C5B82}">
          <cx:dataLabels/>
          <cx:dataId val="0"/>
          <cx:layoutPr>
            <cx:aggregation/>
          </cx:layoutPr>
          <cx:axisId val="1"/>
        </cx:series>
        <cx:series layoutId="paretoLine" ownerIdx="0" uniqueId="{B898E57E-6F2A-4368-B109-E0E779A821A0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val">
        <cx:f dir="row"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th-TH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ครอบข้างปิดปลายตะเข้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2F38E012-9194-4462-9C8C-CDE855AE81E5}">
          <cx:dataLabels/>
          <cx:dataId val="0"/>
          <cx:layoutPr>
            <cx:aggregation/>
          </cx:layoutPr>
          <cx:axisId val="1"/>
        </cx:series>
        <cx:series layoutId="paretoLine" ownerIdx="0" uniqueId="{7DA70AE4-E8AE-4F16-B44C-07D676420A0A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</cx:f>
      </cx:strDim>
      <cx:numDim type="val">
        <cx:f dir="row"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th-TH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ครอบข้างซิมเลท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9FA90A87-D484-49C8-816A-F59F3C47BCB1}">
          <cx:dataLabels/>
          <cx:dataId val="0"/>
          <cx:layoutPr>
            <cx:aggregation/>
          </cx:layoutPr>
          <cx:axisId val="1"/>
        </cx:series>
        <cx:series layoutId="paretoLine" ownerIdx="0" uniqueId="{3F3EB1A4-931A-4B4F-A095-ED3634AE1B66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_xlchart.v1.8</cx:f>
      </cx:strDim>
      <cx:numDim type="val">
        <cx:f dir="row"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th-TH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ครอบข้างปิดปลายซิมเลท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3B5AD0CB-A072-417B-9879-79A043930578}">
          <cx:dataLabels/>
          <cx:dataId val="0"/>
          <cx:layoutPr>
            <cx:aggregation/>
          </cx:layoutPr>
          <cx:axisId val="1"/>
        </cx:series>
        <cx:series layoutId="paretoLine" ownerIdx="0" uniqueId="{4F5F077D-0747-4BB3-82B6-976EB923C44E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_xlchart.v1.12</cx:f>
      </cx:strDim>
      <cx:numDim type="val">
        <cx:f dir="row"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th-TH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ครอบข้างผนัง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8436463F-0944-4342-B8E1-B0022E8B56E2}">
          <cx:dataLabels/>
          <cx:dataId val="0"/>
          <cx:layoutPr>
            <cx:aggregation/>
          </cx:layoutPr>
          <cx:axisId val="1"/>
        </cx:series>
        <cx:series layoutId="paretoLine" ownerIdx="0" uniqueId="{404D313A-C4A9-4298-A68A-1FB865C65625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</cx:f>
      </cx:strDim>
      <cx:numDim type="val">
        <cx:f dir="row"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th-TH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ครอบหัวผนัง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9A29E315-E055-431B-B6D4-A4E1B3718700}">
          <cx:dataId val="0"/>
          <cx:layoutPr>
            <cx:aggregation/>
          </cx:layoutPr>
          <cx:axisId val="1"/>
        </cx:series>
        <cx:series layoutId="paretoLine" ownerIdx="0" uniqueId="{E36B3D98-E30E-48D6-AAA7-837E16DA0A77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34</xdr:row>
      <xdr:rowOff>0</xdr:rowOff>
    </xdr:from>
    <xdr:ext cx="184731" cy="342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44E7017C-2326-45F1-B331-7E9D56E4145B}"/>
            </a:ext>
          </a:extLst>
        </xdr:cNvPr>
        <xdr:cNvSpPr txBox="1"/>
      </xdr:nvSpPr>
      <xdr:spPr>
        <a:xfrm>
          <a:off x="5781675" y="968692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47</xdr:row>
      <xdr:rowOff>0</xdr:rowOff>
    </xdr:from>
    <xdr:ext cx="846963" cy="3527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CE9A21D2-3A80-4826-9493-3258FF080C78}"/>
            </a:ext>
          </a:extLst>
        </xdr:cNvPr>
        <xdr:cNvSpPr txBox="1"/>
      </xdr:nvSpPr>
      <xdr:spPr>
        <a:xfrm>
          <a:off x="6354961" y="12873633"/>
          <a:ext cx="846963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600"/>
            <a:t>ค้างแกะ</a:t>
          </a:r>
          <a:endParaRPr lang="en-US" sz="16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34</xdr:row>
      <xdr:rowOff>0</xdr:rowOff>
    </xdr:from>
    <xdr:ext cx="846963" cy="3527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A6C2300F-8CAC-4539-B2D8-9A86E0FE1E20}"/>
            </a:ext>
          </a:extLst>
        </xdr:cNvPr>
        <xdr:cNvSpPr txBox="1"/>
      </xdr:nvSpPr>
      <xdr:spPr>
        <a:xfrm>
          <a:off x="6340078" y="9584531"/>
          <a:ext cx="846963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600"/>
            <a:t>ค้างแกะ</a:t>
          </a:r>
          <a:endParaRPr lang="en-US" sz="1600"/>
        </a:p>
      </xdr:txBody>
    </xdr:sp>
    <xdr:clientData/>
  </xdr:oneCellAnchor>
  <xdr:oneCellAnchor>
    <xdr:from>
      <xdr:col>5</xdr:col>
      <xdr:colOff>0</xdr:colOff>
      <xdr:row>45</xdr:row>
      <xdr:rowOff>0</xdr:rowOff>
    </xdr:from>
    <xdr:ext cx="846963" cy="3527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606A2438-5C70-408E-92DC-EAAF6BDFBB9E}"/>
            </a:ext>
          </a:extLst>
        </xdr:cNvPr>
        <xdr:cNvSpPr txBox="1"/>
      </xdr:nvSpPr>
      <xdr:spPr>
        <a:xfrm>
          <a:off x="6340078" y="12367617"/>
          <a:ext cx="846963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600"/>
            <a:t>ค้างแกะ</a:t>
          </a:r>
          <a:endParaRPr lang="en-US" sz="16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43</xdr:row>
      <xdr:rowOff>0</xdr:rowOff>
    </xdr:from>
    <xdr:ext cx="846963" cy="3527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F125AFD-9837-476C-9E01-68AABE3E9119}"/>
            </a:ext>
          </a:extLst>
        </xdr:cNvPr>
        <xdr:cNvSpPr txBox="1"/>
      </xdr:nvSpPr>
      <xdr:spPr>
        <a:xfrm>
          <a:off x="5780240" y="12147637"/>
          <a:ext cx="846963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600"/>
            <a:t>ค้างแกะ</a:t>
          </a:r>
          <a:endParaRPr lang="en-US" sz="1600"/>
        </a:p>
      </xdr:txBody>
    </xdr:sp>
    <xdr:clientData/>
  </xdr:oneCellAnchor>
  <xdr:oneCellAnchor>
    <xdr:from>
      <xdr:col>5</xdr:col>
      <xdr:colOff>0</xdr:colOff>
      <xdr:row>45</xdr:row>
      <xdr:rowOff>0</xdr:rowOff>
    </xdr:from>
    <xdr:ext cx="846963" cy="3527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8BE40C7-87DF-43A6-BD5B-6EB30B4C136D}"/>
            </a:ext>
          </a:extLst>
        </xdr:cNvPr>
        <xdr:cNvSpPr txBox="1"/>
      </xdr:nvSpPr>
      <xdr:spPr>
        <a:xfrm>
          <a:off x="5780240" y="12669555"/>
          <a:ext cx="846963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600"/>
            <a:t>ค้างแกะ</a:t>
          </a:r>
          <a:endParaRPr lang="en-US" sz="1600"/>
        </a:p>
      </xdr:txBody>
    </xdr:sp>
    <xdr:clientData/>
  </xdr:oneCellAnchor>
  <xdr:oneCellAnchor>
    <xdr:from>
      <xdr:col>5</xdr:col>
      <xdr:colOff>0</xdr:colOff>
      <xdr:row>48</xdr:row>
      <xdr:rowOff>0</xdr:rowOff>
    </xdr:from>
    <xdr:ext cx="846963" cy="3527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2BC451D5-C580-4592-A303-F85C507FFFFD}"/>
            </a:ext>
          </a:extLst>
        </xdr:cNvPr>
        <xdr:cNvSpPr txBox="1"/>
      </xdr:nvSpPr>
      <xdr:spPr>
        <a:xfrm>
          <a:off x="5780240" y="13452432"/>
          <a:ext cx="846963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600"/>
            <a:t>ค้างแกะ</a:t>
          </a:r>
          <a:endParaRPr lang="en-US" sz="1600"/>
        </a:p>
      </xdr:txBody>
    </xdr:sp>
    <xdr:clientData/>
  </xdr:oneCellAnchor>
  <xdr:oneCellAnchor>
    <xdr:from>
      <xdr:col>5</xdr:col>
      <xdr:colOff>0</xdr:colOff>
      <xdr:row>49</xdr:row>
      <xdr:rowOff>0</xdr:rowOff>
    </xdr:from>
    <xdr:ext cx="846963" cy="3527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BCCBCD6E-86D6-4B6F-901A-6D37DC7288FF}"/>
            </a:ext>
          </a:extLst>
        </xdr:cNvPr>
        <xdr:cNvSpPr txBox="1"/>
      </xdr:nvSpPr>
      <xdr:spPr>
        <a:xfrm>
          <a:off x="5780240" y="13713390"/>
          <a:ext cx="846963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600"/>
            <a:t>ค้างแกะ</a:t>
          </a:r>
          <a:endParaRPr lang="en-US" sz="1600"/>
        </a:p>
      </xdr:txBody>
    </xdr:sp>
    <xdr:clientData/>
  </xdr:oneCellAnchor>
  <xdr:oneCellAnchor>
    <xdr:from>
      <xdr:col>5</xdr:col>
      <xdr:colOff>0</xdr:colOff>
      <xdr:row>34</xdr:row>
      <xdr:rowOff>0</xdr:rowOff>
    </xdr:from>
    <xdr:ext cx="846963" cy="35272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EA10D668-3EC6-49AC-93A6-662836BD8C62}"/>
            </a:ext>
          </a:extLst>
        </xdr:cNvPr>
        <xdr:cNvSpPr txBox="1"/>
      </xdr:nvSpPr>
      <xdr:spPr>
        <a:xfrm>
          <a:off x="5780240" y="9799007"/>
          <a:ext cx="846963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600"/>
            <a:t>ค้างแกะ</a:t>
          </a:r>
          <a:endParaRPr lang="en-US" sz="16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32</xdr:row>
      <xdr:rowOff>0</xdr:rowOff>
    </xdr:from>
    <xdr:ext cx="846963" cy="3527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F36EFE5A-F863-4609-A2EE-9CA31BA12E14}"/>
            </a:ext>
          </a:extLst>
        </xdr:cNvPr>
        <xdr:cNvSpPr txBox="1"/>
      </xdr:nvSpPr>
      <xdr:spPr>
        <a:xfrm>
          <a:off x="5769429" y="9212036"/>
          <a:ext cx="846963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600"/>
            <a:t>ค้างแกะ</a:t>
          </a:r>
          <a:endParaRPr lang="en-US" sz="1600"/>
        </a:p>
      </xdr:txBody>
    </xdr:sp>
    <xdr:clientData/>
  </xdr:oneCellAnchor>
  <xdr:oneCellAnchor>
    <xdr:from>
      <xdr:col>5</xdr:col>
      <xdr:colOff>0</xdr:colOff>
      <xdr:row>34</xdr:row>
      <xdr:rowOff>0</xdr:rowOff>
    </xdr:from>
    <xdr:ext cx="846963" cy="3527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43723B6-1F0C-4ED0-90BA-A9D12D333B32}"/>
            </a:ext>
          </a:extLst>
        </xdr:cNvPr>
        <xdr:cNvSpPr txBox="1"/>
      </xdr:nvSpPr>
      <xdr:spPr>
        <a:xfrm>
          <a:off x="5769429" y="9729107"/>
          <a:ext cx="846963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600"/>
            <a:t>ค้างแกะ</a:t>
          </a:r>
          <a:endParaRPr lang="en-US" sz="1600"/>
        </a:p>
      </xdr:txBody>
    </xdr:sp>
    <xdr:clientData/>
  </xdr:oneCellAnchor>
  <xdr:oneCellAnchor>
    <xdr:from>
      <xdr:col>5</xdr:col>
      <xdr:colOff>0</xdr:colOff>
      <xdr:row>37</xdr:row>
      <xdr:rowOff>0</xdr:rowOff>
    </xdr:from>
    <xdr:ext cx="846963" cy="3527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2FA0AF24-2C1D-4D27-91B8-B6B584F0A73F}"/>
            </a:ext>
          </a:extLst>
        </xdr:cNvPr>
        <xdr:cNvSpPr txBox="1"/>
      </xdr:nvSpPr>
      <xdr:spPr>
        <a:xfrm>
          <a:off x="5769429" y="10504714"/>
          <a:ext cx="846963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600"/>
            <a:t>ค้างแกะ</a:t>
          </a:r>
          <a:endParaRPr lang="en-US" sz="1600"/>
        </a:p>
      </xdr:txBody>
    </xdr:sp>
    <xdr:clientData/>
  </xdr:oneCellAnchor>
  <xdr:oneCellAnchor>
    <xdr:from>
      <xdr:col>5</xdr:col>
      <xdr:colOff>0</xdr:colOff>
      <xdr:row>38</xdr:row>
      <xdr:rowOff>0</xdr:rowOff>
    </xdr:from>
    <xdr:ext cx="846963" cy="3527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DC220CA0-6076-4655-878E-77656ACCD952}"/>
            </a:ext>
          </a:extLst>
        </xdr:cNvPr>
        <xdr:cNvSpPr txBox="1"/>
      </xdr:nvSpPr>
      <xdr:spPr>
        <a:xfrm>
          <a:off x="5769429" y="10763250"/>
          <a:ext cx="846963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600"/>
            <a:t>ค้างแกะ</a:t>
          </a:r>
          <a:endParaRPr lang="en-US" sz="1600"/>
        </a:p>
      </xdr:txBody>
    </xdr:sp>
    <xdr:clientData/>
  </xdr:oneCellAnchor>
  <xdr:oneCellAnchor>
    <xdr:from>
      <xdr:col>5</xdr:col>
      <xdr:colOff>0</xdr:colOff>
      <xdr:row>44</xdr:row>
      <xdr:rowOff>0</xdr:rowOff>
    </xdr:from>
    <xdr:ext cx="846963" cy="35272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36DF5627-C6A0-4977-B7A3-41726DE6D2F0}"/>
            </a:ext>
          </a:extLst>
        </xdr:cNvPr>
        <xdr:cNvSpPr txBox="1"/>
      </xdr:nvSpPr>
      <xdr:spPr>
        <a:xfrm>
          <a:off x="5769429" y="12314464"/>
          <a:ext cx="846963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600"/>
            <a:t>ค้างแกะ</a:t>
          </a:r>
          <a:endParaRPr lang="en-US" sz="1600"/>
        </a:p>
      </xdr:txBody>
    </xdr:sp>
    <xdr:clientData/>
  </xdr:oneCellAnchor>
  <xdr:oneCellAnchor>
    <xdr:from>
      <xdr:col>5</xdr:col>
      <xdr:colOff>0</xdr:colOff>
      <xdr:row>48</xdr:row>
      <xdr:rowOff>0</xdr:rowOff>
    </xdr:from>
    <xdr:ext cx="846963" cy="3527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F1771FD-A3C0-445B-B4CB-8CF65F2AE5F9}"/>
            </a:ext>
          </a:extLst>
        </xdr:cNvPr>
        <xdr:cNvSpPr txBox="1"/>
      </xdr:nvSpPr>
      <xdr:spPr>
        <a:xfrm>
          <a:off x="5769429" y="13348607"/>
          <a:ext cx="846963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600"/>
            <a:t>ค้างแกะ</a:t>
          </a:r>
          <a:endParaRPr lang="en-US" sz="1600"/>
        </a:p>
      </xdr:txBody>
    </xdr:sp>
    <xdr:clientData/>
  </xdr:oneCellAnchor>
  <xdr:oneCellAnchor>
    <xdr:from>
      <xdr:col>5</xdr:col>
      <xdr:colOff>0</xdr:colOff>
      <xdr:row>49</xdr:row>
      <xdr:rowOff>0</xdr:rowOff>
    </xdr:from>
    <xdr:ext cx="846963" cy="35272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07AB834-34DD-4793-B226-D54EA42B9E3F}"/>
            </a:ext>
          </a:extLst>
        </xdr:cNvPr>
        <xdr:cNvSpPr txBox="1"/>
      </xdr:nvSpPr>
      <xdr:spPr>
        <a:xfrm>
          <a:off x="5769429" y="13607143"/>
          <a:ext cx="846963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600"/>
            <a:t>ค้างแกะ</a:t>
          </a:r>
          <a:endParaRPr lang="en-US" sz="16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108856</xdr:colOff>
      <xdr:row>13</xdr:row>
      <xdr:rowOff>231321</xdr:rowOff>
    </xdr:from>
    <xdr:to>
      <xdr:col>18</xdr:col>
      <xdr:colOff>95250</xdr:colOff>
      <xdr:row>22</xdr:row>
      <xdr:rowOff>258536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7409C5D-278C-4B43-BFC6-FD4408057E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Rectangle 1"/>
            <xdr:cNvSpPr>
              <a:spLocks noTextEdit="1"/>
            </xdr:cNvSpPr>
          </xdr:nvSpPr>
          <xdr:spPr>
            <a:xfrm>
              <a:off x="5296806" y="5895521"/>
              <a:ext cx="7149194" cy="28275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27213</xdr:colOff>
      <xdr:row>13</xdr:row>
      <xdr:rowOff>258534</xdr:rowOff>
    </xdr:from>
    <xdr:to>
      <xdr:col>30</xdr:col>
      <xdr:colOff>149678</xdr:colOff>
      <xdr:row>22</xdr:row>
      <xdr:rowOff>258535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3AA7814-B30B-4032-A636-7FDC60094D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3" name="Rectangle 2"/>
            <xdr:cNvSpPr>
              <a:spLocks noTextEdit="1"/>
            </xdr:cNvSpPr>
          </xdr:nvSpPr>
          <xdr:spPr>
            <a:xfrm>
              <a:off x="12974863" y="5922734"/>
              <a:ext cx="6751865" cy="28003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204108</xdr:colOff>
      <xdr:row>23</xdr:row>
      <xdr:rowOff>138791</xdr:rowOff>
    </xdr:from>
    <xdr:to>
      <xdr:col>18</xdr:col>
      <xdr:colOff>54430</xdr:colOff>
      <xdr:row>32</xdr:row>
      <xdr:rowOff>187777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FE20B46-2A1E-461F-AA33-E57FE3CDE3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4" name="Rectangle 3"/>
            <xdr:cNvSpPr>
              <a:spLocks noTextEdit="1"/>
            </xdr:cNvSpPr>
          </xdr:nvSpPr>
          <xdr:spPr>
            <a:xfrm>
              <a:off x="5392058" y="8914491"/>
              <a:ext cx="7013122" cy="28493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40820</xdr:colOff>
      <xdr:row>23</xdr:row>
      <xdr:rowOff>152401</xdr:rowOff>
    </xdr:from>
    <xdr:to>
      <xdr:col>30</xdr:col>
      <xdr:colOff>68035</xdr:colOff>
      <xdr:row>32</xdr:row>
      <xdr:rowOff>40822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286BCC2-BD19-4209-A96A-905A746DA5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5" name="Rectangle 4"/>
            <xdr:cNvSpPr>
              <a:spLocks noTextEdit="1"/>
            </xdr:cNvSpPr>
          </xdr:nvSpPr>
          <xdr:spPr>
            <a:xfrm>
              <a:off x="12988470" y="8928101"/>
              <a:ext cx="6656615" cy="26887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340178</xdr:colOff>
      <xdr:row>33</xdr:row>
      <xdr:rowOff>29936</xdr:rowOff>
    </xdr:from>
    <xdr:to>
      <xdr:col>18</xdr:col>
      <xdr:colOff>258535</xdr:colOff>
      <xdr:row>42</xdr:row>
      <xdr:rowOff>78921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A32C486C-F03F-4265-A552-EA08A5D10F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6" name="Rectangle 5"/>
            <xdr:cNvSpPr>
              <a:spLocks noTextEdit="1"/>
            </xdr:cNvSpPr>
          </xdr:nvSpPr>
          <xdr:spPr>
            <a:xfrm>
              <a:off x="5528128" y="11917136"/>
              <a:ext cx="7081157" cy="2849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557893</xdr:colOff>
      <xdr:row>32</xdr:row>
      <xdr:rowOff>258535</xdr:rowOff>
    </xdr:from>
    <xdr:to>
      <xdr:col>30</xdr:col>
      <xdr:colOff>272143</xdr:colOff>
      <xdr:row>42</xdr:row>
      <xdr:rowOff>8163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AFCC2294-26A5-411D-8E86-60D7181EF2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7" name="Rectangle 6"/>
            <xdr:cNvSpPr>
              <a:spLocks noTextEdit="1"/>
            </xdr:cNvSpPr>
          </xdr:nvSpPr>
          <xdr:spPr>
            <a:xfrm>
              <a:off x="12908643" y="11834585"/>
              <a:ext cx="6940550" cy="28611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312964</xdr:colOff>
      <xdr:row>42</xdr:row>
      <xdr:rowOff>258535</xdr:rowOff>
    </xdr:from>
    <xdr:to>
      <xdr:col>18</xdr:col>
      <xdr:colOff>272143</xdr:colOff>
      <xdr:row>53</xdr:row>
      <xdr:rowOff>249010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53B0C6D0-E916-49A6-99BB-563D391095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8" name="Rectangle 7"/>
            <xdr:cNvSpPr>
              <a:spLocks noTextEdit="1"/>
            </xdr:cNvSpPr>
          </xdr:nvSpPr>
          <xdr:spPr>
            <a:xfrm>
              <a:off x="5500914" y="14946085"/>
              <a:ext cx="7121979" cy="3413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149679</xdr:colOff>
      <xdr:row>13</xdr:row>
      <xdr:rowOff>268060</xdr:rowOff>
    </xdr:from>
    <xdr:to>
      <xdr:col>5</xdr:col>
      <xdr:colOff>81643</xdr:colOff>
      <xdr:row>23</xdr:row>
      <xdr:rowOff>17689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xmlns="" id="{D21BD696-B8A4-4E70-9D59-265CCCD58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23811</xdr:colOff>
      <xdr:row>12</xdr:row>
      <xdr:rowOff>157161</xdr:rowOff>
    </xdr:from>
    <xdr:to>
      <xdr:col>16</xdr:col>
      <xdr:colOff>304800</xdr:colOff>
      <xdr:row>22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D04DADF0-667E-4B87-92C2-A467039DC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1</xdr:row>
      <xdr:rowOff>19050</xdr:rowOff>
    </xdr:from>
    <xdr:to>
      <xdr:col>16</xdr:col>
      <xdr:colOff>276225</xdr:colOff>
      <xdr:row>11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183ECC49-C2F9-4EFD-8758-6957E3957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42862</xdr:colOff>
      <xdr:row>23</xdr:row>
      <xdr:rowOff>38099</xdr:rowOff>
    </xdr:from>
    <xdr:to>
      <xdr:col>16</xdr:col>
      <xdr:colOff>295276</xdr:colOff>
      <xdr:row>32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61AB96AF-B55B-4AF2-8D63-172E2DBAD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</xdr:colOff>
      <xdr:row>0</xdr:row>
      <xdr:rowOff>290512</xdr:rowOff>
    </xdr:from>
    <xdr:to>
      <xdr:col>17</xdr:col>
      <xdr:colOff>381000</xdr:colOff>
      <xdr:row>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9466D09-2D95-4E58-B6F6-76272A912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90486</xdr:colOff>
      <xdr:row>7</xdr:row>
      <xdr:rowOff>157162</xdr:rowOff>
    </xdr:from>
    <xdr:to>
      <xdr:col>17</xdr:col>
      <xdr:colOff>361949</xdr:colOff>
      <xdr:row>16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7A711570-8DB8-48BE-BD9F-5F54E317D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6;&#3657;&#3629;&#3617;&#3641;&#3621;&#3585;&#3634;&#3619;&#3612;&#3621;&#3636;&#3605;%202561/&#3619;&#3634;&#3618;&#3591;&#3634;&#3609;&#3585;&#3634;&#3619;&#3612;&#3621;&#3636;&#3605;%20%2067/&#3619;&#3634;&#3618;&#3591;&#3634;&#3609;&#3585;&#3634;&#3619;&#3612;&#3621;&#3636;&#3605;%202024/5.&#3619;&#3634;&#3618;&#3591;&#3634;&#3609;&#3585;&#3634;&#3619;&#3612;&#3621;&#3636;&#3605;%20&#3648;&#3604;&#3639;&#3629;&#3609;&#3614;&#3620;&#3625;&#3616;&#3634;&#3588;&#3617;%202567/&#3619;&#3634;&#3618;&#3591;&#3634;&#3609;&#3585;&#3634;&#3619;&#3612;&#3621;&#3636;&#3605;&#3588;&#3619;&#3629;&#3610;%20Prestige%20common%20%20May-2024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.1"/>
      <sheetName val="1.2"/>
      <sheetName val="2.1"/>
      <sheetName val="2.2"/>
      <sheetName val="3.1"/>
      <sheetName val="3.2"/>
      <sheetName val="4.1"/>
      <sheetName val="4.2"/>
      <sheetName val="5.1"/>
      <sheetName val="5.2"/>
      <sheetName val="6.1"/>
      <sheetName val="6.2"/>
      <sheetName val="7.1"/>
      <sheetName val="7.2"/>
      <sheetName val="8.1"/>
      <sheetName val="8.2"/>
      <sheetName val="9.1"/>
      <sheetName val="9.2"/>
      <sheetName val="10.1"/>
      <sheetName val="10.2"/>
      <sheetName val="11.1"/>
      <sheetName val="11.2"/>
      <sheetName val="12.1"/>
      <sheetName val="12.2"/>
      <sheetName val="13.1"/>
      <sheetName val="13.2"/>
      <sheetName val="14.1"/>
      <sheetName val="14.2"/>
      <sheetName val="15.1"/>
      <sheetName val="15.2"/>
      <sheetName val="16.1"/>
      <sheetName val="16.2"/>
      <sheetName val="17.1"/>
      <sheetName val="17.2"/>
      <sheetName val="18.1"/>
      <sheetName val="18.2"/>
      <sheetName val="19.1"/>
      <sheetName val="19.2"/>
      <sheetName val="20.1"/>
      <sheetName val="20.2"/>
      <sheetName val="21.1"/>
      <sheetName val="21.2"/>
      <sheetName val="22.1"/>
      <sheetName val="22.2"/>
      <sheetName val="23.1"/>
      <sheetName val="23.2"/>
      <sheetName val="24.1"/>
      <sheetName val="24.2"/>
      <sheetName val="25.1"/>
      <sheetName val="25.2"/>
      <sheetName val="26.1"/>
      <sheetName val="26.2"/>
      <sheetName val="27.1"/>
      <sheetName val="27.2"/>
      <sheetName val="28.1"/>
      <sheetName val="28.2"/>
      <sheetName val="29.1"/>
      <sheetName val="29.2"/>
      <sheetName val="30.1"/>
      <sheetName val="30.2"/>
      <sheetName val="31.1"/>
      <sheetName val="31.2"/>
      <sheetName val="Total"/>
      <sheetName val="สรุป"/>
      <sheetName val="รายงานการผลิต"/>
      <sheetName val="รายงานการผลิต (2)"/>
      <sheetName val="สมรรถภาพการผลิต_"/>
      <sheetName val="สมรรถภาพการผลิต"/>
      <sheetName val="Link ส.วศ. 1"/>
      <sheetName val="Link ส.วศ. 2"/>
      <sheetName val="Link วางแผน"/>
      <sheetName val="สรุป "/>
      <sheetName val="Data"/>
      <sheetName val="ใบเบิ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>
        <row r="23">
          <cell r="M23">
            <v>10263</v>
          </cell>
        </row>
      </sheetData>
      <sheetData sheetId="7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M59"/>
  <sheetViews>
    <sheetView showGridLines="0" topLeftCell="A31" zoomScale="71" zoomScaleNormal="71" workbookViewId="0">
      <selection activeCell="AB6" sqref="AB6:AC6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18.25" style="9" customWidth="1"/>
    <col min="5" max="7" width="12" style="9" customWidth="1"/>
    <col min="8" max="8" width="11" style="9" customWidth="1"/>
    <col min="9" max="9" width="6.08203125" style="9" customWidth="1"/>
    <col min="10" max="22" width="4.5" style="9" customWidth="1"/>
    <col min="23" max="26" width="4.5" style="13" customWidth="1"/>
    <col min="27" max="27" width="4.58203125" style="13" customWidth="1"/>
    <col min="28" max="32" width="4.5" style="13" customWidth="1"/>
    <col min="33" max="35" width="4.5" style="17" customWidth="1"/>
    <col min="36" max="36" width="23.58203125" style="17" customWidth="1"/>
    <col min="37" max="38" width="4.5" style="17" customWidth="1"/>
    <col min="39" max="39" width="15.332031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>
        <v>244562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531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239" t="s">
        <v>119</v>
      </c>
      <c r="C5" s="129" t="s">
        <v>74</v>
      </c>
      <c r="D5" s="240" t="s">
        <v>124</v>
      </c>
      <c r="E5" s="237">
        <v>2000</v>
      </c>
      <c r="F5" s="237">
        <v>3648</v>
      </c>
      <c r="G5" s="238">
        <v>3310</v>
      </c>
      <c r="H5" s="110">
        <f t="shared" ref="H5:H28" si="0">IF(F5=0,"",(F5-G5)/F5)</f>
        <v>9.2653508771929821E-2</v>
      </c>
      <c r="I5" s="675" t="s">
        <v>33</v>
      </c>
      <c r="J5" s="676"/>
      <c r="K5" s="676"/>
      <c r="L5" s="676"/>
      <c r="M5" s="676"/>
      <c r="N5" s="676"/>
      <c r="O5" s="677"/>
      <c r="P5" s="678">
        <v>3.4449999999999998</v>
      </c>
      <c r="Q5" s="679"/>
      <c r="R5" s="680">
        <v>10.398999999999999</v>
      </c>
      <c r="S5" s="679"/>
      <c r="T5" s="681">
        <v>0.92300000000000004</v>
      </c>
      <c r="U5" s="682"/>
      <c r="V5" s="683">
        <v>25.395</v>
      </c>
      <c r="W5" s="684"/>
      <c r="X5" s="685">
        <v>0.55400000000000005</v>
      </c>
      <c r="Y5" s="686"/>
      <c r="Z5" s="687">
        <f>90+156+80</f>
        <v>326</v>
      </c>
      <c r="AA5" s="688"/>
      <c r="AB5" s="674">
        <f>29+16</f>
        <v>45</v>
      </c>
      <c r="AC5" s="674"/>
      <c r="AD5" s="689">
        <f>SUM(AF5:AK5)*0.025</f>
        <v>1.9000000000000001</v>
      </c>
      <c r="AE5" s="689"/>
      <c r="AF5" s="674">
        <f>14+14+14+10+14+10</f>
        <v>76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239"/>
      <c r="C6" s="129" t="s">
        <v>75</v>
      </c>
      <c r="D6" s="240"/>
      <c r="E6" s="241"/>
      <c r="F6" s="241"/>
      <c r="G6" s="242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0.28855012982661865</v>
      </c>
      <c r="Q6" s="673"/>
      <c r="R6" s="673">
        <f>IF($F$15=0,0,R5*1000/$F$15)</f>
        <v>0.87101097244325321</v>
      </c>
      <c r="S6" s="673"/>
      <c r="T6" s="673">
        <f>IF($F$15=0,0,T5*1000/$F$15)</f>
        <v>7.7309657425244996E-2</v>
      </c>
      <c r="U6" s="673"/>
      <c r="V6" s="673">
        <f>IF($F$15=0,0,V5*1000/$F$15)</f>
        <v>2.1270625680542761</v>
      </c>
      <c r="W6" s="673"/>
      <c r="X6" s="673">
        <f>IF($F$15=0,0,X5*1000/$F$15)</f>
        <v>4.6402546276907611E-2</v>
      </c>
      <c r="Y6" s="673"/>
      <c r="Z6" s="673">
        <f>IF($F$15=0,0,Z5*1000/$F$15)</f>
        <v>27.305469469804841</v>
      </c>
      <c r="AA6" s="673"/>
      <c r="AB6" s="632">
        <f>IF($F$15=0,0,AB5*1000/$F$15)</f>
        <v>3.7691598961387052</v>
      </c>
      <c r="AC6" s="632"/>
      <c r="AD6" s="632">
        <f>IF($F$15=0,0,AD5*1000/$F$15)</f>
        <v>0.15914230672585647</v>
      </c>
      <c r="AE6" s="632"/>
      <c r="AF6" s="627">
        <f>IF(AF5=0,0,F15/AF5)</f>
        <v>157.09210526315789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239" t="s">
        <v>120</v>
      </c>
      <c r="C7" s="129" t="s">
        <v>76</v>
      </c>
      <c r="D7" s="241" t="s">
        <v>124</v>
      </c>
      <c r="E7" s="241">
        <v>4000</v>
      </c>
      <c r="F7" s="241">
        <v>3513</v>
      </c>
      <c r="G7" s="242">
        <v>3251</v>
      </c>
      <c r="H7" s="111">
        <f t="shared" si="0"/>
        <v>7.4580130942214634E-2</v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0.3173068066685088</v>
      </c>
      <c r="Q7" s="639"/>
      <c r="R7" s="639">
        <f>IF($G$15=0,0,R5*1000/$G$15)</f>
        <v>0.95781523441097904</v>
      </c>
      <c r="S7" s="639"/>
      <c r="T7" s="639">
        <f>IF($G$15=0,0,T5*1000/$G$15)</f>
        <v>8.50142765036382E-2</v>
      </c>
      <c r="U7" s="639"/>
      <c r="V7" s="639">
        <f>IF($G$15=0,0,V5*1000/$G$15)</f>
        <v>2.3390439347886156</v>
      </c>
      <c r="W7" s="639"/>
      <c r="X7" s="639">
        <f>IF($G$15=0,0,X5*1000/$G$15)</f>
        <v>5.1026987197199961E-2</v>
      </c>
      <c r="Y7" s="639"/>
      <c r="Z7" s="639">
        <f>IF($G$15=0,0,Z5*1000/$G$15)</f>
        <v>30.026710877774708</v>
      </c>
      <c r="AA7" s="639"/>
      <c r="AB7" s="632">
        <f>IF($G$15=0,0,AB5*1000/$G$15)</f>
        <v>4.1447913788339319</v>
      </c>
      <c r="AC7" s="632"/>
      <c r="AD7" s="632">
        <f>IF($G$15=0,0,AD5*1000/$G$15)</f>
        <v>0.17500230266187716</v>
      </c>
      <c r="AE7" s="632"/>
      <c r="AF7" s="627">
        <f>IF(AF5=0,0,G15/AF5)</f>
        <v>142.85526315789474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239" t="s">
        <v>121</v>
      </c>
      <c r="C8" s="129" t="s">
        <v>77</v>
      </c>
      <c r="D8" s="241" t="s">
        <v>124</v>
      </c>
      <c r="E8" s="241">
        <v>2000</v>
      </c>
      <c r="F8" s="241">
        <v>1405</v>
      </c>
      <c r="G8" s="242">
        <v>1180</v>
      </c>
      <c r="H8" s="111">
        <f t="shared" si="0"/>
        <v>0.16014234875444841</v>
      </c>
      <c r="I8" s="691" t="s">
        <v>64</v>
      </c>
      <c r="J8" s="692"/>
      <c r="K8" s="692"/>
      <c r="L8" s="692"/>
      <c r="M8" s="692"/>
      <c r="N8" s="692"/>
      <c r="O8" s="693"/>
      <c r="P8" s="631">
        <f>92+4+1+3+1+6+4+8+20+11</f>
        <v>150</v>
      </c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418" t="s">
        <v>122</v>
      </c>
      <c r="C9" s="129" t="s">
        <v>78</v>
      </c>
      <c r="D9" s="240" t="s">
        <v>124</v>
      </c>
      <c r="E9" s="241">
        <v>2000</v>
      </c>
      <c r="F9" s="241">
        <v>1943</v>
      </c>
      <c r="G9" s="242">
        <v>1879</v>
      </c>
      <c r="H9" s="111">
        <f>IF(F9=0,"",(F9-G9)/F9)</f>
        <v>3.2938754503345345E-2</v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239" t="s">
        <v>123</v>
      </c>
      <c r="C10" s="129" t="s">
        <v>79</v>
      </c>
      <c r="D10" s="240" t="s">
        <v>124</v>
      </c>
      <c r="E10" s="241">
        <v>2000</v>
      </c>
      <c r="F10" s="241">
        <v>1430</v>
      </c>
      <c r="G10" s="242">
        <v>1237</v>
      </c>
      <c r="H10" s="111">
        <f>IF(F10=0,"",(F10-G10)/F10)</f>
        <v>0.13496503496503495</v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>
        <f>3+5+3+3+4+3+5+1+4+2+3+3+4+4</f>
        <v>47</v>
      </c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 t="s">
        <v>4</v>
      </c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>
        <f>F15/P12</f>
        <v>254.02127659574469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>
        <v>7</v>
      </c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12000</v>
      </c>
      <c r="F15" s="204">
        <f>SUM(F5:F14)</f>
        <v>11939</v>
      </c>
      <c r="G15" s="204">
        <f>SUM(G5:G14)</f>
        <v>10857</v>
      </c>
      <c r="H15" s="188">
        <f>IF(F15=0,"",(F15-G15)/F15)</f>
        <v>9.0627355724935091E-2</v>
      </c>
      <c r="I15" s="719" t="s">
        <v>70</v>
      </c>
      <c r="J15" s="720"/>
      <c r="K15" s="720"/>
      <c r="L15" s="720"/>
      <c r="M15" s="720"/>
      <c r="N15" s="720"/>
      <c r="O15" s="721"/>
      <c r="P15" s="722">
        <f>F15/P14</f>
        <v>1705.5714285714287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236"/>
      <c r="C16" s="130" t="s">
        <v>74</v>
      </c>
      <c r="D16" s="250"/>
      <c r="E16" s="237"/>
      <c r="F16" s="237"/>
      <c r="G16" s="238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0.23899999999999999</v>
      </c>
      <c r="Q16" s="731"/>
      <c r="R16" s="732">
        <v>0.72</v>
      </c>
      <c r="S16" s="731"/>
      <c r="T16" s="733">
        <v>7.2999999999999995E-2</v>
      </c>
      <c r="U16" s="734"/>
      <c r="V16" s="735">
        <v>1.863</v>
      </c>
      <c r="W16" s="736"/>
      <c r="X16" s="737">
        <v>4.2000000000000003E-2</v>
      </c>
      <c r="Y16" s="738"/>
      <c r="Z16" s="740">
        <f>18+18</f>
        <v>36</v>
      </c>
      <c r="AA16" s="741"/>
      <c r="AB16" s="739">
        <v>0</v>
      </c>
      <c r="AC16" s="739"/>
      <c r="AD16" s="725">
        <f>SUM(AF16:AK16)*0.025</f>
        <v>0.15000000000000002</v>
      </c>
      <c r="AE16" s="725"/>
      <c r="AF16" s="726">
        <f>6</f>
        <v>6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239"/>
      <c r="C17" s="131" t="s">
        <v>75</v>
      </c>
      <c r="D17" s="420"/>
      <c r="E17" s="420"/>
      <c r="F17" s="420"/>
      <c r="G17" s="421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0.26148796498905907</v>
      </c>
      <c r="Q17" s="745"/>
      <c r="R17" s="746">
        <f>IF($F$26=0,0,R16*1000/$F$26)</f>
        <v>0.78774617067833697</v>
      </c>
      <c r="S17" s="745"/>
      <c r="T17" s="746">
        <f>IF($F$26=0,0,T16*1000/$F$26)</f>
        <v>7.9868708971553612E-2</v>
      </c>
      <c r="U17" s="744"/>
      <c r="V17" s="632">
        <f>IF($F$26=0,0,V16*1000/$F$26)</f>
        <v>2.0382932166301968</v>
      </c>
      <c r="W17" s="632"/>
      <c r="X17" s="632">
        <f>IF($F$26=0,0,X16*1000/$F$26)</f>
        <v>4.5951859956236324E-2</v>
      </c>
      <c r="Y17" s="632"/>
      <c r="Z17" s="744">
        <f>IF($F$26=0,0,Z16*1000/$F$26)</f>
        <v>39.387308533916851</v>
      </c>
      <c r="AA17" s="744"/>
      <c r="AB17" s="632">
        <f>IF($F$26=0,0,AB16*1000/$F$26)</f>
        <v>0</v>
      </c>
      <c r="AC17" s="632"/>
      <c r="AD17" s="632">
        <f>IF($F$26=0,0,AD16*1000/$F$26)</f>
        <v>0.16411378555798689</v>
      </c>
      <c r="AE17" s="632"/>
      <c r="AF17" s="627">
        <f>IF(AF16=0,0,F26/AF16)</f>
        <v>152.33333333333334</v>
      </c>
      <c r="AG17" s="671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418" t="s">
        <v>125</v>
      </c>
      <c r="C18" s="131" t="s">
        <v>76</v>
      </c>
      <c r="D18" s="251" t="s">
        <v>126</v>
      </c>
      <c r="E18" s="241">
        <v>600</v>
      </c>
      <c r="F18" s="241">
        <v>914</v>
      </c>
      <c r="G18" s="242">
        <v>824</v>
      </c>
      <c r="H18" s="111">
        <f t="shared" si="0"/>
        <v>9.8468271334792121E-2</v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0.29004854368932037</v>
      </c>
      <c r="Q18" s="752"/>
      <c r="R18" s="746">
        <f>IF($G$26=0,0,R16*1000/$G$26)</f>
        <v>0.87378640776699024</v>
      </c>
      <c r="S18" s="745"/>
      <c r="T18" s="746">
        <f>IF($G$26=0,0,T16*1000/$G$26)</f>
        <v>8.859223300970874E-2</v>
      </c>
      <c r="U18" s="745"/>
      <c r="V18" s="753">
        <f>IF($G$26=0,0,V16*1000/$G$26)</f>
        <v>2.2609223300970873</v>
      </c>
      <c r="W18" s="754"/>
      <c r="X18" s="753">
        <f>IF($G$26=0,0,X16*1000/$G$26)</f>
        <v>5.0970873786407765E-2</v>
      </c>
      <c r="Y18" s="754"/>
      <c r="Z18" s="746">
        <f>IF($G$26=0,0,Z16*1000/$G$26)</f>
        <v>43.689320388349515</v>
      </c>
      <c r="AA18" s="744"/>
      <c r="AB18" s="632">
        <f>IF($G$26=0,0,AB16*1000/$G$26)</f>
        <v>0</v>
      </c>
      <c r="AC18" s="632"/>
      <c r="AD18" s="632">
        <f>IF($G$26=0,0,AD16*1000/$G$26)</f>
        <v>0.18203883495145634</v>
      </c>
      <c r="AE18" s="632"/>
      <c r="AF18" s="627">
        <f>IF(AF16=0,0,G26/AF16)</f>
        <v>137.33333333333334</v>
      </c>
      <c r="AG18" s="671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239"/>
      <c r="C19" s="131" t="s">
        <v>77</v>
      </c>
      <c r="D19" s="420"/>
      <c r="E19" s="420"/>
      <c r="F19" s="420"/>
      <c r="G19" s="421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>
        <f>11</f>
        <v>11</v>
      </c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418"/>
      <c r="C20" s="131" t="s">
        <v>78</v>
      </c>
      <c r="D20" s="251"/>
      <c r="E20" s="241"/>
      <c r="F20" s="241"/>
      <c r="G20" s="242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419"/>
      <c r="C21" s="131" t="s">
        <v>79</v>
      </c>
      <c r="D21" s="420"/>
      <c r="E21" s="420"/>
      <c r="F21" s="420"/>
      <c r="G21" s="421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420"/>
      <c r="E22" s="420"/>
      <c r="F22" s="420"/>
      <c r="G22" s="421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>
        <f>2+2</f>
        <v>4</v>
      </c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>
        <f>F26/P23</f>
        <v>228.5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>
        <v>2</v>
      </c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600</v>
      </c>
      <c r="F26" s="205">
        <f>SUM(F16:F25)</f>
        <v>914</v>
      </c>
      <c r="G26" s="205">
        <f>SUM(G16:G25)</f>
        <v>824</v>
      </c>
      <c r="H26" s="196">
        <f>IF(F26=0,"",(F26-G26)/F26)</f>
        <v>9.8468271334792121E-2</v>
      </c>
      <c r="I26" s="719" t="s">
        <v>70</v>
      </c>
      <c r="J26" s="720"/>
      <c r="K26" s="720"/>
      <c r="L26" s="720"/>
      <c r="M26" s="720"/>
      <c r="N26" s="720"/>
      <c r="O26" s="721"/>
      <c r="P26" s="785">
        <f>F26/P25</f>
        <v>457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3.6839999999999997</v>
      </c>
      <c r="Q27" s="781"/>
      <c r="R27" s="782">
        <f>SUM(R5,R16)</f>
        <v>11.119</v>
      </c>
      <c r="S27" s="781"/>
      <c r="T27" s="782">
        <f>SUM(T5,T16)</f>
        <v>0.996</v>
      </c>
      <c r="U27" s="781"/>
      <c r="V27" s="782">
        <f>SUM(V5,V16)</f>
        <v>27.257999999999999</v>
      </c>
      <c r="W27" s="781"/>
      <c r="X27" s="782">
        <f>SUM(X5,X16)</f>
        <v>0.59600000000000009</v>
      </c>
      <c r="Y27" s="781"/>
      <c r="Z27" s="783">
        <f>SUM(Z5,Z16)</f>
        <v>362</v>
      </c>
      <c r="AA27" s="784"/>
      <c r="AB27" s="770">
        <f>SUM(AB5,AB16)</f>
        <v>45</v>
      </c>
      <c r="AC27" s="770"/>
      <c r="AD27" s="769">
        <f>SUM(AD5,AD16)</f>
        <v>2.0500000000000003</v>
      </c>
      <c r="AE27" s="769"/>
      <c r="AF27" s="770">
        <f>SUM(AF5,AF16)</f>
        <v>82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12600</v>
      </c>
      <c r="F28" s="140">
        <f>F15+F26</f>
        <v>12853</v>
      </c>
      <c r="G28" s="140">
        <f>G15+G26</f>
        <v>11681</v>
      </c>
      <c r="H28" s="141">
        <f t="shared" si="0"/>
        <v>9.1184937368707697E-2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0.28662569050027226</v>
      </c>
      <c r="Q28" s="745"/>
      <c r="R28" s="746">
        <f t="shared" si="1"/>
        <v>0.86508986228895979</v>
      </c>
      <c r="S28" s="745"/>
      <c r="T28" s="746">
        <f t="shared" si="1"/>
        <v>7.7491636193884703E-2</v>
      </c>
      <c r="U28" s="745"/>
      <c r="V28" s="800">
        <f t="shared" si="1"/>
        <v>2.1207500194507118</v>
      </c>
      <c r="W28" s="801"/>
      <c r="X28" s="800">
        <f t="shared" si="1"/>
        <v>4.6370497160196075E-2</v>
      </c>
      <c r="Y28" s="801"/>
      <c r="Z28" s="746">
        <f t="shared" si="1"/>
        <v>28.164630825488214</v>
      </c>
      <c r="AA28" s="744"/>
      <c r="AB28" s="632">
        <f t="shared" si="1"/>
        <v>3.5011281412899713</v>
      </c>
      <c r="AC28" s="632"/>
      <c r="AD28" s="632">
        <f t="shared" si="1"/>
        <v>0.15949583754765428</v>
      </c>
      <c r="AE28" s="632"/>
      <c r="AF28" s="757">
        <f t="shared" si="1"/>
        <v>6.3798335019061696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0.31538395685300913</v>
      </c>
      <c r="Q29" s="792"/>
      <c r="R29" s="771">
        <f t="shared" si="2"/>
        <v>0.95188768084924236</v>
      </c>
      <c r="S29" s="792"/>
      <c r="T29" s="771">
        <f t="shared" si="2"/>
        <v>8.5266672373940589E-2</v>
      </c>
      <c r="U29" s="792"/>
      <c r="V29" s="793">
        <f t="shared" si="2"/>
        <v>2.3335330879205549</v>
      </c>
      <c r="W29" s="794"/>
      <c r="X29" s="795">
        <f t="shared" si="2"/>
        <v>5.1023028850269679E-2</v>
      </c>
      <c r="Y29" s="796"/>
      <c r="Z29" s="771">
        <f t="shared" si="2"/>
        <v>30.990497388922183</v>
      </c>
      <c r="AA29" s="772"/>
      <c r="AB29" s="773">
        <f t="shared" si="2"/>
        <v>3.8524098964129783</v>
      </c>
      <c r="AC29" s="773"/>
      <c r="AD29" s="773">
        <f t="shared" si="2"/>
        <v>0.1754986730588135</v>
      </c>
      <c r="AE29" s="773"/>
      <c r="AF29" s="774">
        <f t="shared" si="2"/>
        <v>7.0199469223525384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289" t="str">
        <f t="shared" ref="B33:B42" si="3">B5</f>
        <v>I11690801</v>
      </c>
      <c r="C33" s="213" t="s">
        <v>74</v>
      </c>
      <c r="D33" s="293" t="str">
        <f t="shared" ref="D33:D42" si="4">D5</f>
        <v>มิดไนท์เกรย์*N</v>
      </c>
      <c r="E33" s="293">
        <f>G5</f>
        <v>3310</v>
      </c>
      <c r="F33" s="294">
        <f>144*22+33+6</f>
        <v>3207</v>
      </c>
      <c r="G33" s="62">
        <f t="shared" ref="G33:G55" si="5">IF(E33=0,"",(E33-F33)/E33)</f>
        <v>3.1117824773413898E-2</v>
      </c>
      <c r="H33" s="63"/>
      <c r="I33" s="64">
        <f t="shared" ref="I33:I54" si="6">SUM(J33:AH33)</f>
        <v>103</v>
      </c>
      <c r="J33" s="453">
        <f>5+10+30</f>
        <v>45</v>
      </c>
      <c r="K33" s="454">
        <f>12</f>
        <v>12</v>
      </c>
      <c r="L33" s="453">
        <f>20</f>
        <v>20</v>
      </c>
      <c r="M33" s="454"/>
      <c r="N33" s="453"/>
      <c r="O33" s="454"/>
      <c r="P33" s="453"/>
      <c r="Q33" s="454"/>
      <c r="R33" s="453"/>
      <c r="S33" s="454"/>
      <c r="T33" s="453"/>
      <c r="U33" s="454"/>
      <c r="V33" s="453">
        <v>26</v>
      </c>
      <c r="W33" s="454"/>
      <c r="X33" s="453"/>
      <c r="Y33" s="454"/>
      <c r="Z33" s="453"/>
      <c r="AA33" s="454"/>
      <c r="AB33" s="453"/>
      <c r="AC33" s="454"/>
      <c r="AD33" s="453"/>
      <c r="AE33" s="454"/>
      <c r="AF33" s="453"/>
      <c r="AG33" s="454"/>
      <c r="AH33" s="453"/>
      <c r="AI33" s="803" t="s">
        <v>131</v>
      </c>
      <c r="AJ33" s="804"/>
      <c r="AK33" s="538" t="s">
        <v>132</v>
      </c>
      <c r="AL33" s="443"/>
      <c r="AM33" s="416"/>
    </row>
    <row r="34" spans="1:39" ht="20.25" customHeight="1">
      <c r="A34" s="370"/>
      <c r="B34" s="290">
        <f t="shared" si="3"/>
        <v>0</v>
      </c>
      <c r="C34" s="214" t="s">
        <v>75</v>
      </c>
      <c r="D34" s="295">
        <f t="shared" si="4"/>
        <v>0</v>
      </c>
      <c r="E34" s="295">
        <v>0</v>
      </c>
      <c r="F34" s="296"/>
      <c r="G34" s="70" t="str">
        <f t="shared" si="5"/>
        <v/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408"/>
      <c r="AJ34" s="541"/>
      <c r="AK34" s="73"/>
      <c r="AL34" s="74"/>
      <c r="AM34" s="75"/>
    </row>
    <row r="35" spans="1:39" ht="20.25" customHeight="1">
      <c r="A35" s="370"/>
      <c r="B35" s="290" t="str">
        <f t="shared" si="3"/>
        <v>I13690801</v>
      </c>
      <c r="C35" s="214" t="s">
        <v>76</v>
      </c>
      <c r="D35" s="295" t="str">
        <f t="shared" si="4"/>
        <v>มิดไนท์เกรย์*N</v>
      </c>
      <c r="E35" s="295">
        <f t="shared" ref="E35:E42" si="7">G7</f>
        <v>3251</v>
      </c>
      <c r="F35" s="296">
        <f>210*15+70+6</f>
        <v>3226</v>
      </c>
      <c r="G35" s="70">
        <f t="shared" si="5"/>
        <v>7.6899415564441707E-3</v>
      </c>
      <c r="H35" s="63"/>
      <c r="I35" s="64">
        <f t="shared" si="6"/>
        <v>25</v>
      </c>
      <c r="J35" s="455">
        <f>3</f>
        <v>3</v>
      </c>
      <c r="K35" s="456"/>
      <c r="L35" s="456">
        <f>7+7</f>
        <v>14</v>
      </c>
      <c r="M35" s="456"/>
      <c r="N35" s="456"/>
      <c r="O35" s="456"/>
      <c r="P35" s="456"/>
      <c r="Q35" s="456">
        <v>2</v>
      </c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>
        <v>5</v>
      </c>
      <c r="AC35" s="456"/>
      <c r="AD35" s="456"/>
      <c r="AE35" s="456"/>
      <c r="AF35" s="456">
        <v>1</v>
      </c>
      <c r="AG35" s="456"/>
      <c r="AH35" s="457"/>
      <c r="AI35" s="802" t="s">
        <v>130</v>
      </c>
      <c r="AJ35" s="614"/>
      <c r="AK35" s="540" t="s">
        <v>132</v>
      </c>
      <c r="AL35" s="449"/>
      <c r="AM35" s="410"/>
    </row>
    <row r="36" spans="1:39" ht="20.25" customHeight="1">
      <c r="A36" s="371">
        <v>1</v>
      </c>
      <c r="B36" s="290" t="str">
        <f t="shared" si="3"/>
        <v>I14690801</v>
      </c>
      <c r="C36" s="214" t="s">
        <v>77</v>
      </c>
      <c r="D36" s="295" t="str">
        <f t="shared" si="4"/>
        <v>มิดไนท์เกรย์*N</v>
      </c>
      <c r="E36" s="295">
        <f t="shared" si="7"/>
        <v>1180</v>
      </c>
      <c r="F36" s="296">
        <f>140*7+63+6</f>
        <v>1049</v>
      </c>
      <c r="G36" s="70">
        <f t="shared" si="5"/>
        <v>0.11101694915254237</v>
      </c>
      <c r="H36" s="63"/>
      <c r="I36" s="64">
        <f t="shared" si="6"/>
        <v>131</v>
      </c>
      <c r="J36" s="455"/>
      <c r="K36" s="456">
        <v>15</v>
      </c>
      <c r="L36" s="456"/>
      <c r="M36" s="456"/>
      <c r="N36" s="456"/>
      <c r="O36" s="456">
        <v>20</v>
      </c>
      <c r="P36" s="456">
        <f>7+10</f>
        <v>17</v>
      </c>
      <c r="Q36" s="456"/>
      <c r="R36" s="456"/>
      <c r="S36" s="456"/>
      <c r="T36" s="456"/>
      <c r="U36" s="456"/>
      <c r="V36" s="456"/>
      <c r="W36" s="456">
        <f>30+15</f>
        <v>45</v>
      </c>
      <c r="X36" s="456"/>
      <c r="Y36" s="456"/>
      <c r="Z36" s="456"/>
      <c r="AA36" s="456"/>
      <c r="AB36" s="456">
        <v>34</v>
      </c>
      <c r="AC36" s="456"/>
      <c r="AD36" s="456"/>
      <c r="AE36" s="456"/>
      <c r="AF36" s="456"/>
      <c r="AG36" s="456"/>
      <c r="AH36" s="457"/>
      <c r="AI36" s="802" t="s">
        <v>129</v>
      </c>
      <c r="AJ36" s="614"/>
      <c r="AK36" s="539" t="s">
        <v>132</v>
      </c>
      <c r="AL36" s="74"/>
      <c r="AM36" s="75"/>
    </row>
    <row r="37" spans="1:39" ht="20.25" customHeight="1">
      <c r="A37" s="372"/>
      <c r="B37" s="290" t="str">
        <f t="shared" si="3"/>
        <v>I15690801</v>
      </c>
      <c r="C37" s="214" t="s">
        <v>78</v>
      </c>
      <c r="D37" s="295" t="str">
        <f t="shared" si="4"/>
        <v>มิดไนท์เกรย์*N</v>
      </c>
      <c r="E37" s="295">
        <f t="shared" si="7"/>
        <v>1879</v>
      </c>
      <c r="F37" s="296">
        <f>280*6+141+6</f>
        <v>1827</v>
      </c>
      <c r="G37" s="70">
        <f t="shared" si="5"/>
        <v>2.7674294837679615E-2</v>
      </c>
      <c r="H37" s="63"/>
      <c r="I37" s="64">
        <f t="shared" si="6"/>
        <v>52</v>
      </c>
      <c r="J37" s="455"/>
      <c r="K37" s="456">
        <f>20+5</f>
        <v>25</v>
      </c>
      <c r="L37" s="456">
        <v>10</v>
      </c>
      <c r="M37" s="456"/>
      <c r="N37" s="456"/>
      <c r="O37" s="456"/>
      <c r="P37" s="456"/>
      <c r="Q37" s="456">
        <v>3</v>
      </c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>
        <f>5+4</f>
        <v>9</v>
      </c>
      <c r="AC37" s="456"/>
      <c r="AD37" s="456"/>
      <c r="AE37" s="456"/>
      <c r="AF37" s="456">
        <v>5</v>
      </c>
      <c r="AG37" s="456"/>
      <c r="AH37" s="457"/>
      <c r="AI37" s="802" t="s">
        <v>128</v>
      </c>
      <c r="AJ37" s="614"/>
      <c r="AK37" s="539" t="s">
        <v>132</v>
      </c>
      <c r="AL37" s="451"/>
      <c r="AM37" s="417"/>
    </row>
    <row r="38" spans="1:39" ht="20.25" customHeight="1">
      <c r="A38" s="372"/>
      <c r="B38" s="291" t="str">
        <f t="shared" si="3"/>
        <v>I16690801</v>
      </c>
      <c r="C38" s="214" t="s">
        <v>79</v>
      </c>
      <c r="D38" s="297" t="str">
        <f t="shared" si="4"/>
        <v>มิดไนท์เกรย์*N</v>
      </c>
      <c r="E38" s="295">
        <f t="shared" si="7"/>
        <v>1237</v>
      </c>
      <c r="F38" s="296">
        <f>96*11+6</f>
        <v>1062</v>
      </c>
      <c r="G38" s="70">
        <f t="shared" si="5"/>
        <v>0.14147130153597412</v>
      </c>
      <c r="H38" s="63"/>
      <c r="I38" s="64">
        <f t="shared" si="6"/>
        <v>175</v>
      </c>
      <c r="J38" s="455"/>
      <c r="K38" s="456">
        <f>9+4+20+2</f>
        <v>35</v>
      </c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>
        <f>23+20+20+20+25+25</f>
        <v>133</v>
      </c>
      <c r="X38" s="456"/>
      <c r="Y38" s="456"/>
      <c r="Z38" s="456"/>
      <c r="AA38" s="456"/>
      <c r="AB38" s="456"/>
      <c r="AC38" s="456"/>
      <c r="AD38" s="456"/>
      <c r="AE38" s="456"/>
      <c r="AF38" s="456">
        <v>7</v>
      </c>
      <c r="AG38" s="456"/>
      <c r="AH38" s="457"/>
      <c r="AI38" s="816" t="s">
        <v>143</v>
      </c>
      <c r="AJ38" s="817"/>
      <c r="AK38" s="545" t="s">
        <v>144</v>
      </c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7"/>
        <v>0</v>
      </c>
      <c r="F39" s="154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162">
        <f t="shared" si="3"/>
        <v>0</v>
      </c>
      <c r="C40" s="214" t="s">
        <v>63</v>
      </c>
      <c r="D40" s="163">
        <f t="shared" si="4"/>
        <v>0</v>
      </c>
      <c r="E40" s="153">
        <f t="shared" si="7"/>
        <v>0</v>
      </c>
      <c r="F40" s="154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7"/>
        <v>0</v>
      </c>
      <c r="F41" s="209"/>
      <c r="G41" s="210" t="str">
        <f t="shared" si="5"/>
        <v/>
      </c>
      <c r="H41" s="63"/>
      <c r="I41" s="64">
        <f t="shared" si="6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10857</v>
      </c>
      <c r="F43" s="145">
        <f>SUM(F33:F42)</f>
        <v>10371</v>
      </c>
      <c r="G43" s="135">
        <f t="shared" si="5"/>
        <v>4.4763746891406463E-2</v>
      </c>
      <c r="H43" s="63"/>
      <c r="I43" s="376">
        <f t="shared" si="6"/>
        <v>486</v>
      </c>
      <c r="J43" s="77">
        <f>SUM(J33:J42)</f>
        <v>48</v>
      </c>
      <c r="K43" s="78">
        <f t="shared" ref="K43:AH43" si="8">SUM(K33:K42)</f>
        <v>87</v>
      </c>
      <c r="L43" s="78">
        <f t="shared" si="8"/>
        <v>44</v>
      </c>
      <c r="M43" s="78">
        <f t="shared" si="8"/>
        <v>0</v>
      </c>
      <c r="N43" s="78">
        <f t="shared" si="8"/>
        <v>0</v>
      </c>
      <c r="O43" s="78">
        <f t="shared" si="8"/>
        <v>20</v>
      </c>
      <c r="P43" s="78">
        <f t="shared" si="8"/>
        <v>17</v>
      </c>
      <c r="Q43" s="78">
        <f t="shared" si="8"/>
        <v>5</v>
      </c>
      <c r="R43" s="78">
        <f t="shared" si="8"/>
        <v>0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26</v>
      </c>
      <c r="W43" s="78">
        <f t="shared" si="8"/>
        <v>178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48</v>
      </c>
      <c r="AC43" s="78">
        <f t="shared" si="8"/>
        <v>0</v>
      </c>
      <c r="AD43" s="78">
        <f t="shared" si="8"/>
        <v>0</v>
      </c>
      <c r="AE43" s="78">
        <f t="shared" si="8"/>
        <v>0</v>
      </c>
      <c r="AF43" s="78">
        <f t="shared" si="8"/>
        <v>13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221">
        <f>B16</f>
        <v>0</v>
      </c>
      <c r="C44" s="382" t="s">
        <v>74</v>
      </c>
      <c r="D44" s="304">
        <f>D16</f>
        <v>0</v>
      </c>
      <c r="E44" s="293">
        <f>G16</f>
        <v>0</v>
      </c>
      <c r="F44" s="294"/>
      <c r="G44" s="62" t="str">
        <f t="shared" si="5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2"/>
      <c r="AJ44" s="813"/>
      <c r="AK44" s="450"/>
      <c r="AL44" s="83"/>
      <c r="AM44" s="84"/>
    </row>
    <row r="45" spans="1:39" ht="20.25" customHeight="1">
      <c r="A45" s="384"/>
      <c r="B45" s="149">
        <f t="shared" ref="B45:B53" si="9">B17</f>
        <v>0</v>
      </c>
      <c r="C45" s="216" t="s">
        <v>75</v>
      </c>
      <c r="D45" s="150">
        <f t="shared" ref="D45:D53" si="10">D17</f>
        <v>0</v>
      </c>
      <c r="E45" s="125">
        <f t="shared" ref="E45:E53" si="11">G17</f>
        <v>0</v>
      </c>
      <c r="F45" s="151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309" t="str">
        <f>B18</f>
        <v>I13690802</v>
      </c>
      <c r="C46" s="217" t="s">
        <v>76</v>
      </c>
      <c r="D46" s="304" t="str">
        <f>D18</f>
        <v>ออเบิร์น บราวน์*N</v>
      </c>
      <c r="E46" s="297">
        <f>G18</f>
        <v>824</v>
      </c>
      <c r="F46" s="319">
        <f>210*3+140+6</f>
        <v>776</v>
      </c>
      <c r="G46" s="70">
        <f t="shared" si="5"/>
        <v>5.8252427184466021E-2</v>
      </c>
      <c r="H46" s="63"/>
      <c r="I46" s="64">
        <f>SUM(J46:AH46)</f>
        <v>48</v>
      </c>
      <c r="J46" s="360"/>
      <c r="K46" s="360">
        <v>10</v>
      </c>
      <c r="L46" s="360"/>
      <c r="M46" s="360">
        <v>5</v>
      </c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>
        <v>33</v>
      </c>
      <c r="AI46" s="613" t="s">
        <v>127</v>
      </c>
      <c r="AJ46" s="614"/>
      <c r="AK46" s="448" t="s">
        <v>132</v>
      </c>
      <c r="AL46" s="74"/>
      <c r="AM46" s="75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300">
        <f t="shared" si="9"/>
        <v>0</v>
      </c>
      <c r="C48" s="217" t="s">
        <v>78</v>
      </c>
      <c r="D48" s="305">
        <f t="shared" si="10"/>
        <v>0</v>
      </c>
      <c r="E48" s="297">
        <f>G20</f>
        <v>0</v>
      </c>
      <c r="F48" s="319"/>
      <c r="G48" s="70" t="str">
        <f t="shared" si="5"/>
        <v/>
      </c>
      <c r="H48" s="63"/>
      <c r="I48" s="64">
        <f t="shared" si="6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802"/>
      <c r="AJ48" s="614"/>
      <c r="AK48" s="450"/>
      <c r="AL48" s="74"/>
      <c r="AM48" s="75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824</v>
      </c>
      <c r="F54" s="145">
        <f>SUM(F44:F53)</f>
        <v>776</v>
      </c>
      <c r="G54" s="135">
        <f t="shared" si="5"/>
        <v>5.8252427184466021E-2</v>
      </c>
      <c r="H54" s="63"/>
      <c r="I54" s="87">
        <f t="shared" si="6"/>
        <v>48</v>
      </c>
      <c r="J54" s="77">
        <f>SUM(J44:J53)</f>
        <v>0</v>
      </c>
      <c r="K54" s="78">
        <f t="shared" ref="K54:AH54" si="12">SUM(K44:K53)</f>
        <v>10</v>
      </c>
      <c r="L54" s="78">
        <f t="shared" si="12"/>
        <v>0</v>
      </c>
      <c r="M54" s="78">
        <f t="shared" si="12"/>
        <v>5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33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11681</v>
      </c>
      <c r="F55" s="164">
        <f>F43+F54</f>
        <v>11147</v>
      </c>
      <c r="G55" s="165">
        <f t="shared" si="5"/>
        <v>4.5715264104100678E-2</v>
      </c>
      <c r="H55" s="95"/>
      <c r="I55" s="96">
        <f>SUM(I43,I54)</f>
        <v>534</v>
      </c>
      <c r="J55" s="97">
        <f>SUM(J43,J54)</f>
        <v>48</v>
      </c>
      <c r="K55" s="97">
        <f t="shared" ref="K55:AH55" si="13">SUM(K43,K54)</f>
        <v>97</v>
      </c>
      <c r="L55" s="97">
        <f t="shared" si="13"/>
        <v>44</v>
      </c>
      <c r="M55" s="97">
        <f t="shared" si="13"/>
        <v>5</v>
      </c>
      <c r="N55" s="97">
        <f t="shared" si="13"/>
        <v>0</v>
      </c>
      <c r="O55" s="97">
        <f t="shared" si="13"/>
        <v>20</v>
      </c>
      <c r="P55" s="97">
        <f t="shared" si="13"/>
        <v>17</v>
      </c>
      <c r="Q55" s="97">
        <f t="shared" si="13"/>
        <v>5</v>
      </c>
      <c r="R55" s="97">
        <f t="shared" si="13"/>
        <v>0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26</v>
      </c>
      <c r="W55" s="97">
        <f t="shared" si="13"/>
        <v>178</v>
      </c>
      <c r="X55" s="97">
        <f t="shared" si="13"/>
        <v>0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48</v>
      </c>
      <c r="AC55" s="97">
        <f t="shared" si="13"/>
        <v>0</v>
      </c>
      <c r="AD55" s="97">
        <f t="shared" si="13"/>
        <v>0</v>
      </c>
      <c r="AE55" s="97">
        <f t="shared" si="13"/>
        <v>0</v>
      </c>
      <c r="AF55" s="97">
        <f t="shared" si="13"/>
        <v>13</v>
      </c>
      <c r="AG55" s="97">
        <f t="shared" si="13"/>
        <v>0</v>
      </c>
      <c r="AH55" s="97">
        <f t="shared" si="13"/>
        <v>33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5">
    <mergeCell ref="AI36:AJ36"/>
    <mergeCell ref="AI48:AJ48"/>
    <mergeCell ref="AI35:AJ35"/>
    <mergeCell ref="AI33:AJ33"/>
    <mergeCell ref="AI37:AJ37"/>
    <mergeCell ref="AI31:AJ32"/>
    <mergeCell ref="AK31:AM32"/>
    <mergeCell ref="AI44:AJ44"/>
    <mergeCell ref="AI45:AJ45"/>
    <mergeCell ref="AI38:AJ38"/>
    <mergeCell ref="A15:D15"/>
    <mergeCell ref="A26:D26"/>
    <mergeCell ref="I29:O29"/>
    <mergeCell ref="P29:Q29"/>
    <mergeCell ref="R29:S29"/>
    <mergeCell ref="T29:U29"/>
    <mergeCell ref="V29:W29"/>
    <mergeCell ref="X29:Y29"/>
    <mergeCell ref="AB28:AC28"/>
    <mergeCell ref="I19:O19"/>
    <mergeCell ref="P19:Q19"/>
    <mergeCell ref="I20:O20"/>
    <mergeCell ref="P20:Q20"/>
    <mergeCell ref="I21:O21"/>
    <mergeCell ref="P21:Q21"/>
    <mergeCell ref="Z18:AA18"/>
    <mergeCell ref="A28:D28"/>
    <mergeCell ref="I28:O28"/>
    <mergeCell ref="P28:Q28"/>
    <mergeCell ref="R28:S28"/>
    <mergeCell ref="T28:U28"/>
    <mergeCell ref="V28:W28"/>
    <mergeCell ref="X28:Y28"/>
    <mergeCell ref="I22:O22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AJ28:AK28"/>
    <mergeCell ref="AF27:AG27"/>
    <mergeCell ref="Z29:AA29"/>
    <mergeCell ref="AB29:AC29"/>
    <mergeCell ref="AD29:AE29"/>
    <mergeCell ref="AF29:AG29"/>
    <mergeCell ref="AH29:AI29"/>
    <mergeCell ref="AJ29:AK29"/>
    <mergeCell ref="Z28:AA28"/>
    <mergeCell ref="AD28:AE28"/>
    <mergeCell ref="AH27:AI27"/>
    <mergeCell ref="P22:Q22"/>
    <mergeCell ref="I23:O23"/>
    <mergeCell ref="P23:Q23"/>
    <mergeCell ref="AF28:AG28"/>
    <mergeCell ref="AH28:AI28"/>
    <mergeCell ref="AJ27:AK27"/>
    <mergeCell ref="AJ24:AK24"/>
    <mergeCell ref="I25:O25"/>
    <mergeCell ref="R24:S24"/>
    <mergeCell ref="T24:U24"/>
    <mergeCell ref="V24:W24"/>
    <mergeCell ref="X24:Y24"/>
    <mergeCell ref="Z24:AA24"/>
    <mergeCell ref="AB24:AC24"/>
    <mergeCell ref="P25:Q25"/>
    <mergeCell ref="AD24:AE24"/>
    <mergeCell ref="AF24:AG24"/>
    <mergeCell ref="AH24:AI24"/>
    <mergeCell ref="I24:O24"/>
    <mergeCell ref="P24:Q24"/>
    <mergeCell ref="AD27:AE27"/>
    <mergeCell ref="X26:Y26"/>
    <mergeCell ref="Z26:AA26"/>
    <mergeCell ref="AB26:AC26"/>
    <mergeCell ref="AD18:AE18"/>
    <mergeCell ref="AF18:AG18"/>
    <mergeCell ref="AH18:AI18"/>
    <mergeCell ref="AJ18:AK18"/>
    <mergeCell ref="I18:O18"/>
    <mergeCell ref="P18:Q18"/>
    <mergeCell ref="R18:S18"/>
    <mergeCell ref="T18:U18"/>
    <mergeCell ref="V18:W18"/>
    <mergeCell ref="X18:Y18"/>
    <mergeCell ref="AB18:AC18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7:AA17"/>
    <mergeCell ref="AB17:AC17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AB16:AC16"/>
    <mergeCell ref="Z16:AA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AB15:AC15"/>
    <mergeCell ref="Z15:AA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H8:AI8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AD2:AE2"/>
    <mergeCell ref="AF2:AG2"/>
    <mergeCell ref="Z7:AA7"/>
    <mergeCell ref="AB7:AC7"/>
    <mergeCell ref="AD7:AE7"/>
    <mergeCell ref="AF7:AG7"/>
    <mergeCell ref="T4:U4"/>
    <mergeCell ref="V4:W4"/>
    <mergeCell ref="X4:Y4"/>
    <mergeCell ref="Z2:AA2"/>
    <mergeCell ref="AB2:AC2"/>
    <mergeCell ref="AB6:AC6"/>
    <mergeCell ref="AD6:AE6"/>
    <mergeCell ref="AF6:AG6"/>
    <mergeCell ref="T7:U7"/>
    <mergeCell ref="AD5:AE5"/>
    <mergeCell ref="Z6:AA6"/>
    <mergeCell ref="V7:W7"/>
    <mergeCell ref="X7:Y7"/>
    <mergeCell ref="Z8:AA8"/>
    <mergeCell ref="AB8:AC8"/>
    <mergeCell ref="AD8:AE8"/>
    <mergeCell ref="AF8:AG8"/>
    <mergeCell ref="AJ3:AK3"/>
    <mergeCell ref="P4:Q4"/>
    <mergeCell ref="AH7:AI7"/>
    <mergeCell ref="I6:O6"/>
    <mergeCell ref="P6:Q6"/>
    <mergeCell ref="R6:S6"/>
    <mergeCell ref="T6:U6"/>
    <mergeCell ref="V6:W6"/>
    <mergeCell ref="X6:Y6"/>
    <mergeCell ref="AF5:AG5"/>
    <mergeCell ref="AH5:AI5"/>
    <mergeCell ref="I5:O5"/>
    <mergeCell ref="P5:Q5"/>
    <mergeCell ref="R5:S5"/>
    <mergeCell ref="T5:U5"/>
    <mergeCell ref="V5:W5"/>
    <mergeCell ref="X5:Y5"/>
    <mergeCell ref="Z5:AA5"/>
    <mergeCell ref="AB5:AC5"/>
    <mergeCell ref="AH6:AI6"/>
    <mergeCell ref="M1:N1"/>
    <mergeCell ref="R1:U1"/>
    <mergeCell ref="E2:H2"/>
    <mergeCell ref="I2:O4"/>
    <mergeCell ref="P2:Q3"/>
    <mergeCell ref="R2:S2"/>
    <mergeCell ref="T2:U2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H4:AI4"/>
    <mergeCell ref="AF3:AG3"/>
    <mergeCell ref="AH3:AI3"/>
    <mergeCell ref="Z4:AA4"/>
    <mergeCell ref="AB4:AC4"/>
    <mergeCell ref="A43:D43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  <mergeCell ref="AB9:AC9"/>
    <mergeCell ref="AD9:AE9"/>
  </mergeCells>
  <dataValidations count="1">
    <dataValidation type="list" allowBlank="1" showInputMessage="1" showErrorMessage="1" sqref="C65521:C65527 HB65521:HB65527 QX65521:QX65527 AAT65521:AAT65527 AKP65521:AKP65527 AUL65521:AUL65527 BEH65521:BEH65527 BOD65521:BOD65527 BXZ65521:BXZ65527 CHV65521:CHV65527 CRR65521:CRR65527 DBN65521:DBN65527 DLJ65521:DLJ65527 DVF65521:DVF65527 EFB65521:EFB65527 EOX65521:EOX65527 EYT65521:EYT65527 FIP65521:FIP65527 FSL65521:FSL65527 GCH65521:GCH65527 GMD65521:GMD65527 GVZ65521:GVZ65527 HFV65521:HFV65527 HPR65521:HPR65527 HZN65521:HZN65527 IJJ65521:IJJ65527 ITF65521:ITF65527 JDB65521:JDB65527 JMX65521:JMX65527 JWT65521:JWT65527 KGP65521:KGP65527 KQL65521:KQL65527 LAH65521:LAH65527 LKD65521:LKD65527 LTZ65521:LTZ65527 MDV65521:MDV65527 MNR65521:MNR65527 MXN65521:MXN65527 NHJ65521:NHJ65527 NRF65521:NRF65527 OBB65521:OBB65527 OKX65521:OKX65527 OUT65521:OUT65527 PEP65521:PEP65527 POL65521:POL65527 PYH65521:PYH65527 QID65521:QID65527 QRZ65521:QRZ65527 RBV65521:RBV65527 RLR65521:RLR65527 RVN65521:RVN65527 SFJ65521:SFJ65527 SPF65521:SPF65527 SZB65521:SZB65527 TIX65521:TIX65527 TST65521:TST65527 UCP65521:UCP65527 UML65521:UML65527 UWH65521:UWH65527 VGD65521:VGD65527 VPZ65521:VPZ65527 VZV65521:VZV65527 WJR65521:WJR65527 WTN65521:WTN65527 C131057:C131063 HB131057:HB131063 QX131057:QX131063 AAT131057:AAT131063 AKP131057:AKP131063 AUL131057:AUL131063 BEH131057:BEH131063 BOD131057:BOD131063 BXZ131057:BXZ131063 CHV131057:CHV131063 CRR131057:CRR131063 DBN131057:DBN131063 DLJ131057:DLJ131063 DVF131057:DVF131063 EFB131057:EFB131063 EOX131057:EOX131063 EYT131057:EYT131063 FIP131057:FIP131063 FSL131057:FSL131063 GCH131057:GCH131063 GMD131057:GMD131063 GVZ131057:GVZ131063 HFV131057:HFV131063 HPR131057:HPR131063 HZN131057:HZN131063 IJJ131057:IJJ131063 ITF131057:ITF131063 JDB131057:JDB131063 JMX131057:JMX131063 JWT131057:JWT131063 KGP131057:KGP131063 KQL131057:KQL131063 LAH131057:LAH131063 LKD131057:LKD131063 LTZ131057:LTZ131063 MDV131057:MDV131063 MNR131057:MNR131063 MXN131057:MXN131063 NHJ131057:NHJ131063 NRF131057:NRF131063 OBB131057:OBB131063 OKX131057:OKX131063 OUT131057:OUT131063 PEP131057:PEP131063 POL131057:POL131063 PYH131057:PYH131063 QID131057:QID131063 QRZ131057:QRZ131063 RBV131057:RBV131063 RLR131057:RLR131063 RVN131057:RVN131063 SFJ131057:SFJ131063 SPF131057:SPF131063 SZB131057:SZB131063 TIX131057:TIX131063 TST131057:TST131063 UCP131057:UCP131063 UML131057:UML131063 UWH131057:UWH131063 VGD131057:VGD131063 VPZ131057:VPZ131063 VZV131057:VZV131063 WJR131057:WJR131063 WTN131057:WTN131063 C196593:C196599 HB196593:HB196599 QX196593:QX196599 AAT196593:AAT196599 AKP196593:AKP196599 AUL196593:AUL196599 BEH196593:BEH196599 BOD196593:BOD196599 BXZ196593:BXZ196599 CHV196593:CHV196599 CRR196593:CRR196599 DBN196593:DBN196599 DLJ196593:DLJ196599 DVF196593:DVF196599 EFB196593:EFB196599 EOX196593:EOX196599 EYT196593:EYT196599 FIP196593:FIP196599 FSL196593:FSL196599 GCH196593:GCH196599 GMD196593:GMD196599 GVZ196593:GVZ196599 HFV196593:HFV196599 HPR196593:HPR196599 HZN196593:HZN196599 IJJ196593:IJJ196599 ITF196593:ITF196599 JDB196593:JDB196599 JMX196593:JMX196599 JWT196593:JWT196599 KGP196593:KGP196599 KQL196593:KQL196599 LAH196593:LAH196599 LKD196593:LKD196599 LTZ196593:LTZ196599 MDV196593:MDV196599 MNR196593:MNR196599 MXN196593:MXN196599 NHJ196593:NHJ196599 NRF196593:NRF196599 OBB196593:OBB196599 OKX196593:OKX196599 OUT196593:OUT196599 PEP196593:PEP196599 POL196593:POL196599 PYH196593:PYH196599 QID196593:QID196599 QRZ196593:QRZ196599 RBV196593:RBV196599 RLR196593:RLR196599 RVN196593:RVN196599 SFJ196593:SFJ196599 SPF196593:SPF196599 SZB196593:SZB196599 TIX196593:TIX196599 TST196593:TST196599 UCP196593:UCP196599 UML196593:UML196599 UWH196593:UWH196599 VGD196593:VGD196599 VPZ196593:VPZ196599 VZV196593:VZV196599 WJR196593:WJR196599 WTN196593:WTN196599 C262129:C262135 HB262129:HB262135 QX262129:QX262135 AAT262129:AAT262135 AKP262129:AKP262135 AUL262129:AUL262135 BEH262129:BEH262135 BOD262129:BOD262135 BXZ262129:BXZ262135 CHV262129:CHV262135 CRR262129:CRR262135 DBN262129:DBN262135 DLJ262129:DLJ262135 DVF262129:DVF262135 EFB262129:EFB262135 EOX262129:EOX262135 EYT262129:EYT262135 FIP262129:FIP262135 FSL262129:FSL262135 GCH262129:GCH262135 GMD262129:GMD262135 GVZ262129:GVZ262135 HFV262129:HFV262135 HPR262129:HPR262135 HZN262129:HZN262135 IJJ262129:IJJ262135 ITF262129:ITF262135 JDB262129:JDB262135 JMX262129:JMX262135 JWT262129:JWT262135 KGP262129:KGP262135 KQL262129:KQL262135 LAH262129:LAH262135 LKD262129:LKD262135 LTZ262129:LTZ262135 MDV262129:MDV262135 MNR262129:MNR262135 MXN262129:MXN262135 NHJ262129:NHJ262135 NRF262129:NRF262135 OBB262129:OBB262135 OKX262129:OKX262135 OUT262129:OUT262135 PEP262129:PEP262135 POL262129:POL262135 PYH262129:PYH262135 QID262129:QID262135 QRZ262129:QRZ262135 RBV262129:RBV262135 RLR262129:RLR262135 RVN262129:RVN262135 SFJ262129:SFJ262135 SPF262129:SPF262135 SZB262129:SZB262135 TIX262129:TIX262135 TST262129:TST262135 UCP262129:UCP262135 UML262129:UML262135 UWH262129:UWH262135 VGD262129:VGD262135 VPZ262129:VPZ262135 VZV262129:VZV262135 WJR262129:WJR262135 WTN262129:WTN262135 C327665:C327671 HB327665:HB327671 QX327665:QX327671 AAT327665:AAT327671 AKP327665:AKP327671 AUL327665:AUL327671 BEH327665:BEH327671 BOD327665:BOD327671 BXZ327665:BXZ327671 CHV327665:CHV327671 CRR327665:CRR327671 DBN327665:DBN327671 DLJ327665:DLJ327671 DVF327665:DVF327671 EFB327665:EFB327671 EOX327665:EOX327671 EYT327665:EYT327671 FIP327665:FIP327671 FSL327665:FSL327671 GCH327665:GCH327671 GMD327665:GMD327671 GVZ327665:GVZ327671 HFV327665:HFV327671 HPR327665:HPR327671 HZN327665:HZN327671 IJJ327665:IJJ327671 ITF327665:ITF327671 JDB327665:JDB327671 JMX327665:JMX327671 JWT327665:JWT327671 KGP327665:KGP327671 KQL327665:KQL327671 LAH327665:LAH327671 LKD327665:LKD327671 LTZ327665:LTZ327671 MDV327665:MDV327671 MNR327665:MNR327671 MXN327665:MXN327671 NHJ327665:NHJ327671 NRF327665:NRF327671 OBB327665:OBB327671 OKX327665:OKX327671 OUT327665:OUT327671 PEP327665:PEP327671 POL327665:POL327671 PYH327665:PYH327671 QID327665:QID327671 QRZ327665:QRZ327671 RBV327665:RBV327671 RLR327665:RLR327671 RVN327665:RVN327671 SFJ327665:SFJ327671 SPF327665:SPF327671 SZB327665:SZB327671 TIX327665:TIX327671 TST327665:TST327671 UCP327665:UCP327671 UML327665:UML327671 UWH327665:UWH327671 VGD327665:VGD327671 VPZ327665:VPZ327671 VZV327665:VZV327671 WJR327665:WJR327671 WTN327665:WTN327671 C393201:C393207 HB393201:HB393207 QX393201:QX393207 AAT393201:AAT393207 AKP393201:AKP393207 AUL393201:AUL393207 BEH393201:BEH393207 BOD393201:BOD393207 BXZ393201:BXZ393207 CHV393201:CHV393207 CRR393201:CRR393207 DBN393201:DBN393207 DLJ393201:DLJ393207 DVF393201:DVF393207 EFB393201:EFB393207 EOX393201:EOX393207 EYT393201:EYT393207 FIP393201:FIP393207 FSL393201:FSL393207 GCH393201:GCH393207 GMD393201:GMD393207 GVZ393201:GVZ393207 HFV393201:HFV393207 HPR393201:HPR393207 HZN393201:HZN393207 IJJ393201:IJJ393207 ITF393201:ITF393207 JDB393201:JDB393207 JMX393201:JMX393207 JWT393201:JWT393207 KGP393201:KGP393207 KQL393201:KQL393207 LAH393201:LAH393207 LKD393201:LKD393207 LTZ393201:LTZ393207 MDV393201:MDV393207 MNR393201:MNR393207 MXN393201:MXN393207 NHJ393201:NHJ393207 NRF393201:NRF393207 OBB393201:OBB393207 OKX393201:OKX393207 OUT393201:OUT393207 PEP393201:PEP393207 POL393201:POL393207 PYH393201:PYH393207 QID393201:QID393207 QRZ393201:QRZ393207 RBV393201:RBV393207 RLR393201:RLR393207 RVN393201:RVN393207 SFJ393201:SFJ393207 SPF393201:SPF393207 SZB393201:SZB393207 TIX393201:TIX393207 TST393201:TST393207 UCP393201:UCP393207 UML393201:UML393207 UWH393201:UWH393207 VGD393201:VGD393207 VPZ393201:VPZ393207 VZV393201:VZV393207 WJR393201:WJR393207 WTN393201:WTN393207 C458737:C458743 HB458737:HB458743 QX458737:QX458743 AAT458737:AAT458743 AKP458737:AKP458743 AUL458737:AUL458743 BEH458737:BEH458743 BOD458737:BOD458743 BXZ458737:BXZ458743 CHV458737:CHV458743 CRR458737:CRR458743 DBN458737:DBN458743 DLJ458737:DLJ458743 DVF458737:DVF458743 EFB458737:EFB458743 EOX458737:EOX458743 EYT458737:EYT458743 FIP458737:FIP458743 FSL458737:FSL458743 GCH458737:GCH458743 GMD458737:GMD458743 GVZ458737:GVZ458743 HFV458737:HFV458743 HPR458737:HPR458743 HZN458737:HZN458743 IJJ458737:IJJ458743 ITF458737:ITF458743 JDB458737:JDB458743 JMX458737:JMX458743 JWT458737:JWT458743 KGP458737:KGP458743 KQL458737:KQL458743 LAH458737:LAH458743 LKD458737:LKD458743 LTZ458737:LTZ458743 MDV458737:MDV458743 MNR458737:MNR458743 MXN458737:MXN458743 NHJ458737:NHJ458743 NRF458737:NRF458743 OBB458737:OBB458743 OKX458737:OKX458743 OUT458737:OUT458743 PEP458737:PEP458743 POL458737:POL458743 PYH458737:PYH458743 QID458737:QID458743 QRZ458737:QRZ458743 RBV458737:RBV458743 RLR458737:RLR458743 RVN458737:RVN458743 SFJ458737:SFJ458743 SPF458737:SPF458743 SZB458737:SZB458743 TIX458737:TIX458743 TST458737:TST458743 UCP458737:UCP458743 UML458737:UML458743 UWH458737:UWH458743 VGD458737:VGD458743 VPZ458737:VPZ458743 VZV458737:VZV458743 WJR458737:WJR458743 WTN458737:WTN458743 C524273:C524279 HB524273:HB524279 QX524273:QX524279 AAT524273:AAT524279 AKP524273:AKP524279 AUL524273:AUL524279 BEH524273:BEH524279 BOD524273:BOD524279 BXZ524273:BXZ524279 CHV524273:CHV524279 CRR524273:CRR524279 DBN524273:DBN524279 DLJ524273:DLJ524279 DVF524273:DVF524279 EFB524273:EFB524279 EOX524273:EOX524279 EYT524273:EYT524279 FIP524273:FIP524279 FSL524273:FSL524279 GCH524273:GCH524279 GMD524273:GMD524279 GVZ524273:GVZ524279 HFV524273:HFV524279 HPR524273:HPR524279 HZN524273:HZN524279 IJJ524273:IJJ524279 ITF524273:ITF524279 JDB524273:JDB524279 JMX524273:JMX524279 JWT524273:JWT524279 KGP524273:KGP524279 KQL524273:KQL524279 LAH524273:LAH524279 LKD524273:LKD524279 LTZ524273:LTZ524279 MDV524273:MDV524279 MNR524273:MNR524279 MXN524273:MXN524279 NHJ524273:NHJ524279 NRF524273:NRF524279 OBB524273:OBB524279 OKX524273:OKX524279 OUT524273:OUT524279 PEP524273:PEP524279 POL524273:POL524279 PYH524273:PYH524279 QID524273:QID524279 QRZ524273:QRZ524279 RBV524273:RBV524279 RLR524273:RLR524279 RVN524273:RVN524279 SFJ524273:SFJ524279 SPF524273:SPF524279 SZB524273:SZB524279 TIX524273:TIX524279 TST524273:TST524279 UCP524273:UCP524279 UML524273:UML524279 UWH524273:UWH524279 VGD524273:VGD524279 VPZ524273:VPZ524279 VZV524273:VZV524279 WJR524273:WJR524279 WTN524273:WTN524279 C589809:C589815 HB589809:HB589815 QX589809:QX589815 AAT589809:AAT589815 AKP589809:AKP589815 AUL589809:AUL589815 BEH589809:BEH589815 BOD589809:BOD589815 BXZ589809:BXZ589815 CHV589809:CHV589815 CRR589809:CRR589815 DBN589809:DBN589815 DLJ589809:DLJ589815 DVF589809:DVF589815 EFB589809:EFB589815 EOX589809:EOX589815 EYT589809:EYT589815 FIP589809:FIP589815 FSL589809:FSL589815 GCH589809:GCH589815 GMD589809:GMD589815 GVZ589809:GVZ589815 HFV589809:HFV589815 HPR589809:HPR589815 HZN589809:HZN589815 IJJ589809:IJJ589815 ITF589809:ITF589815 JDB589809:JDB589815 JMX589809:JMX589815 JWT589809:JWT589815 KGP589809:KGP589815 KQL589809:KQL589815 LAH589809:LAH589815 LKD589809:LKD589815 LTZ589809:LTZ589815 MDV589809:MDV589815 MNR589809:MNR589815 MXN589809:MXN589815 NHJ589809:NHJ589815 NRF589809:NRF589815 OBB589809:OBB589815 OKX589809:OKX589815 OUT589809:OUT589815 PEP589809:PEP589815 POL589809:POL589815 PYH589809:PYH589815 QID589809:QID589815 QRZ589809:QRZ589815 RBV589809:RBV589815 RLR589809:RLR589815 RVN589809:RVN589815 SFJ589809:SFJ589815 SPF589809:SPF589815 SZB589809:SZB589815 TIX589809:TIX589815 TST589809:TST589815 UCP589809:UCP589815 UML589809:UML589815 UWH589809:UWH589815 VGD589809:VGD589815 VPZ589809:VPZ589815 VZV589809:VZV589815 WJR589809:WJR589815 WTN589809:WTN589815 C655345:C655351 HB655345:HB655351 QX655345:QX655351 AAT655345:AAT655351 AKP655345:AKP655351 AUL655345:AUL655351 BEH655345:BEH655351 BOD655345:BOD655351 BXZ655345:BXZ655351 CHV655345:CHV655351 CRR655345:CRR655351 DBN655345:DBN655351 DLJ655345:DLJ655351 DVF655345:DVF655351 EFB655345:EFB655351 EOX655345:EOX655351 EYT655345:EYT655351 FIP655345:FIP655351 FSL655345:FSL655351 GCH655345:GCH655351 GMD655345:GMD655351 GVZ655345:GVZ655351 HFV655345:HFV655351 HPR655345:HPR655351 HZN655345:HZN655351 IJJ655345:IJJ655351 ITF655345:ITF655351 JDB655345:JDB655351 JMX655345:JMX655351 JWT655345:JWT655351 KGP655345:KGP655351 KQL655345:KQL655351 LAH655345:LAH655351 LKD655345:LKD655351 LTZ655345:LTZ655351 MDV655345:MDV655351 MNR655345:MNR655351 MXN655345:MXN655351 NHJ655345:NHJ655351 NRF655345:NRF655351 OBB655345:OBB655351 OKX655345:OKX655351 OUT655345:OUT655351 PEP655345:PEP655351 POL655345:POL655351 PYH655345:PYH655351 QID655345:QID655351 QRZ655345:QRZ655351 RBV655345:RBV655351 RLR655345:RLR655351 RVN655345:RVN655351 SFJ655345:SFJ655351 SPF655345:SPF655351 SZB655345:SZB655351 TIX655345:TIX655351 TST655345:TST655351 UCP655345:UCP655351 UML655345:UML655351 UWH655345:UWH655351 VGD655345:VGD655351 VPZ655345:VPZ655351 VZV655345:VZV655351 WJR655345:WJR655351 WTN655345:WTN655351 C720881:C720887 HB720881:HB720887 QX720881:QX720887 AAT720881:AAT720887 AKP720881:AKP720887 AUL720881:AUL720887 BEH720881:BEH720887 BOD720881:BOD720887 BXZ720881:BXZ720887 CHV720881:CHV720887 CRR720881:CRR720887 DBN720881:DBN720887 DLJ720881:DLJ720887 DVF720881:DVF720887 EFB720881:EFB720887 EOX720881:EOX720887 EYT720881:EYT720887 FIP720881:FIP720887 FSL720881:FSL720887 GCH720881:GCH720887 GMD720881:GMD720887 GVZ720881:GVZ720887 HFV720881:HFV720887 HPR720881:HPR720887 HZN720881:HZN720887 IJJ720881:IJJ720887 ITF720881:ITF720887 JDB720881:JDB720887 JMX720881:JMX720887 JWT720881:JWT720887 KGP720881:KGP720887 KQL720881:KQL720887 LAH720881:LAH720887 LKD720881:LKD720887 LTZ720881:LTZ720887 MDV720881:MDV720887 MNR720881:MNR720887 MXN720881:MXN720887 NHJ720881:NHJ720887 NRF720881:NRF720887 OBB720881:OBB720887 OKX720881:OKX720887 OUT720881:OUT720887 PEP720881:PEP720887 POL720881:POL720887 PYH720881:PYH720887 QID720881:QID720887 QRZ720881:QRZ720887 RBV720881:RBV720887 RLR720881:RLR720887 RVN720881:RVN720887 SFJ720881:SFJ720887 SPF720881:SPF720887 SZB720881:SZB720887 TIX720881:TIX720887 TST720881:TST720887 UCP720881:UCP720887 UML720881:UML720887 UWH720881:UWH720887 VGD720881:VGD720887 VPZ720881:VPZ720887 VZV720881:VZV720887 WJR720881:WJR720887 WTN720881:WTN720887 C786417:C786423 HB786417:HB786423 QX786417:QX786423 AAT786417:AAT786423 AKP786417:AKP786423 AUL786417:AUL786423 BEH786417:BEH786423 BOD786417:BOD786423 BXZ786417:BXZ786423 CHV786417:CHV786423 CRR786417:CRR786423 DBN786417:DBN786423 DLJ786417:DLJ786423 DVF786417:DVF786423 EFB786417:EFB786423 EOX786417:EOX786423 EYT786417:EYT786423 FIP786417:FIP786423 FSL786417:FSL786423 GCH786417:GCH786423 GMD786417:GMD786423 GVZ786417:GVZ786423 HFV786417:HFV786423 HPR786417:HPR786423 HZN786417:HZN786423 IJJ786417:IJJ786423 ITF786417:ITF786423 JDB786417:JDB786423 JMX786417:JMX786423 JWT786417:JWT786423 KGP786417:KGP786423 KQL786417:KQL786423 LAH786417:LAH786423 LKD786417:LKD786423 LTZ786417:LTZ786423 MDV786417:MDV786423 MNR786417:MNR786423 MXN786417:MXN786423 NHJ786417:NHJ786423 NRF786417:NRF786423 OBB786417:OBB786423 OKX786417:OKX786423 OUT786417:OUT786423 PEP786417:PEP786423 POL786417:POL786423 PYH786417:PYH786423 QID786417:QID786423 QRZ786417:QRZ786423 RBV786417:RBV786423 RLR786417:RLR786423 RVN786417:RVN786423 SFJ786417:SFJ786423 SPF786417:SPF786423 SZB786417:SZB786423 TIX786417:TIX786423 TST786417:TST786423 UCP786417:UCP786423 UML786417:UML786423 UWH786417:UWH786423 VGD786417:VGD786423 VPZ786417:VPZ786423 VZV786417:VZV786423 WJR786417:WJR786423 WTN786417:WTN786423 C851953:C851959 HB851953:HB851959 QX851953:QX851959 AAT851953:AAT851959 AKP851953:AKP851959 AUL851953:AUL851959 BEH851953:BEH851959 BOD851953:BOD851959 BXZ851953:BXZ851959 CHV851953:CHV851959 CRR851953:CRR851959 DBN851953:DBN851959 DLJ851953:DLJ851959 DVF851953:DVF851959 EFB851953:EFB851959 EOX851953:EOX851959 EYT851953:EYT851959 FIP851953:FIP851959 FSL851953:FSL851959 GCH851953:GCH851959 GMD851953:GMD851959 GVZ851953:GVZ851959 HFV851953:HFV851959 HPR851953:HPR851959 HZN851953:HZN851959 IJJ851953:IJJ851959 ITF851953:ITF851959 JDB851953:JDB851959 JMX851953:JMX851959 JWT851953:JWT851959 KGP851953:KGP851959 KQL851953:KQL851959 LAH851953:LAH851959 LKD851953:LKD851959 LTZ851953:LTZ851959 MDV851953:MDV851959 MNR851953:MNR851959 MXN851953:MXN851959 NHJ851953:NHJ851959 NRF851953:NRF851959 OBB851953:OBB851959 OKX851953:OKX851959 OUT851953:OUT851959 PEP851953:PEP851959 POL851953:POL851959 PYH851953:PYH851959 QID851953:QID851959 QRZ851953:QRZ851959 RBV851953:RBV851959 RLR851953:RLR851959 RVN851953:RVN851959 SFJ851953:SFJ851959 SPF851953:SPF851959 SZB851953:SZB851959 TIX851953:TIX851959 TST851953:TST851959 UCP851953:UCP851959 UML851953:UML851959 UWH851953:UWH851959 VGD851953:VGD851959 VPZ851953:VPZ851959 VZV851953:VZV851959 WJR851953:WJR851959 WTN851953:WTN851959 C917489:C917495 HB917489:HB917495 QX917489:QX917495 AAT917489:AAT917495 AKP917489:AKP917495 AUL917489:AUL917495 BEH917489:BEH917495 BOD917489:BOD917495 BXZ917489:BXZ917495 CHV917489:CHV917495 CRR917489:CRR917495 DBN917489:DBN917495 DLJ917489:DLJ917495 DVF917489:DVF917495 EFB917489:EFB917495 EOX917489:EOX917495 EYT917489:EYT917495 FIP917489:FIP917495 FSL917489:FSL917495 GCH917489:GCH917495 GMD917489:GMD917495 GVZ917489:GVZ917495 HFV917489:HFV917495 HPR917489:HPR917495 HZN917489:HZN917495 IJJ917489:IJJ917495 ITF917489:ITF917495 JDB917489:JDB917495 JMX917489:JMX917495 JWT917489:JWT917495 KGP917489:KGP917495 KQL917489:KQL917495 LAH917489:LAH917495 LKD917489:LKD917495 LTZ917489:LTZ917495 MDV917489:MDV917495 MNR917489:MNR917495 MXN917489:MXN917495 NHJ917489:NHJ917495 NRF917489:NRF917495 OBB917489:OBB917495 OKX917489:OKX917495 OUT917489:OUT917495 PEP917489:PEP917495 POL917489:POL917495 PYH917489:PYH917495 QID917489:QID917495 QRZ917489:QRZ917495 RBV917489:RBV917495 RLR917489:RLR917495 RVN917489:RVN917495 SFJ917489:SFJ917495 SPF917489:SPF917495 SZB917489:SZB917495 TIX917489:TIX917495 TST917489:TST917495 UCP917489:UCP917495 UML917489:UML917495 UWH917489:UWH917495 VGD917489:VGD917495 VPZ917489:VPZ917495 VZV917489:VZV917495 WJR917489:WJR917495 WTN917489:WTN917495 C983025:C983031 HB983025:HB983031 QX983025:QX983031 AAT983025:AAT983031 AKP983025:AKP983031 AUL983025:AUL983031 BEH983025:BEH983031 BOD983025:BOD983031 BXZ983025:BXZ983031 CHV983025:CHV983031 CRR983025:CRR983031 DBN983025:DBN983031 DLJ983025:DLJ983031 DVF983025:DVF983031 EFB983025:EFB983031 EOX983025:EOX983031 EYT983025:EYT983031 FIP983025:FIP983031 FSL983025:FSL983031 GCH983025:GCH983031 GMD983025:GMD983031 GVZ983025:GVZ983031 HFV983025:HFV983031 HPR983025:HPR983031 HZN983025:HZN983031 IJJ983025:IJJ983031 ITF983025:ITF983031 JDB983025:JDB983031 JMX983025:JMX983031 JWT983025:JWT983031 KGP983025:KGP983031 KQL983025:KQL983031 LAH983025:LAH983031 LKD983025:LKD983031 LTZ983025:LTZ983031 MDV983025:MDV983031 MNR983025:MNR983031 MXN983025:MXN983031 NHJ983025:NHJ983031 NRF983025:NRF983031 OBB983025:OBB983031 OKX983025:OKX983031 OUT983025:OUT983031 PEP983025:PEP983031 POL983025:POL983031 PYH983025:PYH983031 QID983025:QID983031 QRZ983025:QRZ983031 RBV983025:RBV983031 RLR983025:RLR983031 RVN983025:RVN983031 SFJ983025:SFJ983031 SPF983025:SPF983031 SZB983025:SZB983031 TIX983025:TIX983031 TST983025:TST983031 UCP983025:UCP983031 UML983025:UML983031 UWH983025:UWH983031 VGD983025:VGD983031 VPZ983025:VPZ983031 VZV983025:VZV983031 WJR983025:WJR983031 WTN983025:WTN983031 C65544:C65551 HB65544:HB65551 QX65544:QX65551 AAT65544:AAT65551 AKP65544:AKP65551 AUL65544:AUL65551 BEH65544:BEH65551 BOD65544:BOD65551 BXZ65544:BXZ65551 CHV65544:CHV65551 CRR65544:CRR65551 DBN65544:DBN65551 DLJ65544:DLJ65551 DVF65544:DVF65551 EFB65544:EFB65551 EOX65544:EOX65551 EYT65544:EYT65551 FIP65544:FIP65551 FSL65544:FSL65551 GCH65544:GCH65551 GMD65544:GMD65551 GVZ65544:GVZ65551 HFV65544:HFV65551 HPR65544:HPR65551 HZN65544:HZN65551 IJJ65544:IJJ65551 ITF65544:ITF65551 JDB65544:JDB65551 JMX65544:JMX65551 JWT65544:JWT65551 KGP65544:KGP65551 KQL65544:KQL65551 LAH65544:LAH65551 LKD65544:LKD65551 LTZ65544:LTZ65551 MDV65544:MDV65551 MNR65544:MNR65551 MXN65544:MXN65551 NHJ65544:NHJ65551 NRF65544:NRF65551 OBB65544:OBB65551 OKX65544:OKX65551 OUT65544:OUT65551 PEP65544:PEP65551 POL65544:POL65551 PYH65544:PYH65551 QID65544:QID65551 QRZ65544:QRZ65551 RBV65544:RBV65551 RLR65544:RLR65551 RVN65544:RVN65551 SFJ65544:SFJ65551 SPF65544:SPF65551 SZB65544:SZB65551 TIX65544:TIX65551 TST65544:TST65551 UCP65544:UCP65551 UML65544:UML65551 UWH65544:UWH65551 VGD65544:VGD65551 VPZ65544:VPZ65551 VZV65544:VZV65551 WJR65544:WJR65551 WTN65544:WTN65551 C131080:C131087 HB131080:HB131087 QX131080:QX131087 AAT131080:AAT131087 AKP131080:AKP131087 AUL131080:AUL131087 BEH131080:BEH131087 BOD131080:BOD131087 BXZ131080:BXZ131087 CHV131080:CHV131087 CRR131080:CRR131087 DBN131080:DBN131087 DLJ131080:DLJ131087 DVF131080:DVF131087 EFB131080:EFB131087 EOX131080:EOX131087 EYT131080:EYT131087 FIP131080:FIP131087 FSL131080:FSL131087 GCH131080:GCH131087 GMD131080:GMD131087 GVZ131080:GVZ131087 HFV131080:HFV131087 HPR131080:HPR131087 HZN131080:HZN131087 IJJ131080:IJJ131087 ITF131080:ITF131087 JDB131080:JDB131087 JMX131080:JMX131087 JWT131080:JWT131087 KGP131080:KGP131087 KQL131080:KQL131087 LAH131080:LAH131087 LKD131080:LKD131087 LTZ131080:LTZ131087 MDV131080:MDV131087 MNR131080:MNR131087 MXN131080:MXN131087 NHJ131080:NHJ131087 NRF131080:NRF131087 OBB131080:OBB131087 OKX131080:OKX131087 OUT131080:OUT131087 PEP131080:PEP131087 POL131080:POL131087 PYH131080:PYH131087 QID131080:QID131087 QRZ131080:QRZ131087 RBV131080:RBV131087 RLR131080:RLR131087 RVN131080:RVN131087 SFJ131080:SFJ131087 SPF131080:SPF131087 SZB131080:SZB131087 TIX131080:TIX131087 TST131080:TST131087 UCP131080:UCP131087 UML131080:UML131087 UWH131080:UWH131087 VGD131080:VGD131087 VPZ131080:VPZ131087 VZV131080:VZV131087 WJR131080:WJR131087 WTN131080:WTN131087 C196616:C196623 HB196616:HB196623 QX196616:QX196623 AAT196616:AAT196623 AKP196616:AKP196623 AUL196616:AUL196623 BEH196616:BEH196623 BOD196616:BOD196623 BXZ196616:BXZ196623 CHV196616:CHV196623 CRR196616:CRR196623 DBN196616:DBN196623 DLJ196616:DLJ196623 DVF196616:DVF196623 EFB196616:EFB196623 EOX196616:EOX196623 EYT196616:EYT196623 FIP196616:FIP196623 FSL196616:FSL196623 GCH196616:GCH196623 GMD196616:GMD196623 GVZ196616:GVZ196623 HFV196616:HFV196623 HPR196616:HPR196623 HZN196616:HZN196623 IJJ196616:IJJ196623 ITF196616:ITF196623 JDB196616:JDB196623 JMX196616:JMX196623 JWT196616:JWT196623 KGP196616:KGP196623 KQL196616:KQL196623 LAH196616:LAH196623 LKD196616:LKD196623 LTZ196616:LTZ196623 MDV196616:MDV196623 MNR196616:MNR196623 MXN196616:MXN196623 NHJ196616:NHJ196623 NRF196616:NRF196623 OBB196616:OBB196623 OKX196616:OKX196623 OUT196616:OUT196623 PEP196616:PEP196623 POL196616:POL196623 PYH196616:PYH196623 QID196616:QID196623 QRZ196616:QRZ196623 RBV196616:RBV196623 RLR196616:RLR196623 RVN196616:RVN196623 SFJ196616:SFJ196623 SPF196616:SPF196623 SZB196616:SZB196623 TIX196616:TIX196623 TST196616:TST196623 UCP196616:UCP196623 UML196616:UML196623 UWH196616:UWH196623 VGD196616:VGD196623 VPZ196616:VPZ196623 VZV196616:VZV196623 WJR196616:WJR196623 WTN196616:WTN196623 C262152:C262159 HB262152:HB262159 QX262152:QX262159 AAT262152:AAT262159 AKP262152:AKP262159 AUL262152:AUL262159 BEH262152:BEH262159 BOD262152:BOD262159 BXZ262152:BXZ262159 CHV262152:CHV262159 CRR262152:CRR262159 DBN262152:DBN262159 DLJ262152:DLJ262159 DVF262152:DVF262159 EFB262152:EFB262159 EOX262152:EOX262159 EYT262152:EYT262159 FIP262152:FIP262159 FSL262152:FSL262159 GCH262152:GCH262159 GMD262152:GMD262159 GVZ262152:GVZ262159 HFV262152:HFV262159 HPR262152:HPR262159 HZN262152:HZN262159 IJJ262152:IJJ262159 ITF262152:ITF262159 JDB262152:JDB262159 JMX262152:JMX262159 JWT262152:JWT262159 KGP262152:KGP262159 KQL262152:KQL262159 LAH262152:LAH262159 LKD262152:LKD262159 LTZ262152:LTZ262159 MDV262152:MDV262159 MNR262152:MNR262159 MXN262152:MXN262159 NHJ262152:NHJ262159 NRF262152:NRF262159 OBB262152:OBB262159 OKX262152:OKX262159 OUT262152:OUT262159 PEP262152:PEP262159 POL262152:POL262159 PYH262152:PYH262159 QID262152:QID262159 QRZ262152:QRZ262159 RBV262152:RBV262159 RLR262152:RLR262159 RVN262152:RVN262159 SFJ262152:SFJ262159 SPF262152:SPF262159 SZB262152:SZB262159 TIX262152:TIX262159 TST262152:TST262159 UCP262152:UCP262159 UML262152:UML262159 UWH262152:UWH262159 VGD262152:VGD262159 VPZ262152:VPZ262159 VZV262152:VZV262159 WJR262152:WJR262159 WTN262152:WTN262159 C327688:C327695 HB327688:HB327695 QX327688:QX327695 AAT327688:AAT327695 AKP327688:AKP327695 AUL327688:AUL327695 BEH327688:BEH327695 BOD327688:BOD327695 BXZ327688:BXZ327695 CHV327688:CHV327695 CRR327688:CRR327695 DBN327688:DBN327695 DLJ327688:DLJ327695 DVF327688:DVF327695 EFB327688:EFB327695 EOX327688:EOX327695 EYT327688:EYT327695 FIP327688:FIP327695 FSL327688:FSL327695 GCH327688:GCH327695 GMD327688:GMD327695 GVZ327688:GVZ327695 HFV327688:HFV327695 HPR327688:HPR327695 HZN327688:HZN327695 IJJ327688:IJJ327695 ITF327688:ITF327695 JDB327688:JDB327695 JMX327688:JMX327695 JWT327688:JWT327695 KGP327688:KGP327695 KQL327688:KQL327695 LAH327688:LAH327695 LKD327688:LKD327695 LTZ327688:LTZ327695 MDV327688:MDV327695 MNR327688:MNR327695 MXN327688:MXN327695 NHJ327688:NHJ327695 NRF327688:NRF327695 OBB327688:OBB327695 OKX327688:OKX327695 OUT327688:OUT327695 PEP327688:PEP327695 POL327688:POL327695 PYH327688:PYH327695 QID327688:QID327695 QRZ327688:QRZ327695 RBV327688:RBV327695 RLR327688:RLR327695 RVN327688:RVN327695 SFJ327688:SFJ327695 SPF327688:SPF327695 SZB327688:SZB327695 TIX327688:TIX327695 TST327688:TST327695 UCP327688:UCP327695 UML327688:UML327695 UWH327688:UWH327695 VGD327688:VGD327695 VPZ327688:VPZ327695 VZV327688:VZV327695 WJR327688:WJR327695 WTN327688:WTN327695 C393224:C393231 HB393224:HB393231 QX393224:QX393231 AAT393224:AAT393231 AKP393224:AKP393231 AUL393224:AUL393231 BEH393224:BEH393231 BOD393224:BOD393231 BXZ393224:BXZ393231 CHV393224:CHV393231 CRR393224:CRR393231 DBN393224:DBN393231 DLJ393224:DLJ393231 DVF393224:DVF393231 EFB393224:EFB393231 EOX393224:EOX393231 EYT393224:EYT393231 FIP393224:FIP393231 FSL393224:FSL393231 GCH393224:GCH393231 GMD393224:GMD393231 GVZ393224:GVZ393231 HFV393224:HFV393231 HPR393224:HPR393231 HZN393224:HZN393231 IJJ393224:IJJ393231 ITF393224:ITF393231 JDB393224:JDB393231 JMX393224:JMX393231 JWT393224:JWT393231 KGP393224:KGP393231 KQL393224:KQL393231 LAH393224:LAH393231 LKD393224:LKD393231 LTZ393224:LTZ393231 MDV393224:MDV393231 MNR393224:MNR393231 MXN393224:MXN393231 NHJ393224:NHJ393231 NRF393224:NRF393231 OBB393224:OBB393231 OKX393224:OKX393231 OUT393224:OUT393231 PEP393224:PEP393231 POL393224:POL393231 PYH393224:PYH393231 QID393224:QID393231 QRZ393224:QRZ393231 RBV393224:RBV393231 RLR393224:RLR393231 RVN393224:RVN393231 SFJ393224:SFJ393231 SPF393224:SPF393231 SZB393224:SZB393231 TIX393224:TIX393231 TST393224:TST393231 UCP393224:UCP393231 UML393224:UML393231 UWH393224:UWH393231 VGD393224:VGD393231 VPZ393224:VPZ393231 VZV393224:VZV393231 WJR393224:WJR393231 WTN393224:WTN393231 C458760:C458767 HB458760:HB458767 QX458760:QX458767 AAT458760:AAT458767 AKP458760:AKP458767 AUL458760:AUL458767 BEH458760:BEH458767 BOD458760:BOD458767 BXZ458760:BXZ458767 CHV458760:CHV458767 CRR458760:CRR458767 DBN458760:DBN458767 DLJ458760:DLJ458767 DVF458760:DVF458767 EFB458760:EFB458767 EOX458760:EOX458767 EYT458760:EYT458767 FIP458760:FIP458767 FSL458760:FSL458767 GCH458760:GCH458767 GMD458760:GMD458767 GVZ458760:GVZ458767 HFV458760:HFV458767 HPR458760:HPR458767 HZN458760:HZN458767 IJJ458760:IJJ458767 ITF458760:ITF458767 JDB458760:JDB458767 JMX458760:JMX458767 JWT458760:JWT458767 KGP458760:KGP458767 KQL458760:KQL458767 LAH458760:LAH458767 LKD458760:LKD458767 LTZ458760:LTZ458767 MDV458760:MDV458767 MNR458760:MNR458767 MXN458760:MXN458767 NHJ458760:NHJ458767 NRF458760:NRF458767 OBB458760:OBB458767 OKX458760:OKX458767 OUT458760:OUT458767 PEP458760:PEP458767 POL458760:POL458767 PYH458760:PYH458767 QID458760:QID458767 QRZ458760:QRZ458767 RBV458760:RBV458767 RLR458760:RLR458767 RVN458760:RVN458767 SFJ458760:SFJ458767 SPF458760:SPF458767 SZB458760:SZB458767 TIX458760:TIX458767 TST458760:TST458767 UCP458760:UCP458767 UML458760:UML458767 UWH458760:UWH458767 VGD458760:VGD458767 VPZ458760:VPZ458767 VZV458760:VZV458767 WJR458760:WJR458767 WTN458760:WTN458767 C524296:C524303 HB524296:HB524303 QX524296:QX524303 AAT524296:AAT524303 AKP524296:AKP524303 AUL524296:AUL524303 BEH524296:BEH524303 BOD524296:BOD524303 BXZ524296:BXZ524303 CHV524296:CHV524303 CRR524296:CRR524303 DBN524296:DBN524303 DLJ524296:DLJ524303 DVF524296:DVF524303 EFB524296:EFB524303 EOX524296:EOX524303 EYT524296:EYT524303 FIP524296:FIP524303 FSL524296:FSL524303 GCH524296:GCH524303 GMD524296:GMD524303 GVZ524296:GVZ524303 HFV524296:HFV524303 HPR524296:HPR524303 HZN524296:HZN524303 IJJ524296:IJJ524303 ITF524296:ITF524303 JDB524296:JDB524303 JMX524296:JMX524303 JWT524296:JWT524303 KGP524296:KGP524303 KQL524296:KQL524303 LAH524296:LAH524303 LKD524296:LKD524303 LTZ524296:LTZ524303 MDV524296:MDV524303 MNR524296:MNR524303 MXN524296:MXN524303 NHJ524296:NHJ524303 NRF524296:NRF524303 OBB524296:OBB524303 OKX524296:OKX524303 OUT524296:OUT524303 PEP524296:PEP524303 POL524296:POL524303 PYH524296:PYH524303 QID524296:QID524303 QRZ524296:QRZ524303 RBV524296:RBV524303 RLR524296:RLR524303 RVN524296:RVN524303 SFJ524296:SFJ524303 SPF524296:SPF524303 SZB524296:SZB524303 TIX524296:TIX524303 TST524296:TST524303 UCP524296:UCP524303 UML524296:UML524303 UWH524296:UWH524303 VGD524296:VGD524303 VPZ524296:VPZ524303 VZV524296:VZV524303 WJR524296:WJR524303 WTN524296:WTN524303 C589832:C589839 HB589832:HB589839 QX589832:QX589839 AAT589832:AAT589839 AKP589832:AKP589839 AUL589832:AUL589839 BEH589832:BEH589839 BOD589832:BOD589839 BXZ589832:BXZ589839 CHV589832:CHV589839 CRR589832:CRR589839 DBN589832:DBN589839 DLJ589832:DLJ589839 DVF589832:DVF589839 EFB589832:EFB589839 EOX589832:EOX589839 EYT589832:EYT589839 FIP589832:FIP589839 FSL589832:FSL589839 GCH589832:GCH589839 GMD589832:GMD589839 GVZ589832:GVZ589839 HFV589832:HFV589839 HPR589832:HPR589839 HZN589832:HZN589839 IJJ589832:IJJ589839 ITF589832:ITF589839 JDB589832:JDB589839 JMX589832:JMX589839 JWT589832:JWT589839 KGP589832:KGP589839 KQL589832:KQL589839 LAH589832:LAH589839 LKD589832:LKD589839 LTZ589832:LTZ589839 MDV589832:MDV589839 MNR589832:MNR589839 MXN589832:MXN589839 NHJ589832:NHJ589839 NRF589832:NRF589839 OBB589832:OBB589839 OKX589832:OKX589839 OUT589832:OUT589839 PEP589832:PEP589839 POL589832:POL589839 PYH589832:PYH589839 QID589832:QID589839 QRZ589832:QRZ589839 RBV589832:RBV589839 RLR589832:RLR589839 RVN589832:RVN589839 SFJ589832:SFJ589839 SPF589832:SPF589839 SZB589832:SZB589839 TIX589832:TIX589839 TST589832:TST589839 UCP589832:UCP589839 UML589832:UML589839 UWH589832:UWH589839 VGD589832:VGD589839 VPZ589832:VPZ589839 VZV589832:VZV589839 WJR589832:WJR589839 WTN589832:WTN589839 C655368:C655375 HB655368:HB655375 QX655368:QX655375 AAT655368:AAT655375 AKP655368:AKP655375 AUL655368:AUL655375 BEH655368:BEH655375 BOD655368:BOD655375 BXZ655368:BXZ655375 CHV655368:CHV655375 CRR655368:CRR655375 DBN655368:DBN655375 DLJ655368:DLJ655375 DVF655368:DVF655375 EFB655368:EFB655375 EOX655368:EOX655375 EYT655368:EYT655375 FIP655368:FIP655375 FSL655368:FSL655375 GCH655368:GCH655375 GMD655368:GMD655375 GVZ655368:GVZ655375 HFV655368:HFV655375 HPR655368:HPR655375 HZN655368:HZN655375 IJJ655368:IJJ655375 ITF655368:ITF655375 JDB655368:JDB655375 JMX655368:JMX655375 JWT655368:JWT655375 KGP655368:KGP655375 KQL655368:KQL655375 LAH655368:LAH655375 LKD655368:LKD655375 LTZ655368:LTZ655375 MDV655368:MDV655375 MNR655368:MNR655375 MXN655368:MXN655375 NHJ655368:NHJ655375 NRF655368:NRF655375 OBB655368:OBB655375 OKX655368:OKX655375 OUT655368:OUT655375 PEP655368:PEP655375 POL655368:POL655375 PYH655368:PYH655375 QID655368:QID655375 QRZ655368:QRZ655375 RBV655368:RBV655375 RLR655368:RLR655375 RVN655368:RVN655375 SFJ655368:SFJ655375 SPF655368:SPF655375 SZB655368:SZB655375 TIX655368:TIX655375 TST655368:TST655375 UCP655368:UCP655375 UML655368:UML655375 UWH655368:UWH655375 VGD655368:VGD655375 VPZ655368:VPZ655375 VZV655368:VZV655375 WJR655368:WJR655375 WTN655368:WTN655375 C720904:C720911 HB720904:HB720911 QX720904:QX720911 AAT720904:AAT720911 AKP720904:AKP720911 AUL720904:AUL720911 BEH720904:BEH720911 BOD720904:BOD720911 BXZ720904:BXZ720911 CHV720904:CHV720911 CRR720904:CRR720911 DBN720904:DBN720911 DLJ720904:DLJ720911 DVF720904:DVF720911 EFB720904:EFB720911 EOX720904:EOX720911 EYT720904:EYT720911 FIP720904:FIP720911 FSL720904:FSL720911 GCH720904:GCH720911 GMD720904:GMD720911 GVZ720904:GVZ720911 HFV720904:HFV720911 HPR720904:HPR720911 HZN720904:HZN720911 IJJ720904:IJJ720911 ITF720904:ITF720911 JDB720904:JDB720911 JMX720904:JMX720911 JWT720904:JWT720911 KGP720904:KGP720911 KQL720904:KQL720911 LAH720904:LAH720911 LKD720904:LKD720911 LTZ720904:LTZ720911 MDV720904:MDV720911 MNR720904:MNR720911 MXN720904:MXN720911 NHJ720904:NHJ720911 NRF720904:NRF720911 OBB720904:OBB720911 OKX720904:OKX720911 OUT720904:OUT720911 PEP720904:PEP720911 POL720904:POL720911 PYH720904:PYH720911 QID720904:QID720911 QRZ720904:QRZ720911 RBV720904:RBV720911 RLR720904:RLR720911 RVN720904:RVN720911 SFJ720904:SFJ720911 SPF720904:SPF720911 SZB720904:SZB720911 TIX720904:TIX720911 TST720904:TST720911 UCP720904:UCP720911 UML720904:UML720911 UWH720904:UWH720911 VGD720904:VGD720911 VPZ720904:VPZ720911 VZV720904:VZV720911 WJR720904:WJR720911 WTN720904:WTN720911 C786440:C786447 HB786440:HB786447 QX786440:QX786447 AAT786440:AAT786447 AKP786440:AKP786447 AUL786440:AUL786447 BEH786440:BEH786447 BOD786440:BOD786447 BXZ786440:BXZ786447 CHV786440:CHV786447 CRR786440:CRR786447 DBN786440:DBN786447 DLJ786440:DLJ786447 DVF786440:DVF786447 EFB786440:EFB786447 EOX786440:EOX786447 EYT786440:EYT786447 FIP786440:FIP786447 FSL786440:FSL786447 GCH786440:GCH786447 GMD786440:GMD786447 GVZ786440:GVZ786447 HFV786440:HFV786447 HPR786440:HPR786447 HZN786440:HZN786447 IJJ786440:IJJ786447 ITF786440:ITF786447 JDB786440:JDB786447 JMX786440:JMX786447 JWT786440:JWT786447 KGP786440:KGP786447 KQL786440:KQL786447 LAH786440:LAH786447 LKD786440:LKD786447 LTZ786440:LTZ786447 MDV786440:MDV786447 MNR786440:MNR786447 MXN786440:MXN786447 NHJ786440:NHJ786447 NRF786440:NRF786447 OBB786440:OBB786447 OKX786440:OKX786447 OUT786440:OUT786447 PEP786440:PEP786447 POL786440:POL786447 PYH786440:PYH786447 QID786440:QID786447 QRZ786440:QRZ786447 RBV786440:RBV786447 RLR786440:RLR786447 RVN786440:RVN786447 SFJ786440:SFJ786447 SPF786440:SPF786447 SZB786440:SZB786447 TIX786440:TIX786447 TST786440:TST786447 UCP786440:UCP786447 UML786440:UML786447 UWH786440:UWH786447 VGD786440:VGD786447 VPZ786440:VPZ786447 VZV786440:VZV786447 WJR786440:WJR786447 WTN786440:WTN786447 C851976:C851983 HB851976:HB851983 QX851976:QX851983 AAT851976:AAT851983 AKP851976:AKP851983 AUL851976:AUL851983 BEH851976:BEH851983 BOD851976:BOD851983 BXZ851976:BXZ851983 CHV851976:CHV851983 CRR851976:CRR851983 DBN851976:DBN851983 DLJ851976:DLJ851983 DVF851976:DVF851983 EFB851976:EFB851983 EOX851976:EOX851983 EYT851976:EYT851983 FIP851976:FIP851983 FSL851976:FSL851983 GCH851976:GCH851983 GMD851976:GMD851983 GVZ851976:GVZ851983 HFV851976:HFV851983 HPR851976:HPR851983 HZN851976:HZN851983 IJJ851976:IJJ851983 ITF851976:ITF851983 JDB851976:JDB851983 JMX851976:JMX851983 JWT851976:JWT851983 KGP851976:KGP851983 KQL851976:KQL851983 LAH851976:LAH851983 LKD851976:LKD851983 LTZ851976:LTZ851983 MDV851976:MDV851983 MNR851976:MNR851983 MXN851976:MXN851983 NHJ851976:NHJ851983 NRF851976:NRF851983 OBB851976:OBB851983 OKX851976:OKX851983 OUT851976:OUT851983 PEP851976:PEP851983 POL851976:POL851983 PYH851976:PYH851983 QID851976:QID851983 QRZ851976:QRZ851983 RBV851976:RBV851983 RLR851976:RLR851983 RVN851976:RVN851983 SFJ851976:SFJ851983 SPF851976:SPF851983 SZB851976:SZB851983 TIX851976:TIX851983 TST851976:TST851983 UCP851976:UCP851983 UML851976:UML851983 UWH851976:UWH851983 VGD851976:VGD851983 VPZ851976:VPZ851983 VZV851976:VZV851983 WJR851976:WJR851983 WTN851976:WTN851983 C917512:C917519 HB917512:HB917519 QX917512:QX917519 AAT917512:AAT917519 AKP917512:AKP917519 AUL917512:AUL917519 BEH917512:BEH917519 BOD917512:BOD917519 BXZ917512:BXZ917519 CHV917512:CHV917519 CRR917512:CRR917519 DBN917512:DBN917519 DLJ917512:DLJ917519 DVF917512:DVF917519 EFB917512:EFB917519 EOX917512:EOX917519 EYT917512:EYT917519 FIP917512:FIP917519 FSL917512:FSL917519 GCH917512:GCH917519 GMD917512:GMD917519 GVZ917512:GVZ917519 HFV917512:HFV917519 HPR917512:HPR917519 HZN917512:HZN917519 IJJ917512:IJJ917519 ITF917512:ITF917519 JDB917512:JDB917519 JMX917512:JMX917519 JWT917512:JWT917519 KGP917512:KGP917519 KQL917512:KQL917519 LAH917512:LAH917519 LKD917512:LKD917519 LTZ917512:LTZ917519 MDV917512:MDV917519 MNR917512:MNR917519 MXN917512:MXN917519 NHJ917512:NHJ917519 NRF917512:NRF917519 OBB917512:OBB917519 OKX917512:OKX917519 OUT917512:OUT917519 PEP917512:PEP917519 POL917512:POL917519 PYH917512:PYH917519 QID917512:QID917519 QRZ917512:QRZ917519 RBV917512:RBV917519 RLR917512:RLR917519 RVN917512:RVN917519 SFJ917512:SFJ917519 SPF917512:SPF917519 SZB917512:SZB917519 TIX917512:TIX917519 TST917512:TST917519 UCP917512:UCP917519 UML917512:UML917519 UWH917512:UWH917519 VGD917512:VGD917519 VPZ917512:VPZ917519 VZV917512:VZV917519 WJR917512:WJR917519 WTN917512:WTN917519 C983048:C983055 HB983048:HB983055 QX983048:QX983055 AAT983048:AAT983055 AKP983048:AKP983055 AUL983048:AUL983055 BEH983048:BEH983055 BOD983048:BOD983055 BXZ983048:BXZ983055 CHV983048:CHV983055 CRR983048:CRR983055 DBN983048:DBN983055 DLJ983048:DLJ983055 DVF983048:DVF983055 EFB983048:EFB983055 EOX983048:EOX983055 EYT983048:EYT983055 FIP983048:FIP983055 FSL983048:FSL983055 GCH983048:GCH983055 GMD983048:GMD983055 GVZ983048:GVZ983055 HFV983048:HFV983055 HPR983048:HPR983055 HZN983048:HZN983055 IJJ983048:IJJ983055 ITF983048:ITF983055 JDB983048:JDB983055 JMX983048:JMX983055 JWT983048:JWT983055 KGP983048:KGP983055 KQL983048:KQL983055 LAH983048:LAH983055 LKD983048:LKD983055 LTZ983048:LTZ983055 MDV983048:MDV983055 MNR983048:MNR983055 MXN983048:MXN983055 NHJ983048:NHJ983055 NRF983048:NRF983055 OBB983048:OBB983055 OKX983048:OKX983055 OUT983048:OUT983055 PEP983048:PEP983055 POL983048:POL983055 PYH983048:PYH983055 QID983048:QID983055 QRZ983048:QRZ983055 RBV983048:RBV983055 RLR983048:RLR983055 RVN983048:RVN983055 SFJ983048:SFJ983055 SPF983048:SPF983055 SZB983048:SZB983055 TIX983048:TIX983055 TST983048:TST983055 UCP983048:UCP983055 UML983048:UML983055 UWH983048:UWH983055 VGD983048:VGD983055 VPZ983048:VPZ983055 VZV983048:VZV983055 WJR983048:WJR983055 WTN983048:WTN983055 WTN983039:WTN983046 C65535:C65542 HB65535:HB65542 QX65535:QX65542 AAT65535:AAT65542 AKP65535:AKP65542 AUL65535:AUL65542 BEH65535:BEH65542 BOD65535:BOD65542 BXZ65535:BXZ65542 CHV65535:CHV65542 CRR65535:CRR65542 DBN65535:DBN65542 DLJ65535:DLJ65542 DVF65535:DVF65542 EFB65535:EFB65542 EOX65535:EOX65542 EYT65535:EYT65542 FIP65535:FIP65542 FSL65535:FSL65542 GCH65535:GCH65542 GMD65535:GMD65542 GVZ65535:GVZ65542 HFV65535:HFV65542 HPR65535:HPR65542 HZN65535:HZN65542 IJJ65535:IJJ65542 ITF65535:ITF65542 JDB65535:JDB65542 JMX65535:JMX65542 JWT65535:JWT65542 KGP65535:KGP65542 KQL65535:KQL65542 LAH65535:LAH65542 LKD65535:LKD65542 LTZ65535:LTZ65542 MDV65535:MDV65542 MNR65535:MNR65542 MXN65535:MXN65542 NHJ65535:NHJ65542 NRF65535:NRF65542 OBB65535:OBB65542 OKX65535:OKX65542 OUT65535:OUT65542 PEP65535:PEP65542 POL65535:POL65542 PYH65535:PYH65542 QID65535:QID65542 QRZ65535:QRZ65542 RBV65535:RBV65542 RLR65535:RLR65542 RVN65535:RVN65542 SFJ65535:SFJ65542 SPF65535:SPF65542 SZB65535:SZB65542 TIX65535:TIX65542 TST65535:TST65542 UCP65535:UCP65542 UML65535:UML65542 UWH65535:UWH65542 VGD65535:VGD65542 VPZ65535:VPZ65542 VZV65535:VZV65542 WJR65535:WJR65542 WTN65535:WTN65542 C131071:C131078 HB131071:HB131078 QX131071:QX131078 AAT131071:AAT131078 AKP131071:AKP131078 AUL131071:AUL131078 BEH131071:BEH131078 BOD131071:BOD131078 BXZ131071:BXZ131078 CHV131071:CHV131078 CRR131071:CRR131078 DBN131071:DBN131078 DLJ131071:DLJ131078 DVF131071:DVF131078 EFB131071:EFB131078 EOX131071:EOX131078 EYT131071:EYT131078 FIP131071:FIP131078 FSL131071:FSL131078 GCH131071:GCH131078 GMD131071:GMD131078 GVZ131071:GVZ131078 HFV131071:HFV131078 HPR131071:HPR131078 HZN131071:HZN131078 IJJ131071:IJJ131078 ITF131071:ITF131078 JDB131071:JDB131078 JMX131071:JMX131078 JWT131071:JWT131078 KGP131071:KGP131078 KQL131071:KQL131078 LAH131071:LAH131078 LKD131071:LKD131078 LTZ131071:LTZ131078 MDV131071:MDV131078 MNR131071:MNR131078 MXN131071:MXN131078 NHJ131071:NHJ131078 NRF131071:NRF131078 OBB131071:OBB131078 OKX131071:OKX131078 OUT131071:OUT131078 PEP131071:PEP131078 POL131071:POL131078 PYH131071:PYH131078 QID131071:QID131078 QRZ131071:QRZ131078 RBV131071:RBV131078 RLR131071:RLR131078 RVN131071:RVN131078 SFJ131071:SFJ131078 SPF131071:SPF131078 SZB131071:SZB131078 TIX131071:TIX131078 TST131071:TST131078 UCP131071:UCP131078 UML131071:UML131078 UWH131071:UWH131078 VGD131071:VGD131078 VPZ131071:VPZ131078 VZV131071:VZV131078 WJR131071:WJR131078 WTN131071:WTN131078 C196607:C196614 HB196607:HB196614 QX196607:QX196614 AAT196607:AAT196614 AKP196607:AKP196614 AUL196607:AUL196614 BEH196607:BEH196614 BOD196607:BOD196614 BXZ196607:BXZ196614 CHV196607:CHV196614 CRR196607:CRR196614 DBN196607:DBN196614 DLJ196607:DLJ196614 DVF196607:DVF196614 EFB196607:EFB196614 EOX196607:EOX196614 EYT196607:EYT196614 FIP196607:FIP196614 FSL196607:FSL196614 GCH196607:GCH196614 GMD196607:GMD196614 GVZ196607:GVZ196614 HFV196607:HFV196614 HPR196607:HPR196614 HZN196607:HZN196614 IJJ196607:IJJ196614 ITF196607:ITF196614 JDB196607:JDB196614 JMX196607:JMX196614 JWT196607:JWT196614 KGP196607:KGP196614 KQL196607:KQL196614 LAH196607:LAH196614 LKD196607:LKD196614 LTZ196607:LTZ196614 MDV196607:MDV196614 MNR196607:MNR196614 MXN196607:MXN196614 NHJ196607:NHJ196614 NRF196607:NRF196614 OBB196607:OBB196614 OKX196607:OKX196614 OUT196607:OUT196614 PEP196607:PEP196614 POL196607:POL196614 PYH196607:PYH196614 QID196607:QID196614 QRZ196607:QRZ196614 RBV196607:RBV196614 RLR196607:RLR196614 RVN196607:RVN196614 SFJ196607:SFJ196614 SPF196607:SPF196614 SZB196607:SZB196614 TIX196607:TIX196614 TST196607:TST196614 UCP196607:UCP196614 UML196607:UML196614 UWH196607:UWH196614 VGD196607:VGD196614 VPZ196607:VPZ196614 VZV196607:VZV196614 WJR196607:WJR196614 WTN196607:WTN196614 C262143:C262150 HB262143:HB262150 QX262143:QX262150 AAT262143:AAT262150 AKP262143:AKP262150 AUL262143:AUL262150 BEH262143:BEH262150 BOD262143:BOD262150 BXZ262143:BXZ262150 CHV262143:CHV262150 CRR262143:CRR262150 DBN262143:DBN262150 DLJ262143:DLJ262150 DVF262143:DVF262150 EFB262143:EFB262150 EOX262143:EOX262150 EYT262143:EYT262150 FIP262143:FIP262150 FSL262143:FSL262150 GCH262143:GCH262150 GMD262143:GMD262150 GVZ262143:GVZ262150 HFV262143:HFV262150 HPR262143:HPR262150 HZN262143:HZN262150 IJJ262143:IJJ262150 ITF262143:ITF262150 JDB262143:JDB262150 JMX262143:JMX262150 JWT262143:JWT262150 KGP262143:KGP262150 KQL262143:KQL262150 LAH262143:LAH262150 LKD262143:LKD262150 LTZ262143:LTZ262150 MDV262143:MDV262150 MNR262143:MNR262150 MXN262143:MXN262150 NHJ262143:NHJ262150 NRF262143:NRF262150 OBB262143:OBB262150 OKX262143:OKX262150 OUT262143:OUT262150 PEP262143:PEP262150 POL262143:POL262150 PYH262143:PYH262150 QID262143:QID262150 QRZ262143:QRZ262150 RBV262143:RBV262150 RLR262143:RLR262150 RVN262143:RVN262150 SFJ262143:SFJ262150 SPF262143:SPF262150 SZB262143:SZB262150 TIX262143:TIX262150 TST262143:TST262150 UCP262143:UCP262150 UML262143:UML262150 UWH262143:UWH262150 VGD262143:VGD262150 VPZ262143:VPZ262150 VZV262143:VZV262150 WJR262143:WJR262150 WTN262143:WTN262150 C327679:C327686 HB327679:HB327686 QX327679:QX327686 AAT327679:AAT327686 AKP327679:AKP327686 AUL327679:AUL327686 BEH327679:BEH327686 BOD327679:BOD327686 BXZ327679:BXZ327686 CHV327679:CHV327686 CRR327679:CRR327686 DBN327679:DBN327686 DLJ327679:DLJ327686 DVF327679:DVF327686 EFB327679:EFB327686 EOX327679:EOX327686 EYT327679:EYT327686 FIP327679:FIP327686 FSL327679:FSL327686 GCH327679:GCH327686 GMD327679:GMD327686 GVZ327679:GVZ327686 HFV327679:HFV327686 HPR327679:HPR327686 HZN327679:HZN327686 IJJ327679:IJJ327686 ITF327679:ITF327686 JDB327679:JDB327686 JMX327679:JMX327686 JWT327679:JWT327686 KGP327679:KGP327686 KQL327679:KQL327686 LAH327679:LAH327686 LKD327679:LKD327686 LTZ327679:LTZ327686 MDV327679:MDV327686 MNR327679:MNR327686 MXN327679:MXN327686 NHJ327679:NHJ327686 NRF327679:NRF327686 OBB327679:OBB327686 OKX327679:OKX327686 OUT327679:OUT327686 PEP327679:PEP327686 POL327679:POL327686 PYH327679:PYH327686 QID327679:QID327686 QRZ327679:QRZ327686 RBV327679:RBV327686 RLR327679:RLR327686 RVN327679:RVN327686 SFJ327679:SFJ327686 SPF327679:SPF327686 SZB327679:SZB327686 TIX327679:TIX327686 TST327679:TST327686 UCP327679:UCP327686 UML327679:UML327686 UWH327679:UWH327686 VGD327679:VGD327686 VPZ327679:VPZ327686 VZV327679:VZV327686 WJR327679:WJR327686 WTN327679:WTN327686 C393215:C393222 HB393215:HB393222 QX393215:QX393222 AAT393215:AAT393222 AKP393215:AKP393222 AUL393215:AUL393222 BEH393215:BEH393222 BOD393215:BOD393222 BXZ393215:BXZ393222 CHV393215:CHV393222 CRR393215:CRR393222 DBN393215:DBN393222 DLJ393215:DLJ393222 DVF393215:DVF393222 EFB393215:EFB393222 EOX393215:EOX393222 EYT393215:EYT393222 FIP393215:FIP393222 FSL393215:FSL393222 GCH393215:GCH393222 GMD393215:GMD393222 GVZ393215:GVZ393222 HFV393215:HFV393222 HPR393215:HPR393222 HZN393215:HZN393222 IJJ393215:IJJ393222 ITF393215:ITF393222 JDB393215:JDB393222 JMX393215:JMX393222 JWT393215:JWT393222 KGP393215:KGP393222 KQL393215:KQL393222 LAH393215:LAH393222 LKD393215:LKD393222 LTZ393215:LTZ393222 MDV393215:MDV393222 MNR393215:MNR393222 MXN393215:MXN393222 NHJ393215:NHJ393222 NRF393215:NRF393222 OBB393215:OBB393222 OKX393215:OKX393222 OUT393215:OUT393222 PEP393215:PEP393222 POL393215:POL393222 PYH393215:PYH393222 QID393215:QID393222 QRZ393215:QRZ393222 RBV393215:RBV393222 RLR393215:RLR393222 RVN393215:RVN393222 SFJ393215:SFJ393222 SPF393215:SPF393222 SZB393215:SZB393222 TIX393215:TIX393222 TST393215:TST393222 UCP393215:UCP393222 UML393215:UML393222 UWH393215:UWH393222 VGD393215:VGD393222 VPZ393215:VPZ393222 VZV393215:VZV393222 WJR393215:WJR393222 WTN393215:WTN393222 C458751:C458758 HB458751:HB458758 QX458751:QX458758 AAT458751:AAT458758 AKP458751:AKP458758 AUL458751:AUL458758 BEH458751:BEH458758 BOD458751:BOD458758 BXZ458751:BXZ458758 CHV458751:CHV458758 CRR458751:CRR458758 DBN458751:DBN458758 DLJ458751:DLJ458758 DVF458751:DVF458758 EFB458751:EFB458758 EOX458751:EOX458758 EYT458751:EYT458758 FIP458751:FIP458758 FSL458751:FSL458758 GCH458751:GCH458758 GMD458751:GMD458758 GVZ458751:GVZ458758 HFV458751:HFV458758 HPR458751:HPR458758 HZN458751:HZN458758 IJJ458751:IJJ458758 ITF458751:ITF458758 JDB458751:JDB458758 JMX458751:JMX458758 JWT458751:JWT458758 KGP458751:KGP458758 KQL458751:KQL458758 LAH458751:LAH458758 LKD458751:LKD458758 LTZ458751:LTZ458758 MDV458751:MDV458758 MNR458751:MNR458758 MXN458751:MXN458758 NHJ458751:NHJ458758 NRF458751:NRF458758 OBB458751:OBB458758 OKX458751:OKX458758 OUT458751:OUT458758 PEP458751:PEP458758 POL458751:POL458758 PYH458751:PYH458758 QID458751:QID458758 QRZ458751:QRZ458758 RBV458751:RBV458758 RLR458751:RLR458758 RVN458751:RVN458758 SFJ458751:SFJ458758 SPF458751:SPF458758 SZB458751:SZB458758 TIX458751:TIX458758 TST458751:TST458758 UCP458751:UCP458758 UML458751:UML458758 UWH458751:UWH458758 VGD458751:VGD458758 VPZ458751:VPZ458758 VZV458751:VZV458758 WJR458751:WJR458758 WTN458751:WTN458758 C524287:C524294 HB524287:HB524294 QX524287:QX524294 AAT524287:AAT524294 AKP524287:AKP524294 AUL524287:AUL524294 BEH524287:BEH524294 BOD524287:BOD524294 BXZ524287:BXZ524294 CHV524287:CHV524294 CRR524287:CRR524294 DBN524287:DBN524294 DLJ524287:DLJ524294 DVF524287:DVF524294 EFB524287:EFB524294 EOX524287:EOX524294 EYT524287:EYT524294 FIP524287:FIP524294 FSL524287:FSL524294 GCH524287:GCH524294 GMD524287:GMD524294 GVZ524287:GVZ524294 HFV524287:HFV524294 HPR524287:HPR524294 HZN524287:HZN524294 IJJ524287:IJJ524294 ITF524287:ITF524294 JDB524287:JDB524294 JMX524287:JMX524294 JWT524287:JWT524294 KGP524287:KGP524294 KQL524287:KQL524294 LAH524287:LAH524294 LKD524287:LKD524294 LTZ524287:LTZ524294 MDV524287:MDV524294 MNR524287:MNR524294 MXN524287:MXN524294 NHJ524287:NHJ524294 NRF524287:NRF524294 OBB524287:OBB524294 OKX524287:OKX524294 OUT524287:OUT524294 PEP524287:PEP524294 POL524287:POL524294 PYH524287:PYH524294 QID524287:QID524294 QRZ524287:QRZ524294 RBV524287:RBV524294 RLR524287:RLR524294 RVN524287:RVN524294 SFJ524287:SFJ524294 SPF524287:SPF524294 SZB524287:SZB524294 TIX524287:TIX524294 TST524287:TST524294 UCP524287:UCP524294 UML524287:UML524294 UWH524287:UWH524294 VGD524287:VGD524294 VPZ524287:VPZ524294 VZV524287:VZV524294 WJR524287:WJR524294 WTN524287:WTN524294 C589823:C589830 HB589823:HB589830 QX589823:QX589830 AAT589823:AAT589830 AKP589823:AKP589830 AUL589823:AUL589830 BEH589823:BEH589830 BOD589823:BOD589830 BXZ589823:BXZ589830 CHV589823:CHV589830 CRR589823:CRR589830 DBN589823:DBN589830 DLJ589823:DLJ589830 DVF589823:DVF589830 EFB589823:EFB589830 EOX589823:EOX589830 EYT589823:EYT589830 FIP589823:FIP589830 FSL589823:FSL589830 GCH589823:GCH589830 GMD589823:GMD589830 GVZ589823:GVZ589830 HFV589823:HFV589830 HPR589823:HPR589830 HZN589823:HZN589830 IJJ589823:IJJ589830 ITF589823:ITF589830 JDB589823:JDB589830 JMX589823:JMX589830 JWT589823:JWT589830 KGP589823:KGP589830 KQL589823:KQL589830 LAH589823:LAH589830 LKD589823:LKD589830 LTZ589823:LTZ589830 MDV589823:MDV589830 MNR589823:MNR589830 MXN589823:MXN589830 NHJ589823:NHJ589830 NRF589823:NRF589830 OBB589823:OBB589830 OKX589823:OKX589830 OUT589823:OUT589830 PEP589823:PEP589830 POL589823:POL589830 PYH589823:PYH589830 QID589823:QID589830 QRZ589823:QRZ589830 RBV589823:RBV589830 RLR589823:RLR589830 RVN589823:RVN589830 SFJ589823:SFJ589830 SPF589823:SPF589830 SZB589823:SZB589830 TIX589823:TIX589830 TST589823:TST589830 UCP589823:UCP589830 UML589823:UML589830 UWH589823:UWH589830 VGD589823:VGD589830 VPZ589823:VPZ589830 VZV589823:VZV589830 WJR589823:WJR589830 WTN589823:WTN589830 C655359:C655366 HB655359:HB655366 QX655359:QX655366 AAT655359:AAT655366 AKP655359:AKP655366 AUL655359:AUL655366 BEH655359:BEH655366 BOD655359:BOD655366 BXZ655359:BXZ655366 CHV655359:CHV655366 CRR655359:CRR655366 DBN655359:DBN655366 DLJ655359:DLJ655366 DVF655359:DVF655366 EFB655359:EFB655366 EOX655359:EOX655366 EYT655359:EYT655366 FIP655359:FIP655366 FSL655359:FSL655366 GCH655359:GCH655366 GMD655359:GMD655366 GVZ655359:GVZ655366 HFV655359:HFV655366 HPR655359:HPR655366 HZN655359:HZN655366 IJJ655359:IJJ655366 ITF655359:ITF655366 JDB655359:JDB655366 JMX655359:JMX655366 JWT655359:JWT655366 KGP655359:KGP655366 KQL655359:KQL655366 LAH655359:LAH655366 LKD655359:LKD655366 LTZ655359:LTZ655366 MDV655359:MDV655366 MNR655359:MNR655366 MXN655359:MXN655366 NHJ655359:NHJ655366 NRF655359:NRF655366 OBB655359:OBB655366 OKX655359:OKX655366 OUT655359:OUT655366 PEP655359:PEP655366 POL655359:POL655366 PYH655359:PYH655366 QID655359:QID655366 QRZ655359:QRZ655366 RBV655359:RBV655366 RLR655359:RLR655366 RVN655359:RVN655366 SFJ655359:SFJ655366 SPF655359:SPF655366 SZB655359:SZB655366 TIX655359:TIX655366 TST655359:TST655366 UCP655359:UCP655366 UML655359:UML655366 UWH655359:UWH655366 VGD655359:VGD655366 VPZ655359:VPZ655366 VZV655359:VZV655366 WJR655359:WJR655366 WTN655359:WTN655366 C720895:C720902 HB720895:HB720902 QX720895:QX720902 AAT720895:AAT720902 AKP720895:AKP720902 AUL720895:AUL720902 BEH720895:BEH720902 BOD720895:BOD720902 BXZ720895:BXZ720902 CHV720895:CHV720902 CRR720895:CRR720902 DBN720895:DBN720902 DLJ720895:DLJ720902 DVF720895:DVF720902 EFB720895:EFB720902 EOX720895:EOX720902 EYT720895:EYT720902 FIP720895:FIP720902 FSL720895:FSL720902 GCH720895:GCH720902 GMD720895:GMD720902 GVZ720895:GVZ720902 HFV720895:HFV720902 HPR720895:HPR720902 HZN720895:HZN720902 IJJ720895:IJJ720902 ITF720895:ITF720902 JDB720895:JDB720902 JMX720895:JMX720902 JWT720895:JWT720902 KGP720895:KGP720902 KQL720895:KQL720902 LAH720895:LAH720902 LKD720895:LKD720902 LTZ720895:LTZ720902 MDV720895:MDV720902 MNR720895:MNR720902 MXN720895:MXN720902 NHJ720895:NHJ720902 NRF720895:NRF720902 OBB720895:OBB720902 OKX720895:OKX720902 OUT720895:OUT720902 PEP720895:PEP720902 POL720895:POL720902 PYH720895:PYH720902 QID720895:QID720902 QRZ720895:QRZ720902 RBV720895:RBV720902 RLR720895:RLR720902 RVN720895:RVN720902 SFJ720895:SFJ720902 SPF720895:SPF720902 SZB720895:SZB720902 TIX720895:TIX720902 TST720895:TST720902 UCP720895:UCP720902 UML720895:UML720902 UWH720895:UWH720902 VGD720895:VGD720902 VPZ720895:VPZ720902 VZV720895:VZV720902 WJR720895:WJR720902 WTN720895:WTN720902 C786431:C786438 HB786431:HB786438 QX786431:QX786438 AAT786431:AAT786438 AKP786431:AKP786438 AUL786431:AUL786438 BEH786431:BEH786438 BOD786431:BOD786438 BXZ786431:BXZ786438 CHV786431:CHV786438 CRR786431:CRR786438 DBN786431:DBN786438 DLJ786431:DLJ786438 DVF786431:DVF786438 EFB786431:EFB786438 EOX786431:EOX786438 EYT786431:EYT786438 FIP786431:FIP786438 FSL786431:FSL786438 GCH786431:GCH786438 GMD786431:GMD786438 GVZ786431:GVZ786438 HFV786431:HFV786438 HPR786431:HPR786438 HZN786431:HZN786438 IJJ786431:IJJ786438 ITF786431:ITF786438 JDB786431:JDB786438 JMX786431:JMX786438 JWT786431:JWT786438 KGP786431:KGP786438 KQL786431:KQL786438 LAH786431:LAH786438 LKD786431:LKD786438 LTZ786431:LTZ786438 MDV786431:MDV786438 MNR786431:MNR786438 MXN786431:MXN786438 NHJ786431:NHJ786438 NRF786431:NRF786438 OBB786431:OBB786438 OKX786431:OKX786438 OUT786431:OUT786438 PEP786431:PEP786438 POL786431:POL786438 PYH786431:PYH786438 QID786431:QID786438 QRZ786431:QRZ786438 RBV786431:RBV786438 RLR786431:RLR786438 RVN786431:RVN786438 SFJ786431:SFJ786438 SPF786431:SPF786438 SZB786431:SZB786438 TIX786431:TIX786438 TST786431:TST786438 UCP786431:UCP786438 UML786431:UML786438 UWH786431:UWH786438 VGD786431:VGD786438 VPZ786431:VPZ786438 VZV786431:VZV786438 WJR786431:WJR786438 WTN786431:WTN786438 C851967:C851974 HB851967:HB851974 QX851967:QX851974 AAT851967:AAT851974 AKP851967:AKP851974 AUL851967:AUL851974 BEH851967:BEH851974 BOD851967:BOD851974 BXZ851967:BXZ851974 CHV851967:CHV851974 CRR851967:CRR851974 DBN851967:DBN851974 DLJ851967:DLJ851974 DVF851967:DVF851974 EFB851967:EFB851974 EOX851967:EOX851974 EYT851967:EYT851974 FIP851967:FIP851974 FSL851967:FSL851974 GCH851967:GCH851974 GMD851967:GMD851974 GVZ851967:GVZ851974 HFV851967:HFV851974 HPR851967:HPR851974 HZN851967:HZN851974 IJJ851967:IJJ851974 ITF851967:ITF851974 JDB851967:JDB851974 JMX851967:JMX851974 JWT851967:JWT851974 KGP851967:KGP851974 KQL851967:KQL851974 LAH851967:LAH851974 LKD851967:LKD851974 LTZ851967:LTZ851974 MDV851967:MDV851974 MNR851967:MNR851974 MXN851967:MXN851974 NHJ851967:NHJ851974 NRF851967:NRF851974 OBB851967:OBB851974 OKX851967:OKX851974 OUT851967:OUT851974 PEP851967:PEP851974 POL851967:POL851974 PYH851967:PYH851974 QID851967:QID851974 QRZ851967:QRZ851974 RBV851967:RBV851974 RLR851967:RLR851974 RVN851967:RVN851974 SFJ851967:SFJ851974 SPF851967:SPF851974 SZB851967:SZB851974 TIX851967:TIX851974 TST851967:TST851974 UCP851967:UCP851974 UML851967:UML851974 UWH851967:UWH851974 VGD851967:VGD851974 VPZ851967:VPZ851974 VZV851967:VZV851974 WJR851967:WJR851974 WTN851967:WTN851974 C917503:C917510 HB917503:HB917510 QX917503:QX917510 AAT917503:AAT917510 AKP917503:AKP917510 AUL917503:AUL917510 BEH917503:BEH917510 BOD917503:BOD917510 BXZ917503:BXZ917510 CHV917503:CHV917510 CRR917503:CRR917510 DBN917503:DBN917510 DLJ917503:DLJ917510 DVF917503:DVF917510 EFB917503:EFB917510 EOX917503:EOX917510 EYT917503:EYT917510 FIP917503:FIP917510 FSL917503:FSL917510 GCH917503:GCH917510 GMD917503:GMD917510 GVZ917503:GVZ917510 HFV917503:HFV917510 HPR917503:HPR917510 HZN917503:HZN917510 IJJ917503:IJJ917510 ITF917503:ITF917510 JDB917503:JDB917510 JMX917503:JMX917510 JWT917503:JWT917510 KGP917503:KGP917510 KQL917503:KQL917510 LAH917503:LAH917510 LKD917503:LKD917510 LTZ917503:LTZ917510 MDV917503:MDV917510 MNR917503:MNR917510 MXN917503:MXN917510 NHJ917503:NHJ917510 NRF917503:NRF917510 OBB917503:OBB917510 OKX917503:OKX917510 OUT917503:OUT917510 PEP917503:PEP917510 POL917503:POL917510 PYH917503:PYH917510 QID917503:QID917510 QRZ917503:QRZ917510 RBV917503:RBV917510 RLR917503:RLR917510 RVN917503:RVN917510 SFJ917503:SFJ917510 SPF917503:SPF917510 SZB917503:SZB917510 TIX917503:TIX917510 TST917503:TST917510 UCP917503:UCP917510 UML917503:UML917510 UWH917503:UWH917510 VGD917503:VGD917510 VPZ917503:VPZ917510 VZV917503:VZV917510 WJR917503:WJR917510 WTN917503:WTN917510 C983039:C983046 HB983039:HB983046 QX983039:QX983046 AAT983039:AAT983046 AKP983039:AKP983046 AUL983039:AUL983046 BEH983039:BEH983046 BOD983039:BOD983046 BXZ983039:BXZ983046 CHV983039:CHV983046 CRR983039:CRR983046 DBN983039:DBN983046 DLJ983039:DLJ983046 DVF983039:DVF983046 EFB983039:EFB983046 EOX983039:EOX983046 EYT983039:EYT983046 FIP983039:FIP983046 FSL983039:FSL983046 GCH983039:GCH983046 GMD983039:GMD983046 GVZ983039:GVZ983046 HFV983039:HFV983046 HPR983039:HPR983046 HZN983039:HZN983046 IJJ983039:IJJ983046 ITF983039:ITF983046 JDB983039:JDB983046 JMX983039:JMX983046 JWT983039:JWT983046 KGP983039:KGP983046 KQL983039:KQL983046 LAH983039:LAH983046 LKD983039:LKD983046 LTZ983039:LTZ983046 MDV983039:MDV983046 MNR983039:MNR983046 MXN983039:MXN983046 NHJ983039:NHJ983046 NRF983039:NRF983046 OBB983039:OBB983046 OKX983039:OKX983046 OUT983039:OUT983046 PEP983039:PEP983046 POL983039:POL983046 PYH983039:PYH983046 QID983039:QID983046 QRZ983039:QRZ983046 RBV983039:RBV983046 RLR983039:RLR983046 RVN983039:RVN983046 SFJ983039:SFJ983046 SPF983039:SPF983046 SZB983039:SZB983046 TIX983039:TIX983046 TST983039:TST983046 UCP983039:UCP983046 UML983039:UML983046 UWH983039:UWH983046 VGD983039:VGD983046 VPZ983039:VPZ983046 VZV983039:VZV983046 WJR983039:WJR983046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HB16:HB25 C16:C24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 WTN44:WTN53">
      <formula1>$A$3:$A$23</formula1>
    </dataValidation>
  </dataValidations>
  <printOptions horizontalCentered="1" verticalCentered="1"/>
  <pageMargins left="0" right="0" top="0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0" tint="-4.9989318521683403E-2"/>
    <pageSetUpPr fitToPage="1"/>
  </sheetPr>
  <dimension ref="A1:AM59"/>
  <sheetViews>
    <sheetView showGridLines="0" zoomScale="62" zoomScaleNormal="62" workbookViewId="0">
      <selection activeCell="X18" sqref="X18:Y18"/>
    </sheetView>
  </sheetViews>
  <sheetFormatPr defaultColWidth="11" defaultRowHeight="24.5"/>
  <cols>
    <col min="1" max="1" width="5.75" style="17" customWidth="1"/>
    <col min="2" max="2" width="16.5" style="9" customWidth="1"/>
    <col min="3" max="3" width="24.5" style="9" customWidth="1"/>
    <col min="4" max="4" width="18.25" style="9" customWidth="1"/>
    <col min="5" max="7" width="12" style="9" customWidth="1"/>
    <col min="8" max="8" width="11" style="9" customWidth="1"/>
    <col min="9" max="9" width="6" style="9" customWidth="1"/>
    <col min="10" max="22" width="4.5" style="9" customWidth="1"/>
    <col min="23" max="32" width="4.5" style="13" customWidth="1"/>
    <col min="33" max="35" width="4.5" style="17" customWidth="1"/>
    <col min="36" max="36" width="25.75" style="17" customWidth="1"/>
    <col min="37" max="37" width="7.5" style="17" customWidth="1"/>
    <col min="38" max="38" width="4.5" style="17" customWidth="1"/>
    <col min="39" max="39" width="15.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 t="s">
        <v>117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2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224"/>
      <c r="C5" s="129" t="s">
        <v>74</v>
      </c>
      <c r="D5" s="225"/>
      <c r="E5" s="225"/>
      <c r="F5" s="225"/>
      <c r="G5" s="226"/>
      <c r="H5" s="110" t="str">
        <f t="shared" ref="H5:H28" si="0">IF(F5=0,"",(F5-G5)/F5)</f>
        <v/>
      </c>
      <c r="I5" s="675" t="s">
        <v>33</v>
      </c>
      <c r="J5" s="676"/>
      <c r="K5" s="676"/>
      <c r="L5" s="676"/>
      <c r="M5" s="676"/>
      <c r="N5" s="676"/>
      <c r="O5" s="677"/>
      <c r="P5" s="678">
        <v>0</v>
      </c>
      <c r="Q5" s="679"/>
      <c r="R5" s="680">
        <v>0</v>
      </c>
      <c r="S5" s="679"/>
      <c r="T5" s="681">
        <v>0</v>
      </c>
      <c r="U5" s="682"/>
      <c r="V5" s="683">
        <v>0</v>
      </c>
      <c r="W5" s="684"/>
      <c r="X5" s="685">
        <v>0</v>
      </c>
      <c r="Y5" s="686"/>
      <c r="Z5" s="687">
        <v>0</v>
      </c>
      <c r="AA5" s="688"/>
      <c r="AB5" s="674">
        <v>0</v>
      </c>
      <c r="AC5" s="674"/>
      <c r="AD5" s="689">
        <f>SUM(AF5:AK5)*0.025</f>
        <v>0</v>
      </c>
      <c r="AE5" s="689"/>
      <c r="AF5" s="674">
        <v>0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362"/>
      <c r="C6" s="129" t="s">
        <v>75</v>
      </c>
      <c r="D6" s="227"/>
      <c r="E6" s="228"/>
      <c r="F6" s="228"/>
      <c r="G6" s="229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</v>
      </c>
      <c r="Q6" s="673"/>
      <c r="R6" s="673">
        <f>IF($F$15=0,0,R5*1000/$F$15)</f>
        <v>0</v>
      </c>
      <c r="S6" s="673"/>
      <c r="T6" s="673">
        <f>IF($F$15=0,0,T5*1000/$F$15)</f>
        <v>0</v>
      </c>
      <c r="U6" s="673"/>
      <c r="V6" s="673">
        <f>IF($F$15=0,0,V5*1000/$F$15)</f>
        <v>0</v>
      </c>
      <c r="W6" s="673"/>
      <c r="X6" s="673">
        <f>IF($F$15=0,0,X5*1000/$F$15)</f>
        <v>0</v>
      </c>
      <c r="Y6" s="673"/>
      <c r="Z6" s="673">
        <f>IF($F$15=0,0,Z5*1000/$F$15)</f>
        <v>0</v>
      </c>
      <c r="AA6" s="673"/>
      <c r="AB6" s="632">
        <f>IF($F$15=0,0,AB5*1000/$F$15)</f>
        <v>0</v>
      </c>
      <c r="AC6" s="632"/>
      <c r="AD6" s="632">
        <f>IF($F$15=0,0,AD5*1000/$F$15)</f>
        <v>0</v>
      </c>
      <c r="AE6" s="632"/>
      <c r="AF6" s="627">
        <f>IF(AF5=0,0,F15/AF5)</f>
        <v>0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362"/>
      <c r="C7" s="129" t="s">
        <v>76</v>
      </c>
      <c r="D7" s="227"/>
      <c r="E7" s="228"/>
      <c r="F7" s="228"/>
      <c r="G7" s="229"/>
      <c r="H7" s="111" t="str">
        <f t="shared" si="0"/>
        <v/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</v>
      </c>
      <c r="Q7" s="639"/>
      <c r="R7" s="639">
        <f>IF($G$15=0,0,R5*1000/$G$15)</f>
        <v>0</v>
      </c>
      <c r="S7" s="639"/>
      <c r="T7" s="639">
        <f>IF($G$15=0,0,T5*1000/$G$15)</f>
        <v>0</v>
      </c>
      <c r="U7" s="639"/>
      <c r="V7" s="639">
        <f>IF($G$15=0,0,V5*1000/$G$15)</f>
        <v>0</v>
      </c>
      <c r="W7" s="639"/>
      <c r="X7" s="639">
        <f>IF($G$15=0,0,X5*1000/$G$15)</f>
        <v>0</v>
      </c>
      <c r="Y7" s="639"/>
      <c r="Z7" s="639">
        <f>IF($G$15=0,0,Z5*1000/$G$15)</f>
        <v>0</v>
      </c>
      <c r="AA7" s="639"/>
      <c r="AB7" s="632">
        <f>IF($G$15=0,0,AB5*1000/$G$15)</f>
        <v>0</v>
      </c>
      <c r="AC7" s="632"/>
      <c r="AD7" s="632">
        <f>IF($G$15=0,0,AD5*1000/$G$15)</f>
        <v>0</v>
      </c>
      <c r="AE7" s="632"/>
      <c r="AF7" s="627">
        <f>IF(AF5=0,0,G15/AF5)</f>
        <v>0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221"/>
      <c r="C8" s="129" t="s">
        <v>77</v>
      </c>
      <c r="D8" s="233"/>
      <c r="E8" s="222"/>
      <c r="F8" s="222"/>
      <c r="G8" s="223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/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239"/>
      <c r="C9" s="129" t="s">
        <v>78</v>
      </c>
      <c r="D9" s="240"/>
      <c r="E9" s="241"/>
      <c r="F9" s="241"/>
      <c r="G9" s="242"/>
      <c r="H9" s="111" t="str">
        <f>IF(F9=0,"",(F9-G9)/F9)</f>
        <v/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120"/>
      <c r="C10" s="129" t="s">
        <v>79</v>
      </c>
      <c r="D10" s="124"/>
      <c r="E10" s="125"/>
      <c r="F10" s="125"/>
      <c r="G10" s="126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/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 t="e">
        <f>F15/P12</f>
        <v>#DIV/0!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/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0</v>
      </c>
      <c r="F15" s="204">
        <f>SUM(F5:F14)</f>
        <v>0</v>
      </c>
      <c r="G15" s="204">
        <f>SUM(G5:G14)</f>
        <v>0</v>
      </c>
      <c r="H15" s="188" t="str">
        <f>IF(F15=0,"",(F15-G15)/F15)</f>
        <v/>
      </c>
      <c r="I15" s="719" t="s">
        <v>70</v>
      </c>
      <c r="J15" s="720"/>
      <c r="K15" s="720"/>
      <c r="L15" s="720"/>
      <c r="M15" s="720"/>
      <c r="N15" s="720"/>
      <c r="O15" s="721"/>
      <c r="P15" s="722" t="e">
        <f>F15/P14</f>
        <v>#DIV/0!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119"/>
      <c r="C16" s="130" t="s">
        <v>74</v>
      </c>
      <c r="D16" s="127"/>
      <c r="E16" s="122"/>
      <c r="F16" s="122"/>
      <c r="G16" s="123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120"/>
      <c r="C17" s="131" t="s">
        <v>75</v>
      </c>
      <c r="D17" s="128"/>
      <c r="E17" s="125"/>
      <c r="F17" s="125"/>
      <c r="G17" s="126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742">
        <f>IF($F$26=0,0,AF16*1000/$F$26)</f>
        <v>0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120"/>
      <c r="C18" s="131" t="s">
        <v>76</v>
      </c>
      <c r="D18" s="128"/>
      <c r="E18" s="125"/>
      <c r="F18" s="125"/>
      <c r="G18" s="126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742">
        <f>IF($G$26=0,0,AF16*1000/$G$26)</f>
        <v>0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120"/>
      <c r="C19" s="131" t="s">
        <v>77</v>
      </c>
      <c r="D19" s="128"/>
      <c r="E19" s="125"/>
      <c r="F19" s="125"/>
      <c r="G19" s="126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120"/>
      <c r="C20" s="131" t="s">
        <v>78</v>
      </c>
      <c r="D20" s="128"/>
      <c r="E20" s="125"/>
      <c r="F20" s="125"/>
      <c r="G20" s="126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120"/>
      <c r="C21" s="131" t="s">
        <v>79</v>
      </c>
      <c r="D21" s="128"/>
      <c r="E21" s="125"/>
      <c r="F21" s="125"/>
      <c r="G21" s="126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0</v>
      </c>
      <c r="G26" s="205">
        <f>SUM(G16:G25)</f>
        <v>0</v>
      </c>
      <c r="H26" s="196" t="str">
        <f>IF(F26=0,"",(F26-G26)/F26)</f>
        <v/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0</v>
      </c>
      <c r="Q27" s="781"/>
      <c r="R27" s="782">
        <f>SUM(R5,R16)</f>
        <v>0</v>
      </c>
      <c r="S27" s="781"/>
      <c r="T27" s="782">
        <f>SUM(T5,T16)</f>
        <v>0</v>
      </c>
      <c r="U27" s="781"/>
      <c r="V27" s="782">
        <f>SUM(V5,V16)</f>
        <v>0</v>
      </c>
      <c r="W27" s="781"/>
      <c r="X27" s="782">
        <f>SUM(X5,X16)</f>
        <v>0</v>
      </c>
      <c r="Y27" s="781"/>
      <c r="Z27" s="783">
        <f>SUM(Z5,Z16)</f>
        <v>0</v>
      </c>
      <c r="AA27" s="784"/>
      <c r="AB27" s="770">
        <f>SUM(AB5,AB16)</f>
        <v>0</v>
      </c>
      <c r="AC27" s="770"/>
      <c r="AD27" s="769">
        <f>SUM(AD5,AD16)</f>
        <v>0</v>
      </c>
      <c r="AE27" s="769"/>
      <c r="AF27" s="770">
        <f>SUM(AF5,AF16)</f>
        <v>0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0</v>
      </c>
      <c r="F28" s="140">
        <f>F15+F26</f>
        <v>0</v>
      </c>
      <c r="G28" s="140">
        <f>G15+G26</f>
        <v>0</v>
      </c>
      <c r="H28" s="141" t="str">
        <f t="shared" si="0"/>
        <v/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</v>
      </c>
      <c r="Q28" s="745"/>
      <c r="R28" s="746">
        <f t="shared" si="1"/>
        <v>0</v>
      </c>
      <c r="S28" s="745"/>
      <c r="T28" s="746">
        <f t="shared" si="1"/>
        <v>0</v>
      </c>
      <c r="U28" s="745"/>
      <c r="V28" s="800">
        <f t="shared" si="1"/>
        <v>0</v>
      </c>
      <c r="W28" s="801"/>
      <c r="X28" s="800">
        <f t="shared" si="1"/>
        <v>0</v>
      </c>
      <c r="Y28" s="801"/>
      <c r="Z28" s="746">
        <f t="shared" si="1"/>
        <v>0</v>
      </c>
      <c r="AA28" s="744"/>
      <c r="AB28" s="632">
        <f t="shared" si="1"/>
        <v>0</v>
      </c>
      <c r="AC28" s="632"/>
      <c r="AD28" s="632">
        <f t="shared" si="1"/>
        <v>0</v>
      </c>
      <c r="AE28" s="632"/>
      <c r="AF28" s="757">
        <f t="shared" si="1"/>
        <v>0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</v>
      </c>
      <c r="Q29" s="792"/>
      <c r="R29" s="771">
        <f t="shared" si="2"/>
        <v>0</v>
      </c>
      <c r="S29" s="792"/>
      <c r="T29" s="771">
        <f t="shared" si="2"/>
        <v>0</v>
      </c>
      <c r="U29" s="792"/>
      <c r="V29" s="793">
        <f t="shared" si="2"/>
        <v>0</v>
      </c>
      <c r="W29" s="794"/>
      <c r="X29" s="795">
        <f t="shared" si="2"/>
        <v>0</v>
      </c>
      <c r="Y29" s="796"/>
      <c r="Z29" s="771">
        <f t="shared" si="2"/>
        <v>0</v>
      </c>
      <c r="AA29" s="772"/>
      <c r="AB29" s="773">
        <f t="shared" si="2"/>
        <v>0</v>
      </c>
      <c r="AC29" s="773"/>
      <c r="AD29" s="773">
        <f t="shared" si="2"/>
        <v>0</v>
      </c>
      <c r="AE29" s="773"/>
      <c r="AF29" s="774">
        <f t="shared" si="2"/>
        <v>0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306">
        <f t="shared" ref="B33:B42" si="3">B5</f>
        <v>0</v>
      </c>
      <c r="C33" s="213" t="s">
        <v>74</v>
      </c>
      <c r="D33" s="307">
        <f t="shared" ref="D33:D42" si="4">D5</f>
        <v>0</v>
      </c>
      <c r="E33" s="307">
        <f>G5</f>
        <v>0</v>
      </c>
      <c r="F33" s="468"/>
      <c r="G33" s="62" t="str">
        <f t="shared" ref="G33:G55" si="5">IF(E33=0,"",(E33-F33)/E33)</f>
        <v/>
      </c>
      <c r="H33" s="63"/>
      <c r="I33" s="64">
        <f t="shared" ref="I33:I54" si="6">SUM(J33:AH33)</f>
        <v>0</v>
      </c>
      <c r="J33" s="453"/>
      <c r="K33" s="454"/>
      <c r="L33" s="453"/>
      <c r="M33" s="454"/>
      <c r="N33" s="453"/>
      <c r="O33" s="454"/>
      <c r="P33" s="453"/>
      <c r="Q33" s="454"/>
      <c r="R33" s="453"/>
      <c r="S33" s="454"/>
      <c r="T33" s="453"/>
      <c r="U33" s="454"/>
      <c r="V33" s="453"/>
      <c r="W33" s="454"/>
      <c r="X33" s="453"/>
      <c r="Y33" s="454"/>
      <c r="Z33" s="453"/>
      <c r="AA33" s="454"/>
      <c r="AB33" s="453"/>
      <c r="AC33" s="454"/>
      <c r="AD33" s="453"/>
      <c r="AE33" s="454"/>
      <c r="AF33" s="453"/>
      <c r="AG33" s="454"/>
      <c r="AH33" s="453"/>
      <c r="AI33" s="820"/>
      <c r="AJ33" s="821"/>
      <c r="AK33" s="822"/>
      <c r="AL33" s="823"/>
      <c r="AM33" s="824"/>
    </row>
    <row r="34" spans="1:39" ht="20.25" customHeight="1">
      <c r="A34" s="370"/>
      <c r="B34" s="320">
        <f t="shared" si="3"/>
        <v>0</v>
      </c>
      <c r="C34" s="214" t="s">
        <v>75</v>
      </c>
      <c r="D34" s="318">
        <f t="shared" si="4"/>
        <v>0</v>
      </c>
      <c r="E34" s="318">
        <f>G6</f>
        <v>0</v>
      </c>
      <c r="F34" s="322"/>
      <c r="G34" s="70" t="str">
        <f t="shared" si="5"/>
        <v/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825"/>
      <c r="AJ34" s="826"/>
      <c r="AK34" s="448"/>
      <c r="AL34" s="449"/>
      <c r="AM34" s="410"/>
    </row>
    <row r="35" spans="1:39" ht="20.25" customHeight="1">
      <c r="A35" s="370"/>
      <c r="B35" s="320">
        <f t="shared" si="3"/>
        <v>0</v>
      </c>
      <c r="C35" s="214" t="s">
        <v>76</v>
      </c>
      <c r="D35" s="318">
        <f t="shared" si="4"/>
        <v>0</v>
      </c>
      <c r="E35" s="318">
        <v>0</v>
      </c>
      <c r="F35" s="469"/>
      <c r="G35" s="70" t="str">
        <f t="shared" si="5"/>
        <v/>
      </c>
      <c r="H35" s="63"/>
      <c r="I35" s="64">
        <f t="shared" si="6"/>
        <v>0</v>
      </c>
      <c r="J35" s="455"/>
      <c r="K35" s="456"/>
      <c r="L35" s="456"/>
      <c r="M35" s="456"/>
      <c r="N35" s="456"/>
      <c r="O35" s="456"/>
      <c r="P35" s="456"/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7"/>
      <c r="AI35" s="833"/>
      <c r="AJ35" s="834"/>
      <c r="AK35" s="827"/>
      <c r="AL35" s="828"/>
      <c r="AM35" s="829"/>
    </row>
    <row r="36" spans="1:39" ht="20.25" customHeight="1">
      <c r="A36" s="371">
        <v>1</v>
      </c>
      <c r="B36" s="160">
        <f t="shared" si="3"/>
        <v>0</v>
      </c>
      <c r="C36" s="214" t="s">
        <v>77</v>
      </c>
      <c r="D36" s="124">
        <f t="shared" si="4"/>
        <v>0</v>
      </c>
      <c r="E36" s="161">
        <f t="shared" ref="E36:E42" si="7">G8</f>
        <v>0</v>
      </c>
      <c r="F36" s="151"/>
      <c r="G36" s="70" t="str">
        <f t="shared" si="5"/>
        <v/>
      </c>
      <c r="H36" s="63"/>
      <c r="I36" s="64">
        <f t="shared" si="6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452"/>
      <c r="AJ36" s="438"/>
      <c r="AK36" s="73"/>
      <c r="AL36" s="74"/>
      <c r="AM36" s="75"/>
    </row>
    <row r="37" spans="1:39" ht="20.25" customHeight="1">
      <c r="A37" s="372"/>
      <c r="B37" s="320">
        <f t="shared" si="3"/>
        <v>0</v>
      </c>
      <c r="C37" s="214" t="s">
        <v>78</v>
      </c>
      <c r="D37" s="318">
        <f t="shared" si="4"/>
        <v>0</v>
      </c>
      <c r="E37" s="318">
        <f>G9</f>
        <v>0</v>
      </c>
      <c r="F37" s="322"/>
      <c r="G37" s="70" t="str">
        <f t="shared" si="5"/>
        <v/>
      </c>
      <c r="H37" s="63"/>
      <c r="I37" s="64">
        <f t="shared" si="6"/>
        <v>0</v>
      </c>
      <c r="J37" s="455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833"/>
      <c r="AJ37" s="834"/>
      <c r="AK37" s="830"/>
      <c r="AL37" s="831"/>
      <c r="AM37" s="832"/>
    </row>
    <row r="38" spans="1:39" ht="20.25" customHeight="1">
      <c r="A38" s="372"/>
      <c r="B38" s="162">
        <f t="shared" si="3"/>
        <v>0</v>
      </c>
      <c r="C38" s="214" t="s">
        <v>79</v>
      </c>
      <c r="D38" s="163">
        <f t="shared" si="4"/>
        <v>0</v>
      </c>
      <c r="E38" s="161">
        <f t="shared" si="7"/>
        <v>0</v>
      </c>
      <c r="F38" s="151"/>
      <c r="G38" s="70" t="str">
        <f t="shared" si="5"/>
        <v/>
      </c>
      <c r="H38" s="63"/>
      <c r="I38" s="64">
        <f t="shared" si="6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7"/>
        <v>0</v>
      </c>
      <c r="F39" s="154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162">
        <f t="shared" si="3"/>
        <v>0</v>
      </c>
      <c r="C40" s="214" t="s">
        <v>63</v>
      </c>
      <c r="D40" s="163">
        <f t="shared" si="4"/>
        <v>0</v>
      </c>
      <c r="E40" s="153">
        <f t="shared" si="7"/>
        <v>0</v>
      </c>
      <c r="F40" s="154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7"/>
        <v>0</v>
      </c>
      <c r="F41" s="209"/>
      <c r="G41" s="210" t="str">
        <f t="shared" si="5"/>
        <v/>
      </c>
      <c r="H41" s="63"/>
      <c r="I41" s="64">
        <f t="shared" si="6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0</v>
      </c>
      <c r="F43" s="145">
        <f>SUM(F33:F42)</f>
        <v>0</v>
      </c>
      <c r="G43" s="135" t="str">
        <f t="shared" si="5"/>
        <v/>
      </c>
      <c r="H43" s="63"/>
      <c r="I43" s="376">
        <f t="shared" si="6"/>
        <v>0</v>
      </c>
      <c r="J43" s="77">
        <f>SUM(J33:J42)</f>
        <v>0</v>
      </c>
      <c r="K43" s="78">
        <f t="shared" ref="K43:AH43" si="8">SUM(K33:K42)</f>
        <v>0</v>
      </c>
      <c r="L43" s="78">
        <f t="shared" si="8"/>
        <v>0</v>
      </c>
      <c r="M43" s="78">
        <f t="shared" si="8"/>
        <v>0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0</v>
      </c>
      <c r="R43" s="78">
        <f t="shared" si="8"/>
        <v>0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0</v>
      </c>
      <c r="W43" s="78">
        <f t="shared" si="8"/>
        <v>0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0</v>
      </c>
      <c r="AC43" s="78">
        <f t="shared" si="8"/>
        <v>0</v>
      </c>
      <c r="AD43" s="78">
        <f t="shared" si="8"/>
        <v>0</v>
      </c>
      <c r="AE43" s="78">
        <f t="shared" si="8"/>
        <v>0</v>
      </c>
      <c r="AF43" s="78">
        <f t="shared" si="8"/>
        <v>0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81">
        <f t="shared" ref="B44:B53" si="9">B16</f>
        <v>0</v>
      </c>
      <c r="C44" s="382" t="s">
        <v>74</v>
      </c>
      <c r="D44" s="121">
        <f t="shared" ref="D44:D53" si="10">D16</f>
        <v>0</v>
      </c>
      <c r="E44" s="122">
        <f t="shared" ref="E44:E53" si="11">G16</f>
        <v>0</v>
      </c>
      <c r="F44" s="148"/>
      <c r="G44" s="62" t="str">
        <f t="shared" si="5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8"/>
      <c r="AJ44" s="819"/>
      <c r="AK44" s="82"/>
      <c r="AL44" s="83"/>
      <c r="AM44" s="84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si="11"/>
        <v>0</v>
      </c>
      <c r="F45" s="151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149">
        <f t="shared" si="9"/>
        <v>0</v>
      </c>
      <c r="C46" s="217" t="s">
        <v>76</v>
      </c>
      <c r="D46" s="152">
        <f t="shared" si="10"/>
        <v>0</v>
      </c>
      <c r="E46" s="153">
        <f t="shared" si="11"/>
        <v>0</v>
      </c>
      <c r="F46" s="154"/>
      <c r="G46" s="70" t="str">
        <f t="shared" si="5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814"/>
      <c r="AJ46" s="815"/>
      <c r="AK46" s="74"/>
      <c r="AL46" s="74"/>
      <c r="AM46" s="75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149">
        <f t="shared" si="9"/>
        <v>0</v>
      </c>
      <c r="C48" s="217" t="s">
        <v>78</v>
      </c>
      <c r="D48" s="155">
        <f t="shared" si="10"/>
        <v>0</v>
      </c>
      <c r="E48" s="153">
        <f t="shared" si="11"/>
        <v>0</v>
      </c>
      <c r="F48" s="154"/>
      <c r="G48" s="70" t="str">
        <f t="shared" si="5"/>
        <v/>
      </c>
      <c r="H48" s="63"/>
      <c r="I48" s="64">
        <f t="shared" si="6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75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5"/>
        <v/>
      </c>
      <c r="H54" s="63"/>
      <c r="I54" s="87">
        <f t="shared" si="6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0</v>
      </c>
      <c r="F55" s="164">
        <f>F43+F54</f>
        <v>0</v>
      </c>
      <c r="G55" s="165" t="str">
        <f t="shared" si="5"/>
        <v/>
      </c>
      <c r="H55" s="95"/>
      <c r="I55" s="96">
        <f>SUM(I43,I54)</f>
        <v>0</v>
      </c>
      <c r="J55" s="97">
        <f>SUM(J43,J54)</f>
        <v>0</v>
      </c>
      <c r="K55" s="97">
        <f t="shared" ref="K55:AH55" si="13">SUM(K43,K54)</f>
        <v>0</v>
      </c>
      <c r="L55" s="97">
        <f t="shared" si="13"/>
        <v>0</v>
      </c>
      <c r="M55" s="97">
        <f t="shared" si="13"/>
        <v>0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0</v>
      </c>
      <c r="R55" s="97">
        <f t="shared" si="13"/>
        <v>0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0</v>
      </c>
      <c r="W55" s="97">
        <f t="shared" si="13"/>
        <v>0</v>
      </c>
      <c r="X55" s="97">
        <f t="shared" si="13"/>
        <v>0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0</v>
      </c>
      <c r="AC55" s="97">
        <f t="shared" si="13"/>
        <v>0</v>
      </c>
      <c r="AD55" s="97">
        <f t="shared" si="13"/>
        <v>0</v>
      </c>
      <c r="AE55" s="97">
        <f t="shared" si="13"/>
        <v>0</v>
      </c>
      <c r="AF55" s="97">
        <f t="shared" si="13"/>
        <v>0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6">
    <mergeCell ref="M1:N1"/>
    <mergeCell ref="R1:U1"/>
    <mergeCell ref="E2:H2"/>
    <mergeCell ref="I2:O4"/>
    <mergeCell ref="P2:Q3"/>
    <mergeCell ref="R2:S2"/>
    <mergeCell ref="T2:U2"/>
    <mergeCell ref="I24:O24"/>
    <mergeCell ref="I25:O25"/>
    <mergeCell ref="P19:Q19"/>
    <mergeCell ref="P20:Q20"/>
    <mergeCell ref="P21:Q21"/>
    <mergeCell ref="P22:Q22"/>
    <mergeCell ref="P23:Q23"/>
    <mergeCell ref="P25:Q25"/>
    <mergeCell ref="I6:O6"/>
    <mergeCell ref="P6:Q6"/>
    <mergeCell ref="R6:S6"/>
    <mergeCell ref="T6:U6"/>
    <mergeCell ref="I5:O5"/>
    <mergeCell ref="P5:Q5"/>
    <mergeCell ref="R5:S5"/>
    <mergeCell ref="T5:U5"/>
    <mergeCell ref="I8:O8"/>
    <mergeCell ref="P4:Q4"/>
    <mergeCell ref="R4:S4"/>
    <mergeCell ref="T4:U4"/>
    <mergeCell ref="P16:Q16"/>
    <mergeCell ref="AF4:AG4"/>
    <mergeCell ref="Z7:AA7"/>
    <mergeCell ref="AB7:AC7"/>
    <mergeCell ref="AD7:AE7"/>
    <mergeCell ref="AF7:AG7"/>
    <mergeCell ref="P8:Q8"/>
    <mergeCell ref="R8:S8"/>
    <mergeCell ref="T8:U8"/>
    <mergeCell ref="AB13:AC13"/>
    <mergeCell ref="AD13:AE13"/>
    <mergeCell ref="AF13:AG13"/>
    <mergeCell ref="Z11:AA11"/>
    <mergeCell ref="AB11:AC11"/>
    <mergeCell ref="AD11:AE11"/>
    <mergeCell ref="Z12:AA12"/>
    <mergeCell ref="AB12:AC12"/>
    <mergeCell ref="V6:W6"/>
    <mergeCell ref="X6:Y6"/>
    <mergeCell ref="AD9:AE9"/>
    <mergeCell ref="AF9:AG9"/>
    <mergeCell ref="AH4:AI4"/>
    <mergeCell ref="AJ4:AK4"/>
    <mergeCell ref="V4:W4"/>
    <mergeCell ref="X4:Y4"/>
    <mergeCell ref="Z4:AA4"/>
    <mergeCell ref="AB4:AC4"/>
    <mergeCell ref="AD4:AE4"/>
    <mergeCell ref="Z6:AA6"/>
    <mergeCell ref="AB6:AC6"/>
    <mergeCell ref="AD6:AE6"/>
    <mergeCell ref="AF6:AG6"/>
    <mergeCell ref="AH6:AI6"/>
    <mergeCell ref="AJ6:AK6"/>
    <mergeCell ref="AD5:AE5"/>
    <mergeCell ref="AF5:AG5"/>
    <mergeCell ref="AH5:AI5"/>
    <mergeCell ref="AJ5:AK5"/>
    <mergeCell ref="V5:W5"/>
    <mergeCell ref="X5:Y5"/>
    <mergeCell ref="Z5:AA5"/>
    <mergeCell ref="AB5:AC5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Z2:AA2"/>
    <mergeCell ref="AB2:AC2"/>
    <mergeCell ref="AD2:AE2"/>
    <mergeCell ref="AF2:AG2"/>
    <mergeCell ref="AF3:AG3"/>
    <mergeCell ref="AH3:AI3"/>
    <mergeCell ref="AJ3:AK3"/>
    <mergeCell ref="AH9:AI9"/>
    <mergeCell ref="AH7:AI7"/>
    <mergeCell ref="AJ7:AK7"/>
    <mergeCell ref="V7:W7"/>
    <mergeCell ref="X7:Y7"/>
    <mergeCell ref="Z8:AA8"/>
    <mergeCell ref="AB8:AC8"/>
    <mergeCell ref="AD8:AE8"/>
    <mergeCell ref="AF8:AG8"/>
    <mergeCell ref="AH8:AI8"/>
    <mergeCell ref="AJ8:AK8"/>
    <mergeCell ref="V8:W8"/>
    <mergeCell ref="X8:Y8"/>
    <mergeCell ref="T10:U10"/>
    <mergeCell ref="V10:W10"/>
    <mergeCell ref="X10:Y10"/>
    <mergeCell ref="I7:O7"/>
    <mergeCell ref="P7:Q7"/>
    <mergeCell ref="R7:S7"/>
    <mergeCell ref="T7:U7"/>
    <mergeCell ref="Z9:AA9"/>
    <mergeCell ref="AB9:AC9"/>
    <mergeCell ref="V13:W13"/>
    <mergeCell ref="X13:Y13"/>
    <mergeCell ref="I13:O13"/>
    <mergeCell ref="AB15:AC15"/>
    <mergeCell ref="AD15:AE15"/>
    <mergeCell ref="AF15:AG15"/>
    <mergeCell ref="AH15:AI15"/>
    <mergeCell ref="AJ15:AK15"/>
    <mergeCell ref="AJ9:AK9"/>
    <mergeCell ref="I9:O9"/>
    <mergeCell ref="P9:Q9"/>
    <mergeCell ref="R9:S9"/>
    <mergeCell ref="T9:U9"/>
    <mergeCell ref="V9:W9"/>
    <mergeCell ref="X9:Y9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AB16:AC16"/>
    <mergeCell ref="AD16:AE16"/>
    <mergeCell ref="R16:S16"/>
    <mergeCell ref="T16:U16"/>
    <mergeCell ref="V16:W16"/>
    <mergeCell ref="P15:Q15"/>
    <mergeCell ref="R15:S15"/>
    <mergeCell ref="T15:U15"/>
    <mergeCell ref="V15:W15"/>
    <mergeCell ref="Z15:AA15"/>
    <mergeCell ref="AB17:AC17"/>
    <mergeCell ref="AD17:AE17"/>
    <mergeCell ref="X26:Y26"/>
    <mergeCell ref="Z26:AA26"/>
    <mergeCell ref="P27:Q27"/>
    <mergeCell ref="R27:S27"/>
    <mergeCell ref="AB26:AC26"/>
    <mergeCell ref="AD26:AE26"/>
    <mergeCell ref="Z24:AA24"/>
    <mergeCell ref="AB24:AC24"/>
    <mergeCell ref="AD24:AE24"/>
    <mergeCell ref="P24:Q24"/>
    <mergeCell ref="R24:S24"/>
    <mergeCell ref="T24:U24"/>
    <mergeCell ref="V24:W24"/>
    <mergeCell ref="X24:Y24"/>
    <mergeCell ref="AB18:AC18"/>
    <mergeCell ref="AD18:AE18"/>
    <mergeCell ref="P18:Q18"/>
    <mergeCell ref="R18:S18"/>
    <mergeCell ref="T18:U18"/>
    <mergeCell ref="V18:W18"/>
    <mergeCell ref="X18:Y18"/>
    <mergeCell ref="Z18:AA18"/>
    <mergeCell ref="I11:O11"/>
    <mergeCell ref="P11:Q11"/>
    <mergeCell ref="R11:S11"/>
    <mergeCell ref="T11:U11"/>
    <mergeCell ref="V11:W11"/>
    <mergeCell ref="X11:Y11"/>
    <mergeCell ref="AH28:AI28"/>
    <mergeCell ref="AJ28:AK28"/>
    <mergeCell ref="P29:Q29"/>
    <mergeCell ref="R29:S29"/>
    <mergeCell ref="T29:U29"/>
    <mergeCell ref="V29:W29"/>
    <mergeCell ref="X29:Y29"/>
    <mergeCell ref="Z29:AA29"/>
    <mergeCell ref="AB29:AC29"/>
    <mergeCell ref="V28:W28"/>
    <mergeCell ref="X28:Y28"/>
    <mergeCell ref="Z28:AA28"/>
    <mergeCell ref="P28:Q28"/>
    <mergeCell ref="R28:S28"/>
    <mergeCell ref="T28:U28"/>
    <mergeCell ref="T27:U27"/>
    <mergeCell ref="V27:W27"/>
    <mergeCell ref="X27:Y27"/>
    <mergeCell ref="AD12:AE12"/>
    <mergeCell ref="AF11:AG11"/>
    <mergeCell ref="AH11:AI11"/>
    <mergeCell ref="AJ11:AK11"/>
    <mergeCell ref="AJ27:AK27"/>
    <mergeCell ref="AJ24:AK24"/>
    <mergeCell ref="AJ12:AK12"/>
    <mergeCell ref="AF26:AG26"/>
    <mergeCell ref="AH26:AI26"/>
    <mergeCell ref="AJ26:AK26"/>
    <mergeCell ref="AF12:AG12"/>
    <mergeCell ref="AH12:AI12"/>
    <mergeCell ref="AJ16:AK16"/>
    <mergeCell ref="AF16:AG16"/>
    <mergeCell ref="AH16:AI16"/>
    <mergeCell ref="AF18:AG18"/>
    <mergeCell ref="AH18:AI18"/>
    <mergeCell ref="AJ18:AK18"/>
    <mergeCell ref="AF17:AG17"/>
    <mergeCell ref="AH17:AI17"/>
    <mergeCell ref="AJ17:AK17"/>
    <mergeCell ref="AH13:AI13"/>
    <mergeCell ref="AJ13:AK13"/>
    <mergeCell ref="AD29:AE29"/>
    <mergeCell ref="AF29:AG29"/>
    <mergeCell ref="AH29:AI29"/>
    <mergeCell ref="AJ29:AK29"/>
    <mergeCell ref="AF24:AG24"/>
    <mergeCell ref="AH24:AI24"/>
    <mergeCell ref="I29:O29"/>
    <mergeCell ref="I27:O27"/>
    <mergeCell ref="I18:O18"/>
    <mergeCell ref="I26:O26"/>
    <mergeCell ref="AB28:AC28"/>
    <mergeCell ref="AD28:AE28"/>
    <mergeCell ref="AF28:AG28"/>
    <mergeCell ref="AB27:AC27"/>
    <mergeCell ref="AD27:AE27"/>
    <mergeCell ref="AF27:AG27"/>
    <mergeCell ref="AH27:AI27"/>
    <mergeCell ref="I12:O12"/>
    <mergeCell ref="P12:Q12"/>
    <mergeCell ref="R12:S12"/>
    <mergeCell ref="T12:U12"/>
    <mergeCell ref="V12:W12"/>
    <mergeCell ref="X12:Y12"/>
    <mergeCell ref="Z27:AA27"/>
    <mergeCell ref="P26:Q26"/>
    <mergeCell ref="R26:S26"/>
    <mergeCell ref="T26:U26"/>
    <mergeCell ref="V26:W26"/>
    <mergeCell ref="Z17:AA17"/>
    <mergeCell ref="P14:Q14"/>
    <mergeCell ref="Z13:AA13"/>
    <mergeCell ref="P17:Q17"/>
    <mergeCell ref="R17:S17"/>
    <mergeCell ref="T17:U17"/>
    <mergeCell ref="V17:W17"/>
    <mergeCell ref="X17:Y17"/>
    <mergeCell ref="X16:Y16"/>
    <mergeCell ref="Z16:AA16"/>
    <mergeCell ref="P13:Q13"/>
    <mergeCell ref="R13:S13"/>
    <mergeCell ref="T13:U13"/>
    <mergeCell ref="A28:D28"/>
    <mergeCell ref="I28:O28"/>
    <mergeCell ref="A26:D26"/>
    <mergeCell ref="I20:O20"/>
    <mergeCell ref="I17:O17"/>
    <mergeCell ref="I16:O16"/>
    <mergeCell ref="I14:O14"/>
    <mergeCell ref="I15:O15"/>
    <mergeCell ref="I19:O19"/>
    <mergeCell ref="I21:O21"/>
    <mergeCell ref="I22:O22"/>
    <mergeCell ref="I23:O23"/>
    <mergeCell ref="A15:D15"/>
    <mergeCell ref="AI31:AJ32"/>
    <mergeCell ref="AK31:AM32"/>
    <mergeCell ref="A43:D43"/>
    <mergeCell ref="AI44:AJ44"/>
    <mergeCell ref="AI45:AJ45"/>
    <mergeCell ref="AI46:AJ46"/>
    <mergeCell ref="I57:O57"/>
    <mergeCell ref="P57:V57"/>
    <mergeCell ref="W57:AE57"/>
    <mergeCell ref="AF57:AM57"/>
    <mergeCell ref="AI33:AJ33"/>
    <mergeCell ref="AK33:AM33"/>
    <mergeCell ref="AI34:AJ34"/>
    <mergeCell ref="AK35:AM35"/>
    <mergeCell ref="AK37:AM37"/>
    <mergeCell ref="AI35:AJ35"/>
    <mergeCell ref="AI37:AJ37"/>
  </mergeCells>
  <dataValidations disablePrompts="1" count="1">
    <dataValidation type="list" allowBlank="1" showInputMessage="1" showErrorMessage="1" sqref="C65526:C65532 HB65526:HB65532 QX65526:QX65532 AAT65526:AAT65532 AKP65526:AKP65532 AUL65526:AUL65532 BEH65526:BEH65532 BOD65526:BOD65532 BXZ65526:BXZ65532 CHV65526:CHV65532 CRR65526:CRR65532 DBN65526:DBN65532 DLJ65526:DLJ65532 DVF65526:DVF65532 EFB65526:EFB65532 EOX65526:EOX65532 EYT65526:EYT65532 FIP65526:FIP65532 FSL65526:FSL65532 GCH65526:GCH65532 GMD65526:GMD65532 GVZ65526:GVZ65532 HFV65526:HFV65532 HPR65526:HPR65532 HZN65526:HZN65532 IJJ65526:IJJ65532 ITF65526:ITF65532 JDB65526:JDB65532 JMX65526:JMX65532 JWT65526:JWT65532 KGP65526:KGP65532 KQL65526:KQL65532 LAH65526:LAH65532 LKD65526:LKD65532 LTZ65526:LTZ65532 MDV65526:MDV65532 MNR65526:MNR65532 MXN65526:MXN65532 NHJ65526:NHJ65532 NRF65526:NRF65532 OBB65526:OBB65532 OKX65526:OKX65532 OUT65526:OUT65532 PEP65526:PEP65532 POL65526:POL65532 PYH65526:PYH65532 QID65526:QID65532 QRZ65526:QRZ65532 RBV65526:RBV65532 RLR65526:RLR65532 RVN65526:RVN65532 SFJ65526:SFJ65532 SPF65526:SPF65532 SZB65526:SZB65532 TIX65526:TIX65532 TST65526:TST65532 UCP65526:UCP65532 UML65526:UML65532 UWH65526:UWH65532 VGD65526:VGD65532 VPZ65526:VPZ65532 VZV65526:VZV65532 WJR65526:WJR65532 WTN65526:WTN65532 C131062:C131068 HB131062:HB131068 QX131062:QX131068 AAT131062:AAT131068 AKP131062:AKP131068 AUL131062:AUL131068 BEH131062:BEH131068 BOD131062:BOD131068 BXZ131062:BXZ131068 CHV131062:CHV131068 CRR131062:CRR131068 DBN131062:DBN131068 DLJ131062:DLJ131068 DVF131062:DVF131068 EFB131062:EFB131068 EOX131062:EOX131068 EYT131062:EYT131068 FIP131062:FIP131068 FSL131062:FSL131068 GCH131062:GCH131068 GMD131062:GMD131068 GVZ131062:GVZ131068 HFV131062:HFV131068 HPR131062:HPR131068 HZN131062:HZN131068 IJJ131062:IJJ131068 ITF131062:ITF131068 JDB131062:JDB131068 JMX131062:JMX131068 JWT131062:JWT131068 KGP131062:KGP131068 KQL131062:KQL131068 LAH131062:LAH131068 LKD131062:LKD131068 LTZ131062:LTZ131068 MDV131062:MDV131068 MNR131062:MNR131068 MXN131062:MXN131068 NHJ131062:NHJ131068 NRF131062:NRF131068 OBB131062:OBB131068 OKX131062:OKX131068 OUT131062:OUT131068 PEP131062:PEP131068 POL131062:POL131068 PYH131062:PYH131068 QID131062:QID131068 QRZ131062:QRZ131068 RBV131062:RBV131068 RLR131062:RLR131068 RVN131062:RVN131068 SFJ131062:SFJ131068 SPF131062:SPF131068 SZB131062:SZB131068 TIX131062:TIX131068 TST131062:TST131068 UCP131062:UCP131068 UML131062:UML131068 UWH131062:UWH131068 VGD131062:VGD131068 VPZ131062:VPZ131068 VZV131062:VZV131068 WJR131062:WJR131068 WTN131062:WTN131068 C196598:C196604 HB196598:HB196604 QX196598:QX196604 AAT196598:AAT196604 AKP196598:AKP196604 AUL196598:AUL196604 BEH196598:BEH196604 BOD196598:BOD196604 BXZ196598:BXZ196604 CHV196598:CHV196604 CRR196598:CRR196604 DBN196598:DBN196604 DLJ196598:DLJ196604 DVF196598:DVF196604 EFB196598:EFB196604 EOX196598:EOX196604 EYT196598:EYT196604 FIP196598:FIP196604 FSL196598:FSL196604 GCH196598:GCH196604 GMD196598:GMD196604 GVZ196598:GVZ196604 HFV196598:HFV196604 HPR196598:HPR196604 HZN196598:HZN196604 IJJ196598:IJJ196604 ITF196598:ITF196604 JDB196598:JDB196604 JMX196598:JMX196604 JWT196598:JWT196604 KGP196598:KGP196604 KQL196598:KQL196604 LAH196598:LAH196604 LKD196598:LKD196604 LTZ196598:LTZ196604 MDV196598:MDV196604 MNR196598:MNR196604 MXN196598:MXN196604 NHJ196598:NHJ196604 NRF196598:NRF196604 OBB196598:OBB196604 OKX196598:OKX196604 OUT196598:OUT196604 PEP196598:PEP196604 POL196598:POL196604 PYH196598:PYH196604 QID196598:QID196604 QRZ196598:QRZ196604 RBV196598:RBV196604 RLR196598:RLR196604 RVN196598:RVN196604 SFJ196598:SFJ196604 SPF196598:SPF196604 SZB196598:SZB196604 TIX196598:TIX196604 TST196598:TST196604 UCP196598:UCP196604 UML196598:UML196604 UWH196598:UWH196604 VGD196598:VGD196604 VPZ196598:VPZ196604 VZV196598:VZV196604 WJR196598:WJR196604 WTN196598:WTN196604 C262134:C262140 HB262134:HB262140 QX262134:QX262140 AAT262134:AAT262140 AKP262134:AKP262140 AUL262134:AUL262140 BEH262134:BEH262140 BOD262134:BOD262140 BXZ262134:BXZ262140 CHV262134:CHV262140 CRR262134:CRR262140 DBN262134:DBN262140 DLJ262134:DLJ262140 DVF262134:DVF262140 EFB262134:EFB262140 EOX262134:EOX262140 EYT262134:EYT262140 FIP262134:FIP262140 FSL262134:FSL262140 GCH262134:GCH262140 GMD262134:GMD262140 GVZ262134:GVZ262140 HFV262134:HFV262140 HPR262134:HPR262140 HZN262134:HZN262140 IJJ262134:IJJ262140 ITF262134:ITF262140 JDB262134:JDB262140 JMX262134:JMX262140 JWT262134:JWT262140 KGP262134:KGP262140 KQL262134:KQL262140 LAH262134:LAH262140 LKD262134:LKD262140 LTZ262134:LTZ262140 MDV262134:MDV262140 MNR262134:MNR262140 MXN262134:MXN262140 NHJ262134:NHJ262140 NRF262134:NRF262140 OBB262134:OBB262140 OKX262134:OKX262140 OUT262134:OUT262140 PEP262134:PEP262140 POL262134:POL262140 PYH262134:PYH262140 QID262134:QID262140 QRZ262134:QRZ262140 RBV262134:RBV262140 RLR262134:RLR262140 RVN262134:RVN262140 SFJ262134:SFJ262140 SPF262134:SPF262140 SZB262134:SZB262140 TIX262134:TIX262140 TST262134:TST262140 UCP262134:UCP262140 UML262134:UML262140 UWH262134:UWH262140 VGD262134:VGD262140 VPZ262134:VPZ262140 VZV262134:VZV262140 WJR262134:WJR262140 WTN262134:WTN262140 C327670:C327676 HB327670:HB327676 QX327670:QX327676 AAT327670:AAT327676 AKP327670:AKP327676 AUL327670:AUL327676 BEH327670:BEH327676 BOD327670:BOD327676 BXZ327670:BXZ327676 CHV327670:CHV327676 CRR327670:CRR327676 DBN327670:DBN327676 DLJ327670:DLJ327676 DVF327670:DVF327676 EFB327670:EFB327676 EOX327670:EOX327676 EYT327670:EYT327676 FIP327670:FIP327676 FSL327670:FSL327676 GCH327670:GCH327676 GMD327670:GMD327676 GVZ327670:GVZ327676 HFV327670:HFV327676 HPR327670:HPR327676 HZN327670:HZN327676 IJJ327670:IJJ327676 ITF327670:ITF327676 JDB327670:JDB327676 JMX327670:JMX327676 JWT327670:JWT327676 KGP327670:KGP327676 KQL327670:KQL327676 LAH327670:LAH327676 LKD327670:LKD327676 LTZ327670:LTZ327676 MDV327670:MDV327676 MNR327670:MNR327676 MXN327670:MXN327676 NHJ327670:NHJ327676 NRF327670:NRF327676 OBB327670:OBB327676 OKX327670:OKX327676 OUT327670:OUT327676 PEP327670:PEP327676 POL327670:POL327676 PYH327670:PYH327676 QID327670:QID327676 QRZ327670:QRZ327676 RBV327670:RBV327676 RLR327670:RLR327676 RVN327670:RVN327676 SFJ327670:SFJ327676 SPF327670:SPF327676 SZB327670:SZB327676 TIX327670:TIX327676 TST327670:TST327676 UCP327670:UCP327676 UML327670:UML327676 UWH327670:UWH327676 VGD327670:VGD327676 VPZ327670:VPZ327676 VZV327670:VZV327676 WJR327670:WJR327676 WTN327670:WTN327676 C393206:C393212 HB393206:HB393212 QX393206:QX393212 AAT393206:AAT393212 AKP393206:AKP393212 AUL393206:AUL393212 BEH393206:BEH393212 BOD393206:BOD393212 BXZ393206:BXZ393212 CHV393206:CHV393212 CRR393206:CRR393212 DBN393206:DBN393212 DLJ393206:DLJ393212 DVF393206:DVF393212 EFB393206:EFB393212 EOX393206:EOX393212 EYT393206:EYT393212 FIP393206:FIP393212 FSL393206:FSL393212 GCH393206:GCH393212 GMD393206:GMD393212 GVZ393206:GVZ393212 HFV393206:HFV393212 HPR393206:HPR393212 HZN393206:HZN393212 IJJ393206:IJJ393212 ITF393206:ITF393212 JDB393206:JDB393212 JMX393206:JMX393212 JWT393206:JWT393212 KGP393206:KGP393212 KQL393206:KQL393212 LAH393206:LAH393212 LKD393206:LKD393212 LTZ393206:LTZ393212 MDV393206:MDV393212 MNR393206:MNR393212 MXN393206:MXN393212 NHJ393206:NHJ393212 NRF393206:NRF393212 OBB393206:OBB393212 OKX393206:OKX393212 OUT393206:OUT393212 PEP393206:PEP393212 POL393206:POL393212 PYH393206:PYH393212 QID393206:QID393212 QRZ393206:QRZ393212 RBV393206:RBV393212 RLR393206:RLR393212 RVN393206:RVN393212 SFJ393206:SFJ393212 SPF393206:SPF393212 SZB393206:SZB393212 TIX393206:TIX393212 TST393206:TST393212 UCP393206:UCP393212 UML393206:UML393212 UWH393206:UWH393212 VGD393206:VGD393212 VPZ393206:VPZ393212 VZV393206:VZV393212 WJR393206:WJR393212 WTN393206:WTN393212 C458742:C458748 HB458742:HB458748 QX458742:QX458748 AAT458742:AAT458748 AKP458742:AKP458748 AUL458742:AUL458748 BEH458742:BEH458748 BOD458742:BOD458748 BXZ458742:BXZ458748 CHV458742:CHV458748 CRR458742:CRR458748 DBN458742:DBN458748 DLJ458742:DLJ458748 DVF458742:DVF458748 EFB458742:EFB458748 EOX458742:EOX458748 EYT458742:EYT458748 FIP458742:FIP458748 FSL458742:FSL458748 GCH458742:GCH458748 GMD458742:GMD458748 GVZ458742:GVZ458748 HFV458742:HFV458748 HPR458742:HPR458748 HZN458742:HZN458748 IJJ458742:IJJ458748 ITF458742:ITF458748 JDB458742:JDB458748 JMX458742:JMX458748 JWT458742:JWT458748 KGP458742:KGP458748 KQL458742:KQL458748 LAH458742:LAH458748 LKD458742:LKD458748 LTZ458742:LTZ458748 MDV458742:MDV458748 MNR458742:MNR458748 MXN458742:MXN458748 NHJ458742:NHJ458748 NRF458742:NRF458748 OBB458742:OBB458748 OKX458742:OKX458748 OUT458742:OUT458748 PEP458742:PEP458748 POL458742:POL458748 PYH458742:PYH458748 QID458742:QID458748 QRZ458742:QRZ458748 RBV458742:RBV458748 RLR458742:RLR458748 RVN458742:RVN458748 SFJ458742:SFJ458748 SPF458742:SPF458748 SZB458742:SZB458748 TIX458742:TIX458748 TST458742:TST458748 UCP458742:UCP458748 UML458742:UML458748 UWH458742:UWH458748 VGD458742:VGD458748 VPZ458742:VPZ458748 VZV458742:VZV458748 WJR458742:WJR458748 WTN458742:WTN458748 C524278:C524284 HB524278:HB524284 QX524278:QX524284 AAT524278:AAT524284 AKP524278:AKP524284 AUL524278:AUL524284 BEH524278:BEH524284 BOD524278:BOD524284 BXZ524278:BXZ524284 CHV524278:CHV524284 CRR524278:CRR524284 DBN524278:DBN524284 DLJ524278:DLJ524284 DVF524278:DVF524284 EFB524278:EFB524284 EOX524278:EOX524284 EYT524278:EYT524284 FIP524278:FIP524284 FSL524278:FSL524284 GCH524278:GCH524284 GMD524278:GMD524284 GVZ524278:GVZ524284 HFV524278:HFV524284 HPR524278:HPR524284 HZN524278:HZN524284 IJJ524278:IJJ524284 ITF524278:ITF524284 JDB524278:JDB524284 JMX524278:JMX524284 JWT524278:JWT524284 KGP524278:KGP524284 KQL524278:KQL524284 LAH524278:LAH524284 LKD524278:LKD524284 LTZ524278:LTZ524284 MDV524278:MDV524284 MNR524278:MNR524284 MXN524278:MXN524284 NHJ524278:NHJ524284 NRF524278:NRF524284 OBB524278:OBB524284 OKX524278:OKX524284 OUT524278:OUT524284 PEP524278:PEP524284 POL524278:POL524284 PYH524278:PYH524284 QID524278:QID524284 QRZ524278:QRZ524284 RBV524278:RBV524284 RLR524278:RLR524284 RVN524278:RVN524284 SFJ524278:SFJ524284 SPF524278:SPF524284 SZB524278:SZB524284 TIX524278:TIX524284 TST524278:TST524284 UCP524278:UCP524284 UML524278:UML524284 UWH524278:UWH524284 VGD524278:VGD524284 VPZ524278:VPZ524284 VZV524278:VZV524284 WJR524278:WJR524284 WTN524278:WTN524284 C589814:C589820 HB589814:HB589820 QX589814:QX589820 AAT589814:AAT589820 AKP589814:AKP589820 AUL589814:AUL589820 BEH589814:BEH589820 BOD589814:BOD589820 BXZ589814:BXZ589820 CHV589814:CHV589820 CRR589814:CRR589820 DBN589814:DBN589820 DLJ589814:DLJ589820 DVF589814:DVF589820 EFB589814:EFB589820 EOX589814:EOX589820 EYT589814:EYT589820 FIP589814:FIP589820 FSL589814:FSL589820 GCH589814:GCH589820 GMD589814:GMD589820 GVZ589814:GVZ589820 HFV589814:HFV589820 HPR589814:HPR589820 HZN589814:HZN589820 IJJ589814:IJJ589820 ITF589814:ITF589820 JDB589814:JDB589820 JMX589814:JMX589820 JWT589814:JWT589820 KGP589814:KGP589820 KQL589814:KQL589820 LAH589814:LAH589820 LKD589814:LKD589820 LTZ589814:LTZ589820 MDV589814:MDV589820 MNR589814:MNR589820 MXN589814:MXN589820 NHJ589814:NHJ589820 NRF589814:NRF589820 OBB589814:OBB589820 OKX589814:OKX589820 OUT589814:OUT589820 PEP589814:PEP589820 POL589814:POL589820 PYH589814:PYH589820 QID589814:QID589820 QRZ589814:QRZ589820 RBV589814:RBV589820 RLR589814:RLR589820 RVN589814:RVN589820 SFJ589814:SFJ589820 SPF589814:SPF589820 SZB589814:SZB589820 TIX589814:TIX589820 TST589814:TST589820 UCP589814:UCP589820 UML589814:UML589820 UWH589814:UWH589820 VGD589814:VGD589820 VPZ589814:VPZ589820 VZV589814:VZV589820 WJR589814:WJR589820 WTN589814:WTN589820 C655350:C655356 HB655350:HB655356 QX655350:QX655356 AAT655350:AAT655356 AKP655350:AKP655356 AUL655350:AUL655356 BEH655350:BEH655356 BOD655350:BOD655356 BXZ655350:BXZ655356 CHV655350:CHV655356 CRR655350:CRR655356 DBN655350:DBN655356 DLJ655350:DLJ655356 DVF655350:DVF655356 EFB655350:EFB655356 EOX655350:EOX655356 EYT655350:EYT655356 FIP655350:FIP655356 FSL655350:FSL655356 GCH655350:GCH655356 GMD655350:GMD655356 GVZ655350:GVZ655356 HFV655350:HFV655356 HPR655350:HPR655356 HZN655350:HZN655356 IJJ655350:IJJ655356 ITF655350:ITF655356 JDB655350:JDB655356 JMX655350:JMX655356 JWT655350:JWT655356 KGP655350:KGP655356 KQL655350:KQL655356 LAH655350:LAH655356 LKD655350:LKD655356 LTZ655350:LTZ655356 MDV655350:MDV655356 MNR655350:MNR655356 MXN655350:MXN655356 NHJ655350:NHJ655356 NRF655350:NRF655356 OBB655350:OBB655356 OKX655350:OKX655356 OUT655350:OUT655356 PEP655350:PEP655356 POL655350:POL655356 PYH655350:PYH655356 QID655350:QID655356 QRZ655350:QRZ655356 RBV655350:RBV655356 RLR655350:RLR655356 RVN655350:RVN655356 SFJ655350:SFJ655356 SPF655350:SPF655356 SZB655350:SZB655356 TIX655350:TIX655356 TST655350:TST655356 UCP655350:UCP655356 UML655350:UML655356 UWH655350:UWH655356 VGD655350:VGD655356 VPZ655350:VPZ655356 VZV655350:VZV655356 WJR655350:WJR655356 WTN655350:WTN655356 C720886:C720892 HB720886:HB720892 QX720886:QX720892 AAT720886:AAT720892 AKP720886:AKP720892 AUL720886:AUL720892 BEH720886:BEH720892 BOD720886:BOD720892 BXZ720886:BXZ720892 CHV720886:CHV720892 CRR720886:CRR720892 DBN720886:DBN720892 DLJ720886:DLJ720892 DVF720886:DVF720892 EFB720886:EFB720892 EOX720886:EOX720892 EYT720886:EYT720892 FIP720886:FIP720892 FSL720886:FSL720892 GCH720886:GCH720892 GMD720886:GMD720892 GVZ720886:GVZ720892 HFV720886:HFV720892 HPR720886:HPR720892 HZN720886:HZN720892 IJJ720886:IJJ720892 ITF720886:ITF720892 JDB720886:JDB720892 JMX720886:JMX720892 JWT720886:JWT720892 KGP720886:KGP720892 KQL720886:KQL720892 LAH720886:LAH720892 LKD720886:LKD720892 LTZ720886:LTZ720892 MDV720886:MDV720892 MNR720886:MNR720892 MXN720886:MXN720892 NHJ720886:NHJ720892 NRF720886:NRF720892 OBB720886:OBB720892 OKX720886:OKX720892 OUT720886:OUT720892 PEP720886:PEP720892 POL720886:POL720892 PYH720886:PYH720892 QID720886:QID720892 QRZ720886:QRZ720892 RBV720886:RBV720892 RLR720886:RLR720892 RVN720886:RVN720892 SFJ720886:SFJ720892 SPF720886:SPF720892 SZB720886:SZB720892 TIX720886:TIX720892 TST720886:TST720892 UCP720886:UCP720892 UML720886:UML720892 UWH720886:UWH720892 VGD720886:VGD720892 VPZ720886:VPZ720892 VZV720886:VZV720892 WJR720886:WJR720892 WTN720886:WTN720892 C786422:C786428 HB786422:HB786428 QX786422:QX786428 AAT786422:AAT786428 AKP786422:AKP786428 AUL786422:AUL786428 BEH786422:BEH786428 BOD786422:BOD786428 BXZ786422:BXZ786428 CHV786422:CHV786428 CRR786422:CRR786428 DBN786422:DBN786428 DLJ786422:DLJ786428 DVF786422:DVF786428 EFB786422:EFB786428 EOX786422:EOX786428 EYT786422:EYT786428 FIP786422:FIP786428 FSL786422:FSL786428 GCH786422:GCH786428 GMD786422:GMD786428 GVZ786422:GVZ786428 HFV786422:HFV786428 HPR786422:HPR786428 HZN786422:HZN786428 IJJ786422:IJJ786428 ITF786422:ITF786428 JDB786422:JDB786428 JMX786422:JMX786428 JWT786422:JWT786428 KGP786422:KGP786428 KQL786422:KQL786428 LAH786422:LAH786428 LKD786422:LKD786428 LTZ786422:LTZ786428 MDV786422:MDV786428 MNR786422:MNR786428 MXN786422:MXN786428 NHJ786422:NHJ786428 NRF786422:NRF786428 OBB786422:OBB786428 OKX786422:OKX786428 OUT786422:OUT786428 PEP786422:PEP786428 POL786422:POL786428 PYH786422:PYH786428 QID786422:QID786428 QRZ786422:QRZ786428 RBV786422:RBV786428 RLR786422:RLR786428 RVN786422:RVN786428 SFJ786422:SFJ786428 SPF786422:SPF786428 SZB786422:SZB786428 TIX786422:TIX786428 TST786422:TST786428 UCP786422:UCP786428 UML786422:UML786428 UWH786422:UWH786428 VGD786422:VGD786428 VPZ786422:VPZ786428 VZV786422:VZV786428 WJR786422:WJR786428 WTN786422:WTN786428 C851958:C851964 HB851958:HB851964 QX851958:QX851964 AAT851958:AAT851964 AKP851958:AKP851964 AUL851958:AUL851964 BEH851958:BEH851964 BOD851958:BOD851964 BXZ851958:BXZ851964 CHV851958:CHV851964 CRR851958:CRR851964 DBN851958:DBN851964 DLJ851958:DLJ851964 DVF851958:DVF851964 EFB851958:EFB851964 EOX851958:EOX851964 EYT851958:EYT851964 FIP851958:FIP851964 FSL851958:FSL851964 GCH851958:GCH851964 GMD851958:GMD851964 GVZ851958:GVZ851964 HFV851958:HFV851964 HPR851958:HPR851964 HZN851958:HZN851964 IJJ851958:IJJ851964 ITF851958:ITF851964 JDB851958:JDB851964 JMX851958:JMX851964 JWT851958:JWT851964 KGP851958:KGP851964 KQL851958:KQL851964 LAH851958:LAH851964 LKD851958:LKD851964 LTZ851958:LTZ851964 MDV851958:MDV851964 MNR851958:MNR851964 MXN851958:MXN851964 NHJ851958:NHJ851964 NRF851958:NRF851964 OBB851958:OBB851964 OKX851958:OKX851964 OUT851958:OUT851964 PEP851958:PEP851964 POL851958:POL851964 PYH851958:PYH851964 QID851958:QID851964 QRZ851958:QRZ851964 RBV851958:RBV851964 RLR851958:RLR851964 RVN851958:RVN851964 SFJ851958:SFJ851964 SPF851958:SPF851964 SZB851958:SZB851964 TIX851958:TIX851964 TST851958:TST851964 UCP851958:UCP851964 UML851958:UML851964 UWH851958:UWH851964 VGD851958:VGD851964 VPZ851958:VPZ851964 VZV851958:VZV851964 WJR851958:WJR851964 WTN851958:WTN851964 C917494:C917500 HB917494:HB917500 QX917494:QX917500 AAT917494:AAT917500 AKP917494:AKP917500 AUL917494:AUL917500 BEH917494:BEH917500 BOD917494:BOD917500 BXZ917494:BXZ917500 CHV917494:CHV917500 CRR917494:CRR917500 DBN917494:DBN917500 DLJ917494:DLJ917500 DVF917494:DVF917500 EFB917494:EFB917500 EOX917494:EOX917500 EYT917494:EYT917500 FIP917494:FIP917500 FSL917494:FSL917500 GCH917494:GCH917500 GMD917494:GMD917500 GVZ917494:GVZ917500 HFV917494:HFV917500 HPR917494:HPR917500 HZN917494:HZN917500 IJJ917494:IJJ917500 ITF917494:ITF917500 JDB917494:JDB917500 JMX917494:JMX917500 JWT917494:JWT917500 KGP917494:KGP917500 KQL917494:KQL917500 LAH917494:LAH917500 LKD917494:LKD917500 LTZ917494:LTZ917500 MDV917494:MDV917500 MNR917494:MNR917500 MXN917494:MXN917500 NHJ917494:NHJ917500 NRF917494:NRF917500 OBB917494:OBB917500 OKX917494:OKX917500 OUT917494:OUT917500 PEP917494:PEP917500 POL917494:POL917500 PYH917494:PYH917500 QID917494:QID917500 QRZ917494:QRZ917500 RBV917494:RBV917500 RLR917494:RLR917500 RVN917494:RVN917500 SFJ917494:SFJ917500 SPF917494:SPF917500 SZB917494:SZB917500 TIX917494:TIX917500 TST917494:TST917500 UCP917494:UCP917500 UML917494:UML917500 UWH917494:UWH917500 VGD917494:VGD917500 VPZ917494:VPZ917500 VZV917494:VZV917500 WJR917494:WJR917500 WTN917494:WTN917500 C983030:C983036 HB983030:HB983036 QX983030:QX983036 AAT983030:AAT983036 AKP983030:AKP983036 AUL983030:AUL983036 BEH983030:BEH983036 BOD983030:BOD983036 BXZ983030:BXZ983036 CHV983030:CHV983036 CRR983030:CRR983036 DBN983030:DBN983036 DLJ983030:DLJ983036 DVF983030:DVF983036 EFB983030:EFB983036 EOX983030:EOX983036 EYT983030:EYT983036 FIP983030:FIP983036 FSL983030:FSL983036 GCH983030:GCH983036 GMD983030:GMD983036 GVZ983030:GVZ983036 HFV983030:HFV983036 HPR983030:HPR983036 HZN983030:HZN983036 IJJ983030:IJJ983036 ITF983030:ITF983036 JDB983030:JDB983036 JMX983030:JMX983036 JWT983030:JWT983036 KGP983030:KGP983036 KQL983030:KQL983036 LAH983030:LAH983036 LKD983030:LKD983036 LTZ983030:LTZ983036 MDV983030:MDV983036 MNR983030:MNR983036 MXN983030:MXN983036 NHJ983030:NHJ983036 NRF983030:NRF983036 OBB983030:OBB983036 OKX983030:OKX983036 OUT983030:OUT983036 PEP983030:PEP983036 POL983030:POL983036 PYH983030:PYH983036 QID983030:QID983036 QRZ983030:QRZ983036 RBV983030:RBV983036 RLR983030:RLR983036 RVN983030:RVN983036 SFJ983030:SFJ983036 SPF983030:SPF983036 SZB983030:SZB983036 TIX983030:TIX983036 TST983030:TST983036 UCP983030:UCP983036 UML983030:UML983036 UWH983030:UWH983036 VGD983030:VGD983036 VPZ983030:VPZ983036 VZV983030:VZV983036 WJR983030:WJR983036 WTN983030:WTN983036 C65549:C65556 HB65549:HB65556 QX65549:QX65556 AAT65549:AAT65556 AKP65549:AKP65556 AUL65549:AUL65556 BEH65549:BEH65556 BOD65549:BOD65556 BXZ65549:BXZ65556 CHV65549:CHV65556 CRR65549:CRR65556 DBN65549:DBN65556 DLJ65549:DLJ65556 DVF65549:DVF65556 EFB65549:EFB65556 EOX65549:EOX65556 EYT65549:EYT65556 FIP65549:FIP65556 FSL65549:FSL65556 GCH65549:GCH65556 GMD65549:GMD65556 GVZ65549:GVZ65556 HFV65549:HFV65556 HPR65549:HPR65556 HZN65549:HZN65556 IJJ65549:IJJ65556 ITF65549:ITF65556 JDB65549:JDB65556 JMX65549:JMX65556 JWT65549:JWT65556 KGP65549:KGP65556 KQL65549:KQL65556 LAH65549:LAH65556 LKD65549:LKD65556 LTZ65549:LTZ65556 MDV65549:MDV65556 MNR65549:MNR65556 MXN65549:MXN65556 NHJ65549:NHJ65556 NRF65549:NRF65556 OBB65549:OBB65556 OKX65549:OKX65556 OUT65549:OUT65556 PEP65549:PEP65556 POL65549:POL65556 PYH65549:PYH65556 QID65549:QID65556 QRZ65549:QRZ65556 RBV65549:RBV65556 RLR65549:RLR65556 RVN65549:RVN65556 SFJ65549:SFJ65556 SPF65549:SPF65556 SZB65549:SZB65556 TIX65549:TIX65556 TST65549:TST65556 UCP65549:UCP65556 UML65549:UML65556 UWH65549:UWH65556 VGD65549:VGD65556 VPZ65549:VPZ65556 VZV65549:VZV65556 WJR65549:WJR65556 WTN65549:WTN65556 C131085:C131092 HB131085:HB131092 QX131085:QX131092 AAT131085:AAT131092 AKP131085:AKP131092 AUL131085:AUL131092 BEH131085:BEH131092 BOD131085:BOD131092 BXZ131085:BXZ131092 CHV131085:CHV131092 CRR131085:CRR131092 DBN131085:DBN131092 DLJ131085:DLJ131092 DVF131085:DVF131092 EFB131085:EFB131092 EOX131085:EOX131092 EYT131085:EYT131092 FIP131085:FIP131092 FSL131085:FSL131092 GCH131085:GCH131092 GMD131085:GMD131092 GVZ131085:GVZ131092 HFV131085:HFV131092 HPR131085:HPR131092 HZN131085:HZN131092 IJJ131085:IJJ131092 ITF131085:ITF131092 JDB131085:JDB131092 JMX131085:JMX131092 JWT131085:JWT131092 KGP131085:KGP131092 KQL131085:KQL131092 LAH131085:LAH131092 LKD131085:LKD131092 LTZ131085:LTZ131092 MDV131085:MDV131092 MNR131085:MNR131092 MXN131085:MXN131092 NHJ131085:NHJ131092 NRF131085:NRF131092 OBB131085:OBB131092 OKX131085:OKX131092 OUT131085:OUT131092 PEP131085:PEP131092 POL131085:POL131092 PYH131085:PYH131092 QID131085:QID131092 QRZ131085:QRZ131092 RBV131085:RBV131092 RLR131085:RLR131092 RVN131085:RVN131092 SFJ131085:SFJ131092 SPF131085:SPF131092 SZB131085:SZB131092 TIX131085:TIX131092 TST131085:TST131092 UCP131085:UCP131092 UML131085:UML131092 UWH131085:UWH131092 VGD131085:VGD131092 VPZ131085:VPZ131092 VZV131085:VZV131092 WJR131085:WJR131092 WTN131085:WTN131092 C196621:C196628 HB196621:HB196628 QX196621:QX196628 AAT196621:AAT196628 AKP196621:AKP196628 AUL196621:AUL196628 BEH196621:BEH196628 BOD196621:BOD196628 BXZ196621:BXZ196628 CHV196621:CHV196628 CRR196621:CRR196628 DBN196621:DBN196628 DLJ196621:DLJ196628 DVF196621:DVF196628 EFB196621:EFB196628 EOX196621:EOX196628 EYT196621:EYT196628 FIP196621:FIP196628 FSL196621:FSL196628 GCH196621:GCH196628 GMD196621:GMD196628 GVZ196621:GVZ196628 HFV196621:HFV196628 HPR196621:HPR196628 HZN196621:HZN196628 IJJ196621:IJJ196628 ITF196621:ITF196628 JDB196621:JDB196628 JMX196621:JMX196628 JWT196621:JWT196628 KGP196621:KGP196628 KQL196621:KQL196628 LAH196621:LAH196628 LKD196621:LKD196628 LTZ196621:LTZ196628 MDV196621:MDV196628 MNR196621:MNR196628 MXN196621:MXN196628 NHJ196621:NHJ196628 NRF196621:NRF196628 OBB196621:OBB196628 OKX196621:OKX196628 OUT196621:OUT196628 PEP196621:PEP196628 POL196621:POL196628 PYH196621:PYH196628 QID196621:QID196628 QRZ196621:QRZ196628 RBV196621:RBV196628 RLR196621:RLR196628 RVN196621:RVN196628 SFJ196621:SFJ196628 SPF196621:SPF196628 SZB196621:SZB196628 TIX196621:TIX196628 TST196621:TST196628 UCP196621:UCP196628 UML196621:UML196628 UWH196621:UWH196628 VGD196621:VGD196628 VPZ196621:VPZ196628 VZV196621:VZV196628 WJR196621:WJR196628 WTN196621:WTN196628 C262157:C262164 HB262157:HB262164 QX262157:QX262164 AAT262157:AAT262164 AKP262157:AKP262164 AUL262157:AUL262164 BEH262157:BEH262164 BOD262157:BOD262164 BXZ262157:BXZ262164 CHV262157:CHV262164 CRR262157:CRR262164 DBN262157:DBN262164 DLJ262157:DLJ262164 DVF262157:DVF262164 EFB262157:EFB262164 EOX262157:EOX262164 EYT262157:EYT262164 FIP262157:FIP262164 FSL262157:FSL262164 GCH262157:GCH262164 GMD262157:GMD262164 GVZ262157:GVZ262164 HFV262157:HFV262164 HPR262157:HPR262164 HZN262157:HZN262164 IJJ262157:IJJ262164 ITF262157:ITF262164 JDB262157:JDB262164 JMX262157:JMX262164 JWT262157:JWT262164 KGP262157:KGP262164 KQL262157:KQL262164 LAH262157:LAH262164 LKD262157:LKD262164 LTZ262157:LTZ262164 MDV262157:MDV262164 MNR262157:MNR262164 MXN262157:MXN262164 NHJ262157:NHJ262164 NRF262157:NRF262164 OBB262157:OBB262164 OKX262157:OKX262164 OUT262157:OUT262164 PEP262157:PEP262164 POL262157:POL262164 PYH262157:PYH262164 QID262157:QID262164 QRZ262157:QRZ262164 RBV262157:RBV262164 RLR262157:RLR262164 RVN262157:RVN262164 SFJ262157:SFJ262164 SPF262157:SPF262164 SZB262157:SZB262164 TIX262157:TIX262164 TST262157:TST262164 UCP262157:UCP262164 UML262157:UML262164 UWH262157:UWH262164 VGD262157:VGD262164 VPZ262157:VPZ262164 VZV262157:VZV262164 WJR262157:WJR262164 WTN262157:WTN262164 C327693:C327700 HB327693:HB327700 QX327693:QX327700 AAT327693:AAT327700 AKP327693:AKP327700 AUL327693:AUL327700 BEH327693:BEH327700 BOD327693:BOD327700 BXZ327693:BXZ327700 CHV327693:CHV327700 CRR327693:CRR327700 DBN327693:DBN327700 DLJ327693:DLJ327700 DVF327693:DVF327700 EFB327693:EFB327700 EOX327693:EOX327700 EYT327693:EYT327700 FIP327693:FIP327700 FSL327693:FSL327700 GCH327693:GCH327700 GMD327693:GMD327700 GVZ327693:GVZ327700 HFV327693:HFV327700 HPR327693:HPR327700 HZN327693:HZN327700 IJJ327693:IJJ327700 ITF327693:ITF327700 JDB327693:JDB327700 JMX327693:JMX327700 JWT327693:JWT327700 KGP327693:KGP327700 KQL327693:KQL327700 LAH327693:LAH327700 LKD327693:LKD327700 LTZ327693:LTZ327700 MDV327693:MDV327700 MNR327693:MNR327700 MXN327693:MXN327700 NHJ327693:NHJ327700 NRF327693:NRF327700 OBB327693:OBB327700 OKX327693:OKX327700 OUT327693:OUT327700 PEP327693:PEP327700 POL327693:POL327700 PYH327693:PYH327700 QID327693:QID327700 QRZ327693:QRZ327700 RBV327693:RBV327700 RLR327693:RLR327700 RVN327693:RVN327700 SFJ327693:SFJ327700 SPF327693:SPF327700 SZB327693:SZB327700 TIX327693:TIX327700 TST327693:TST327700 UCP327693:UCP327700 UML327693:UML327700 UWH327693:UWH327700 VGD327693:VGD327700 VPZ327693:VPZ327700 VZV327693:VZV327700 WJR327693:WJR327700 WTN327693:WTN327700 C393229:C393236 HB393229:HB393236 QX393229:QX393236 AAT393229:AAT393236 AKP393229:AKP393236 AUL393229:AUL393236 BEH393229:BEH393236 BOD393229:BOD393236 BXZ393229:BXZ393236 CHV393229:CHV393236 CRR393229:CRR393236 DBN393229:DBN393236 DLJ393229:DLJ393236 DVF393229:DVF393236 EFB393229:EFB393236 EOX393229:EOX393236 EYT393229:EYT393236 FIP393229:FIP393236 FSL393229:FSL393236 GCH393229:GCH393236 GMD393229:GMD393236 GVZ393229:GVZ393236 HFV393229:HFV393236 HPR393229:HPR393236 HZN393229:HZN393236 IJJ393229:IJJ393236 ITF393229:ITF393236 JDB393229:JDB393236 JMX393229:JMX393236 JWT393229:JWT393236 KGP393229:KGP393236 KQL393229:KQL393236 LAH393229:LAH393236 LKD393229:LKD393236 LTZ393229:LTZ393236 MDV393229:MDV393236 MNR393229:MNR393236 MXN393229:MXN393236 NHJ393229:NHJ393236 NRF393229:NRF393236 OBB393229:OBB393236 OKX393229:OKX393236 OUT393229:OUT393236 PEP393229:PEP393236 POL393229:POL393236 PYH393229:PYH393236 QID393229:QID393236 QRZ393229:QRZ393236 RBV393229:RBV393236 RLR393229:RLR393236 RVN393229:RVN393236 SFJ393229:SFJ393236 SPF393229:SPF393236 SZB393229:SZB393236 TIX393229:TIX393236 TST393229:TST393236 UCP393229:UCP393236 UML393229:UML393236 UWH393229:UWH393236 VGD393229:VGD393236 VPZ393229:VPZ393236 VZV393229:VZV393236 WJR393229:WJR393236 WTN393229:WTN393236 C458765:C458772 HB458765:HB458772 QX458765:QX458772 AAT458765:AAT458772 AKP458765:AKP458772 AUL458765:AUL458772 BEH458765:BEH458772 BOD458765:BOD458772 BXZ458765:BXZ458772 CHV458765:CHV458772 CRR458765:CRR458772 DBN458765:DBN458772 DLJ458765:DLJ458772 DVF458765:DVF458772 EFB458765:EFB458772 EOX458765:EOX458772 EYT458765:EYT458772 FIP458765:FIP458772 FSL458765:FSL458772 GCH458765:GCH458772 GMD458765:GMD458772 GVZ458765:GVZ458772 HFV458765:HFV458772 HPR458765:HPR458772 HZN458765:HZN458772 IJJ458765:IJJ458772 ITF458765:ITF458772 JDB458765:JDB458772 JMX458765:JMX458772 JWT458765:JWT458772 KGP458765:KGP458772 KQL458765:KQL458772 LAH458765:LAH458772 LKD458765:LKD458772 LTZ458765:LTZ458772 MDV458765:MDV458772 MNR458765:MNR458772 MXN458765:MXN458772 NHJ458765:NHJ458772 NRF458765:NRF458772 OBB458765:OBB458772 OKX458765:OKX458772 OUT458765:OUT458772 PEP458765:PEP458772 POL458765:POL458772 PYH458765:PYH458772 QID458765:QID458772 QRZ458765:QRZ458772 RBV458765:RBV458772 RLR458765:RLR458772 RVN458765:RVN458772 SFJ458765:SFJ458772 SPF458765:SPF458772 SZB458765:SZB458772 TIX458765:TIX458772 TST458765:TST458772 UCP458765:UCP458772 UML458765:UML458772 UWH458765:UWH458772 VGD458765:VGD458772 VPZ458765:VPZ458772 VZV458765:VZV458772 WJR458765:WJR458772 WTN458765:WTN458772 C524301:C524308 HB524301:HB524308 QX524301:QX524308 AAT524301:AAT524308 AKP524301:AKP524308 AUL524301:AUL524308 BEH524301:BEH524308 BOD524301:BOD524308 BXZ524301:BXZ524308 CHV524301:CHV524308 CRR524301:CRR524308 DBN524301:DBN524308 DLJ524301:DLJ524308 DVF524301:DVF524308 EFB524301:EFB524308 EOX524301:EOX524308 EYT524301:EYT524308 FIP524301:FIP524308 FSL524301:FSL524308 GCH524301:GCH524308 GMD524301:GMD524308 GVZ524301:GVZ524308 HFV524301:HFV524308 HPR524301:HPR524308 HZN524301:HZN524308 IJJ524301:IJJ524308 ITF524301:ITF524308 JDB524301:JDB524308 JMX524301:JMX524308 JWT524301:JWT524308 KGP524301:KGP524308 KQL524301:KQL524308 LAH524301:LAH524308 LKD524301:LKD524308 LTZ524301:LTZ524308 MDV524301:MDV524308 MNR524301:MNR524308 MXN524301:MXN524308 NHJ524301:NHJ524308 NRF524301:NRF524308 OBB524301:OBB524308 OKX524301:OKX524308 OUT524301:OUT524308 PEP524301:PEP524308 POL524301:POL524308 PYH524301:PYH524308 QID524301:QID524308 QRZ524301:QRZ524308 RBV524301:RBV524308 RLR524301:RLR524308 RVN524301:RVN524308 SFJ524301:SFJ524308 SPF524301:SPF524308 SZB524301:SZB524308 TIX524301:TIX524308 TST524301:TST524308 UCP524301:UCP524308 UML524301:UML524308 UWH524301:UWH524308 VGD524301:VGD524308 VPZ524301:VPZ524308 VZV524301:VZV524308 WJR524301:WJR524308 WTN524301:WTN524308 C589837:C589844 HB589837:HB589844 QX589837:QX589844 AAT589837:AAT589844 AKP589837:AKP589844 AUL589837:AUL589844 BEH589837:BEH589844 BOD589837:BOD589844 BXZ589837:BXZ589844 CHV589837:CHV589844 CRR589837:CRR589844 DBN589837:DBN589844 DLJ589837:DLJ589844 DVF589837:DVF589844 EFB589837:EFB589844 EOX589837:EOX589844 EYT589837:EYT589844 FIP589837:FIP589844 FSL589837:FSL589844 GCH589837:GCH589844 GMD589837:GMD589844 GVZ589837:GVZ589844 HFV589837:HFV589844 HPR589837:HPR589844 HZN589837:HZN589844 IJJ589837:IJJ589844 ITF589837:ITF589844 JDB589837:JDB589844 JMX589837:JMX589844 JWT589837:JWT589844 KGP589837:KGP589844 KQL589837:KQL589844 LAH589837:LAH589844 LKD589837:LKD589844 LTZ589837:LTZ589844 MDV589837:MDV589844 MNR589837:MNR589844 MXN589837:MXN589844 NHJ589837:NHJ589844 NRF589837:NRF589844 OBB589837:OBB589844 OKX589837:OKX589844 OUT589837:OUT589844 PEP589837:PEP589844 POL589837:POL589844 PYH589837:PYH589844 QID589837:QID589844 QRZ589837:QRZ589844 RBV589837:RBV589844 RLR589837:RLR589844 RVN589837:RVN589844 SFJ589837:SFJ589844 SPF589837:SPF589844 SZB589837:SZB589844 TIX589837:TIX589844 TST589837:TST589844 UCP589837:UCP589844 UML589837:UML589844 UWH589837:UWH589844 VGD589837:VGD589844 VPZ589837:VPZ589844 VZV589837:VZV589844 WJR589837:WJR589844 WTN589837:WTN589844 C655373:C655380 HB655373:HB655380 QX655373:QX655380 AAT655373:AAT655380 AKP655373:AKP655380 AUL655373:AUL655380 BEH655373:BEH655380 BOD655373:BOD655380 BXZ655373:BXZ655380 CHV655373:CHV655380 CRR655373:CRR655380 DBN655373:DBN655380 DLJ655373:DLJ655380 DVF655373:DVF655380 EFB655373:EFB655380 EOX655373:EOX655380 EYT655373:EYT655380 FIP655373:FIP655380 FSL655373:FSL655380 GCH655373:GCH655380 GMD655373:GMD655380 GVZ655373:GVZ655380 HFV655373:HFV655380 HPR655373:HPR655380 HZN655373:HZN655380 IJJ655373:IJJ655380 ITF655373:ITF655380 JDB655373:JDB655380 JMX655373:JMX655380 JWT655373:JWT655380 KGP655373:KGP655380 KQL655373:KQL655380 LAH655373:LAH655380 LKD655373:LKD655380 LTZ655373:LTZ655380 MDV655373:MDV655380 MNR655373:MNR655380 MXN655373:MXN655380 NHJ655373:NHJ655380 NRF655373:NRF655380 OBB655373:OBB655380 OKX655373:OKX655380 OUT655373:OUT655380 PEP655373:PEP655380 POL655373:POL655380 PYH655373:PYH655380 QID655373:QID655380 QRZ655373:QRZ655380 RBV655373:RBV655380 RLR655373:RLR655380 RVN655373:RVN655380 SFJ655373:SFJ655380 SPF655373:SPF655380 SZB655373:SZB655380 TIX655373:TIX655380 TST655373:TST655380 UCP655373:UCP655380 UML655373:UML655380 UWH655373:UWH655380 VGD655373:VGD655380 VPZ655373:VPZ655380 VZV655373:VZV655380 WJR655373:WJR655380 WTN655373:WTN655380 C720909:C720916 HB720909:HB720916 QX720909:QX720916 AAT720909:AAT720916 AKP720909:AKP720916 AUL720909:AUL720916 BEH720909:BEH720916 BOD720909:BOD720916 BXZ720909:BXZ720916 CHV720909:CHV720916 CRR720909:CRR720916 DBN720909:DBN720916 DLJ720909:DLJ720916 DVF720909:DVF720916 EFB720909:EFB720916 EOX720909:EOX720916 EYT720909:EYT720916 FIP720909:FIP720916 FSL720909:FSL720916 GCH720909:GCH720916 GMD720909:GMD720916 GVZ720909:GVZ720916 HFV720909:HFV720916 HPR720909:HPR720916 HZN720909:HZN720916 IJJ720909:IJJ720916 ITF720909:ITF720916 JDB720909:JDB720916 JMX720909:JMX720916 JWT720909:JWT720916 KGP720909:KGP720916 KQL720909:KQL720916 LAH720909:LAH720916 LKD720909:LKD720916 LTZ720909:LTZ720916 MDV720909:MDV720916 MNR720909:MNR720916 MXN720909:MXN720916 NHJ720909:NHJ720916 NRF720909:NRF720916 OBB720909:OBB720916 OKX720909:OKX720916 OUT720909:OUT720916 PEP720909:PEP720916 POL720909:POL720916 PYH720909:PYH720916 QID720909:QID720916 QRZ720909:QRZ720916 RBV720909:RBV720916 RLR720909:RLR720916 RVN720909:RVN720916 SFJ720909:SFJ720916 SPF720909:SPF720916 SZB720909:SZB720916 TIX720909:TIX720916 TST720909:TST720916 UCP720909:UCP720916 UML720909:UML720916 UWH720909:UWH720916 VGD720909:VGD720916 VPZ720909:VPZ720916 VZV720909:VZV720916 WJR720909:WJR720916 WTN720909:WTN720916 C786445:C786452 HB786445:HB786452 QX786445:QX786452 AAT786445:AAT786452 AKP786445:AKP786452 AUL786445:AUL786452 BEH786445:BEH786452 BOD786445:BOD786452 BXZ786445:BXZ786452 CHV786445:CHV786452 CRR786445:CRR786452 DBN786445:DBN786452 DLJ786445:DLJ786452 DVF786445:DVF786452 EFB786445:EFB786452 EOX786445:EOX786452 EYT786445:EYT786452 FIP786445:FIP786452 FSL786445:FSL786452 GCH786445:GCH786452 GMD786445:GMD786452 GVZ786445:GVZ786452 HFV786445:HFV786452 HPR786445:HPR786452 HZN786445:HZN786452 IJJ786445:IJJ786452 ITF786445:ITF786452 JDB786445:JDB786452 JMX786445:JMX786452 JWT786445:JWT786452 KGP786445:KGP786452 KQL786445:KQL786452 LAH786445:LAH786452 LKD786445:LKD786452 LTZ786445:LTZ786452 MDV786445:MDV786452 MNR786445:MNR786452 MXN786445:MXN786452 NHJ786445:NHJ786452 NRF786445:NRF786452 OBB786445:OBB786452 OKX786445:OKX786452 OUT786445:OUT786452 PEP786445:PEP786452 POL786445:POL786452 PYH786445:PYH786452 QID786445:QID786452 QRZ786445:QRZ786452 RBV786445:RBV786452 RLR786445:RLR786452 RVN786445:RVN786452 SFJ786445:SFJ786452 SPF786445:SPF786452 SZB786445:SZB786452 TIX786445:TIX786452 TST786445:TST786452 UCP786445:UCP786452 UML786445:UML786452 UWH786445:UWH786452 VGD786445:VGD786452 VPZ786445:VPZ786452 VZV786445:VZV786452 WJR786445:WJR786452 WTN786445:WTN786452 C851981:C851988 HB851981:HB851988 QX851981:QX851988 AAT851981:AAT851988 AKP851981:AKP851988 AUL851981:AUL851988 BEH851981:BEH851988 BOD851981:BOD851988 BXZ851981:BXZ851988 CHV851981:CHV851988 CRR851981:CRR851988 DBN851981:DBN851988 DLJ851981:DLJ851988 DVF851981:DVF851988 EFB851981:EFB851988 EOX851981:EOX851988 EYT851981:EYT851988 FIP851981:FIP851988 FSL851981:FSL851988 GCH851981:GCH851988 GMD851981:GMD851988 GVZ851981:GVZ851988 HFV851981:HFV851988 HPR851981:HPR851988 HZN851981:HZN851988 IJJ851981:IJJ851988 ITF851981:ITF851988 JDB851981:JDB851988 JMX851981:JMX851988 JWT851981:JWT851988 KGP851981:KGP851988 KQL851981:KQL851988 LAH851981:LAH851988 LKD851981:LKD851988 LTZ851981:LTZ851988 MDV851981:MDV851988 MNR851981:MNR851988 MXN851981:MXN851988 NHJ851981:NHJ851988 NRF851981:NRF851988 OBB851981:OBB851988 OKX851981:OKX851988 OUT851981:OUT851988 PEP851981:PEP851988 POL851981:POL851988 PYH851981:PYH851988 QID851981:QID851988 QRZ851981:QRZ851988 RBV851981:RBV851988 RLR851981:RLR851988 RVN851981:RVN851988 SFJ851981:SFJ851988 SPF851981:SPF851988 SZB851981:SZB851988 TIX851981:TIX851988 TST851981:TST851988 UCP851981:UCP851988 UML851981:UML851988 UWH851981:UWH851988 VGD851981:VGD851988 VPZ851981:VPZ851988 VZV851981:VZV851988 WJR851981:WJR851988 WTN851981:WTN851988 C917517:C917524 HB917517:HB917524 QX917517:QX917524 AAT917517:AAT917524 AKP917517:AKP917524 AUL917517:AUL917524 BEH917517:BEH917524 BOD917517:BOD917524 BXZ917517:BXZ917524 CHV917517:CHV917524 CRR917517:CRR917524 DBN917517:DBN917524 DLJ917517:DLJ917524 DVF917517:DVF917524 EFB917517:EFB917524 EOX917517:EOX917524 EYT917517:EYT917524 FIP917517:FIP917524 FSL917517:FSL917524 GCH917517:GCH917524 GMD917517:GMD917524 GVZ917517:GVZ917524 HFV917517:HFV917524 HPR917517:HPR917524 HZN917517:HZN917524 IJJ917517:IJJ917524 ITF917517:ITF917524 JDB917517:JDB917524 JMX917517:JMX917524 JWT917517:JWT917524 KGP917517:KGP917524 KQL917517:KQL917524 LAH917517:LAH917524 LKD917517:LKD917524 LTZ917517:LTZ917524 MDV917517:MDV917524 MNR917517:MNR917524 MXN917517:MXN917524 NHJ917517:NHJ917524 NRF917517:NRF917524 OBB917517:OBB917524 OKX917517:OKX917524 OUT917517:OUT917524 PEP917517:PEP917524 POL917517:POL917524 PYH917517:PYH917524 QID917517:QID917524 QRZ917517:QRZ917524 RBV917517:RBV917524 RLR917517:RLR917524 RVN917517:RVN917524 SFJ917517:SFJ917524 SPF917517:SPF917524 SZB917517:SZB917524 TIX917517:TIX917524 TST917517:TST917524 UCP917517:UCP917524 UML917517:UML917524 UWH917517:UWH917524 VGD917517:VGD917524 VPZ917517:VPZ917524 VZV917517:VZV917524 WJR917517:WJR917524 WTN917517:WTN917524 C983053:C983060 HB983053:HB983060 QX983053:QX983060 AAT983053:AAT983060 AKP983053:AKP983060 AUL983053:AUL983060 BEH983053:BEH983060 BOD983053:BOD983060 BXZ983053:BXZ983060 CHV983053:CHV983060 CRR983053:CRR983060 DBN983053:DBN983060 DLJ983053:DLJ983060 DVF983053:DVF983060 EFB983053:EFB983060 EOX983053:EOX983060 EYT983053:EYT983060 FIP983053:FIP983060 FSL983053:FSL983060 GCH983053:GCH983060 GMD983053:GMD983060 GVZ983053:GVZ983060 HFV983053:HFV983060 HPR983053:HPR983060 HZN983053:HZN983060 IJJ983053:IJJ983060 ITF983053:ITF983060 JDB983053:JDB983060 JMX983053:JMX983060 JWT983053:JWT983060 KGP983053:KGP983060 KQL983053:KQL983060 LAH983053:LAH983060 LKD983053:LKD983060 LTZ983053:LTZ983060 MDV983053:MDV983060 MNR983053:MNR983060 MXN983053:MXN983060 NHJ983053:NHJ983060 NRF983053:NRF983060 OBB983053:OBB983060 OKX983053:OKX983060 OUT983053:OUT983060 PEP983053:PEP983060 POL983053:POL983060 PYH983053:PYH983060 QID983053:QID983060 QRZ983053:QRZ983060 RBV983053:RBV983060 RLR983053:RLR983060 RVN983053:RVN983060 SFJ983053:SFJ983060 SPF983053:SPF983060 SZB983053:SZB983060 TIX983053:TIX983060 TST983053:TST983060 UCP983053:UCP983060 UML983053:UML983060 UWH983053:UWH983060 VGD983053:VGD983060 VPZ983053:VPZ983060 VZV983053:VZV983060 WJR983053:WJR983060 WTN983053:WTN983060 WTN983044:WTN983051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C16:C24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HB16:HB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M59"/>
  <sheetViews>
    <sheetView showGridLines="0" topLeftCell="A31" zoomScale="66" zoomScaleNormal="66" workbookViewId="0">
      <selection activeCell="AB5" sqref="AB5:AC5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18.25" style="9" customWidth="1"/>
    <col min="5" max="7" width="12" style="9" customWidth="1"/>
    <col min="8" max="8" width="11" style="9" customWidth="1"/>
    <col min="9" max="22" width="4.5" style="9" customWidth="1"/>
    <col min="23" max="32" width="4.5" style="13" customWidth="1"/>
    <col min="33" max="35" width="4.5" style="17" customWidth="1"/>
    <col min="36" max="36" width="24.25" style="17" customWidth="1"/>
    <col min="37" max="38" width="4.5" style="17" customWidth="1"/>
    <col min="39" max="39" width="19.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>
        <v>244564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224" t="s">
        <v>133</v>
      </c>
      <c r="C5" s="129" t="s">
        <v>74</v>
      </c>
      <c r="D5" s="225" t="s">
        <v>124</v>
      </c>
      <c r="E5" s="225">
        <v>2000</v>
      </c>
      <c r="F5" s="225">
        <v>5217</v>
      </c>
      <c r="G5" s="226">
        <v>4676</v>
      </c>
      <c r="H5" s="110">
        <f t="shared" ref="H5:H28" si="0">IF(F5=0,"",(F5-G5)/F5)</f>
        <v>0.10369944412497605</v>
      </c>
      <c r="I5" s="675" t="s">
        <v>33</v>
      </c>
      <c r="J5" s="676"/>
      <c r="K5" s="676"/>
      <c r="L5" s="676"/>
      <c r="M5" s="676"/>
      <c r="N5" s="676"/>
      <c r="O5" s="677"/>
      <c r="P5" s="678">
        <v>4.8680000000000003</v>
      </c>
      <c r="Q5" s="679"/>
      <c r="R5" s="680">
        <v>14.641</v>
      </c>
      <c r="S5" s="679"/>
      <c r="T5" s="681">
        <v>1.47</v>
      </c>
      <c r="U5" s="682"/>
      <c r="V5" s="683">
        <v>37.564999999999998</v>
      </c>
      <c r="W5" s="684"/>
      <c r="X5" s="685">
        <v>0.85499999999999998</v>
      </c>
      <c r="Y5" s="686"/>
      <c r="Z5" s="687">
        <f>120+200+200+28</f>
        <v>548</v>
      </c>
      <c r="AA5" s="688"/>
      <c r="AB5" s="674">
        <f>30+34</f>
        <v>64</v>
      </c>
      <c r="AC5" s="674"/>
      <c r="AD5" s="689">
        <f>SUM(AF5:AK5)*0.025</f>
        <v>3</v>
      </c>
      <c r="AE5" s="689"/>
      <c r="AF5" s="674">
        <f>14+14+14+14+8+14+14+14+14</f>
        <v>120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362" t="s">
        <v>137</v>
      </c>
      <c r="C6" s="129" t="s">
        <v>75</v>
      </c>
      <c r="D6" s="227" t="s">
        <v>124</v>
      </c>
      <c r="E6" s="228">
        <v>0</v>
      </c>
      <c r="F6" s="228">
        <v>99</v>
      </c>
      <c r="G6" s="229">
        <v>99</v>
      </c>
      <c r="H6" s="111">
        <f t="shared" si="0"/>
        <v>0</v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0.25587385019710907</v>
      </c>
      <c r="Q6" s="673"/>
      <c r="R6" s="673">
        <f>IF($F$15=0,0,R5*1000/$F$15)</f>
        <v>0.7695663600525624</v>
      </c>
      <c r="S6" s="673"/>
      <c r="T6" s="673">
        <f>IF($F$15=0,0,T5*1000/$F$15)</f>
        <v>7.7266754270696458E-2</v>
      </c>
      <c r="U6" s="673"/>
      <c r="V6" s="673">
        <f>IF($F$15=0,0,V5*1000/$F$15)</f>
        <v>1.9745072273324573</v>
      </c>
      <c r="W6" s="673"/>
      <c r="X6" s="673">
        <f>IF($F$15=0,0,X5*1000/$F$15)</f>
        <v>4.4940867279894874E-2</v>
      </c>
      <c r="Y6" s="673"/>
      <c r="Z6" s="673">
        <f>IF($F$15=0,0,Z5*1000/$F$15)</f>
        <v>28.804204993429696</v>
      </c>
      <c r="AA6" s="673"/>
      <c r="AB6" s="632">
        <f>IF($F$15=0,0,AB5*1000/$F$15)</f>
        <v>3.3639947437582127</v>
      </c>
      <c r="AC6" s="632"/>
      <c r="AD6" s="632">
        <f>IF($F$15=0,0,AD5*1000/$F$15)</f>
        <v>0.15768725361366623</v>
      </c>
      <c r="AE6" s="632"/>
      <c r="AF6" s="627">
        <f>IF(AF5=0,0,F15/AF5)</f>
        <v>158.54166666666666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362" t="s">
        <v>134</v>
      </c>
      <c r="C7" s="129" t="s">
        <v>76</v>
      </c>
      <c r="D7" s="227" t="s">
        <v>124</v>
      </c>
      <c r="E7" s="228">
        <v>6000</v>
      </c>
      <c r="F7" s="228">
        <v>8222</v>
      </c>
      <c r="G7" s="229">
        <v>7613</v>
      </c>
      <c r="H7" s="111">
        <f t="shared" si="0"/>
        <v>7.4069569447822919E-2</v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0.27813964118386469</v>
      </c>
      <c r="Q7" s="639"/>
      <c r="R7" s="639">
        <f>IF($G$15=0,0,R5*1000/$G$15)</f>
        <v>0.83653296766083873</v>
      </c>
      <c r="S7" s="639"/>
      <c r="T7" s="639">
        <f>IF($G$15=0,0,T5*1000/$G$15)</f>
        <v>8.3990401097017484E-2</v>
      </c>
      <c r="U7" s="639"/>
      <c r="V7" s="639">
        <f>IF($G$15=0,0,V5*1000/$G$15)</f>
        <v>2.1463261341560966</v>
      </c>
      <c r="W7" s="639"/>
      <c r="X7" s="639">
        <f>IF($G$15=0,0,X5*1000/$G$15)</f>
        <v>4.8851559821734662E-2</v>
      </c>
      <c r="Y7" s="639"/>
      <c r="Z7" s="639">
        <f>IF($G$15=0,0,Z5*1000/$G$15)</f>
        <v>31.31070734773169</v>
      </c>
      <c r="AA7" s="639"/>
      <c r="AB7" s="632">
        <f>IF($G$15=0,0,AB5*1000/$G$15)</f>
        <v>3.6567249457204891</v>
      </c>
      <c r="AC7" s="632"/>
      <c r="AD7" s="632">
        <f>IF($G$15=0,0,AD5*1000/$G$15)</f>
        <v>0.17140898183064793</v>
      </c>
      <c r="AE7" s="632"/>
      <c r="AF7" s="627">
        <f>IF(AF5=0,0,G15/AF5)</f>
        <v>145.85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362" t="s">
        <v>135</v>
      </c>
      <c r="C8" s="129" t="s">
        <v>77</v>
      </c>
      <c r="D8" s="227" t="s">
        <v>124</v>
      </c>
      <c r="E8" s="228">
        <v>2000</v>
      </c>
      <c r="F8" s="228">
        <v>2586</v>
      </c>
      <c r="G8" s="229">
        <v>2360</v>
      </c>
      <c r="H8" s="111">
        <f t="shared" si="0"/>
        <v>8.7393658159319418E-2</v>
      </c>
      <c r="I8" s="691" t="s">
        <v>64</v>
      </c>
      <c r="J8" s="692"/>
      <c r="K8" s="692"/>
      <c r="L8" s="692"/>
      <c r="M8" s="692"/>
      <c r="N8" s="692"/>
      <c r="O8" s="693"/>
      <c r="P8" s="631">
        <f>92+46+45+16+9+5+5</f>
        <v>218</v>
      </c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362" t="s">
        <v>136</v>
      </c>
      <c r="C9" s="129" t="s">
        <v>78</v>
      </c>
      <c r="D9" s="227" t="s">
        <v>124</v>
      </c>
      <c r="E9" s="228">
        <v>2000</v>
      </c>
      <c r="F9" s="228">
        <v>2901</v>
      </c>
      <c r="G9" s="229">
        <v>2754</v>
      </c>
      <c r="H9" s="111">
        <f>IF(F9=0,"",(F9-G9)/F9)</f>
        <v>5.0672182006204755E-2</v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120"/>
      <c r="C10" s="129" t="s">
        <v>79</v>
      </c>
      <c r="D10" s="124"/>
      <c r="E10" s="125"/>
      <c r="F10" s="125"/>
      <c r="G10" s="126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>
        <f>5+5+3+5+4+5+7+6+3+6+4+5+7+6</f>
        <v>71</v>
      </c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>
        <f>F15/P12</f>
        <v>267.95774647887322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>
        <v>7</v>
      </c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12000</v>
      </c>
      <c r="F15" s="204">
        <f>SUM(F5:F14)</f>
        <v>19025</v>
      </c>
      <c r="G15" s="204">
        <f>SUM(G5:G14)</f>
        <v>17502</v>
      </c>
      <c r="H15" s="188">
        <f>IF(F15=0,"",(F15-G15)/F15)</f>
        <v>8.0052562417871218E-2</v>
      </c>
      <c r="I15" s="719" t="s">
        <v>70</v>
      </c>
      <c r="J15" s="720"/>
      <c r="K15" s="720"/>
      <c r="L15" s="720"/>
      <c r="M15" s="720"/>
      <c r="N15" s="720"/>
      <c r="O15" s="721"/>
      <c r="P15" s="722">
        <f>F15/P14</f>
        <v>2717.8571428571427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236"/>
      <c r="C16" s="129" t="s">
        <v>74</v>
      </c>
      <c r="D16" s="225"/>
      <c r="E16" s="225"/>
      <c r="F16" s="225"/>
      <c r="G16" s="226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221"/>
      <c r="C17" s="129" t="s">
        <v>75</v>
      </c>
      <c r="D17" s="227"/>
      <c r="E17" s="228"/>
      <c r="F17" s="228"/>
      <c r="G17" s="229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627">
        <f>IF(AF16=0,0,F26/AF16)</f>
        <v>0</v>
      </c>
      <c r="AG17" s="671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239"/>
      <c r="C18" s="129" t="s">
        <v>76</v>
      </c>
      <c r="D18" s="227"/>
      <c r="E18" s="228"/>
      <c r="F18" s="228"/>
      <c r="G18" s="229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627">
        <f>IF(AF16=0,0,G26/AF16)</f>
        <v>0</v>
      </c>
      <c r="AG18" s="671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221"/>
      <c r="C19" s="129" t="s">
        <v>77</v>
      </c>
      <c r="D19" s="233"/>
      <c r="E19" s="222"/>
      <c r="F19" s="222"/>
      <c r="G19" s="223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239"/>
      <c r="C20" s="129" t="s">
        <v>78</v>
      </c>
      <c r="D20" s="240"/>
      <c r="E20" s="241"/>
      <c r="F20" s="222"/>
      <c r="G20" s="223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120"/>
      <c r="C21" s="131" t="s">
        <v>79</v>
      </c>
      <c r="D21" s="128"/>
      <c r="E21" s="125"/>
      <c r="F21" s="125"/>
      <c r="G21" s="126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0</v>
      </c>
      <c r="G26" s="205">
        <f>SUM(G16:G25)</f>
        <v>0</v>
      </c>
      <c r="H26" s="196" t="str">
        <f>IF(F26=0,"",(F26-G26)/F26)</f>
        <v/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4.8680000000000003</v>
      </c>
      <c r="Q27" s="781"/>
      <c r="R27" s="782">
        <f>SUM(R5,R16)</f>
        <v>14.641</v>
      </c>
      <c r="S27" s="781"/>
      <c r="T27" s="782">
        <f>SUM(T5,T16)</f>
        <v>1.47</v>
      </c>
      <c r="U27" s="781"/>
      <c r="V27" s="782">
        <f>SUM(V5,V16)</f>
        <v>37.564999999999998</v>
      </c>
      <c r="W27" s="781"/>
      <c r="X27" s="782">
        <f>SUM(X5,X16)</f>
        <v>0.85499999999999998</v>
      </c>
      <c r="Y27" s="781"/>
      <c r="Z27" s="783">
        <f>SUM(Z5,Z16)</f>
        <v>548</v>
      </c>
      <c r="AA27" s="784"/>
      <c r="AB27" s="770">
        <f>SUM(AB5,AB16)</f>
        <v>64</v>
      </c>
      <c r="AC27" s="770"/>
      <c r="AD27" s="769">
        <f>SUM(AD5,AD16)</f>
        <v>3</v>
      </c>
      <c r="AE27" s="769"/>
      <c r="AF27" s="770">
        <f>SUM(AF5,AF16)</f>
        <v>120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12000</v>
      </c>
      <c r="F28" s="140">
        <f>F15+F26</f>
        <v>19025</v>
      </c>
      <c r="G28" s="140">
        <f>G15+G26</f>
        <v>17502</v>
      </c>
      <c r="H28" s="141">
        <f t="shared" si="0"/>
        <v>8.0052562417871218E-2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0.25587385019710907</v>
      </c>
      <c r="Q28" s="745"/>
      <c r="R28" s="746">
        <f t="shared" si="1"/>
        <v>0.7695663600525624</v>
      </c>
      <c r="S28" s="745"/>
      <c r="T28" s="746">
        <f t="shared" si="1"/>
        <v>7.7266754270696458E-2</v>
      </c>
      <c r="U28" s="745"/>
      <c r="V28" s="800">
        <f t="shared" si="1"/>
        <v>1.9745072273324573</v>
      </c>
      <c r="W28" s="801"/>
      <c r="X28" s="800">
        <f t="shared" si="1"/>
        <v>4.4940867279894874E-2</v>
      </c>
      <c r="Y28" s="801"/>
      <c r="Z28" s="746">
        <f t="shared" si="1"/>
        <v>28.804204993429696</v>
      </c>
      <c r="AA28" s="744"/>
      <c r="AB28" s="632">
        <f t="shared" si="1"/>
        <v>3.3639947437582127</v>
      </c>
      <c r="AC28" s="632"/>
      <c r="AD28" s="632">
        <f t="shared" si="1"/>
        <v>0.15768725361366623</v>
      </c>
      <c r="AE28" s="632"/>
      <c r="AF28" s="757">
        <f t="shared" si="1"/>
        <v>6.3074901445466489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0.27813964118386469</v>
      </c>
      <c r="Q29" s="792"/>
      <c r="R29" s="771">
        <f t="shared" si="2"/>
        <v>0.83653296766083873</v>
      </c>
      <c r="S29" s="792"/>
      <c r="T29" s="771">
        <f t="shared" si="2"/>
        <v>8.3990401097017484E-2</v>
      </c>
      <c r="U29" s="792"/>
      <c r="V29" s="793">
        <f t="shared" si="2"/>
        <v>2.1463261341560966</v>
      </c>
      <c r="W29" s="794"/>
      <c r="X29" s="795">
        <f t="shared" si="2"/>
        <v>4.8851559821734662E-2</v>
      </c>
      <c r="Y29" s="796"/>
      <c r="Z29" s="771">
        <f t="shared" si="2"/>
        <v>31.31070734773169</v>
      </c>
      <c r="AA29" s="772"/>
      <c r="AB29" s="773">
        <f t="shared" si="2"/>
        <v>3.6567249457204891</v>
      </c>
      <c r="AC29" s="773"/>
      <c r="AD29" s="773">
        <f t="shared" si="2"/>
        <v>0.17140898183064793</v>
      </c>
      <c r="AE29" s="773"/>
      <c r="AF29" s="774">
        <f t="shared" si="2"/>
        <v>6.8563592732259169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306" t="str">
        <f t="shared" ref="B33:B42" si="3">B5</f>
        <v>I11690803</v>
      </c>
      <c r="C33" s="213" t="s">
        <v>74</v>
      </c>
      <c r="D33" s="307" t="str">
        <f t="shared" ref="D33:D42" si="4">D5</f>
        <v>มิดไนท์เกรย์*N</v>
      </c>
      <c r="E33" s="307">
        <f t="shared" ref="E33:E42" si="5">G5</f>
        <v>4676</v>
      </c>
      <c r="F33" s="395">
        <f>144*30+105+6</f>
        <v>4431</v>
      </c>
      <c r="G33" s="62">
        <f t="shared" ref="G33:G55" si="6">IF(E33=0,"",(E33-F33)/E33)</f>
        <v>5.239520958083832E-2</v>
      </c>
      <c r="H33" s="63"/>
      <c r="I33" s="64">
        <f t="shared" ref="I33:I54" si="7">SUM(J33:AH33)</f>
        <v>245</v>
      </c>
      <c r="J33" s="453">
        <f>1</f>
        <v>1</v>
      </c>
      <c r="K33" s="454">
        <f>5+26</f>
        <v>31</v>
      </c>
      <c r="L33" s="453">
        <f>40+75+8</f>
        <v>123</v>
      </c>
      <c r="M33" s="454"/>
      <c r="N33" s="453"/>
      <c r="O33" s="454"/>
      <c r="P33" s="453"/>
      <c r="Q33" s="454"/>
      <c r="R33" s="453">
        <v>1</v>
      </c>
      <c r="S33" s="454"/>
      <c r="T33" s="453"/>
      <c r="U33" s="454"/>
      <c r="V33" s="453">
        <f>11</f>
        <v>11</v>
      </c>
      <c r="W33" s="454">
        <f>45</f>
        <v>45</v>
      </c>
      <c r="X33" s="453"/>
      <c r="Y33" s="454">
        <f>5</f>
        <v>5</v>
      </c>
      <c r="Z33" s="453"/>
      <c r="AA33" s="454"/>
      <c r="AB33" s="453"/>
      <c r="AC33" s="454">
        <f>5+3</f>
        <v>8</v>
      </c>
      <c r="AD33" s="453">
        <f>8</f>
        <v>8</v>
      </c>
      <c r="AE33" s="454"/>
      <c r="AF33" s="453">
        <f>2+10</f>
        <v>12</v>
      </c>
      <c r="AG33" s="454"/>
      <c r="AH33" s="453"/>
      <c r="AI33" s="803" t="s">
        <v>139</v>
      </c>
      <c r="AJ33" s="804"/>
      <c r="AK33" s="543" t="s">
        <v>140</v>
      </c>
      <c r="AL33" s="542"/>
      <c r="AM33" s="416"/>
    </row>
    <row r="34" spans="1:39" ht="20.25" customHeight="1">
      <c r="A34" s="370"/>
      <c r="B34" s="320" t="str">
        <f t="shared" si="3"/>
        <v>I12690803</v>
      </c>
      <c r="C34" s="214" t="s">
        <v>75</v>
      </c>
      <c r="D34" s="318" t="str">
        <f t="shared" si="4"/>
        <v>มิดไนท์เกรย์*N</v>
      </c>
      <c r="E34" s="318">
        <f t="shared" si="5"/>
        <v>99</v>
      </c>
      <c r="F34" s="322">
        <f>40*2+19</f>
        <v>99</v>
      </c>
      <c r="G34" s="70">
        <f t="shared" si="6"/>
        <v>0</v>
      </c>
      <c r="H34" s="63"/>
      <c r="I34" s="64">
        <f t="shared" si="7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802" t="s">
        <v>170</v>
      </c>
      <c r="AJ34" s="614"/>
      <c r="AK34" s="550" t="s">
        <v>171</v>
      </c>
      <c r="AL34" s="74"/>
      <c r="AM34" s="75"/>
    </row>
    <row r="35" spans="1:39" ht="20.25" customHeight="1">
      <c r="A35" s="370"/>
      <c r="B35" s="320" t="str">
        <f t="shared" si="3"/>
        <v>I13690803</v>
      </c>
      <c r="C35" s="214" t="s">
        <v>76</v>
      </c>
      <c r="D35" s="318" t="str">
        <f t="shared" si="4"/>
        <v>มิดไนท์เกรย์*N</v>
      </c>
      <c r="E35" s="318">
        <f t="shared" si="5"/>
        <v>7613</v>
      </c>
      <c r="F35" s="322">
        <f>210*35+14+6</f>
        <v>7370</v>
      </c>
      <c r="G35" s="70">
        <f t="shared" si="6"/>
        <v>3.1919085774333375E-2</v>
      </c>
      <c r="H35" s="63"/>
      <c r="I35" s="64">
        <f t="shared" si="7"/>
        <v>243</v>
      </c>
      <c r="J35" s="455">
        <v>7</v>
      </c>
      <c r="K35" s="456">
        <f>2+2+5+2+15+3+3+10+11</f>
        <v>53</v>
      </c>
      <c r="L35" s="456">
        <f>2+3+20+5</f>
        <v>30</v>
      </c>
      <c r="M35" s="456"/>
      <c r="N35" s="456"/>
      <c r="O35" s="456"/>
      <c r="P35" s="456"/>
      <c r="Q35" s="456"/>
      <c r="R35" s="456"/>
      <c r="S35" s="456"/>
      <c r="T35" s="456"/>
      <c r="U35" s="456"/>
      <c r="V35" s="456">
        <f>20+10+15</f>
        <v>45</v>
      </c>
      <c r="W35" s="456">
        <f>5+10+2</f>
        <v>17</v>
      </c>
      <c r="X35" s="456"/>
      <c r="Y35" s="456"/>
      <c r="Z35" s="456"/>
      <c r="AA35" s="456"/>
      <c r="AB35" s="456">
        <f>243-152</f>
        <v>91</v>
      </c>
      <c r="AC35" s="456"/>
      <c r="AD35" s="456"/>
      <c r="AE35" s="456"/>
      <c r="AF35" s="456"/>
      <c r="AG35" s="456"/>
      <c r="AH35" s="457"/>
      <c r="AI35" s="802" t="s">
        <v>145</v>
      </c>
      <c r="AJ35" s="614"/>
      <c r="AK35" s="548" t="s">
        <v>144</v>
      </c>
      <c r="AL35" s="547"/>
      <c r="AM35" s="410"/>
    </row>
    <row r="36" spans="1:39" ht="20.25" customHeight="1">
      <c r="A36" s="371">
        <v>1</v>
      </c>
      <c r="B36" s="320" t="str">
        <f t="shared" si="3"/>
        <v>I14690803</v>
      </c>
      <c r="C36" s="214" t="s">
        <v>77</v>
      </c>
      <c r="D36" s="318" t="str">
        <f t="shared" si="4"/>
        <v>มิดไนท์เกรย์*N</v>
      </c>
      <c r="E36" s="318">
        <f t="shared" si="5"/>
        <v>2360</v>
      </c>
      <c r="F36" s="322">
        <f>140*14+120+6</f>
        <v>2086</v>
      </c>
      <c r="G36" s="70">
        <f t="shared" si="6"/>
        <v>0.11610169491525424</v>
      </c>
      <c r="H36" s="63"/>
      <c r="I36" s="64">
        <f t="shared" si="7"/>
        <v>274</v>
      </c>
      <c r="J36" s="455"/>
      <c r="K36" s="456">
        <f>32+50+55</f>
        <v>137</v>
      </c>
      <c r="L36" s="456">
        <f>40</f>
        <v>40</v>
      </c>
      <c r="M36" s="456"/>
      <c r="N36" s="456"/>
      <c r="O36" s="456"/>
      <c r="P36" s="456"/>
      <c r="Q36" s="456">
        <f>15</f>
        <v>15</v>
      </c>
      <c r="R36" s="456"/>
      <c r="S36" s="456"/>
      <c r="T36" s="456"/>
      <c r="U36" s="456"/>
      <c r="V36" s="456">
        <f>17</f>
        <v>17</v>
      </c>
      <c r="W36" s="456">
        <f>5+40+15</f>
        <v>60</v>
      </c>
      <c r="X36" s="456"/>
      <c r="Y36" s="456"/>
      <c r="Z36" s="456"/>
      <c r="AA36" s="456"/>
      <c r="AB36" s="456"/>
      <c r="AC36" s="456">
        <f>5</f>
        <v>5</v>
      </c>
      <c r="AD36" s="456"/>
      <c r="AE36" s="456"/>
      <c r="AF36" s="456"/>
      <c r="AG36" s="456"/>
      <c r="AH36" s="457"/>
      <c r="AI36" s="802" t="s">
        <v>141</v>
      </c>
      <c r="AJ36" s="614"/>
      <c r="AK36" s="548" t="s">
        <v>140</v>
      </c>
      <c r="AL36" s="546"/>
      <c r="AM36" s="431"/>
    </row>
    <row r="37" spans="1:39" ht="20.25" customHeight="1">
      <c r="A37" s="372"/>
      <c r="B37" s="320" t="str">
        <f t="shared" si="3"/>
        <v>I15690803</v>
      </c>
      <c r="C37" s="214" t="s">
        <v>78</v>
      </c>
      <c r="D37" s="318" t="str">
        <f t="shared" si="4"/>
        <v>มิดไนท์เกรย์*N</v>
      </c>
      <c r="E37" s="318">
        <f t="shared" si="5"/>
        <v>2754</v>
      </c>
      <c r="F37" s="322">
        <f>280*9+180+6</f>
        <v>2706</v>
      </c>
      <c r="G37" s="70">
        <f t="shared" si="6"/>
        <v>1.7429193899782137E-2</v>
      </c>
      <c r="H37" s="63"/>
      <c r="I37" s="64">
        <f t="shared" si="7"/>
        <v>48</v>
      </c>
      <c r="J37" s="455"/>
      <c r="K37" s="456">
        <v>22</v>
      </c>
      <c r="L37" s="456">
        <v>9</v>
      </c>
      <c r="M37" s="456"/>
      <c r="N37" s="456"/>
      <c r="O37" s="456"/>
      <c r="P37" s="456"/>
      <c r="Q37" s="456"/>
      <c r="R37" s="456">
        <v>2</v>
      </c>
      <c r="S37" s="456"/>
      <c r="T37" s="456"/>
      <c r="U37" s="456"/>
      <c r="V37" s="456"/>
      <c r="W37" s="456">
        <v>1</v>
      </c>
      <c r="X37" s="456"/>
      <c r="Y37" s="456"/>
      <c r="Z37" s="456"/>
      <c r="AA37" s="456"/>
      <c r="AB37" s="456"/>
      <c r="AC37" s="456">
        <v>4</v>
      </c>
      <c r="AD37" s="456"/>
      <c r="AE37" s="456"/>
      <c r="AF37" s="456">
        <v>10</v>
      </c>
      <c r="AG37" s="456"/>
      <c r="AH37" s="457"/>
      <c r="AI37" s="802" t="s">
        <v>142</v>
      </c>
      <c r="AJ37" s="614"/>
      <c r="AK37" s="548" t="s">
        <v>140</v>
      </c>
      <c r="AL37" s="546"/>
      <c r="AM37" s="431"/>
    </row>
    <row r="38" spans="1:39" ht="20.25" customHeight="1">
      <c r="A38" s="372"/>
      <c r="B38" s="162">
        <f t="shared" si="3"/>
        <v>0</v>
      </c>
      <c r="C38" s="214" t="s">
        <v>79</v>
      </c>
      <c r="D38" s="163">
        <f t="shared" si="4"/>
        <v>0</v>
      </c>
      <c r="E38" s="161">
        <f t="shared" si="5"/>
        <v>0</v>
      </c>
      <c r="F38" s="151"/>
      <c r="G38" s="70" t="str">
        <f t="shared" si="6"/>
        <v/>
      </c>
      <c r="H38" s="63"/>
      <c r="I38" s="64">
        <f t="shared" si="7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5"/>
        <v>0</v>
      </c>
      <c r="F39" s="154"/>
      <c r="G39" s="70" t="str">
        <f t="shared" si="6"/>
        <v/>
      </c>
      <c r="H39" s="63"/>
      <c r="I39" s="64">
        <f t="shared" si="7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162">
        <f t="shared" si="3"/>
        <v>0</v>
      </c>
      <c r="C40" s="214" t="s">
        <v>63</v>
      </c>
      <c r="D40" s="163">
        <f t="shared" si="4"/>
        <v>0</v>
      </c>
      <c r="E40" s="153">
        <f t="shared" si="5"/>
        <v>0</v>
      </c>
      <c r="F40" s="154"/>
      <c r="G40" s="70" t="str">
        <f t="shared" si="6"/>
        <v/>
      </c>
      <c r="H40" s="63"/>
      <c r="I40" s="64">
        <f t="shared" si="7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5"/>
        <v>0</v>
      </c>
      <c r="F41" s="209"/>
      <c r="G41" s="210" t="str">
        <f t="shared" si="6"/>
        <v/>
      </c>
      <c r="H41" s="63"/>
      <c r="I41" s="64">
        <f t="shared" si="7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5"/>
        <v>0</v>
      </c>
      <c r="F42" s="158"/>
      <c r="G42" s="144" t="str">
        <f t="shared" si="6"/>
        <v/>
      </c>
      <c r="H42" s="63"/>
      <c r="I42" s="64">
        <f t="shared" si="7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17502</v>
      </c>
      <c r="F43" s="145">
        <f>SUM(F33:F42)</f>
        <v>16692</v>
      </c>
      <c r="G43" s="135">
        <f t="shared" si="6"/>
        <v>4.6280425094274942E-2</v>
      </c>
      <c r="H43" s="63"/>
      <c r="I43" s="376">
        <f t="shared" si="7"/>
        <v>810</v>
      </c>
      <c r="J43" s="77">
        <f>SUM(J33:J42)</f>
        <v>8</v>
      </c>
      <c r="K43" s="78">
        <f t="shared" ref="K43:AH43" si="8">SUM(K33:K42)</f>
        <v>243</v>
      </c>
      <c r="L43" s="78">
        <f t="shared" si="8"/>
        <v>202</v>
      </c>
      <c r="M43" s="78">
        <f t="shared" si="8"/>
        <v>0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15</v>
      </c>
      <c r="R43" s="78">
        <f t="shared" si="8"/>
        <v>3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73</v>
      </c>
      <c r="W43" s="78">
        <f t="shared" si="8"/>
        <v>123</v>
      </c>
      <c r="X43" s="78">
        <f t="shared" si="8"/>
        <v>0</v>
      </c>
      <c r="Y43" s="78">
        <f t="shared" si="8"/>
        <v>5</v>
      </c>
      <c r="Z43" s="78">
        <f t="shared" si="8"/>
        <v>0</v>
      </c>
      <c r="AA43" s="78">
        <f t="shared" si="8"/>
        <v>0</v>
      </c>
      <c r="AB43" s="78">
        <f t="shared" si="8"/>
        <v>91</v>
      </c>
      <c r="AC43" s="78">
        <f t="shared" si="8"/>
        <v>17</v>
      </c>
      <c r="AD43" s="78">
        <f t="shared" si="8"/>
        <v>8</v>
      </c>
      <c r="AE43" s="78">
        <f t="shared" si="8"/>
        <v>0</v>
      </c>
      <c r="AF43" s="78">
        <f t="shared" si="8"/>
        <v>22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96">
        <f t="shared" ref="B44:B53" si="9">B16</f>
        <v>0</v>
      </c>
      <c r="C44" s="382" t="s">
        <v>74</v>
      </c>
      <c r="D44" s="307">
        <f t="shared" ref="D44:D53" si="10">D16</f>
        <v>0</v>
      </c>
      <c r="E44" s="307">
        <f>G16</f>
        <v>0</v>
      </c>
      <c r="F44" s="395"/>
      <c r="G44" s="62" t="str">
        <f t="shared" si="6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2"/>
      <c r="AJ44" s="813"/>
      <c r="AK44" s="470"/>
      <c r="AL44" s="471"/>
      <c r="AM44" s="431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ref="E45:E53" si="11">G17</f>
        <v>0</v>
      </c>
      <c r="F45" s="151"/>
      <c r="G45" s="70" t="str">
        <f t="shared" si="6"/>
        <v/>
      </c>
      <c r="H45" s="63"/>
      <c r="I45" s="64">
        <f t="shared" si="7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351">
        <f t="shared" si="9"/>
        <v>0</v>
      </c>
      <c r="C46" s="217" t="s">
        <v>76</v>
      </c>
      <c r="D46" s="356">
        <f t="shared" si="10"/>
        <v>0</v>
      </c>
      <c r="E46" s="323">
        <f>G18</f>
        <v>0</v>
      </c>
      <c r="F46" s="324"/>
      <c r="G46" s="70" t="str">
        <f t="shared" si="6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613"/>
      <c r="AJ46" s="614"/>
      <c r="AK46" s="472"/>
      <c r="AL46" s="472"/>
      <c r="AM46" s="417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6"/>
        <v/>
      </c>
      <c r="H47" s="63"/>
      <c r="I47" s="64">
        <f t="shared" si="7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149">
        <f t="shared" si="9"/>
        <v>0</v>
      </c>
      <c r="C48" s="217" t="s">
        <v>78</v>
      </c>
      <c r="D48" s="155">
        <f t="shared" si="10"/>
        <v>0</v>
      </c>
      <c r="E48" s="153">
        <f t="shared" si="11"/>
        <v>0</v>
      </c>
      <c r="F48" s="154"/>
      <c r="G48" s="70" t="str">
        <f t="shared" si="6"/>
        <v/>
      </c>
      <c r="H48" s="63"/>
      <c r="I48" s="64">
        <f t="shared" si="7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75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6"/>
        <v/>
      </c>
      <c r="H49" s="63"/>
      <c r="I49" s="64">
        <f t="shared" si="7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6"/>
        <v/>
      </c>
      <c r="H50" s="63"/>
      <c r="I50" s="64">
        <f t="shared" si="7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6"/>
        <v/>
      </c>
      <c r="H51" s="63"/>
      <c r="I51" s="64">
        <f t="shared" si="7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6"/>
        <v/>
      </c>
      <c r="H52" s="63"/>
      <c r="I52" s="64">
        <f t="shared" si="7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6"/>
        <v/>
      </c>
      <c r="H53" s="63"/>
      <c r="I53" s="64">
        <f t="shared" si="7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6"/>
        <v/>
      </c>
      <c r="H54" s="63"/>
      <c r="I54" s="87">
        <f t="shared" si="7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17502</v>
      </c>
      <c r="F55" s="164">
        <f>F43+F54</f>
        <v>16692</v>
      </c>
      <c r="G55" s="165">
        <f t="shared" si="6"/>
        <v>4.6280425094274942E-2</v>
      </c>
      <c r="H55" s="95"/>
      <c r="I55" s="96">
        <f>SUM(I43,I54)</f>
        <v>810</v>
      </c>
      <c r="J55" s="97">
        <f>SUM(J43,J54)</f>
        <v>8</v>
      </c>
      <c r="K55" s="97">
        <f t="shared" ref="K55:AH55" si="13">SUM(K43,K54)</f>
        <v>243</v>
      </c>
      <c r="L55" s="97">
        <f t="shared" si="13"/>
        <v>202</v>
      </c>
      <c r="M55" s="97">
        <f t="shared" si="13"/>
        <v>0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15</v>
      </c>
      <c r="R55" s="97">
        <f t="shared" si="13"/>
        <v>3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73</v>
      </c>
      <c r="W55" s="97">
        <f t="shared" si="13"/>
        <v>123</v>
      </c>
      <c r="X55" s="97">
        <f t="shared" si="13"/>
        <v>0</v>
      </c>
      <c r="Y55" s="97">
        <f t="shared" si="13"/>
        <v>5</v>
      </c>
      <c r="Z55" s="97">
        <f t="shared" si="13"/>
        <v>0</v>
      </c>
      <c r="AA55" s="97">
        <f t="shared" si="13"/>
        <v>0</v>
      </c>
      <c r="AB55" s="97">
        <f t="shared" si="13"/>
        <v>91</v>
      </c>
      <c r="AC55" s="97">
        <f t="shared" si="13"/>
        <v>17</v>
      </c>
      <c r="AD55" s="97">
        <f t="shared" si="13"/>
        <v>8</v>
      </c>
      <c r="AE55" s="97">
        <f t="shared" si="13"/>
        <v>0</v>
      </c>
      <c r="AF55" s="97">
        <f t="shared" si="13"/>
        <v>22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4">
    <mergeCell ref="AI33:AJ33"/>
    <mergeCell ref="AI36:AJ36"/>
    <mergeCell ref="AI37:AJ37"/>
    <mergeCell ref="AI31:AJ32"/>
    <mergeCell ref="AK31:AM32"/>
    <mergeCell ref="AI44:AJ44"/>
    <mergeCell ref="AI45:AJ45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R28:S28"/>
    <mergeCell ref="T28:U28"/>
    <mergeCell ref="V28:W28"/>
    <mergeCell ref="X28:Y28"/>
    <mergeCell ref="I22:O22"/>
    <mergeCell ref="P22:Q22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AJ28:AK28"/>
    <mergeCell ref="AF27:AG27"/>
    <mergeCell ref="I23:O23"/>
    <mergeCell ref="P23:Q23"/>
    <mergeCell ref="Z29:AA29"/>
    <mergeCell ref="AB29:AC29"/>
    <mergeCell ref="AD29:AE29"/>
    <mergeCell ref="AF29:AG29"/>
    <mergeCell ref="AH29:AI29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I25:O25"/>
    <mergeCell ref="R24:S24"/>
    <mergeCell ref="T24:U24"/>
    <mergeCell ref="V24:W24"/>
    <mergeCell ref="X24:Y24"/>
    <mergeCell ref="Z24:AA24"/>
    <mergeCell ref="AB24:AC24"/>
    <mergeCell ref="P25:Q25"/>
    <mergeCell ref="AD24:AE24"/>
    <mergeCell ref="I24:O24"/>
    <mergeCell ref="P24:Q24"/>
    <mergeCell ref="X26:Y26"/>
    <mergeCell ref="Z26:AA26"/>
    <mergeCell ref="AB26:AC26"/>
    <mergeCell ref="Z18:AA18"/>
    <mergeCell ref="AB18:AC18"/>
    <mergeCell ref="AD18:AE18"/>
    <mergeCell ref="AF18:AG18"/>
    <mergeCell ref="AH18:AI18"/>
    <mergeCell ref="AJ18:AK18"/>
    <mergeCell ref="AJ24:AK24"/>
    <mergeCell ref="AF24:AG24"/>
    <mergeCell ref="AH24:AI24"/>
    <mergeCell ref="I18:O18"/>
    <mergeCell ref="P18:Q18"/>
    <mergeCell ref="R18:S18"/>
    <mergeCell ref="T18:U18"/>
    <mergeCell ref="V18:W18"/>
    <mergeCell ref="X18:Y18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AD9:AE9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AB9:AC9"/>
    <mergeCell ref="AJ2:AK2"/>
    <mergeCell ref="AF3:AG3"/>
    <mergeCell ref="AH3:AI3"/>
    <mergeCell ref="AJ3:AK3"/>
    <mergeCell ref="AH6:AI6"/>
    <mergeCell ref="AD2:AE2"/>
    <mergeCell ref="AF2:AG2"/>
    <mergeCell ref="Z7:AA7"/>
    <mergeCell ref="AB7:AC7"/>
    <mergeCell ref="AD7:AE7"/>
    <mergeCell ref="AF7:AG7"/>
    <mergeCell ref="Z2:AA2"/>
    <mergeCell ref="AB2:AC2"/>
    <mergeCell ref="AB6:AC6"/>
    <mergeCell ref="AD6:AE6"/>
    <mergeCell ref="AF6:AG6"/>
    <mergeCell ref="AD5:AE5"/>
    <mergeCell ref="Z6:AA6"/>
    <mergeCell ref="AH2:AI2"/>
    <mergeCell ref="AH4:AI4"/>
    <mergeCell ref="Z4:AA4"/>
    <mergeCell ref="AB4:AC4"/>
    <mergeCell ref="AF5:AG5"/>
    <mergeCell ref="Z3:AA3"/>
    <mergeCell ref="M1:N1"/>
    <mergeCell ref="R1:U1"/>
    <mergeCell ref="E2:H2"/>
    <mergeCell ref="I2:O4"/>
    <mergeCell ref="P2:Q3"/>
    <mergeCell ref="R2:S2"/>
    <mergeCell ref="T2:U2"/>
    <mergeCell ref="I6:O6"/>
    <mergeCell ref="E3:H3"/>
    <mergeCell ref="I5:O5"/>
    <mergeCell ref="P5:Q5"/>
    <mergeCell ref="R5:S5"/>
    <mergeCell ref="T5:U5"/>
    <mergeCell ref="T4:U4"/>
    <mergeCell ref="R3:S3"/>
    <mergeCell ref="T3:U3"/>
    <mergeCell ref="P4:Q4"/>
    <mergeCell ref="P6:Q6"/>
    <mergeCell ref="R6:S6"/>
    <mergeCell ref="T6:U6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Z8:AA8"/>
    <mergeCell ref="AB8:AC8"/>
    <mergeCell ref="AD8:AE8"/>
    <mergeCell ref="V4:W4"/>
    <mergeCell ref="X4:Y4"/>
    <mergeCell ref="AH7:AI7"/>
    <mergeCell ref="P7:Q7"/>
    <mergeCell ref="R7:S7"/>
    <mergeCell ref="Z9:AA9"/>
    <mergeCell ref="AB3:AC3"/>
    <mergeCell ref="AD3:AE3"/>
    <mergeCell ref="V2:W2"/>
    <mergeCell ref="AI34:AJ34"/>
    <mergeCell ref="AI35:AJ35"/>
    <mergeCell ref="A43:D43"/>
    <mergeCell ref="X2:Y2"/>
    <mergeCell ref="V6:W6"/>
    <mergeCell ref="X6:Y6"/>
    <mergeCell ref="V5:W5"/>
    <mergeCell ref="X5:Y5"/>
    <mergeCell ref="Z5:AA5"/>
    <mergeCell ref="AB5:AC5"/>
    <mergeCell ref="T7:U7"/>
    <mergeCell ref="V7:W7"/>
    <mergeCell ref="X7:Y7"/>
    <mergeCell ref="AH5:AI5"/>
    <mergeCell ref="AH8:AI8"/>
    <mergeCell ref="AF8:AG8"/>
    <mergeCell ref="V3:W3"/>
    <mergeCell ref="X3:Y3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21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M59"/>
  <sheetViews>
    <sheetView showGridLines="0" topLeftCell="A31" zoomScale="66" zoomScaleNormal="66" workbookViewId="0">
      <selection activeCell="AB5" sqref="AB5:AC5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25.83203125" style="9" customWidth="1"/>
    <col min="5" max="7" width="12" style="9" customWidth="1"/>
    <col min="8" max="8" width="11" style="9" customWidth="1"/>
    <col min="9" max="9" width="5.83203125" style="9" customWidth="1"/>
    <col min="10" max="22" width="4.5" style="9" customWidth="1"/>
    <col min="23" max="32" width="4.5" style="13" customWidth="1"/>
    <col min="33" max="34" width="4.5" style="17" customWidth="1"/>
    <col min="35" max="35" width="6.33203125" style="17" customWidth="1"/>
    <col min="36" max="36" width="26.58203125" style="17" customWidth="1"/>
    <col min="37" max="38" width="4.5" style="17" customWidth="1"/>
    <col min="39" max="39" width="19.082031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 t="s">
        <v>117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426" t="s">
        <v>146</v>
      </c>
      <c r="C5" s="129" t="s">
        <v>74</v>
      </c>
      <c r="D5" s="307" t="s">
        <v>124</v>
      </c>
      <c r="E5" s="307">
        <v>2000</v>
      </c>
      <c r="F5" s="307">
        <v>3765</v>
      </c>
      <c r="G5" s="423">
        <v>3210</v>
      </c>
      <c r="H5" s="110">
        <f t="shared" ref="H5:H28" si="0">IF(F5=0,"",(F5-G5)/F5)</f>
        <v>0.14741035856573706</v>
      </c>
      <c r="I5" s="675" t="s">
        <v>33</v>
      </c>
      <c r="J5" s="676"/>
      <c r="K5" s="676"/>
      <c r="L5" s="676"/>
      <c r="M5" s="676"/>
      <c r="N5" s="676"/>
      <c r="O5" s="677"/>
      <c r="P5" s="678">
        <v>3.742</v>
      </c>
      <c r="Q5" s="679"/>
      <c r="R5" s="680">
        <v>11.24</v>
      </c>
      <c r="S5" s="679"/>
      <c r="T5" s="681">
        <v>1.2569999999999999</v>
      </c>
      <c r="U5" s="682"/>
      <c r="V5" s="683">
        <v>35.244999999999997</v>
      </c>
      <c r="W5" s="684"/>
      <c r="X5" s="685">
        <v>0.68200000000000005</v>
      </c>
      <c r="Y5" s="686"/>
      <c r="Z5" s="687">
        <f>172+200+97</f>
        <v>469</v>
      </c>
      <c r="AA5" s="688"/>
      <c r="AB5" s="674">
        <f>36+29</f>
        <v>65</v>
      </c>
      <c r="AC5" s="674"/>
      <c r="AD5" s="689">
        <f>SUM(AF5:AK5)*0.025</f>
        <v>2.5</v>
      </c>
      <c r="AE5" s="689"/>
      <c r="AF5" s="674">
        <f>14+14+12+14+14+14+14+4</f>
        <v>100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427" t="s">
        <v>138</v>
      </c>
      <c r="C6" s="129" t="s">
        <v>75</v>
      </c>
      <c r="D6" s="318" t="s">
        <v>124</v>
      </c>
      <c r="E6" s="317">
        <v>0</v>
      </c>
      <c r="F6" s="317">
        <v>104</v>
      </c>
      <c r="G6" s="424">
        <v>104</v>
      </c>
      <c r="H6" s="111">
        <f t="shared" si="0"/>
        <v>0</v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0.24265611828026717</v>
      </c>
      <c r="Q6" s="673"/>
      <c r="R6" s="673">
        <f>IF($F$15=0,0,R5*1000/$F$15)</f>
        <v>0.72887620776862716</v>
      </c>
      <c r="S6" s="673"/>
      <c r="T6" s="673">
        <f>IF($F$15=0,0,T5*1000/$F$15)</f>
        <v>8.15122235912068E-2</v>
      </c>
      <c r="U6" s="673"/>
      <c r="V6" s="673">
        <f>IF($F$15=0,0,V5*1000/$F$15)</f>
        <v>2.2855197458011802</v>
      </c>
      <c r="W6" s="673"/>
      <c r="X6" s="673">
        <f>IF($F$15=0,0,X5*1000/$F$15)</f>
        <v>4.4225406912651581E-2</v>
      </c>
      <c r="Y6" s="673"/>
      <c r="Z6" s="673">
        <f>IF($F$15=0,0,Z5*1000/$F$15)</f>
        <v>30.41307308216069</v>
      </c>
      <c r="AA6" s="673"/>
      <c r="AB6" s="632">
        <f>IF($F$15=0,0,AB5*1000/$F$15)</f>
        <v>4.2150314506192856</v>
      </c>
      <c r="AC6" s="632"/>
      <c r="AD6" s="632">
        <f>IF($F$15=0,0,AD5*1000/$F$15)</f>
        <v>0.16211659425458791</v>
      </c>
      <c r="AE6" s="632"/>
      <c r="AF6" s="627">
        <f>IF(AF5=0,0,F15/AF5)</f>
        <v>154.21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463" t="s">
        <v>147</v>
      </c>
      <c r="C7" s="287" t="s">
        <v>76</v>
      </c>
      <c r="D7" s="318" t="s">
        <v>124</v>
      </c>
      <c r="E7" s="317">
        <v>5500</v>
      </c>
      <c r="F7" s="317">
        <v>6790</v>
      </c>
      <c r="G7" s="424">
        <v>6140</v>
      </c>
      <c r="H7" s="111">
        <f t="shared" si="0"/>
        <v>9.5729013254786458E-2</v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0.2771851851851852</v>
      </c>
      <c r="Q7" s="639"/>
      <c r="R7" s="639">
        <f>IF($G$15=0,0,R5*1000/$G$15)</f>
        <v>0.83259259259259255</v>
      </c>
      <c r="S7" s="639"/>
      <c r="T7" s="639">
        <f>IF($G$15=0,0,T5*1000/$G$15)</f>
        <v>9.3111111111111117E-2</v>
      </c>
      <c r="U7" s="639"/>
      <c r="V7" s="639">
        <f>IF($G$15=0,0,V5*1000/$G$15)</f>
        <v>2.6107407407407406</v>
      </c>
      <c r="W7" s="639"/>
      <c r="X7" s="639">
        <f>IF($G$15=0,0,X5*1000/$G$15)</f>
        <v>5.0518518518518518E-2</v>
      </c>
      <c r="Y7" s="639"/>
      <c r="Z7" s="639">
        <f>IF($G$15=0,0,Z5*1000/$G$15)</f>
        <v>34.74074074074074</v>
      </c>
      <c r="AA7" s="639"/>
      <c r="AB7" s="632">
        <f>IF($G$15=0,0,AB5*1000/$G$15)</f>
        <v>4.8148148148148149</v>
      </c>
      <c r="AC7" s="632"/>
      <c r="AD7" s="632">
        <f>IF($G$15=0,0,AD5*1000/$G$15)</f>
        <v>0.18518518518518517</v>
      </c>
      <c r="AE7" s="632"/>
      <c r="AF7" s="627">
        <f>IF(AF5=0,0,G15/AF5)</f>
        <v>135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427" t="s">
        <v>148</v>
      </c>
      <c r="C8" s="129" t="s">
        <v>77</v>
      </c>
      <c r="D8" s="318" t="s">
        <v>124</v>
      </c>
      <c r="E8" s="317">
        <v>1800</v>
      </c>
      <c r="F8" s="317">
        <v>2105</v>
      </c>
      <c r="G8" s="424">
        <v>1605</v>
      </c>
      <c r="H8" s="111">
        <f t="shared" si="0"/>
        <v>0.23752969121140141</v>
      </c>
      <c r="I8" s="691" t="s">
        <v>64</v>
      </c>
      <c r="J8" s="692"/>
      <c r="K8" s="692"/>
      <c r="L8" s="692"/>
      <c r="M8" s="692"/>
      <c r="N8" s="692"/>
      <c r="O8" s="693"/>
      <c r="P8" s="631">
        <v>171</v>
      </c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427" t="s">
        <v>149</v>
      </c>
      <c r="C9" s="129" t="s">
        <v>78</v>
      </c>
      <c r="D9" s="318" t="s">
        <v>124</v>
      </c>
      <c r="E9" s="317">
        <v>1800</v>
      </c>
      <c r="F9" s="317">
        <v>2657</v>
      </c>
      <c r="G9" s="424">
        <v>2441</v>
      </c>
      <c r="H9" s="111">
        <f>IF(F9=0,"",(F9-G9)/F9)</f>
        <v>8.1294693263078657E-2</v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276"/>
      <c r="C10" s="129" t="s">
        <v>79</v>
      </c>
      <c r="D10" s="278"/>
      <c r="E10" s="279"/>
      <c r="F10" s="279"/>
      <c r="G10" s="280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276"/>
      <c r="C11" s="129" t="s">
        <v>80</v>
      </c>
      <c r="D11" s="279"/>
      <c r="E11" s="279"/>
      <c r="F11" s="279"/>
      <c r="G11" s="280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286"/>
      <c r="C12" s="287" t="s">
        <v>63</v>
      </c>
      <c r="D12" s="278"/>
      <c r="E12" s="279"/>
      <c r="F12" s="279"/>
      <c r="G12" s="280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>
        <f>5+3+4+3+5+3+7+3+6+3+2+5+8+4</f>
        <v>61</v>
      </c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276"/>
      <c r="C13" s="129" t="s">
        <v>81</v>
      </c>
      <c r="D13" s="278"/>
      <c r="E13" s="279"/>
      <c r="F13" s="279"/>
      <c r="G13" s="280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>
        <f>F15/P12</f>
        <v>252.80327868852459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>
        <v>7</v>
      </c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11100</v>
      </c>
      <c r="F15" s="204">
        <f>SUM(F5:F14)</f>
        <v>15421</v>
      </c>
      <c r="G15" s="204">
        <f>SUM(G5:G14)</f>
        <v>13500</v>
      </c>
      <c r="H15" s="188">
        <f>IF(F15=0,"",(F15-G15)/F15)</f>
        <v>0.12457039102522534</v>
      </c>
      <c r="I15" s="719" t="s">
        <v>70</v>
      </c>
      <c r="J15" s="720"/>
      <c r="K15" s="720"/>
      <c r="L15" s="720"/>
      <c r="M15" s="720"/>
      <c r="N15" s="720"/>
      <c r="O15" s="721"/>
      <c r="P15" s="722">
        <f>F15/P14</f>
        <v>2203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426"/>
      <c r="C16" s="130" t="s">
        <v>74</v>
      </c>
      <c r="D16" s="422"/>
      <c r="E16" s="307"/>
      <c r="F16" s="307"/>
      <c r="G16" s="423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427"/>
      <c r="C17" s="131" t="s">
        <v>75</v>
      </c>
      <c r="D17" s="317"/>
      <c r="E17" s="317"/>
      <c r="F17" s="317"/>
      <c r="G17" s="424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742">
        <f>IF(AF16=0,0,F26/AF16)</f>
        <v>0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427"/>
      <c r="C18" s="131" t="s">
        <v>76</v>
      </c>
      <c r="D18" s="425"/>
      <c r="E18" s="317"/>
      <c r="F18" s="317"/>
      <c r="G18" s="424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742">
        <f>IF(AF16=0,0,G26/AF16)</f>
        <v>0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427"/>
      <c r="C19" s="131" t="s">
        <v>77</v>
      </c>
      <c r="D19" s="317"/>
      <c r="E19" s="317"/>
      <c r="F19" s="317"/>
      <c r="G19" s="424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276"/>
      <c r="C20" s="131" t="s">
        <v>78</v>
      </c>
      <c r="D20" s="279"/>
      <c r="E20" s="279"/>
      <c r="F20" s="279"/>
      <c r="G20" s="280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276"/>
      <c r="C21" s="131" t="s">
        <v>79</v>
      </c>
      <c r="D21" s="279"/>
      <c r="E21" s="279"/>
      <c r="F21" s="279"/>
      <c r="G21" s="280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276"/>
      <c r="C22" s="131" t="s">
        <v>80</v>
      </c>
      <c r="D22" s="279"/>
      <c r="E22" s="279"/>
      <c r="F22" s="279"/>
      <c r="G22" s="280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276"/>
      <c r="C23" s="131" t="s">
        <v>63</v>
      </c>
      <c r="D23" s="288"/>
      <c r="E23" s="279"/>
      <c r="F23" s="279"/>
      <c r="G23" s="280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281"/>
      <c r="C24" s="136" t="s">
        <v>81</v>
      </c>
      <c r="D24" s="282"/>
      <c r="E24" s="282"/>
      <c r="F24" s="282"/>
      <c r="G24" s="283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284"/>
      <c r="E25" s="285"/>
      <c r="F25" s="285"/>
      <c r="G25" s="285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0</v>
      </c>
      <c r="G26" s="205">
        <f>SUM(G16:G25)</f>
        <v>0</v>
      </c>
      <c r="H26" s="196" t="str">
        <f>IF(F26=0,"",(F26-G26)/F26)</f>
        <v/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3.742</v>
      </c>
      <c r="Q27" s="781"/>
      <c r="R27" s="782">
        <f>SUM(R5,R16)</f>
        <v>11.24</v>
      </c>
      <c r="S27" s="781"/>
      <c r="T27" s="782">
        <f>SUM(T5,T16)</f>
        <v>1.2569999999999999</v>
      </c>
      <c r="U27" s="781"/>
      <c r="V27" s="782">
        <f>SUM(V5,V16)</f>
        <v>35.244999999999997</v>
      </c>
      <c r="W27" s="781"/>
      <c r="X27" s="782">
        <f>SUM(X5,X16)</f>
        <v>0.68200000000000005</v>
      </c>
      <c r="Y27" s="781"/>
      <c r="Z27" s="783">
        <f>SUM(Z5,Z16)</f>
        <v>469</v>
      </c>
      <c r="AA27" s="784"/>
      <c r="AB27" s="770">
        <f>SUM(AB5,AB16)</f>
        <v>65</v>
      </c>
      <c r="AC27" s="770"/>
      <c r="AD27" s="769">
        <f>SUM(AD5,AD16)</f>
        <v>2.5</v>
      </c>
      <c r="AE27" s="769"/>
      <c r="AF27" s="770">
        <f>SUM(AF5,AF16)</f>
        <v>100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11100</v>
      </c>
      <c r="F28" s="140">
        <f>F15+F26</f>
        <v>15421</v>
      </c>
      <c r="G28" s="140">
        <f>G15+G26</f>
        <v>13500</v>
      </c>
      <c r="H28" s="141">
        <f t="shared" si="0"/>
        <v>0.12457039102522534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0.24265611828026717</v>
      </c>
      <c r="Q28" s="745"/>
      <c r="R28" s="746">
        <f t="shared" si="1"/>
        <v>0.72887620776862716</v>
      </c>
      <c r="S28" s="745"/>
      <c r="T28" s="746">
        <f t="shared" si="1"/>
        <v>8.15122235912068E-2</v>
      </c>
      <c r="U28" s="745"/>
      <c r="V28" s="800">
        <f t="shared" si="1"/>
        <v>2.2855197458011802</v>
      </c>
      <c r="W28" s="801"/>
      <c r="X28" s="800">
        <f t="shared" si="1"/>
        <v>4.4225406912651581E-2</v>
      </c>
      <c r="Y28" s="801"/>
      <c r="Z28" s="746">
        <f t="shared" si="1"/>
        <v>30.41307308216069</v>
      </c>
      <c r="AA28" s="744"/>
      <c r="AB28" s="632">
        <f t="shared" si="1"/>
        <v>4.2150314506192856</v>
      </c>
      <c r="AC28" s="632"/>
      <c r="AD28" s="632">
        <f t="shared" si="1"/>
        <v>0.16211659425458791</v>
      </c>
      <c r="AE28" s="632"/>
      <c r="AF28" s="757">
        <f t="shared" si="1"/>
        <v>6.4846637701835164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0.2771851851851852</v>
      </c>
      <c r="Q29" s="792"/>
      <c r="R29" s="771">
        <f t="shared" si="2"/>
        <v>0.83259259259259255</v>
      </c>
      <c r="S29" s="792"/>
      <c r="T29" s="771">
        <f t="shared" si="2"/>
        <v>9.3111111111111117E-2</v>
      </c>
      <c r="U29" s="792"/>
      <c r="V29" s="793">
        <f t="shared" si="2"/>
        <v>2.6107407407407406</v>
      </c>
      <c r="W29" s="794"/>
      <c r="X29" s="795">
        <f t="shared" si="2"/>
        <v>5.0518518518518518E-2</v>
      </c>
      <c r="Y29" s="796"/>
      <c r="Z29" s="771">
        <f t="shared" si="2"/>
        <v>34.74074074074074</v>
      </c>
      <c r="AA29" s="772"/>
      <c r="AB29" s="773">
        <f t="shared" si="2"/>
        <v>4.8148148148148149</v>
      </c>
      <c r="AC29" s="773"/>
      <c r="AD29" s="773">
        <f t="shared" si="2"/>
        <v>0.18518518518518517</v>
      </c>
      <c r="AE29" s="773"/>
      <c r="AF29" s="774">
        <f t="shared" si="2"/>
        <v>7.4074074074074074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306" t="str">
        <f t="shared" ref="B33:B42" si="3">B5</f>
        <v>I11690804</v>
      </c>
      <c r="C33" s="213" t="s">
        <v>74</v>
      </c>
      <c r="D33" s="307" t="str">
        <f t="shared" ref="D33:D42" si="4">D5</f>
        <v>มิดไนท์เกรย์*N</v>
      </c>
      <c r="E33" s="307">
        <f>F33+652</f>
        <v>3106</v>
      </c>
      <c r="F33" s="395">
        <f>144*17+6</f>
        <v>2454</v>
      </c>
      <c r="G33" s="62">
        <f t="shared" ref="G33:G55" si="5">IF(E33=0,"",(E33-F33)/E33)</f>
        <v>0.20991629104958145</v>
      </c>
      <c r="H33" s="63"/>
      <c r="I33" s="64">
        <f t="shared" ref="I33:I54" si="6">SUM(J33:AH33)</f>
        <v>652</v>
      </c>
      <c r="J33" s="453"/>
      <c r="K33" s="454">
        <v>3</v>
      </c>
      <c r="L33" s="453">
        <f>651-181</f>
        <v>470</v>
      </c>
      <c r="M33" s="454"/>
      <c r="N33" s="453"/>
      <c r="O33" s="454"/>
      <c r="P33" s="453"/>
      <c r="Q33" s="454"/>
      <c r="R33" s="453"/>
      <c r="S33" s="454"/>
      <c r="T33" s="453"/>
      <c r="U33" s="454"/>
      <c r="V33" s="453">
        <f>17+20+16+2+25+30+30+30</f>
        <v>170</v>
      </c>
      <c r="W33" s="454"/>
      <c r="X33" s="453"/>
      <c r="Y33" s="454"/>
      <c r="Z33" s="453"/>
      <c r="AA33" s="454"/>
      <c r="AB33" s="453">
        <f>3+4</f>
        <v>7</v>
      </c>
      <c r="AC33" s="454">
        <v>2</v>
      </c>
      <c r="AD33" s="453"/>
      <c r="AE33" s="454"/>
      <c r="AF33" s="453"/>
      <c r="AG33" s="454"/>
      <c r="AH33" s="453"/>
      <c r="AI33" s="820" t="s">
        <v>150</v>
      </c>
      <c r="AJ33" s="821"/>
      <c r="AK33" s="843" t="s">
        <v>144</v>
      </c>
      <c r="AL33" s="844"/>
      <c r="AM33" s="845"/>
    </row>
    <row r="34" spans="1:39" ht="20.25" customHeight="1">
      <c r="A34" s="370"/>
      <c r="B34" s="320" t="str">
        <f t="shared" si="3"/>
        <v>I12690804</v>
      </c>
      <c r="C34" s="214" t="s">
        <v>75</v>
      </c>
      <c r="D34" s="318" t="str">
        <f t="shared" si="4"/>
        <v>มิดไนท์เกรย์*N</v>
      </c>
      <c r="E34" s="318">
        <f>G6</f>
        <v>104</v>
      </c>
      <c r="F34" s="322">
        <f>40*2+24</f>
        <v>104</v>
      </c>
      <c r="G34" s="70">
        <f t="shared" si="5"/>
        <v>0</v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833" t="s">
        <v>172</v>
      </c>
      <c r="AJ34" s="834"/>
      <c r="AK34" s="827" t="s">
        <v>171</v>
      </c>
      <c r="AL34" s="828"/>
      <c r="AM34" s="829"/>
    </row>
    <row r="35" spans="1:39" ht="20.25" customHeight="1">
      <c r="A35" s="370"/>
      <c r="B35" s="320" t="str">
        <f t="shared" si="3"/>
        <v>I13690804</v>
      </c>
      <c r="C35" s="214" t="s">
        <v>76</v>
      </c>
      <c r="D35" s="318" t="str">
        <f t="shared" si="4"/>
        <v>มิดไนท์เกรย์*N</v>
      </c>
      <c r="E35" s="318">
        <f>G7</f>
        <v>6140</v>
      </c>
      <c r="F35" s="322">
        <f>210*27+39+6</f>
        <v>5715</v>
      </c>
      <c r="G35" s="70">
        <f t="shared" si="5"/>
        <v>6.921824104234528E-2</v>
      </c>
      <c r="H35" s="63"/>
      <c r="I35" s="64">
        <f t="shared" si="6"/>
        <v>425</v>
      </c>
      <c r="J35" s="455">
        <f>20+25+30</f>
        <v>75</v>
      </c>
      <c r="K35" s="456">
        <f>1+2+3</f>
        <v>6</v>
      </c>
      <c r="L35" s="456">
        <f>6+13+6+8+15+11+8+4</f>
        <v>71</v>
      </c>
      <c r="M35" s="456"/>
      <c r="N35" s="456"/>
      <c r="O35" s="456">
        <v>2</v>
      </c>
      <c r="P35" s="456"/>
      <c r="Q35" s="456"/>
      <c r="R35" s="456">
        <f>6</f>
        <v>6</v>
      </c>
      <c r="S35" s="456"/>
      <c r="T35" s="456"/>
      <c r="U35" s="456"/>
      <c r="V35" s="456">
        <f>8+10+12+15+25+25</f>
        <v>95</v>
      </c>
      <c r="W35" s="456">
        <f>20+30+30+10</f>
        <v>90</v>
      </c>
      <c r="X35" s="456"/>
      <c r="Y35" s="456"/>
      <c r="Z35" s="456"/>
      <c r="AA35" s="456"/>
      <c r="AB35" s="456">
        <f>4+4+1+11+2+5</f>
        <v>27</v>
      </c>
      <c r="AC35" s="456">
        <v>4</v>
      </c>
      <c r="AD35" s="456">
        <v>10</v>
      </c>
      <c r="AE35" s="456">
        <f>17</f>
        <v>17</v>
      </c>
      <c r="AF35" s="456"/>
      <c r="AG35" s="456"/>
      <c r="AH35" s="457">
        <v>22</v>
      </c>
      <c r="AI35" s="835" t="s">
        <v>152</v>
      </c>
      <c r="AJ35" s="836"/>
      <c r="AK35" s="827" t="s">
        <v>144</v>
      </c>
      <c r="AL35" s="828"/>
      <c r="AM35" s="829"/>
    </row>
    <row r="36" spans="1:39" ht="20.25" customHeight="1">
      <c r="A36" s="371">
        <v>1</v>
      </c>
      <c r="B36" s="320" t="str">
        <f t="shared" si="3"/>
        <v>I14690804</v>
      </c>
      <c r="C36" s="214" t="s">
        <v>77</v>
      </c>
      <c r="D36" s="318" t="str">
        <f t="shared" si="4"/>
        <v>มิดไนท์เกรย์*N</v>
      </c>
      <c r="E36" s="318">
        <f>G8</f>
        <v>1605</v>
      </c>
      <c r="F36" s="322">
        <f>140*9+65+6</f>
        <v>1331</v>
      </c>
      <c r="G36" s="70">
        <f t="shared" si="5"/>
        <v>0.17071651090342679</v>
      </c>
      <c r="H36" s="63"/>
      <c r="I36" s="64">
        <f t="shared" si="6"/>
        <v>274</v>
      </c>
      <c r="J36" s="455"/>
      <c r="K36" s="456">
        <f>25+25+25+25+15+20</f>
        <v>135</v>
      </c>
      <c r="L36" s="456">
        <f>25+25+25+30</f>
        <v>105</v>
      </c>
      <c r="M36" s="456"/>
      <c r="N36" s="456"/>
      <c r="O36" s="456"/>
      <c r="P36" s="456"/>
      <c r="Q36" s="456"/>
      <c r="R36" s="456">
        <f>5</f>
        <v>5</v>
      </c>
      <c r="S36" s="456"/>
      <c r="T36" s="456"/>
      <c r="U36" s="456"/>
      <c r="V36" s="456"/>
      <c r="W36" s="456">
        <f>20</f>
        <v>20</v>
      </c>
      <c r="X36" s="456"/>
      <c r="Y36" s="456"/>
      <c r="Z36" s="456"/>
      <c r="AA36" s="456"/>
      <c r="AB36" s="456"/>
      <c r="AC36" s="456">
        <v>5</v>
      </c>
      <c r="AD36" s="456"/>
      <c r="AE36" s="456"/>
      <c r="AF36" s="456">
        <v>4</v>
      </c>
      <c r="AG36" s="456"/>
      <c r="AH36" s="457"/>
      <c r="AI36" s="825" t="s">
        <v>206</v>
      </c>
      <c r="AJ36" s="826"/>
      <c r="AK36" s="827" t="s">
        <v>207</v>
      </c>
      <c r="AL36" s="828"/>
      <c r="AM36" s="829"/>
    </row>
    <row r="37" spans="1:39" ht="20.25" customHeight="1">
      <c r="A37" s="372"/>
      <c r="B37" s="320" t="str">
        <f t="shared" si="3"/>
        <v>I15690804</v>
      </c>
      <c r="C37" s="214" t="s">
        <v>78</v>
      </c>
      <c r="D37" s="318" t="str">
        <f t="shared" si="4"/>
        <v>มิดไนท์เกรย์*N</v>
      </c>
      <c r="E37" s="318">
        <f t="shared" ref="E37:E42" si="7">G9</f>
        <v>2441</v>
      </c>
      <c r="F37" s="322">
        <f>280*8+152+6</f>
        <v>2398</v>
      </c>
      <c r="G37" s="70">
        <f t="shared" si="5"/>
        <v>1.7615731257681278E-2</v>
      </c>
      <c r="H37" s="63"/>
      <c r="I37" s="64">
        <f t="shared" si="6"/>
        <v>43</v>
      </c>
      <c r="J37" s="455"/>
      <c r="K37" s="456">
        <f>4+20</f>
        <v>24</v>
      </c>
      <c r="L37" s="456">
        <v>15</v>
      </c>
      <c r="M37" s="456"/>
      <c r="N37" s="456"/>
      <c r="O37" s="456"/>
      <c r="P37" s="456"/>
      <c r="Q37" s="456"/>
      <c r="R37" s="456">
        <v>1</v>
      </c>
      <c r="S37" s="456"/>
      <c r="T37" s="456"/>
      <c r="U37" s="456"/>
      <c r="V37" s="456"/>
      <c r="W37" s="456"/>
      <c r="X37" s="456"/>
      <c r="Y37" s="456"/>
      <c r="Z37" s="456"/>
      <c r="AA37" s="456"/>
      <c r="AB37" s="456">
        <v>3</v>
      </c>
      <c r="AC37" s="456"/>
      <c r="AD37" s="456"/>
      <c r="AE37" s="456"/>
      <c r="AF37" s="456"/>
      <c r="AG37" s="456"/>
      <c r="AH37" s="457"/>
      <c r="AI37" s="802" t="s">
        <v>151</v>
      </c>
      <c r="AJ37" s="614"/>
      <c r="AK37" s="544" t="s">
        <v>144</v>
      </c>
      <c r="AL37" s="74"/>
      <c r="AM37" s="388"/>
    </row>
    <row r="38" spans="1:39" ht="20.25" customHeight="1">
      <c r="A38" s="372"/>
      <c r="B38" s="321">
        <f t="shared" si="3"/>
        <v>0</v>
      </c>
      <c r="C38" s="214" t="s">
        <v>79</v>
      </c>
      <c r="D38" s="323">
        <f t="shared" si="4"/>
        <v>0</v>
      </c>
      <c r="E38" s="318">
        <f t="shared" si="7"/>
        <v>0</v>
      </c>
      <c r="F38" s="322"/>
      <c r="G38" s="70" t="str">
        <f t="shared" si="5"/>
        <v/>
      </c>
      <c r="H38" s="63"/>
      <c r="I38" s="64">
        <f t="shared" si="6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388"/>
    </row>
    <row r="39" spans="1:39" ht="20.25" customHeight="1">
      <c r="A39" s="372"/>
      <c r="B39" s="321">
        <f t="shared" si="3"/>
        <v>0</v>
      </c>
      <c r="C39" s="214" t="s">
        <v>80</v>
      </c>
      <c r="D39" s="323">
        <f t="shared" si="4"/>
        <v>0</v>
      </c>
      <c r="E39" s="323">
        <f t="shared" si="7"/>
        <v>0</v>
      </c>
      <c r="F39" s="324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388"/>
    </row>
    <row r="40" spans="1:39" ht="20.25" customHeight="1">
      <c r="A40" s="372"/>
      <c r="B40" s="321">
        <f t="shared" si="3"/>
        <v>0</v>
      </c>
      <c r="C40" s="214" t="s">
        <v>63</v>
      </c>
      <c r="D40" s="323">
        <f t="shared" si="4"/>
        <v>0</v>
      </c>
      <c r="E40" s="323">
        <f t="shared" si="7"/>
        <v>0</v>
      </c>
      <c r="F40" s="324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835"/>
      <c r="AJ40" s="836"/>
      <c r="AK40" s="837"/>
      <c r="AL40" s="838"/>
      <c r="AM40" s="839"/>
    </row>
    <row r="41" spans="1:39" ht="20.25" customHeight="1">
      <c r="A41" s="370"/>
      <c r="B41" s="350">
        <f t="shared" si="3"/>
        <v>0</v>
      </c>
      <c r="C41" s="215" t="s">
        <v>81</v>
      </c>
      <c r="D41" s="353">
        <f t="shared" si="4"/>
        <v>0</v>
      </c>
      <c r="E41" s="353">
        <f t="shared" si="7"/>
        <v>0</v>
      </c>
      <c r="F41" s="354"/>
      <c r="G41" s="210" t="str">
        <f t="shared" si="5"/>
        <v/>
      </c>
      <c r="H41" s="63"/>
      <c r="I41" s="64">
        <f>SUM(J41:AH41)</f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388"/>
    </row>
    <row r="42" spans="1:39" ht="20.25" customHeight="1" thickBot="1">
      <c r="A42" s="370"/>
      <c r="B42" s="394">
        <f t="shared" si="3"/>
        <v>0</v>
      </c>
      <c r="C42" s="374" t="s">
        <v>82</v>
      </c>
      <c r="D42" s="358">
        <f t="shared" si="4"/>
        <v>0</v>
      </c>
      <c r="E42" s="358">
        <f t="shared" si="7"/>
        <v>0</v>
      </c>
      <c r="F42" s="359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388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13396</v>
      </c>
      <c r="F43" s="145">
        <f>SUM(F33:F42)</f>
        <v>12002</v>
      </c>
      <c r="G43" s="135">
        <f t="shared" si="5"/>
        <v>0.10406091370558376</v>
      </c>
      <c r="H43" s="63"/>
      <c r="I43" s="376">
        <f t="shared" si="6"/>
        <v>1394</v>
      </c>
      <c r="J43" s="77">
        <f>SUM(J33:J42)</f>
        <v>75</v>
      </c>
      <c r="K43" s="78">
        <f t="shared" ref="K43:AH43" si="8">SUM(K33:K42)</f>
        <v>168</v>
      </c>
      <c r="L43" s="78">
        <f t="shared" si="8"/>
        <v>661</v>
      </c>
      <c r="M43" s="78">
        <f t="shared" si="8"/>
        <v>0</v>
      </c>
      <c r="N43" s="78">
        <f t="shared" si="8"/>
        <v>0</v>
      </c>
      <c r="O43" s="78">
        <f t="shared" si="8"/>
        <v>2</v>
      </c>
      <c r="P43" s="78">
        <f t="shared" si="8"/>
        <v>0</v>
      </c>
      <c r="Q43" s="78">
        <f t="shared" si="8"/>
        <v>0</v>
      </c>
      <c r="R43" s="78">
        <f t="shared" si="8"/>
        <v>12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265</v>
      </c>
      <c r="W43" s="78">
        <f t="shared" si="8"/>
        <v>110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37</v>
      </c>
      <c r="AC43" s="78">
        <f t="shared" si="8"/>
        <v>11</v>
      </c>
      <c r="AD43" s="78">
        <f t="shared" si="8"/>
        <v>10</v>
      </c>
      <c r="AE43" s="78">
        <f t="shared" si="8"/>
        <v>17</v>
      </c>
      <c r="AF43" s="78">
        <f t="shared" si="8"/>
        <v>4</v>
      </c>
      <c r="AG43" s="78">
        <f t="shared" si="8"/>
        <v>0</v>
      </c>
      <c r="AH43" s="79">
        <f t="shared" si="8"/>
        <v>22</v>
      </c>
      <c r="AI43" s="80"/>
      <c r="AJ43" s="377"/>
      <c r="AK43" s="378"/>
      <c r="AL43" s="379"/>
      <c r="AM43" s="389"/>
    </row>
    <row r="44" spans="1:39" ht="20.25" customHeight="1">
      <c r="A44" s="380"/>
      <c r="B44" s="396">
        <f t="shared" ref="B44:B53" si="9">B16</f>
        <v>0</v>
      </c>
      <c r="C44" s="382" t="s">
        <v>74</v>
      </c>
      <c r="D44" s="307">
        <f t="shared" ref="D44:D53" si="10">D16</f>
        <v>0</v>
      </c>
      <c r="E44" s="307">
        <f>G16</f>
        <v>0</v>
      </c>
      <c r="F44" s="395"/>
      <c r="G44" s="62" t="str">
        <f t="shared" si="5"/>
        <v/>
      </c>
      <c r="H44" s="63"/>
      <c r="I44" s="383">
        <f>SUM(J44:AH44)</f>
        <v>0</v>
      </c>
      <c r="J44" s="360"/>
      <c r="K44" s="360"/>
      <c r="L44" s="360"/>
      <c r="M44" s="360"/>
      <c r="N44" s="360"/>
      <c r="O44" s="360"/>
      <c r="P44" s="360"/>
      <c r="Q44" s="360"/>
      <c r="R44" s="360"/>
      <c r="S44" s="360"/>
      <c r="T44" s="360"/>
      <c r="U44" s="360"/>
      <c r="V44" s="360"/>
      <c r="W44" s="360"/>
      <c r="X44" s="360"/>
      <c r="Y44" s="360"/>
      <c r="Z44" s="360"/>
      <c r="AA44" s="360"/>
      <c r="AB44" s="360"/>
      <c r="AC44" s="360"/>
      <c r="AD44" s="360"/>
      <c r="AE44" s="360"/>
      <c r="AF44" s="360"/>
      <c r="AG44" s="360"/>
      <c r="AH44" s="361"/>
      <c r="AI44" s="835"/>
      <c r="AJ44" s="836"/>
      <c r="AK44" s="827"/>
      <c r="AL44" s="828"/>
      <c r="AM44" s="829"/>
    </row>
    <row r="45" spans="1:39" ht="20.25" customHeight="1">
      <c r="A45" s="384"/>
      <c r="B45" s="351">
        <f t="shared" si="9"/>
        <v>0</v>
      </c>
      <c r="C45" s="216" t="s">
        <v>75</v>
      </c>
      <c r="D45" s="355">
        <f t="shared" si="10"/>
        <v>0</v>
      </c>
      <c r="E45" s="317">
        <f t="shared" ref="E45:E53" si="11">G17</f>
        <v>0</v>
      </c>
      <c r="F45" s="322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35"/>
      <c r="AJ45" s="836"/>
      <c r="AK45" s="837"/>
      <c r="AL45" s="838"/>
      <c r="AM45" s="839"/>
    </row>
    <row r="46" spans="1:39" ht="20.25" customHeight="1">
      <c r="A46" s="363">
        <v>2</v>
      </c>
      <c r="B46" s="351">
        <f t="shared" si="9"/>
        <v>0</v>
      </c>
      <c r="C46" s="217" t="s">
        <v>76</v>
      </c>
      <c r="D46" s="356">
        <f t="shared" si="10"/>
        <v>0</v>
      </c>
      <c r="E46" s="323">
        <v>0</v>
      </c>
      <c r="F46" s="324"/>
      <c r="G46" s="70" t="str">
        <f t="shared" si="5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835"/>
      <c r="AJ46" s="836"/>
      <c r="AK46" s="827"/>
      <c r="AL46" s="828"/>
      <c r="AM46" s="829"/>
    </row>
    <row r="47" spans="1:39" ht="20.25" customHeight="1">
      <c r="A47" s="363"/>
      <c r="B47" s="351">
        <f t="shared" si="9"/>
        <v>0</v>
      </c>
      <c r="C47" s="217" t="s">
        <v>77</v>
      </c>
      <c r="D47" s="357">
        <f t="shared" si="10"/>
        <v>0</v>
      </c>
      <c r="E47" s="323">
        <f>G19</f>
        <v>0</v>
      </c>
      <c r="F47" s="324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833"/>
      <c r="AJ47" s="834"/>
      <c r="AK47" s="827"/>
      <c r="AL47" s="828"/>
      <c r="AM47" s="829"/>
    </row>
    <row r="48" spans="1:39" ht="20.25" customHeight="1">
      <c r="A48" s="363"/>
      <c r="B48" s="351">
        <f t="shared" si="9"/>
        <v>0</v>
      </c>
      <c r="C48" s="217" t="s">
        <v>78</v>
      </c>
      <c r="D48" s="357">
        <f t="shared" si="10"/>
        <v>0</v>
      </c>
      <c r="E48" s="323">
        <f t="shared" si="11"/>
        <v>0</v>
      </c>
      <c r="F48" s="324"/>
      <c r="G48" s="70" t="str">
        <f t="shared" si="5"/>
        <v/>
      </c>
      <c r="H48" s="63"/>
      <c r="I48" s="64">
        <f t="shared" si="6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388"/>
    </row>
    <row r="49" spans="1:39" ht="20.25" customHeight="1">
      <c r="A49" s="363"/>
      <c r="B49" s="351">
        <f t="shared" si="9"/>
        <v>0</v>
      </c>
      <c r="C49" s="217" t="s">
        <v>79</v>
      </c>
      <c r="D49" s="357">
        <f t="shared" si="10"/>
        <v>0</v>
      </c>
      <c r="E49" s="323">
        <f t="shared" si="11"/>
        <v>0</v>
      </c>
      <c r="F49" s="324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388"/>
    </row>
    <row r="50" spans="1:39" ht="20.25" customHeight="1">
      <c r="A50" s="363"/>
      <c r="B50" s="351">
        <f t="shared" si="9"/>
        <v>0</v>
      </c>
      <c r="C50" s="217" t="s">
        <v>80</v>
      </c>
      <c r="D50" s="357">
        <f t="shared" si="10"/>
        <v>0</v>
      </c>
      <c r="E50" s="323">
        <f t="shared" si="11"/>
        <v>0</v>
      </c>
      <c r="F50" s="324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388"/>
    </row>
    <row r="51" spans="1:39" ht="20.25" customHeight="1">
      <c r="A51" s="363"/>
      <c r="B51" s="351">
        <f t="shared" si="9"/>
        <v>0</v>
      </c>
      <c r="C51" s="217" t="s">
        <v>63</v>
      </c>
      <c r="D51" s="357">
        <f t="shared" si="10"/>
        <v>0</v>
      </c>
      <c r="E51" s="323">
        <f t="shared" si="11"/>
        <v>0</v>
      </c>
      <c r="F51" s="32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02"/>
      <c r="AJ51" s="614"/>
      <c r="AK51" s="840"/>
      <c r="AL51" s="841"/>
      <c r="AM51" s="842"/>
    </row>
    <row r="52" spans="1:39" ht="20.25" customHeight="1">
      <c r="A52" s="384"/>
      <c r="B52" s="352">
        <f t="shared" si="9"/>
        <v>0</v>
      </c>
      <c r="C52" s="385" t="s">
        <v>81</v>
      </c>
      <c r="D52" s="357">
        <f t="shared" si="10"/>
        <v>0</v>
      </c>
      <c r="E52" s="353">
        <f t="shared" si="11"/>
        <v>0</v>
      </c>
      <c r="F52" s="354"/>
      <c r="G52" s="210" t="str">
        <f t="shared" si="5"/>
        <v/>
      </c>
      <c r="H52" s="63"/>
      <c r="I52" s="64">
        <f>SUM(J52:AH52)</f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352">
        <f t="shared" si="9"/>
        <v>0</v>
      </c>
      <c r="C53" s="218" t="s">
        <v>82</v>
      </c>
      <c r="D53" s="397">
        <f t="shared" si="10"/>
        <v>0</v>
      </c>
      <c r="E53" s="358">
        <f t="shared" si="11"/>
        <v>0</v>
      </c>
      <c r="F53" s="359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5"/>
        <v/>
      </c>
      <c r="H54" s="63"/>
      <c r="I54" s="87">
        <f t="shared" si="6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13396</v>
      </c>
      <c r="F55" s="164">
        <f>F43+F54</f>
        <v>12002</v>
      </c>
      <c r="G55" s="165">
        <f t="shared" si="5"/>
        <v>0.10406091370558376</v>
      </c>
      <c r="H55" s="95"/>
      <c r="I55" s="96">
        <f>SUM(I43,I54)</f>
        <v>1394</v>
      </c>
      <c r="J55" s="97">
        <f>SUM(J43,J54)</f>
        <v>75</v>
      </c>
      <c r="K55" s="97">
        <f t="shared" ref="K55:AH55" si="13">SUM(K43,K54)</f>
        <v>168</v>
      </c>
      <c r="L55" s="97">
        <f t="shared" si="13"/>
        <v>661</v>
      </c>
      <c r="M55" s="97">
        <f t="shared" si="13"/>
        <v>0</v>
      </c>
      <c r="N55" s="97">
        <f t="shared" si="13"/>
        <v>0</v>
      </c>
      <c r="O55" s="97">
        <f t="shared" si="13"/>
        <v>2</v>
      </c>
      <c r="P55" s="97">
        <f t="shared" si="13"/>
        <v>0</v>
      </c>
      <c r="Q55" s="97">
        <f t="shared" si="13"/>
        <v>0</v>
      </c>
      <c r="R55" s="97">
        <f t="shared" si="13"/>
        <v>12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265</v>
      </c>
      <c r="W55" s="97">
        <f t="shared" si="13"/>
        <v>110</v>
      </c>
      <c r="X55" s="97">
        <f t="shared" si="13"/>
        <v>0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37</v>
      </c>
      <c r="AC55" s="97">
        <f t="shared" si="13"/>
        <v>11</v>
      </c>
      <c r="AD55" s="97">
        <f t="shared" si="13"/>
        <v>10</v>
      </c>
      <c r="AE55" s="97">
        <f t="shared" si="13"/>
        <v>17</v>
      </c>
      <c r="AF55" s="97">
        <f t="shared" si="13"/>
        <v>4</v>
      </c>
      <c r="AG55" s="97">
        <f t="shared" si="13"/>
        <v>0</v>
      </c>
      <c r="AH55" s="97">
        <f t="shared" si="13"/>
        <v>22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97">
    <mergeCell ref="AI31:AJ32"/>
    <mergeCell ref="AK31:AM32"/>
    <mergeCell ref="AI35:AJ35"/>
    <mergeCell ref="AI33:AJ33"/>
    <mergeCell ref="AK33:AM33"/>
    <mergeCell ref="AK35:AM35"/>
    <mergeCell ref="AI40:AJ40"/>
    <mergeCell ref="AK40:AM40"/>
    <mergeCell ref="AI44:AJ44"/>
    <mergeCell ref="AK44:AM44"/>
    <mergeCell ref="AI34:AJ34"/>
    <mergeCell ref="AK34:AM34"/>
    <mergeCell ref="AI36:AJ36"/>
    <mergeCell ref="AK36:AM36"/>
    <mergeCell ref="AI37:AJ37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R28:S28"/>
    <mergeCell ref="T28:U28"/>
    <mergeCell ref="V28:W28"/>
    <mergeCell ref="X28:Y28"/>
    <mergeCell ref="I22:O22"/>
    <mergeCell ref="P22:Q22"/>
    <mergeCell ref="I23:O23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AF27:AG27"/>
    <mergeCell ref="Z29:AA29"/>
    <mergeCell ref="AB29:AC29"/>
    <mergeCell ref="AD29:AE29"/>
    <mergeCell ref="AF29:AG29"/>
    <mergeCell ref="AH29:AI29"/>
    <mergeCell ref="AJ29:AK29"/>
    <mergeCell ref="Z28:AA28"/>
    <mergeCell ref="AB28:AC28"/>
    <mergeCell ref="AH27:AI27"/>
    <mergeCell ref="P23:Q23"/>
    <mergeCell ref="AD28:AE28"/>
    <mergeCell ref="AF28:AG28"/>
    <mergeCell ref="AH28:AI28"/>
    <mergeCell ref="AJ27:AK27"/>
    <mergeCell ref="AJ24:AK24"/>
    <mergeCell ref="I25:O25"/>
    <mergeCell ref="R24:S24"/>
    <mergeCell ref="T24:U24"/>
    <mergeCell ref="V24:W24"/>
    <mergeCell ref="X24:Y24"/>
    <mergeCell ref="Z24:AA24"/>
    <mergeCell ref="AB24:AC24"/>
    <mergeCell ref="P25:Q25"/>
    <mergeCell ref="AD24:AE24"/>
    <mergeCell ref="AF24:AG24"/>
    <mergeCell ref="AH24:AI24"/>
    <mergeCell ref="I24:O24"/>
    <mergeCell ref="P24:Q24"/>
    <mergeCell ref="AD27:AE27"/>
    <mergeCell ref="X26:Y26"/>
    <mergeCell ref="Z26:AA26"/>
    <mergeCell ref="AB26:AC26"/>
    <mergeCell ref="AJ28:AK28"/>
    <mergeCell ref="Z18:AA18"/>
    <mergeCell ref="AB18:AC18"/>
    <mergeCell ref="AD18:AE18"/>
    <mergeCell ref="AF18:AG18"/>
    <mergeCell ref="AH18:AI18"/>
    <mergeCell ref="AJ18:AK18"/>
    <mergeCell ref="I18:O18"/>
    <mergeCell ref="P18:Q18"/>
    <mergeCell ref="R18:S18"/>
    <mergeCell ref="T18:U18"/>
    <mergeCell ref="V18:W18"/>
    <mergeCell ref="X18:Y18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R4:S4"/>
    <mergeCell ref="AJ7:AK7"/>
    <mergeCell ref="I7:O7"/>
    <mergeCell ref="P7:Q7"/>
    <mergeCell ref="R7:S7"/>
    <mergeCell ref="T7:U7"/>
    <mergeCell ref="Z9:AA9"/>
    <mergeCell ref="AB9:AC9"/>
    <mergeCell ref="AD9:AE9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Z8:AA8"/>
    <mergeCell ref="AB8:AC8"/>
    <mergeCell ref="AD8:AE8"/>
    <mergeCell ref="AF8:AG8"/>
    <mergeCell ref="AH8:AI8"/>
    <mergeCell ref="AJ8:AK8"/>
    <mergeCell ref="AD2:AE2"/>
    <mergeCell ref="AF2:AG2"/>
    <mergeCell ref="Z7:AA7"/>
    <mergeCell ref="AB7:AC7"/>
    <mergeCell ref="AD7:AE7"/>
    <mergeCell ref="AF7:AG7"/>
    <mergeCell ref="T4:U4"/>
    <mergeCell ref="V4:W4"/>
    <mergeCell ref="X4:Y4"/>
    <mergeCell ref="Z2:AA2"/>
    <mergeCell ref="AB2:AC2"/>
    <mergeCell ref="AB6:AC6"/>
    <mergeCell ref="AD6:AE6"/>
    <mergeCell ref="AF6:AG6"/>
    <mergeCell ref="AH6:AI6"/>
    <mergeCell ref="AD5:AE5"/>
    <mergeCell ref="Z6:AA6"/>
    <mergeCell ref="P8:Q8"/>
    <mergeCell ref="R8:S8"/>
    <mergeCell ref="T8:U8"/>
    <mergeCell ref="V8:W8"/>
    <mergeCell ref="X8:Y8"/>
    <mergeCell ref="V7:W7"/>
    <mergeCell ref="X7:Y7"/>
    <mergeCell ref="AH4:AI4"/>
    <mergeCell ref="AF3:AG3"/>
    <mergeCell ref="AH3:AI3"/>
    <mergeCell ref="Z4:AA4"/>
    <mergeCell ref="AB4:AC4"/>
    <mergeCell ref="AJ3:AK3"/>
    <mergeCell ref="P4:Q4"/>
    <mergeCell ref="AH7:AI7"/>
    <mergeCell ref="I6:O6"/>
    <mergeCell ref="P6:Q6"/>
    <mergeCell ref="R6:S6"/>
    <mergeCell ref="T6:U6"/>
    <mergeCell ref="V6:W6"/>
    <mergeCell ref="X6:Y6"/>
    <mergeCell ref="AF5:AG5"/>
    <mergeCell ref="AH5:AI5"/>
    <mergeCell ref="I5:O5"/>
    <mergeCell ref="P5:Q5"/>
    <mergeCell ref="R5:S5"/>
    <mergeCell ref="T5:U5"/>
    <mergeCell ref="V5:W5"/>
    <mergeCell ref="X5:Y5"/>
    <mergeCell ref="Z5:AA5"/>
    <mergeCell ref="AB5:AC5"/>
    <mergeCell ref="AJ4:AK4"/>
    <mergeCell ref="AD4:AE4"/>
    <mergeCell ref="AF4:AG4"/>
    <mergeCell ref="AJ6:AK6"/>
    <mergeCell ref="AJ5:AK5"/>
    <mergeCell ref="M1:N1"/>
    <mergeCell ref="R1:U1"/>
    <mergeCell ref="E2:H2"/>
    <mergeCell ref="I2:O4"/>
    <mergeCell ref="P2:Q3"/>
    <mergeCell ref="R2:S2"/>
    <mergeCell ref="T2:U2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43:D43"/>
    <mergeCell ref="AI45:AJ45"/>
    <mergeCell ref="AK45:AM45"/>
    <mergeCell ref="AI51:AJ51"/>
    <mergeCell ref="AK51:AM51"/>
    <mergeCell ref="I57:O57"/>
    <mergeCell ref="P57:V57"/>
    <mergeCell ref="W57:AE57"/>
    <mergeCell ref="AF57:AM57"/>
    <mergeCell ref="AI46:AJ46"/>
    <mergeCell ref="AK46:AM46"/>
    <mergeCell ref="AI47:AJ47"/>
    <mergeCell ref="AK47:AM47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M59"/>
  <sheetViews>
    <sheetView showGridLines="0" topLeftCell="A31" zoomScale="66" zoomScaleNormal="66" workbookViewId="0">
      <selection activeCell="AB17" sqref="AB17:AC17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21.58203125" style="9" customWidth="1"/>
    <col min="5" max="7" width="12" style="9" customWidth="1"/>
    <col min="8" max="8" width="11" style="9" customWidth="1"/>
    <col min="9" max="22" width="4.5" style="9" customWidth="1"/>
    <col min="23" max="32" width="4.5" style="13" customWidth="1"/>
    <col min="33" max="35" width="4.5" style="17" customWidth="1"/>
    <col min="36" max="36" width="24.08203125" style="17" customWidth="1"/>
    <col min="37" max="38" width="4.5" style="17" customWidth="1"/>
    <col min="39" max="39" width="1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>
        <v>244566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426" t="s">
        <v>153</v>
      </c>
      <c r="C5" s="130" t="s">
        <v>74</v>
      </c>
      <c r="D5" s="422" t="s">
        <v>157</v>
      </c>
      <c r="E5" s="307">
        <v>1000</v>
      </c>
      <c r="F5" s="307">
        <v>1145</v>
      </c>
      <c r="G5" s="423">
        <v>882</v>
      </c>
      <c r="H5" s="110">
        <f t="shared" ref="H5:H28" si="0">IF(F5=0,"",(F5-G5)/F5)</f>
        <v>0.22969432314410482</v>
      </c>
      <c r="I5" s="675" t="s">
        <v>33</v>
      </c>
      <c r="J5" s="676"/>
      <c r="K5" s="676"/>
      <c r="L5" s="676"/>
      <c r="M5" s="676"/>
      <c r="N5" s="676"/>
      <c r="O5" s="677"/>
      <c r="P5" s="678">
        <v>2.1349999999999998</v>
      </c>
      <c r="Q5" s="679"/>
      <c r="R5" s="680">
        <v>6.5490000000000004</v>
      </c>
      <c r="S5" s="679"/>
      <c r="T5" s="681">
        <v>0.40300000000000002</v>
      </c>
      <c r="U5" s="682"/>
      <c r="V5" s="683">
        <v>20.481999999999999</v>
      </c>
      <c r="W5" s="684"/>
      <c r="X5" s="685">
        <v>0.21199999999999999</v>
      </c>
      <c r="Y5" s="686"/>
      <c r="Z5" s="687">
        <f>200-22</f>
        <v>178</v>
      </c>
      <c r="AA5" s="688"/>
      <c r="AB5" s="674">
        <v>38</v>
      </c>
      <c r="AC5" s="674"/>
      <c r="AD5" s="689">
        <f>SUM(AF5:AK5)*0.025</f>
        <v>0.8</v>
      </c>
      <c r="AE5" s="689"/>
      <c r="AF5" s="674">
        <f>14+14+4</f>
        <v>32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427" t="s">
        <v>173</v>
      </c>
      <c r="C6" s="131" t="s">
        <v>75</v>
      </c>
      <c r="D6" s="317" t="s">
        <v>157</v>
      </c>
      <c r="E6" s="317">
        <v>40</v>
      </c>
      <c r="F6" s="317">
        <v>43</v>
      </c>
      <c r="G6" s="424">
        <v>43</v>
      </c>
      <c r="H6" s="111">
        <f t="shared" si="0"/>
        <v>0</v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0.40435606060606061</v>
      </c>
      <c r="Q6" s="673"/>
      <c r="R6" s="673">
        <f>IF($F$15=0,0,R5*1000/$F$15)</f>
        <v>1.240340909090909</v>
      </c>
      <c r="S6" s="673"/>
      <c r="T6" s="673">
        <f>IF($F$15=0,0,T5*1000/$F$15)</f>
        <v>7.6325757575757575E-2</v>
      </c>
      <c r="U6" s="673"/>
      <c r="V6" s="673">
        <f>IF($F$15=0,0,V5*1000/$F$15)</f>
        <v>3.8791666666666669</v>
      </c>
      <c r="W6" s="673"/>
      <c r="X6" s="673">
        <f>IF($F$15=0,0,X5*1000/$F$15)</f>
        <v>4.0151515151515153E-2</v>
      </c>
      <c r="Y6" s="673"/>
      <c r="Z6" s="673">
        <f>IF($F$15=0,0,Z5*1000/$F$15)</f>
        <v>33.712121212121211</v>
      </c>
      <c r="AA6" s="673"/>
      <c r="AB6" s="632">
        <f>IF($F$15=0,0,AB5*1000/$F$15)</f>
        <v>7.1969696969696972</v>
      </c>
      <c r="AC6" s="632"/>
      <c r="AD6" s="632">
        <f>IF($F$15=0,0,AD5*1000/$F$15)</f>
        <v>0.15151515151515152</v>
      </c>
      <c r="AE6" s="632"/>
      <c r="AF6" s="627">
        <f>IF(AF5=0,0,F15/AF5)</f>
        <v>165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427" t="s">
        <v>154</v>
      </c>
      <c r="C7" s="131" t="s">
        <v>76</v>
      </c>
      <c r="D7" s="425" t="s">
        <v>157</v>
      </c>
      <c r="E7" s="317">
        <v>2000</v>
      </c>
      <c r="F7" s="317">
        <v>2878</v>
      </c>
      <c r="G7" s="424">
        <v>2531</v>
      </c>
      <c r="H7" s="111">
        <f t="shared" si="0"/>
        <v>0.12056984016678249</v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0.47773551130006714</v>
      </c>
      <c r="Q7" s="639"/>
      <c r="R7" s="639">
        <f>IF($G$15=0,0,R5*1000/$G$15)</f>
        <v>1.4654285074960842</v>
      </c>
      <c r="S7" s="639"/>
      <c r="T7" s="639">
        <f>IF($G$15=0,0,T5*1000/$G$15)</f>
        <v>9.0176773327366302E-2</v>
      </c>
      <c r="U7" s="639"/>
      <c r="V7" s="639">
        <f>IF($G$15=0,0,V5*1000/$G$15)</f>
        <v>4.5831282166032672</v>
      </c>
      <c r="W7" s="639"/>
      <c r="X7" s="639">
        <f>IF($G$15=0,0,X5*1000/$G$15)</f>
        <v>4.7437905571716267E-2</v>
      </c>
      <c r="Y7" s="639"/>
      <c r="Z7" s="639">
        <f>IF($G$15=0,0,Z5*1000/$G$15)</f>
        <v>39.829939583799508</v>
      </c>
      <c r="AA7" s="639"/>
      <c r="AB7" s="632">
        <f>IF($G$15=0,0,AB5*1000/$G$15)</f>
        <v>8.5030208100246139</v>
      </c>
      <c r="AC7" s="632"/>
      <c r="AD7" s="632">
        <f>IF($G$15=0,0,AD5*1000/$G$15)</f>
        <v>0.17901096442157083</v>
      </c>
      <c r="AE7" s="632"/>
      <c r="AF7" s="627">
        <f>IF(AF5=0,0,G15/AF5)</f>
        <v>139.65625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427"/>
      <c r="C8" s="129" t="s">
        <v>77</v>
      </c>
      <c r="D8" s="318"/>
      <c r="E8" s="317"/>
      <c r="F8" s="317"/>
      <c r="G8" s="424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>
        <v>97</v>
      </c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427" t="s">
        <v>155</v>
      </c>
      <c r="C9" s="129" t="s">
        <v>78</v>
      </c>
      <c r="D9" s="318" t="s">
        <v>157</v>
      </c>
      <c r="E9" s="317">
        <v>800</v>
      </c>
      <c r="F9" s="317">
        <v>969</v>
      </c>
      <c r="G9" s="424">
        <v>862</v>
      </c>
      <c r="H9" s="111">
        <f>IF(F9=0,"",(F9-G9)/F9)</f>
        <v>0.11042311661506708</v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427" t="s">
        <v>156</v>
      </c>
      <c r="C10" s="129" t="s">
        <v>79</v>
      </c>
      <c r="D10" s="318" t="s">
        <v>157</v>
      </c>
      <c r="E10" s="317">
        <v>500</v>
      </c>
      <c r="F10" s="317">
        <v>245</v>
      </c>
      <c r="G10" s="424">
        <v>151</v>
      </c>
      <c r="H10" s="111">
        <f>IF(F10=0,"",(F10-G10)/F10)</f>
        <v>0.3836734693877551</v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222"/>
      <c r="F11" s="228"/>
      <c r="G11" s="229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276"/>
      <c r="C12" s="129" t="s">
        <v>63</v>
      </c>
      <c r="D12" s="288"/>
      <c r="E12" s="228"/>
      <c r="F12" s="228"/>
      <c r="G12" s="229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>
        <f>3+3+3+3+4+2+5</f>
        <v>23</v>
      </c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>
        <f>F15/P12</f>
        <v>229.56521739130434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846" t="s">
        <v>72</v>
      </c>
      <c r="J14" s="847"/>
      <c r="K14" s="847"/>
      <c r="L14" s="847"/>
      <c r="M14" s="847"/>
      <c r="N14" s="847"/>
      <c r="O14" s="848"/>
      <c r="P14" s="713">
        <v>7</v>
      </c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4340</v>
      </c>
      <c r="F15" s="204">
        <f>SUM(F5:F14)</f>
        <v>5280</v>
      </c>
      <c r="G15" s="204">
        <f>SUM(G5:G14)</f>
        <v>4469</v>
      </c>
      <c r="H15" s="188">
        <f>IF(F15=0,"",(F15-G15)/F15)</f>
        <v>0.15359848484848485</v>
      </c>
      <c r="I15" s="719" t="s">
        <v>70</v>
      </c>
      <c r="J15" s="720"/>
      <c r="K15" s="720"/>
      <c r="L15" s="720"/>
      <c r="M15" s="720"/>
      <c r="N15" s="720"/>
      <c r="O15" s="721"/>
      <c r="P15" s="722">
        <f>F15/P14</f>
        <v>754.28571428571433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224" t="s">
        <v>158</v>
      </c>
      <c r="C16" s="130" t="s">
        <v>74</v>
      </c>
      <c r="D16" s="230" t="s">
        <v>162</v>
      </c>
      <c r="E16" s="225">
        <v>3000</v>
      </c>
      <c r="F16" s="225">
        <v>2807</v>
      </c>
      <c r="G16" s="226">
        <v>2338</v>
      </c>
      <c r="H16" s="110">
        <f t="shared" si="0"/>
        <v>0.16708229426433915</v>
      </c>
      <c r="I16" s="727" t="s">
        <v>71</v>
      </c>
      <c r="J16" s="728"/>
      <c r="K16" s="728"/>
      <c r="L16" s="728"/>
      <c r="M16" s="728"/>
      <c r="N16" s="728"/>
      <c r="O16" s="729"/>
      <c r="P16" s="730">
        <v>1.585</v>
      </c>
      <c r="Q16" s="731"/>
      <c r="R16" s="732">
        <v>4.9269999999999996</v>
      </c>
      <c r="S16" s="731"/>
      <c r="T16" s="733">
        <v>0.55300000000000005</v>
      </c>
      <c r="U16" s="734"/>
      <c r="V16" s="735">
        <v>15.499000000000001</v>
      </c>
      <c r="W16" s="736"/>
      <c r="X16" s="737">
        <v>0.315</v>
      </c>
      <c r="Y16" s="738"/>
      <c r="Z16" s="740">
        <f>40+200+73</f>
        <v>313</v>
      </c>
      <c r="AA16" s="741"/>
      <c r="AB16" s="739">
        <v>27</v>
      </c>
      <c r="AC16" s="739"/>
      <c r="AD16" s="725">
        <f>SUM(AF16:AK16)*0.025</f>
        <v>1.125</v>
      </c>
      <c r="AE16" s="725"/>
      <c r="AF16" s="726">
        <f>3+14+14+14</f>
        <v>45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362"/>
      <c r="C17" s="131" t="s">
        <v>75</v>
      </c>
      <c r="D17" s="228"/>
      <c r="E17" s="228"/>
      <c r="F17" s="228"/>
      <c r="G17" s="229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0.16248077908764735</v>
      </c>
      <c r="Q17" s="745"/>
      <c r="R17" s="746">
        <f>IF($F$26=0,0,R16*1000/$F$26)</f>
        <v>0.50507432086109683</v>
      </c>
      <c r="S17" s="745"/>
      <c r="T17" s="746">
        <f>IF($F$26=0,0,T16*1000/$F$26)</f>
        <v>5.6688877498718607E-2</v>
      </c>
      <c r="U17" s="744"/>
      <c r="V17" s="632">
        <f>IF($F$26=0,0,V16*1000/$F$26)</f>
        <v>1.5888262429523321</v>
      </c>
      <c r="W17" s="632"/>
      <c r="X17" s="632">
        <f>IF($F$26=0,0,X16*1000/$F$26)</f>
        <v>3.2291132752434649E-2</v>
      </c>
      <c r="Y17" s="632"/>
      <c r="Z17" s="744">
        <f>IF($F$26=0,0,Z16*1000/$F$26)</f>
        <v>32.086109687339828</v>
      </c>
      <c r="AA17" s="744"/>
      <c r="AB17" s="632">
        <f>IF($F$26=0,0,AB16*1000/$F$26)</f>
        <v>2.7678113787801126</v>
      </c>
      <c r="AC17" s="632"/>
      <c r="AD17" s="632">
        <f>IF($F$26=0,0,AD16*1000/$F$26)</f>
        <v>0.11532547411583803</v>
      </c>
      <c r="AE17" s="632"/>
      <c r="AF17" s="742">
        <f>IF(AF16=0,0,F26/AF16)</f>
        <v>216.77777777777777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362" t="s">
        <v>159</v>
      </c>
      <c r="C18" s="131" t="s">
        <v>76</v>
      </c>
      <c r="D18" s="228" t="s">
        <v>162</v>
      </c>
      <c r="E18" s="228">
        <v>2000</v>
      </c>
      <c r="F18" s="228">
        <v>4178</v>
      </c>
      <c r="G18" s="229">
        <v>3679</v>
      </c>
      <c r="H18" s="111">
        <f t="shared" si="0"/>
        <v>0.11943513642891336</v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0.18503385477469064</v>
      </c>
      <c r="Q18" s="752"/>
      <c r="R18" s="746">
        <f>IF($G$26=0,0,R16*1000/$G$26)</f>
        <v>0.57518094793369134</v>
      </c>
      <c r="S18" s="745"/>
      <c r="T18" s="746">
        <f>IF($G$26=0,0,T16*1000/$G$26)</f>
        <v>6.4557553116974087E-2</v>
      </c>
      <c r="U18" s="745"/>
      <c r="V18" s="753">
        <f>IF($G$26=0,0,V16*1000/$G$26)</f>
        <v>1.8093625963109969</v>
      </c>
      <c r="W18" s="754"/>
      <c r="X18" s="753">
        <f>IF($G$26=0,0,X16*1000/$G$26)</f>
        <v>3.677328975017511E-2</v>
      </c>
      <c r="Y18" s="754"/>
      <c r="Z18" s="746">
        <f>IF($G$26=0,0,Z16*1000/$G$26)</f>
        <v>36.539808545412093</v>
      </c>
      <c r="AA18" s="744"/>
      <c r="AB18" s="632">
        <f>IF($G$26=0,0,AB16*1000/$G$26)</f>
        <v>3.151996264300724</v>
      </c>
      <c r="AC18" s="632"/>
      <c r="AD18" s="632">
        <f>IF($G$26=0,0,AD16*1000/$G$26)</f>
        <v>0.13133317767919683</v>
      </c>
      <c r="AE18" s="632"/>
      <c r="AF18" s="742">
        <f>IF(AF16=0,0,G26/AF16)</f>
        <v>190.35555555555555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362"/>
      <c r="C19" s="131" t="s">
        <v>77</v>
      </c>
      <c r="D19" s="228"/>
      <c r="E19" s="228"/>
      <c r="F19" s="228"/>
      <c r="G19" s="229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>
        <v>72</v>
      </c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362" t="s">
        <v>160</v>
      </c>
      <c r="C20" s="131" t="s">
        <v>78</v>
      </c>
      <c r="D20" s="228" t="s">
        <v>162</v>
      </c>
      <c r="E20" s="228">
        <v>1200</v>
      </c>
      <c r="F20" s="228">
        <v>1866</v>
      </c>
      <c r="G20" s="229">
        <v>1795</v>
      </c>
      <c r="H20" s="111">
        <f t="shared" si="0"/>
        <v>3.8049303322615219E-2</v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362" t="s">
        <v>161</v>
      </c>
      <c r="C21" s="131" t="s">
        <v>79</v>
      </c>
      <c r="D21" s="228" t="s">
        <v>162</v>
      </c>
      <c r="E21" s="228">
        <v>1500</v>
      </c>
      <c r="F21" s="228">
        <v>904</v>
      </c>
      <c r="G21" s="229">
        <v>754</v>
      </c>
      <c r="H21" s="111">
        <f t="shared" si="0"/>
        <v>0.16592920353982302</v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>
        <f>1+4+1+3+2+4+5+4+1+5+2+4+3+5</f>
        <v>44</v>
      </c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>
        <f>F26/P23</f>
        <v>221.70454545454547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>
        <v>7</v>
      </c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7700</v>
      </c>
      <c r="F26" s="205">
        <f>SUM(F16:F25)</f>
        <v>9755</v>
      </c>
      <c r="G26" s="205">
        <f>SUM(G16:G25)</f>
        <v>8566</v>
      </c>
      <c r="H26" s="196">
        <f>IF(F26=0,"",(F26-G26)/F26)</f>
        <v>0.12188621219887237</v>
      </c>
      <c r="I26" s="719" t="s">
        <v>70</v>
      </c>
      <c r="J26" s="720"/>
      <c r="K26" s="720"/>
      <c r="L26" s="720"/>
      <c r="M26" s="720"/>
      <c r="N26" s="720"/>
      <c r="O26" s="721"/>
      <c r="P26" s="785">
        <f>F26/P25</f>
        <v>1393.5714285714287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3.7199999999999998</v>
      </c>
      <c r="Q27" s="781"/>
      <c r="R27" s="782">
        <f>SUM(R5,R16)</f>
        <v>11.475999999999999</v>
      </c>
      <c r="S27" s="781"/>
      <c r="T27" s="782">
        <f>SUM(T5,T16)</f>
        <v>0.95600000000000007</v>
      </c>
      <c r="U27" s="781"/>
      <c r="V27" s="782">
        <f>SUM(V5,V16)</f>
        <v>35.981000000000002</v>
      </c>
      <c r="W27" s="781"/>
      <c r="X27" s="782">
        <f>SUM(X5,X16)</f>
        <v>0.52700000000000002</v>
      </c>
      <c r="Y27" s="781"/>
      <c r="Z27" s="783">
        <f>SUM(Z5,Z16)</f>
        <v>491</v>
      </c>
      <c r="AA27" s="784"/>
      <c r="AB27" s="770">
        <f>SUM(AB5,AB16)</f>
        <v>65</v>
      </c>
      <c r="AC27" s="770"/>
      <c r="AD27" s="769">
        <f>SUM(AD5,AD16)</f>
        <v>1.925</v>
      </c>
      <c r="AE27" s="769"/>
      <c r="AF27" s="770">
        <f>SUM(AF5,AF16)</f>
        <v>77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12040</v>
      </c>
      <c r="F28" s="140">
        <f>F15+F26</f>
        <v>15035</v>
      </c>
      <c r="G28" s="140">
        <f>G15+G26</f>
        <v>13035</v>
      </c>
      <c r="H28" s="141">
        <f t="shared" si="0"/>
        <v>0.13302294645826404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0.24742268041237112</v>
      </c>
      <c r="Q28" s="745"/>
      <c r="R28" s="746">
        <f t="shared" si="1"/>
        <v>0.76328566677751908</v>
      </c>
      <c r="S28" s="745"/>
      <c r="T28" s="746">
        <f t="shared" si="1"/>
        <v>6.3584968407050219E-2</v>
      </c>
      <c r="U28" s="745"/>
      <c r="V28" s="800">
        <f t="shared" si="1"/>
        <v>2.3931493182573993</v>
      </c>
      <c r="W28" s="801"/>
      <c r="X28" s="800">
        <f t="shared" si="1"/>
        <v>3.5051546391752578E-2</v>
      </c>
      <c r="Y28" s="801"/>
      <c r="Z28" s="746">
        <f t="shared" si="1"/>
        <v>32.657133355503824</v>
      </c>
      <c r="AA28" s="744"/>
      <c r="AB28" s="632">
        <f t="shared" si="1"/>
        <v>4.3232457598935818</v>
      </c>
      <c r="AC28" s="632"/>
      <c r="AD28" s="632">
        <f t="shared" si="1"/>
        <v>0.12803458596607914</v>
      </c>
      <c r="AE28" s="632"/>
      <c r="AF28" s="757">
        <f t="shared" si="1"/>
        <v>5.121383438643166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0.28538550057537398</v>
      </c>
      <c r="Q29" s="792"/>
      <c r="R29" s="771">
        <f t="shared" si="2"/>
        <v>0.88039892596854619</v>
      </c>
      <c r="S29" s="792"/>
      <c r="T29" s="771">
        <f t="shared" si="2"/>
        <v>7.3341004986574615E-2</v>
      </c>
      <c r="U29" s="792"/>
      <c r="V29" s="793">
        <f t="shared" si="2"/>
        <v>2.7603375527426159</v>
      </c>
      <c r="W29" s="794"/>
      <c r="X29" s="795">
        <f t="shared" si="2"/>
        <v>4.0429612581511315E-2</v>
      </c>
      <c r="Y29" s="796"/>
      <c r="Z29" s="771">
        <f t="shared" si="2"/>
        <v>37.667817414652859</v>
      </c>
      <c r="AA29" s="772"/>
      <c r="AB29" s="773">
        <f t="shared" si="2"/>
        <v>4.9865746068277712</v>
      </c>
      <c r="AC29" s="773"/>
      <c r="AD29" s="773">
        <f t="shared" si="2"/>
        <v>0.14767932489451477</v>
      </c>
      <c r="AE29" s="773"/>
      <c r="AF29" s="774">
        <f t="shared" si="2"/>
        <v>5.9071729957805905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306" t="str">
        <f t="shared" ref="B33:B42" si="3">B5</f>
        <v>I11690806</v>
      </c>
      <c r="C33" s="213" t="s">
        <v>74</v>
      </c>
      <c r="D33" s="307" t="str">
        <f t="shared" ref="D33:D42" si="4">D5</f>
        <v>ไอวอรี่เกรย์*N</v>
      </c>
      <c r="E33" s="307">
        <f>G5</f>
        <v>882</v>
      </c>
      <c r="F33" s="395">
        <f>144*5+76+6</f>
        <v>802</v>
      </c>
      <c r="G33" s="62">
        <f t="shared" ref="G33:G55" si="5">IF(E33=0,"",(E33-F33)/E33)</f>
        <v>9.0702947845804988E-2</v>
      </c>
      <c r="H33" s="63"/>
      <c r="I33" s="64">
        <f t="shared" ref="I33:I54" si="6">SUM(J33:AH33)</f>
        <v>80</v>
      </c>
      <c r="J33" s="453"/>
      <c r="K33" s="454">
        <f>5</f>
        <v>5</v>
      </c>
      <c r="L33" s="453">
        <f>20+20+20</f>
        <v>60</v>
      </c>
      <c r="M33" s="454"/>
      <c r="N33" s="453"/>
      <c r="O33" s="454"/>
      <c r="P33" s="453"/>
      <c r="Q33" s="454"/>
      <c r="R33" s="453"/>
      <c r="S33" s="454"/>
      <c r="T33" s="453"/>
      <c r="U33" s="454"/>
      <c r="V33" s="453"/>
      <c r="W33" s="454"/>
      <c r="X33" s="453"/>
      <c r="Y33" s="454"/>
      <c r="Z33" s="453"/>
      <c r="AA33" s="454"/>
      <c r="AB33" s="453"/>
      <c r="AC33" s="454">
        <f>4</f>
        <v>4</v>
      </c>
      <c r="AD33" s="453"/>
      <c r="AE33" s="454">
        <v>1</v>
      </c>
      <c r="AF33" s="453">
        <v>10</v>
      </c>
      <c r="AG33" s="454"/>
      <c r="AH33" s="453"/>
      <c r="AI33" s="820" t="s">
        <v>163</v>
      </c>
      <c r="AJ33" s="821"/>
      <c r="AK33" s="849" t="s">
        <v>144</v>
      </c>
      <c r="AL33" s="850"/>
      <c r="AM33" s="851"/>
    </row>
    <row r="34" spans="1:39" ht="20.25" customHeight="1">
      <c r="A34" s="370"/>
      <c r="B34" s="320" t="str">
        <f t="shared" si="3"/>
        <v>I12690806</v>
      </c>
      <c r="C34" s="214" t="s">
        <v>75</v>
      </c>
      <c r="D34" s="318" t="str">
        <f t="shared" si="4"/>
        <v>ไอวอรี่เกรย์*N</v>
      </c>
      <c r="E34" s="318">
        <f>G6</f>
        <v>43</v>
      </c>
      <c r="F34" s="322">
        <f>40*1+3</f>
        <v>43</v>
      </c>
      <c r="G34" s="70">
        <f t="shared" si="5"/>
        <v>0</v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833" t="s">
        <v>174</v>
      </c>
      <c r="AJ34" s="834"/>
      <c r="AK34" s="551" t="s">
        <v>171</v>
      </c>
      <c r="AL34" s="552"/>
      <c r="AM34" s="553"/>
    </row>
    <row r="35" spans="1:39" ht="20.25" customHeight="1">
      <c r="A35" s="370"/>
      <c r="B35" s="320" t="str">
        <f t="shared" si="3"/>
        <v>I13690806</v>
      </c>
      <c r="C35" s="214" t="s">
        <v>76</v>
      </c>
      <c r="D35" s="318" t="str">
        <f t="shared" si="4"/>
        <v>ไอวอรี่เกรย์*N</v>
      </c>
      <c r="E35" s="318">
        <f>G7</f>
        <v>2531</v>
      </c>
      <c r="F35" s="322">
        <f>210*12+6</f>
        <v>2526</v>
      </c>
      <c r="G35" s="70">
        <f t="shared" si="5"/>
        <v>1.9755037534571317E-3</v>
      </c>
      <c r="H35" s="63"/>
      <c r="I35" s="64">
        <f t="shared" si="6"/>
        <v>5</v>
      </c>
      <c r="J35" s="455"/>
      <c r="K35" s="456">
        <v>5</v>
      </c>
      <c r="L35" s="456"/>
      <c r="M35" s="456"/>
      <c r="N35" s="456"/>
      <c r="O35" s="456"/>
      <c r="P35" s="456"/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7"/>
      <c r="AI35" s="835" t="s">
        <v>164</v>
      </c>
      <c r="AJ35" s="836"/>
      <c r="AK35" s="852" t="s">
        <v>144</v>
      </c>
      <c r="AL35" s="853"/>
      <c r="AM35" s="854"/>
    </row>
    <row r="36" spans="1:39" ht="20.25" customHeight="1">
      <c r="A36" s="371">
        <v>1</v>
      </c>
      <c r="B36" s="320">
        <f t="shared" si="3"/>
        <v>0</v>
      </c>
      <c r="C36" s="214" t="s">
        <v>77</v>
      </c>
      <c r="D36" s="318">
        <f t="shared" si="4"/>
        <v>0</v>
      </c>
      <c r="E36" s="318">
        <f t="shared" ref="E36:E42" si="7">G8</f>
        <v>0</v>
      </c>
      <c r="F36" s="322"/>
      <c r="G36" s="70" t="str">
        <f t="shared" si="5"/>
        <v/>
      </c>
      <c r="H36" s="63"/>
      <c r="I36" s="64">
        <f t="shared" si="6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452"/>
      <c r="AJ36" s="438"/>
      <c r="AK36" s="551"/>
      <c r="AL36" s="552"/>
      <c r="AM36" s="553"/>
    </row>
    <row r="37" spans="1:39" ht="20.25" customHeight="1">
      <c r="A37" s="372"/>
      <c r="B37" s="320" t="str">
        <f t="shared" si="3"/>
        <v>I15690806</v>
      </c>
      <c r="C37" s="214" t="s">
        <v>78</v>
      </c>
      <c r="D37" s="318" t="str">
        <f t="shared" si="4"/>
        <v>ไอวอรี่เกรย์*N</v>
      </c>
      <c r="E37" s="318">
        <f>G9</f>
        <v>862</v>
      </c>
      <c r="F37" s="322">
        <f>280*3+6</f>
        <v>846</v>
      </c>
      <c r="G37" s="70">
        <f t="shared" si="5"/>
        <v>1.8561484918793503E-2</v>
      </c>
      <c r="H37" s="63"/>
      <c r="I37" s="64">
        <f t="shared" si="6"/>
        <v>16</v>
      </c>
      <c r="J37" s="455"/>
      <c r="K37" s="456">
        <v>12</v>
      </c>
      <c r="L37" s="456"/>
      <c r="M37" s="456"/>
      <c r="N37" s="456"/>
      <c r="O37" s="456"/>
      <c r="P37" s="456"/>
      <c r="Q37" s="456"/>
      <c r="R37" s="456">
        <v>4</v>
      </c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833" t="s">
        <v>165</v>
      </c>
      <c r="AJ37" s="834"/>
      <c r="AK37" s="551" t="s">
        <v>144</v>
      </c>
      <c r="AL37" s="552"/>
      <c r="AM37" s="553"/>
    </row>
    <row r="38" spans="1:39" ht="20.25" customHeight="1">
      <c r="A38" s="372"/>
      <c r="B38" s="321" t="str">
        <f t="shared" si="3"/>
        <v>I16690806</v>
      </c>
      <c r="C38" s="214" t="s">
        <v>79</v>
      </c>
      <c r="D38" s="323" t="str">
        <f t="shared" si="4"/>
        <v>ไอวอรี่เกรย์*N</v>
      </c>
      <c r="E38" s="318">
        <f>G10</f>
        <v>151</v>
      </c>
      <c r="F38" s="322">
        <f>96*1+26+6</f>
        <v>128</v>
      </c>
      <c r="G38" s="70">
        <f t="shared" si="5"/>
        <v>0.15231788079470199</v>
      </c>
      <c r="H38" s="63"/>
      <c r="I38" s="64">
        <f t="shared" si="6"/>
        <v>23</v>
      </c>
      <c r="J38" s="455"/>
      <c r="K38" s="456">
        <v>2</v>
      </c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>
        <v>21</v>
      </c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833" t="s">
        <v>166</v>
      </c>
      <c r="AJ38" s="834"/>
      <c r="AK38" s="551" t="s">
        <v>144</v>
      </c>
      <c r="AL38" s="552"/>
      <c r="AM38" s="553"/>
    </row>
    <row r="39" spans="1:39" ht="20.25" customHeight="1">
      <c r="A39" s="372"/>
      <c r="B39" s="321">
        <f t="shared" si="3"/>
        <v>0</v>
      </c>
      <c r="C39" s="214" t="s">
        <v>80</v>
      </c>
      <c r="D39" s="323">
        <f t="shared" si="4"/>
        <v>0</v>
      </c>
      <c r="E39" s="323">
        <f t="shared" si="7"/>
        <v>0</v>
      </c>
      <c r="F39" s="324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398"/>
      <c r="AL39" s="399"/>
      <c r="AM39" s="400"/>
    </row>
    <row r="40" spans="1:39" ht="20.25" customHeight="1">
      <c r="A40" s="372"/>
      <c r="B40" s="321">
        <f t="shared" si="3"/>
        <v>0</v>
      </c>
      <c r="C40" s="214" t="s">
        <v>63</v>
      </c>
      <c r="D40" s="323">
        <f t="shared" si="4"/>
        <v>0</v>
      </c>
      <c r="E40" s="323">
        <f t="shared" si="7"/>
        <v>0</v>
      </c>
      <c r="F40" s="324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835"/>
      <c r="AJ40" s="836"/>
      <c r="AK40" s="855"/>
      <c r="AL40" s="856"/>
      <c r="AM40" s="857"/>
    </row>
    <row r="41" spans="1:39" ht="20.25" customHeight="1">
      <c r="A41" s="370"/>
      <c r="B41" s="350">
        <f t="shared" si="3"/>
        <v>0</v>
      </c>
      <c r="C41" s="215" t="s">
        <v>81</v>
      </c>
      <c r="D41" s="353">
        <f t="shared" si="4"/>
        <v>0</v>
      </c>
      <c r="E41" s="353">
        <f t="shared" si="7"/>
        <v>0</v>
      </c>
      <c r="F41" s="354"/>
      <c r="G41" s="210" t="str">
        <f t="shared" si="5"/>
        <v/>
      </c>
      <c r="H41" s="63"/>
      <c r="I41" s="64">
        <f>SUM(J41:AH41)</f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398"/>
      <c r="AL41" s="399"/>
      <c r="AM41" s="400"/>
    </row>
    <row r="42" spans="1:39" ht="20.25" customHeight="1" thickBot="1">
      <c r="A42" s="370"/>
      <c r="B42" s="394">
        <f t="shared" si="3"/>
        <v>0</v>
      </c>
      <c r="C42" s="374" t="s">
        <v>82</v>
      </c>
      <c r="D42" s="358">
        <f t="shared" si="4"/>
        <v>0</v>
      </c>
      <c r="E42" s="358">
        <f t="shared" si="7"/>
        <v>0</v>
      </c>
      <c r="F42" s="359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4469</v>
      </c>
      <c r="F43" s="145">
        <f>SUM(F33:F42)</f>
        <v>4345</v>
      </c>
      <c r="G43" s="135">
        <f t="shared" si="5"/>
        <v>2.7746699485343477E-2</v>
      </c>
      <c r="H43" s="63"/>
      <c r="I43" s="376">
        <f t="shared" si="6"/>
        <v>124</v>
      </c>
      <c r="J43" s="77">
        <f>SUM(J33:J42)</f>
        <v>0</v>
      </c>
      <c r="K43" s="78">
        <f t="shared" ref="K43:AH43" si="8">SUM(K33:K42)</f>
        <v>24</v>
      </c>
      <c r="L43" s="78">
        <f t="shared" si="8"/>
        <v>60</v>
      </c>
      <c r="M43" s="78">
        <f t="shared" si="8"/>
        <v>0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0</v>
      </c>
      <c r="R43" s="78">
        <f t="shared" si="8"/>
        <v>4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0</v>
      </c>
      <c r="W43" s="78">
        <f t="shared" si="8"/>
        <v>21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0</v>
      </c>
      <c r="AC43" s="78">
        <f t="shared" si="8"/>
        <v>4</v>
      </c>
      <c r="AD43" s="78">
        <f t="shared" si="8"/>
        <v>0</v>
      </c>
      <c r="AE43" s="78">
        <f t="shared" si="8"/>
        <v>1</v>
      </c>
      <c r="AF43" s="78">
        <f t="shared" si="8"/>
        <v>10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96" t="str">
        <f t="shared" ref="B44:B53" si="9">B16</f>
        <v>I11690807</v>
      </c>
      <c r="C44" s="382" t="s">
        <v>74</v>
      </c>
      <c r="D44" s="307" t="str">
        <f t="shared" ref="D44:D53" si="10">D16</f>
        <v>ดาร์กเกรย์*N</v>
      </c>
      <c r="E44" s="307">
        <f>G16</f>
        <v>2338</v>
      </c>
      <c r="F44" s="395">
        <f>144*14+117+6</f>
        <v>2139</v>
      </c>
      <c r="G44" s="62">
        <f t="shared" si="5"/>
        <v>8.5115483319076132E-2</v>
      </c>
      <c r="H44" s="63"/>
      <c r="I44" s="383">
        <f>SUM(J44:AH44)</f>
        <v>199</v>
      </c>
      <c r="J44" s="459"/>
      <c r="K44" s="459">
        <f>12+16+20+8</f>
        <v>56</v>
      </c>
      <c r="L44" s="459">
        <f>10+25</f>
        <v>35</v>
      </c>
      <c r="M44" s="459">
        <f>2+11</f>
        <v>13</v>
      </c>
      <c r="N44" s="459"/>
      <c r="O44" s="459"/>
      <c r="P44" s="459">
        <f>7+10+25</f>
        <v>42</v>
      </c>
      <c r="Q44" s="459"/>
      <c r="R44" s="459">
        <v>25</v>
      </c>
      <c r="S44" s="459"/>
      <c r="T44" s="459"/>
      <c r="U44" s="459"/>
      <c r="V44" s="459"/>
      <c r="W44" s="459">
        <f>199-181</f>
        <v>18</v>
      </c>
      <c r="X44" s="459"/>
      <c r="Y44" s="459">
        <v>3</v>
      </c>
      <c r="Z44" s="459"/>
      <c r="AA44" s="459"/>
      <c r="AB44" s="459"/>
      <c r="AC44" s="459"/>
      <c r="AD44" s="459"/>
      <c r="AE44" s="459"/>
      <c r="AF44" s="459">
        <f>2+5</f>
        <v>7</v>
      </c>
      <c r="AG44" s="459"/>
      <c r="AH44" s="460"/>
      <c r="AI44" s="812" t="s">
        <v>208</v>
      </c>
      <c r="AJ44" s="813"/>
      <c r="AK44" s="560" t="s">
        <v>207</v>
      </c>
      <c r="AL44" s="403"/>
      <c r="AM44" s="404"/>
    </row>
    <row r="45" spans="1:39" ht="20.25" customHeight="1">
      <c r="A45" s="384"/>
      <c r="B45" s="351">
        <f t="shared" si="9"/>
        <v>0</v>
      </c>
      <c r="C45" s="216" t="s">
        <v>75</v>
      </c>
      <c r="D45" s="355">
        <f t="shared" si="10"/>
        <v>0</v>
      </c>
      <c r="E45" s="317">
        <f t="shared" ref="E45:E53" si="11">G17</f>
        <v>0</v>
      </c>
      <c r="F45" s="322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613"/>
      <c r="AJ45" s="614"/>
      <c r="AK45" s="473"/>
      <c r="AL45" s="474"/>
      <c r="AM45" s="410"/>
    </row>
    <row r="46" spans="1:39" ht="20.25" customHeight="1">
      <c r="A46" s="363">
        <v>2</v>
      </c>
      <c r="B46" s="351" t="str">
        <f t="shared" si="9"/>
        <v>I13690807</v>
      </c>
      <c r="C46" s="217" t="s">
        <v>76</v>
      </c>
      <c r="D46" s="356" t="str">
        <f t="shared" si="10"/>
        <v>ดาร์กเกรย์*N</v>
      </c>
      <c r="E46" s="323">
        <f>G18</f>
        <v>3679</v>
      </c>
      <c r="F46" s="324">
        <f>210*16+129+6</f>
        <v>3495</v>
      </c>
      <c r="G46" s="70">
        <f t="shared" si="5"/>
        <v>5.0013590649633052E-2</v>
      </c>
      <c r="H46" s="63"/>
      <c r="I46" s="64">
        <f>SUM(J46:AH46)</f>
        <v>184</v>
      </c>
      <c r="J46" s="360"/>
      <c r="K46" s="360">
        <f>7</f>
        <v>7</v>
      </c>
      <c r="L46" s="360">
        <f>3+7+9</f>
        <v>19</v>
      </c>
      <c r="M46" s="360"/>
      <c r="N46" s="360"/>
      <c r="O46" s="360"/>
      <c r="P46" s="360"/>
      <c r="Q46" s="360"/>
      <c r="R46" s="360">
        <f>12+2+20+20</f>
        <v>54</v>
      </c>
      <c r="S46" s="360"/>
      <c r="T46" s="360"/>
      <c r="U46" s="360"/>
      <c r="V46" s="360"/>
      <c r="W46" s="360">
        <f>16+20+19+20+17</f>
        <v>92</v>
      </c>
      <c r="X46" s="360"/>
      <c r="Y46" s="360"/>
      <c r="Z46" s="360"/>
      <c r="AA46" s="360"/>
      <c r="AB46" s="360"/>
      <c r="AC46" s="360">
        <f>5+1</f>
        <v>6</v>
      </c>
      <c r="AD46" s="360"/>
      <c r="AE46" s="360"/>
      <c r="AF46" s="360">
        <f>4+2</f>
        <v>6</v>
      </c>
      <c r="AG46" s="360"/>
      <c r="AH46" s="361"/>
      <c r="AI46" s="613" t="s">
        <v>167</v>
      </c>
      <c r="AJ46" s="614"/>
      <c r="AK46" s="549" t="s">
        <v>144</v>
      </c>
      <c r="AL46" s="74"/>
      <c r="AM46" s="75"/>
    </row>
    <row r="47" spans="1:39" ht="20.25" customHeight="1">
      <c r="A47" s="363"/>
      <c r="B47" s="351">
        <f t="shared" si="9"/>
        <v>0</v>
      </c>
      <c r="C47" s="217" t="s">
        <v>77</v>
      </c>
      <c r="D47" s="357">
        <f t="shared" si="10"/>
        <v>0</v>
      </c>
      <c r="E47" s="323">
        <f t="shared" si="11"/>
        <v>0</v>
      </c>
      <c r="F47" s="324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351" t="str">
        <f t="shared" si="9"/>
        <v>I15690807</v>
      </c>
      <c r="C48" s="217" t="s">
        <v>78</v>
      </c>
      <c r="D48" s="357" t="str">
        <f t="shared" si="10"/>
        <v>ดาร์กเกรย์*N</v>
      </c>
      <c r="E48" s="323">
        <f>G20</f>
        <v>1795</v>
      </c>
      <c r="F48" s="324">
        <f>280*6+109+6</f>
        <v>1795</v>
      </c>
      <c r="G48" s="70">
        <f t="shared" si="5"/>
        <v>0</v>
      </c>
      <c r="H48" s="63"/>
      <c r="I48" s="64">
        <f t="shared" si="6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802" t="s">
        <v>185</v>
      </c>
      <c r="AJ48" s="614"/>
      <c r="AK48" s="555" t="s">
        <v>186</v>
      </c>
      <c r="AL48" s="74"/>
      <c r="AM48" s="75"/>
    </row>
    <row r="49" spans="1:39" ht="20.25" customHeight="1">
      <c r="A49" s="363"/>
      <c r="B49" s="351" t="str">
        <f t="shared" si="9"/>
        <v>I16690807</v>
      </c>
      <c r="C49" s="217" t="s">
        <v>79</v>
      </c>
      <c r="D49" s="357" t="str">
        <f t="shared" si="10"/>
        <v>ดาร์กเกรย์*N</v>
      </c>
      <c r="E49" s="323">
        <f>G21</f>
        <v>754</v>
      </c>
      <c r="F49" s="324">
        <f>96*6+94+6</f>
        <v>676</v>
      </c>
      <c r="G49" s="70">
        <f t="shared" si="5"/>
        <v>0.10344827586206896</v>
      </c>
      <c r="H49" s="63"/>
      <c r="I49" s="64">
        <f t="shared" si="6"/>
        <v>78</v>
      </c>
      <c r="J49" s="360"/>
      <c r="K49" s="360">
        <v>30</v>
      </c>
      <c r="L49" s="360">
        <v>8</v>
      </c>
      <c r="M49" s="360"/>
      <c r="N49" s="360"/>
      <c r="O49" s="360"/>
      <c r="P49" s="360"/>
      <c r="Q49" s="360">
        <v>13</v>
      </c>
      <c r="R49" s="360"/>
      <c r="S49" s="360"/>
      <c r="T49" s="360"/>
      <c r="U49" s="360"/>
      <c r="V49" s="360"/>
      <c r="W49" s="360">
        <v>27</v>
      </c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02" t="s">
        <v>255</v>
      </c>
      <c r="AJ49" s="614"/>
      <c r="AK49" s="576" t="s">
        <v>256</v>
      </c>
      <c r="AL49" s="74"/>
      <c r="AM49" s="75"/>
    </row>
    <row r="50" spans="1:39" ht="20.25" customHeight="1">
      <c r="A50" s="363"/>
      <c r="B50" s="351">
        <f t="shared" si="9"/>
        <v>0</v>
      </c>
      <c r="C50" s="217" t="s">
        <v>80</v>
      </c>
      <c r="D50" s="357">
        <f t="shared" si="10"/>
        <v>0</v>
      </c>
      <c r="E50" s="323">
        <f t="shared" si="11"/>
        <v>0</v>
      </c>
      <c r="F50" s="324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351">
        <f t="shared" si="9"/>
        <v>0</v>
      </c>
      <c r="C51" s="217" t="s">
        <v>63</v>
      </c>
      <c r="D51" s="357">
        <f t="shared" si="10"/>
        <v>0</v>
      </c>
      <c r="E51" s="323">
        <f t="shared" si="11"/>
        <v>0</v>
      </c>
      <c r="F51" s="32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352">
        <f t="shared" si="9"/>
        <v>0</v>
      </c>
      <c r="C52" s="385" t="s">
        <v>81</v>
      </c>
      <c r="D52" s="357">
        <f t="shared" si="10"/>
        <v>0</v>
      </c>
      <c r="E52" s="353">
        <f t="shared" si="11"/>
        <v>0</v>
      </c>
      <c r="F52" s="354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352">
        <f t="shared" si="9"/>
        <v>0</v>
      </c>
      <c r="C53" s="218" t="s">
        <v>82</v>
      </c>
      <c r="D53" s="397">
        <f t="shared" si="10"/>
        <v>0</v>
      </c>
      <c r="E53" s="358">
        <f t="shared" si="11"/>
        <v>0</v>
      </c>
      <c r="F53" s="359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8566</v>
      </c>
      <c r="F54" s="145">
        <f>SUM(F44:F53)</f>
        <v>8105</v>
      </c>
      <c r="G54" s="135">
        <f t="shared" si="5"/>
        <v>5.3817417697875319E-2</v>
      </c>
      <c r="H54" s="63"/>
      <c r="I54" s="87">
        <f t="shared" si="6"/>
        <v>461</v>
      </c>
      <c r="J54" s="77">
        <f>SUM(J44:J53)</f>
        <v>0</v>
      </c>
      <c r="K54" s="78">
        <f t="shared" ref="K54:AH54" si="12">SUM(K44:K53)</f>
        <v>93</v>
      </c>
      <c r="L54" s="78">
        <f t="shared" si="12"/>
        <v>62</v>
      </c>
      <c r="M54" s="78">
        <f t="shared" si="12"/>
        <v>13</v>
      </c>
      <c r="N54" s="78">
        <f t="shared" si="12"/>
        <v>0</v>
      </c>
      <c r="O54" s="78">
        <f t="shared" si="12"/>
        <v>0</v>
      </c>
      <c r="P54" s="78">
        <f t="shared" si="12"/>
        <v>42</v>
      </c>
      <c r="Q54" s="78">
        <f t="shared" si="12"/>
        <v>13</v>
      </c>
      <c r="R54" s="78">
        <f t="shared" si="12"/>
        <v>79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137</v>
      </c>
      <c r="X54" s="78">
        <f t="shared" si="12"/>
        <v>0</v>
      </c>
      <c r="Y54" s="78">
        <f t="shared" si="12"/>
        <v>3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6</v>
      </c>
      <c r="AD54" s="78">
        <f t="shared" si="12"/>
        <v>0</v>
      </c>
      <c r="AE54" s="78">
        <f t="shared" si="12"/>
        <v>0</v>
      </c>
      <c r="AF54" s="78">
        <f t="shared" si="12"/>
        <v>13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13035</v>
      </c>
      <c r="F55" s="164">
        <f>F43+F54</f>
        <v>12450</v>
      </c>
      <c r="G55" s="165">
        <f t="shared" si="5"/>
        <v>4.4879171461449943E-2</v>
      </c>
      <c r="H55" s="95"/>
      <c r="I55" s="96">
        <f>SUM(I43,I54)</f>
        <v>585</v>
      </c>
      <c r="J55" s="97">
        <f>SUM(J43,J54)</f>
        <v>0</v>
      </c>
      <c r="K55" s="97">
        <f t="shared" ref="K55:AH55" si="13">SUM(K43,K54)</f>
        <v>117</v>
      </c>
      <c r="L55" s="97">
        <f t="shared" si="13"/>
        <v>122</v>
      </c>
      <c r="M55" s="97">
        <f t="shared" si="13"/>
        <v>13</v>
      </c>
      <c r="N55" s="97">
        <f t="shared" si="13"/>
        <v>0</v>
      </c>
      <c r="O55" s="97">
        <f t="shared" si="13"/>
        <v>0</v>
      </c>
      <c r="P55" s="97">
        <f t="shared" si="13"/>
        <v>42</v>
      </c>
      <c r="Q55" s="97">
        <f t="shared" si="13"/>
        <v>13</v>
      </c>
      <c r="R55" s="97">
        <f t="shared" si="13"/>
        <v>83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0</v>
      </c>
      <c r="W55" s="97">
        <f t="shared" si="13"/>
        <v>158</v>
      </c>
      <c r="X55" s="97">
        <f t="shared" si="13"/>
        <v>0</v>
      </c>
      <c r="Y55" s="97">
        <f t="shared" si="13"/>
        <v>3</v>
      </c>
      <c r="Z55" s="97">
        <f t="shared" si="13"/>
        <v>0</v>
      </c>
      <c r="AA55" s="97">
        <f t="shared" si="13"/>
        <v>0</v>
      </c>
      <c r="AB55" s="97">
        <f t="shared" si="13"/>
        <v>0</v>
      </c>
      <c r="AC55" s="97">
        <f t="shared" si="13"/>
        <v>10</v>
      </c>
      <c r="AD55" s="97">
        <f t="shared" si="13"/>
        <v>0</v>
      </c>
      <c r="AE55" s="97">
        <f t="shared" si="13"/>
        <v>1</v>
      </c>
      <c r="AF55" s="97">
        <f t="shared" si="13"/>
        <v>23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90">
    <mergeCell ref="AI49:AJ49"/>
    <mergeCell ref="AI48:AJ48"/>
    <mergeCell ref="AI46:AJ46"/>
    <mergeCell ref="AI31:AJ32"/>
    <mergeCell ref="AK31:AM32"/>
    <mergeCell ref="AI44:AJ44"/>
    <mergeCell ref="AI45:AJ45"/>
    <mergeCell ref="AK33:AM33"/>
    <mergeCell ref="AI33:AJ33"/>
    <mergeCell ref="AI35:AJ35"/>
    <mergeCell ref="AK35:AM35"/>
    <mergeCell ref="AI40:AJ40"/>
    <mergeCell ref="AK40:AM40"/>
    <mergeCell ref="AI37:AJ37"/>
    <mergeCell ref="AI34:AJ34"/>
    <mergeCell ref="AI38:AJ38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R28:S28"/>
    <mergeCell ref="T28:U28"/>
    <mergeCell ref="V28:W28"/>
    <mergeCell ref="X28:Y28"/>
    <mergeCell ref="I22:O22"/>
    <mergeCell ref="P22:Q22"/>
    <mergeCell ref="I23:O23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AF27:AG27"/>
    <mergeCell ref="Z29:AA29"/>
    <mergeCell ref="AB29:AC29"/>
    <mergeCell ref="AD29:AE29"/>
    <mergeCell ref="AF29:AG29"/>
    <mergeCell ref="AH29:AI29"/>
    <mergeCell ref="AJ29:AK29"/>
    <mergeCell ref="Z28:AA28"/>
    <mergeCell ref="AB28:AC28"/>
    <mergeCell ref="AH27:AI27"/>
    <mergeCell ref="P23:Q23"/>
    <mergeCell ref="AD28:AE28"/>
    <mergeCell ref="AF28:AG28"/>
    <mergeCell ref="AH28:AI28"/>
    <mergeCell ref="AJ27:AK27"/>
    <mergeCell ref="AJ24:AK24"/>
    <mergeCell ref="I25:O25"/>
    <mergeCell ref="R24:S24"/>
    <mergeCell ref="T24:U24"/>
    <mergeCell ref="V24:W24"/>
    <mergeCell ref="X24:Y24"/>
    <mergeCell ref="Z24:AA24"/>
    <mergeCell ref="AB24:AC24"/>
    <mergeCell ref="P25:Q25"/>
    <mergeCell ref="AD24:AE24"/>
    <mergeCell ref="AF24:AG24"/>
    <mergeCell ref="AH24:AI24"/>
    <mergeCell ref="I24:O24"/>
    <mergeCell ref="P24:Q24"/>
    <mergeCell ref="AD27:AE27"/>
    <mergeCell ref="X26:Y26"/>
    <mergeCell ref="Z26:AA26"/>
    <mergeCell ref="AB26:AC26"/>
    <mergeCell ref="AJ28:AK28"/>
    <mergeCell ref="Z18:AA18"/>
    <mergeCell ref="AB18:AC18"/>
    <mergeCell ref="AD18:AE18"/>
    <mergeCell ref="AF18:AG18"/>
    <mergeCell ref="AH18:AI18"/>
    <mergeCell ref="AJ18:AK18"/>
    <mergeCell ref="I18:O18"/>
    <mergeCell ref="P18:Q18"/>
    <mergeCell ref="R18:S18"/>
    <mergeCell ref="T18:U18"/>
    <mergeCell ref="V18:W18"/>
    <mergeCell ref="X18:Y18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H9:AI9"/>
    <mergeCell ref="AJ9:AK9"/>
    <mergeCell ref="I9:O9"/>
    <mergeCell ref="P9:Q9"/>
    <mergeCell ref="R9:S9"/>
    <mergeCell ref="T9:U9"/>
    <mergeCell ref="V9:W9"/>
    <mergeCell ref="X9:Y9"/>
    <mergeCell ref="Z8:AA8"/>
    <mergeCell ref="AB8:AC8"/>
    <mergeCell ref="AD8:AE8"/>
    <mergeCell ref="AF8:AG8"/>
    <mergeCell ref="AH8:AI8"/>
    <mergeCell ref="AJ8:AK8"/>
    <mergeCell ref="I8:O8"/>
    <mergeCell ref="AD2:AE2"/>
    <mergeCell ref="AF2:AG2"/>
    <mergeCell ref="Z7:AA7"/>
    <mergeCell ref="AB7:AC7"/>
    <mergeCell ref="AD7:AE7"/>
    <mergeCell ref="AF7:AG7"/>
    <mergeCell ref="T4:U4"/>
    <mergeCell ref="V4:W4"/>
    <mergeCell ref="X4:Y4"/>
    <mergeCell ref="Z2:AA2"/>
    <mergeCell ref="AB2:AC2"/>
    <mergeCell ref="AB6:AC6"/>
    <mergeCell ref="AD6:AE6"/>
    <mergeCell ref="AF6:AG6"/>
    <mergeCell ref="T7:U7"/>
    <mergeCell ref="AJ3:AK3"/>
    <mergeCell ref="P4:Q4"/>
    <mergeCell ref="AH7:AI7"/>
    <mergeCell ref="I6:O6"/>
    <mergeCell ref="P6:Q6"/>
    <mergeCell ref="R6:S6"/>
    <mergeCell ref="T6:U6"/>
    <mergeCell ref="V6:W6"/>
    <mergeCell ref="X6:Y6"/>
    <mergeCell ref="AF5:AG5"/>
    <mergeCell ref="AH5:AI5"/>
    <mergeCell ref="I5:O5"/>
    <mergeCell ref="P5:Q5"/>
    <mergeCell ref="R5:S5"/>
    <mergeCell ref="T5:U5"/>
    <mergeCell ref="V5:W5"/>
    <mergeCell ref="X5:Y5"/>
    <mergeCell ref="Z5:AA5"/>
    <mergeCell ref="AB5:AC5"/>
    <mergeCell ref="AH6:AI6"/>
    <mergeCell ref="AD5:AE5"/>
    <mergeCell ref="Z6:AA6"/>
    <mergeCell ref="V7:W7"/>
    <mergeCell ref="X7:Y7"/>
    <mergeCell ref="M1:N1"/>
    <mergeCell ref="R1:U1"/>
    <mergeCell ref="E2:H2"/>
    <mergeCell ref="I2:O4"/>
    <mergeCell ref="P2:Q3"/>
    <mergeCell ref="R2:S2"/>
    <mergeCell ref="T2:U2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H4:AI4"/>
    <mergeCell ref="AF3:AG3"/>
    <mergeCell ref="AH3:AI3"/>
    <mergeCell ref="Z4:AA4"/>
    <mergeCell ref="AB4:AC4"/>
    <mergeCell ref="A43:D43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  <mergeCell ref="AB9:AC9"/>
    <mergeCell ref="AD9:AE9"/>
    <mergeCell ref="AF9:AG9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C5:C7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M59"/>
  <sheetViews>
    <sheetView showGridLines="0" topLeftCell="A31" zoomScale="66" zoomScaleNormal="66" workbookViewId="0">
      <selection activeCell="AB17" sqref="AB17:AC17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18.25" style="9" customWidth="1"/>
    <col min="5" max="7" width="12" style="9" customWidth="1"/>
    <col min="8" max="8" width="11" style="9" customWidth="1"/>
    <col min="9" max="22" width="4.5" style="9" customWidth="1"/>
    <col min="23" max="32" width="4.5" style="13" customWidth="1"/>
    <col min="33" max="35" width="4.5" style="17" customWidth="1"/>
    <col min="36" max="36" width="25" style="17" customWidth="1"/>
    <col min="37" max="38" width="4.5" style="17" customWidth="1"/>
    <col min="39" max="39" width="16.832031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>
        <v>244567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308"/>
      <c r="C5" s="130" t="s">
        <v>74</v>
      </c>
      <c r="D5" s="310"/>
      <c r="E5" s="293"/>
      <c r="F5" s="293"/>
      <c r="G5" s="311"/>
      <c r="H5" s="110" t="str">
        <f t="shared" ref="H5:H28" si="0">IF(F5=0,"",(F5-G5)/F5)</f>
        <v/>
      </c>
      <c r="I5" s="675" t="s">
        <v>33</v>
      </c>
      <c r="J5" s="676"/>
      <c r="K5" s="676"/>
      <c r="L5" s="676"/>
      <c r="M5" s="676"/>
      <c r="N5" s="676"/>
      <c r="O5" s="677"/>
      <c r="P5" s="678">
        <v>0</v>
      </c>
      <c r="Q5" s="679"/>
      <c r="R5" s="680">
        <v>0</v>
      </c>
      <c r="S5" s="679"/>
      <c r="T5" s="681">
        <v>0</v>
      </c>
      <c r="U5" s="682"/>
      <c r="V5" s="683">
        <v>0</v>
      </c>
      <c r="W5" s="684"/>
      <c r="X5" s="685">
        <v>0</v>
      </c>
      <c r="Y5" s="686"/>
      <c r="Z5" s="687">
        <v>0</v>
      </c>
      <c r="AA5" s="688"/>
      <c r="AB5" s="674">
        <v>0</v>
      </c>
      <c r="AC5" s="674"/>
      <c r="AD5" s="689">
        <f>SUM(AF5:AK5)*0.025</f>
        <v>0</v>
      </c>
      <c r="AE5" s="689"/>
      <c r="AF5" s="674">
        <v>0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309"/>
      <c r="C6" s="131" t="s">
        <v>75</v>
      </c>
      <c r="D6" s="303"/>
      <c r="E6" s="303"/>
      <c r="F6" s="303"/>
      <c r="G6" s="312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</v>
      </c>
      <c r="Q6" s="673"/>
      <c r="R6" s="673">
        <f>IF($F$15=0,0,R5*1000/$F$15)</f>
        <v>0</v>
      </c>
      <c r="S6" s="673"/>
      <c r="T6" s="673">
        <f>IF($F$15=0,0,T5*1000/$F$15)</f>
        <v>0</v>
      </c>
      <c r="U6" s="673"/>
      <c r="V6" s="673">
        <f>IF($F$15=0,0,V5*1000/$F$15)</f>
        <v>0</v>
      </c>
      <c r="W6" s="673"/>
      <c r="X6" s="673">
        <f>IF($F$15=0,0,X5*1000/$F$15)</f>
        <v>0</v>
      </c>
      <c r="Y6" s="673"/>
      <c r="Z6" s="673">
        <f>IF($F$15=0,0,Z5*1000/$F$15)</f>
        <v>0</v>
      </c>
      <c r="AA6" s="673"/>
      <c r="AB6" s="632">
        <f>IF($F$15=0,0,AB5*1000/$F$15)</f>
        <v>0</v>
      </c>
      <c r="AC6" s="632"/>
      <c r="AD6" s="632">
        <f>IF($F$15=0,0,AD5*1000/$F$15)</f>
        <v>0</v>
      </c>
      <c r="AE6" s="632"/>
      <c r="AF6" s="627">
        <f>IF(AF5=0,0,F15/AF5)</f>
        <v>0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309"/>
      <c r="C7" s="131" t="s">
        <v>76</v>
      </c>
      <c r="D7" s="313"/>
      <c r="E7" s="303"/>
      <c r="F7" s="303"/>
      <c r="G7" s="312"/>
      <c r="H7" s="111" t="str">
        <f t="shared" si="0"/>
        <v/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</v>
      </c>
      <c r="Q7" s="639"/>
      <c r="R7" s="639">
        <f>IF($G$15=0,0,R5*1000/$G$15)</f>
        <v>0</v>
      </c>
      <c r="S7" s="639"/>
      <c r="T7" s="639">
        <f>IF($G$15=0,0,T5*1000/$G$15)</f>
        <v>0</v>
      </c>
      <c r="U7" s="639"/>
      <c r="V7" s="639">
        <f>IF($G$15=0,0,V5*1000/$G$15)</f>
        <v>0</v>
      </c>
      <c r="W7" s="639"/>
      <c r="X7" s="639">
        <f>IF($G$15=0,0,X5*1000/$G$15)</f>
        <v>0</v>
      </c>
      <c r="Y7" s="639"/>
      <c r="Z7" s="639">
        <f>IF($G$15=0,0,Z5*1000/$G$15)</f>
        <v>0</v>
      </c>
      <c r="AA7" s="639"/>
      <c r="AB7" s="632">
        <f>IF($G$15=0,0,AB5*1000/$G$15)</f>
        <v>0</v>
      </c>
      <c r="AC7" s="632"/>
      <c r="AD7" s="632">
        <f>IF($G$15=0,0,AD5*1000/$G$15)</f>
        <v>0</v>
      </c>
      <c r="AE7" s="632"/>
      <c r="AF7" s="627">
        <f>IF(AF5=0,0,G15/AF5)</f>
        <v>0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309"/>
      <c r="C8" s="129" t="s">
        <v>77</v>
      </c>
      <c r="D8" s="295"/>
      <c r="E8" s="303"/>
      <c r="F8" s="303"/>
      <c r="G8" s="312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/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309"/>
      <c r="C9" s="129" t="s">
        <v>78</v>
      </c>
      <c r="D9" s="295"/>
      <c r="E9" s="303"/>
      <c r="F9" s="303"/>
      <c r="G9" s="312"/>
      <c r="H9" s="111" t="str">
        <f>IF(F9=0,"",(F9-G9)/F9)</f>
        <v/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120"/>
      <c r="C10" s="129" t="s">
        <v>79</v>
      </c>
      <c r="D10" s="314"/>
      <c r="E10" s="315"/>
      <c r="F10" s="315"/>
      <c r="G10" s="316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314"/>
      <c r="E11" s="315"/>
      <c r="F11" s="315"/>
      <c r="G11" s="31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/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 t="e">
        <f>F15/P12</f>
        <v>#DIV/0!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/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0</v>
      </c>
      <c r="F15" s="204">
        <f>SUM(F5:F14)</f>
        <v>0</v>
      </c>
      <c r="G15" s="204">
        <f>SUM(G5:G14)</f>
        <v>0</v>
      </c>
      <c r="H15" s="188" t="str">
        <f>IF(F15=0,"",(F15-G15)/F15)</f>
        <v/>
      </c>
      <c r="I15" s="719" t="s">
        <v>70</v>
      </c>
      <c r="J15" s="720"/>
      <c r="K15" s="720"/>
      <c r="L15" s="720"/>
      <c r="M15" s="720"/>
      <c r="N15" s="720"/>
      <c r="O15" s="721"/>
      <c r="P15" s="722" t="e">
        <f>F15/P14</f>
        <v>#DIV/0!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308"/>
      <c r="C16" s="130" t="s">
        <v>74</v>
      </c>
      <c r="D16" s="310"/>
      <c r="E16" s="293"/>
      <c r="F16" s="293"/>
      <c r="G16" s="311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1.34</v>
      </c>
      <c r="Q16" s="731"/>
      <c r="R16" s="732">
        <v>4.673</v>
      </c>
      <c r="S16" s="731"/>
      <c r="T16" s="733">
        <v>0.47899999999999998</v>
      </c>
      <c r="U16" s="734"/>
      <c r="V16" s="735">
        <v>11.295</v>
      </c>
      <c r="W16" s="736"/>
      <c r="X16" s="737">
        <v>0.27200000000000002</v>
      </c>
      <c r="Y16" s="738"/>
      <c r="Z16" s="740">
        <f>98+42+77</f>
        <v>217</v>
      </c>
      <c r="AA16" s="741"/>
      <c r="AB16" s="739">
        <v>25</v>
      </c>
      <c r="AC16" s="739"/>
      <c r="AD16" s="725">
        <f>SUM(AF16:AK16)*0.025</f>
        <v>0.97500000000000009</v>
      </c>
      <c r="AE16" s="725"/>
      <c r="AF16" s="726">
        <f>14+14+11</f>
        <v>39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309"/>
      <c r="C17" s="131" t="s">
        <v>75</v>
      </c>
      <c r="D17" s="303"/>
      <c r="E17" s="303"/>
      <c r="F17" s="303"/>
      <c r="G17" s="312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0.23219546005891525</v>
      </c>
      <c r="Q17" s="745"/>
      <c r="R17" s="746">
        <f>IF($F$26=0,0,R16*1000/$F$26)</f>
        <v>0.80973834690694857</v>
      </c>
      <c r="S17" s="745"/>
      <c r="T17" s="746">
        <f>IF($F$26=0,0,T16*1000/$F$26)</f>
        <v>8.3001212961358511E-2</v>
      </c>
      <c r="U17" s="744"/>
      <c r="V17" s="632">
        <f>IF($F$26=0,0,V16*1000/$F$26)</f>
        <v>1.9571997920637672</v>
      </c>
      <c r="W17" s="632"/>
      <c r="X17" s="632">
        <f>IF($F$26=0,0,X16*1000/$F$26)</f>
        <v>4.7132212788078325E-2</v>
      </c>
      <c r="Y17" s="632"/>
      <c r="Z17" s="744">
        <f>IF($F$26=0,0,Z16*1000/$F$26)</f>
        <v>37.601802114018369</v>
      </c>
      <c r="AA17" s="744"/>
      <c r="AB17" s="632">
        <f>IF($F$26=0,0,AB16*1000/$F$26)</f>
        <v>4.3320048518454337</v>
      </c>
      <c r="AC17" s="632"/>
      <c r="AD17" s="632">
        <f>IF($F$26=0,0,AD16*1000/$F$26)</f>
        <v>0.16894818922197194</v>
      </c>
      <c r="AE17" s="632"/>
      <c r="AF17" s="742">
        <f>IF(AF16=0,0,F26/AF16)</f>
        <v>147.97435897435898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427" t="s">
        <v>168</v>
      </c>
      <c r="C18" s="131" t="s">
        <v>76</v>
      </c>
      <c r="D18" s="317" t="s">
        <v>169</v>
      </c>
      <c r="E18" s="317">
        <v>3000</v>
      </c>
      <c r="F18" s="317">
        <v>5771</v>
      </c>
      <c r="G18" s="424">
        <v>5152</v>
      </c>
      <c r="H18" s="111">
        <f t="shared" si="0"/>
        <v>0.10726044013169295</v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0.26009316770186336</v>
      </c>
      <c r="Q18" s="752"/>
      <c r="R18" s="746">
        <f>IF($G$26=0,0,R16*1000/$G$26)</f>
        <v>0.90702639751552794</v>
      </c>
      <c r="S18" s="745"/>
      <c r="T18" s="746">
        <f>IF($G$26=0,0,T16*1000/$G$26)</f>
        <v>9.2973602484472048E-2</v>
      </c>
      <c r="U18" s="745"/>
      <c r="V18" s="753">
        <f>IF($G$26=0,0,V16*1000/$G$26)</f>
        <v>2.1923524844720497</v>
      </c>
      <c r="W18" s="754"/>
      <c r="X18" s="753">
        <f>IF($G$26=0,0,X16*1000/$G$26)</f>
        <v>5.2795031055900624E-2</v>
      </c>
      <c r="Y18" s="754"/>
      <c r="Z18" s="746">
        <f>IF($G$26=0,0,Z16*1000/$G$26)</f>
        <v>42.119565217391305</v>
      </c>
      <c r="AA18" s="744"/>
      <c r="AB18" s="632">
        <f>IF($G$26=0,0,AB16*1000/$G$26)</f>
        <v>4.8524844720496896</v>
      </c>
      <c r="AC18" s="632"/>
      <c r="AD18" s="632">
        <f>IF($G$26=0,0,AD16*1000/$G$26)</f>
        <v>0.18924689440993792</v>
      </c>
      <c r="AE18" s="632"/>
      <c r="AF18" s="742">
        <f>IF(AF16=0,0,G26/AF16)</f>
        <v>132.10256410256412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309"/>
      <c r="C19" s="131" t="s">
        <v>77</v>
      </c>
      <c r="D19" s="303"/>
      <c r="E19" s="303"/>
      <c r="F19" s="303"/>
      <c r="G19" s="312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>
        <f>63</f>
        <v>63</v>
      </c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309"/>
      <c r="C20" s="131" t="s">
        <v>78</v>
      </c>
      <c r="D20" s="303"/>
      <c r="E20" s="303"/>
      <c r="F20" s="303"/>
      <c r="G20" s="312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120"/>
      <c r="C21" s="131" t="s">
        <v>79</v>
      </c>
      <c r="D21" s="128"/>
      <c r="E21" s="125"/>
      <c r="F21" s="125"/>
      <c r="G21" s="126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>
        <f>4+4+4+4+4+4</f>
        <v>24</v>
      </c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>
        <f>F26/P23</f>
        <v>240.45833333333334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>
        <v>6</v>
      </c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3000</v>
      </c>
      <c r="F26" s="205">
        <f>SUM(F16:F25)</f>
        <v>5771</v>
      </c>
      <c r="G26" s="205">
        <f>SUM(G16:G25)</f>
        <v>5152</v>
      </c>
      <c r="H26" s="196">
        <f>IF(F26=0,"",(F26-G26)/F26)</f>
        <v>0.10726044013169295</v>
      </c>
      <c r="I26" s="719" t="s">
        <v>70</v>
      </c>
      <c r="J26" s="720"/>
      <c r="K26" s="720"/>
      <c r="L26" s="720"/>
      <c r="M26" s="720"/>
      <c r="N26" s="720"/>
      <c r="O26" s="721"/>
      <c r="P26" s="785">
        <f>F26/P25</f>
        <v>961.83333333333337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1.34</v>
      </c>
      <c r="Q27" s="781"/>
      <c r="R27" s="782">
        <f>SUM(R5,R16)</f>
        <v>4.673</v>
      </c>
      <c r="S27" s="781"/>
      <c r="T27" s="782">
        <f>SUM(T5,T16)</f>
        <v>0.47899999999999998</v>
      </c>
      <c r="U27" s="781"/>
      <c r="V27" s="782">
        <f>SUM(V5,V16)</f>
        <v>11.295</v>
      </c>
      <c r="W27" s="781"/>
      <c r="X27" s="782">
        <f>SUM(X5,X16)</f>
        <v>0.27200000000000002</v>
      </c>
      <c r="Y27" s="781"/>
      <c r="Z27" s="783">
        <f>SUM(Z5,Z16)</f>
        <v>217</v>
      </c>
      <c r="AA27" s="784"/>
      <c r="AB27" s="770">
        <f>SUM(AB5,AB16)</f>
        <v>25</v>
      </c>
      <c r="AC27" s="770"/>
      <c r="AD27" s="769">
        <f>SUM(AD5,AD16)</f>
        <v>0.97500000000000009</v>
      </c>
      <c r="AE27" s="769"/>
      <c r="AF27" s="770">
        <f>SUM(AF5,AF16)</f>
        <v>39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3000</v>
      </c>
      <c r="F28" s="140">
        <f>F15+F26</f>
        <v>5771</v>
      </c>
      <c r="G28" s="140">
        <f>G15+G26</f>
        <v>5152</v>
      </c>
      <c r="H28" s="141">
        <f t="shared" si="0"/>
        <v>0.10726044013169295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0.23219546005891525</v>
      </c>
      <c r="Q28" s="745"/>
      <c r="R28" s="746">
        <f t="shared" si="1"/>
        <v>0.80973834690694857</v>
      </c>
      <c r="S28" s="745"/>
      <c r="T28" s="746">
        <f t="shared" si="1"/>
        <v>8.3001212961358511E-2</v>
      </c>
      <c r="U28" s="745"/>
      <c r="V28" s="800">
        <f t="shared" si="1"/>
        <v>1.9571997920637672</v>
      </c>
      <c r="W28" s="801"/>
      <c r="X28" s="800">
        <f t="shared" si="1"/>
        <v>4.7132212788078325E-2</v>
      </c>
      <c r="Y28" s="801"/>
      <c r="Z28" s="746">
        <f t="shared" si="1"/>
        <v>37.601802114018369</v>
      </c>
      <c r="AA28" s="744"/>
      <c r="AB28" s="632">
        <f t="shared" si="1"/>
        <v>4.3320048518454337</v>
      </c>
      <c r="AC28" s="632"/>
      <c r="AD28" s="632">
        <f t="shared" si="1"/>
        <v>0.16894818922197194</v>
      </c>
      <c r="AE28" s="632"/>
      <c r="AF28" s="757">
        <f>IF(AF27=0,0,F28/AF27)</f>
        <v>147.97435897435898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0.26009316770186336</v>
      </c>
      <c r="Q29" s="792"/>
      <c r="R29" s="771">
        <f t="shared" si="2"/>
        <v>0.90702639751552794</v>
      </c>
      <c r="S29" s="792"/>
      <c r="T29" s="771">
        <f t="shared" si="2"/>
        <v>9.2973602484472048E-2</v>
      </c>
      <c r="U29" s="792"/>
      <c r="V29" s="793">
        <f t="shared" si="2"/>
        <v>2.1923524844720497</v>
      </c>
      <c r="W29" s="794"/>
      <c r="X29" s="795">
        <f t="shared" si="2"/>
        <v>5.2795031055900624E-2</v>
      </c>
      <c r="Y29" s="796"/>
      <c r="Z29" s="771">
        <f t="shared" si="2"/>
        <v>42.119565217391305</v>
      </c>
      <c r="AA29" s="772"/>
      <c r="AB29" s="773">
        <f t="shared" si="2"/>
        <v>4.8524844720496896</v>
      </c>
      <c r="AC29" s="773"/>
      <c r="AD29" s="773">
        <f t="shared" si="2"/>
        <v>0.18924689440993792</v>
      </c>
      <c r="AE29" s="773"/>
      <c r="AF29" s="774">
        <f>IF(AF27=0,0,G28/AF27)</f>
        <v>132.10256410256412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289">
        <f t="shared" ref="B33:B42" si="3">B5</f>
        <v>0</v>
      </c>
      <c r="C33" s="213" t="s">
        <v>74</v>
      </c>
      <c r="D33" s="293">
        <f t="shared" ref="D33:D42" si="4">D5</f>
        <v>0</v>
      </c>
      <c r="E33" s="293">
        <f>G5</f>
        <v>0</v>
      </c>
      <c r="F33" s="294"/>
      <c r="G33" s="62" t="str">
        <f t="shared" ref="G33:G55" si="5">IF(E33=0,"",(E33-F33)/E33)</f>
        <v/>
      </c>
      <c r="H33" s="63"/>
      <c r="I33" s="64">
        <f t="shared" ref="I33:I54" si="6">SUM(J33:AH33)</f>
        <v>0</v>
      </c>
      <c r="J33" s="453"/>
      <c r="K33" s="454"/>
      <c r="L33" s="453"/>
      <c r="M33" s="454"/>
      <c r="N33" s="453"/>
      <c r="O33" s="454"/>
      <c r="P33" s="453"/>
      <c r="Q33" s="454"/>
      <c r="R33" s="453"/>
      <c r="S33" s="454"/>
      <c r="T33" s="453"/>
      <c r="U33" s="454"/>
      <c r="V33" s="453"/>
      <c r="W33" s="454"/>
      <c r="X33" s="453"/>
      <c r="Y33" s="454"/>
      <c r="Z33" s="453"/>
      <c r="AA33" s="454"/>
      <c r="AB33" s="453"/>
      <c r="AC33" s="454"/>
      <c r="AD33" s="453"/>
      <c r="AE33" s="454"/>
      <c r="AF33" s="453"/>
      <c r="AG33" s="454"/>
      <c r="AH33" s="453"/>
      <c r="AI33" s="820"/>
      <c r="AJ33" s="821"/>
      <c r="AK33" s="860"/>
      <c r="AL33" s="861"/>
      <c r="AM33" s="862"/>
    </row>
    <row r="34" spans="1:39" ht="20.25" customHeight="1">
      <c r="A34" s="370"/>
      <c r="B34" s="290">
        <f t="shared" si="3"/>
        <v>0</v>
      </c>
      <c r="C34" s="214" t="s">
        <v>75</v>
      </c>
      <c r="D34" s="295">
        <f t="shared" si="4"/>
        <v>0</v>
      </c>
      <c r="E34" s="295">
        <f t="shared" ref="E34:E42" si="7">G6</f>
        <v>0</v>
      </c>
      <c r="F34" s="296"/>
      <c r="G34" s="70" t="str">
        <f t="shared" si="5"/>
        <v/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833"/>
      <c r="AJ34" s="834"/>
      <c r="AK34" s="827"/>
      <c r="AL34" s="828"/>
      <c r="AM34" s="829"/>
    </row>
    <row r="35" spans="1:39" ht="20.25" customHeight="1">
      <c r="A35" s="370"/>
      <c r="B35" s="290">
        <f t="shared" si="3"/>
        <v>0</v>
      </c>
      <c r="C35" s="214" t="s">
        <v>76</v>
      </c>
      <c r="D35" s="295">
        <f t="shared" si="4"/>
        <v>0</v>
      </c>
      <c r="E35" s="295">
        <v>0</v>
      </c>
      <c r="F35" s="296"/>
      <c r="G35" s="70" t="str">
        <f t="shared" si="5"/>
        <v/>
      </c>
      <c r="H35" s="63"/>
      <c r="I35" s="64">
        <f t="shared" si="6"/>
        <v>0</v>
      </c>
      <c r="J35" s="455"/>
      <c r="K35" s="456"/>
      <c r="L35" s="456"/>
      <c r="M35" s="456"/>
      <c r="N35" s="456"/>
      <c r="O35" s="456"/>
      <c r="P35" s="456"/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7"/>
      <c r="AI35" s="802"/>
      <c r="AJ35" s="614"/>
      <c r="AK35" s="863"/>
      <c r="AL35" s="856"/>
      <c r="AM35" s="857"/>
    </row>
    <row r="36" spans="1:39" ht="20.25" customHeight="1">
      <c r="A36" s="371">
        <v>1</v>
      </c>
      <c r="B36" s="290">
        <f t="shared" si="3"/>
        <v>0</v>
      </c>
      <c r="C36" s="214" t="s">
        <v>77</v>
      </c>
      <c r="D36" s="295">
        <f t="shared" si="4"/>
        <v>0</v>
      </c>
      <c r="E36" s="295">
        <f t="shared" si="7"/>
        <v>0</v>
      </c>
      <c r="F36" s="296"/>
      <c r="G36" s="70" t="str">
        <f t="shared" si="5"/>
        <v/>
      </c>
      <c r="H36" s="63"/>
      <c r="I36" s="64">
        <f t="shared" si="6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452"/>
      <c r="AJ36" s="438"/>
      <c r="AK36" s="73"/>
      <c r="AL36" s="74"/>
      <c r="AM36" s="388"/>
    </row>
    <row r="37" spans="1:39" ht="20.25" customHeight="1">
      <c r="A37" s="372"/>
      <c r="B37" s="290">
        <f t="shared" si="3"/>
        <v>0</v>
      </c>
      <c r="C37" s="214" t="s">
        <v>78</v>
      </c>
      <c r="D37" s="295">
        <f t="shared" si="4"/>
        <v>0</v>
      </c>
      <c r="E37" s="295">
        <v>0</v>
      </c>
      <c r="F37" s="296"/>
      <c r="G37" s="70" t="str">
        <f t="shared" si="5"/>
        <v/>
      </c>
      <c r="H37" s="63"/>
      <c r="I37" s="64">
        <f t="shared" si="6"/>
        <v>0</v>
      </c>
      <c r="J37" s="455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802"/>
      <c r="AJ37" s="614"/>
      <c r="AK37" s="863"/>
      <c r="AL37" s="856"/>
      <c r="AM37" s="857"/>
    </row>
    <row r="38" spans="1:39" ht="20.25" customHeight="1">
      <c r="A38" s="372"/>
      <c r="B38" s="291">
        <f t="shared" si="3"/>
        <v>0</v>
      </c>
      <c r="C38" s="214" t="s">
        <v>79</v>
      </c>
      <c r="D38" s="297">
        <f t="shared" si="4"/>
        <v>0</v>
      </c>
      <c r="E38" s="295">
        <f t="shared" si="7"/>
        <v>0</v>
      </c>
      <c r="F38" s="296"/>
      <c r="G38" s="70" t="str">
        <f t="shared" si="5"/>
        <v/>
      </c>
      <c r="H38" s="63"/>
      <c r="I38" s="64">
        <f t="shared" si="6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291">
        <f t="shared" si="3"/>
        <v>0</v>
      </c>
      <c r="C39" s="214" t="s">
        <v>80</v>
      </c>
      <c r="D39" s="297">
        <f t="shared" si="4"/>
        <v>0</v>
      </c>
      <c r="E39" s="297">
        <f t="shared" si="7"/>
        <v>0</v>
      </c>
      <c r="F39" s="319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291">
        <f t="shared" si="3"/>
        <v>0</v>
      </c>
      <c r="C40" s="214" t="s">
        <v>63</v>
      </c>
      <c r="D40" s="297">
        <f t="shared" si="4"/>
        <v>0</v>
      </c>
      <c r="E40" s="297">
        <f t="shared" si="7"/>
        <v>0</v>
      </c>
      <c r="F40" s="319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92">
        <f t="shared" si="3"/>
        <v>0</v>
      </c>
      <c r="C41" s="215" t="s">
        <v>81</v>
      </c>
      <c r="D41" s="298">
        <f t="shared" si="4"/>
        <v>0</v>
      </c>
      <c r="E41" s="298">
        <f t="shared" si="7"/>
        <v>0</v>
      </c>
      <c r="F41" s="349"/>
      <c r="G41" s="210" t="str">
        <f t="shared" si="5"/>
        <v/>
      </c>
      <c r="H41" s="63"/>
      <c r="I41" s="64">
        <f>SUM(J41:AH41)</f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90">
        <f t="shared" si="4"/>
        <v>0</v>
      </c>
      <c r="E42" s="390">
        <f t="shared" si="7"/>
        <v>0</v>
      </c>
      <c r="F42" s="391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0</v>
      </c>
      <c r="F43" s="145">
        <f>SUM(F33:F42)</f>
        <v>0</v>
      </c>
      <c r="G43" s="135" t="str">
        <f t="shared" si="5"/>
        <v/>
      </c>
      <c r="H43" s="63"/>
      <c r="I43" s="376">
        <f t="shared" si="6"/>
        <v>0</v>
      </c>
      <c r="J43" s="77">
        <f>SUM(J33:J42)</f>
        <v>0</v>
      </c>
      <c r="K43" s="78">
        <f t="shared" ref="K43:AH43" si="8">SUM(K33:K42)</f>
        <v>0</v>
      </c>
      <c r="L43" s="78">
        <f t="shared" si="8"/>
        <v>0</v>
      </c>
      <c r="M43" s="78">
        <f t="shared" si="8"/>
        <v>0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0</v>
      </c>
      <c r="R43" s="78">
        <f t="shared" si="8"/>
        <v>0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0</v>
      </c>
      <c r="W43" s="78">
        <f t="shared" si="8"/>
        <v>0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0</v>
      </c>
      <c r="AC43" s="78">
        <f t="shared" si="8"/>
        <v>0</v>
      </c>
      <c r="AD43" s="78">
        <f t="shared" si="8"/>
        <v>0</v>
      </c>
      <c r="AE43" s="78">
        <f t="shared" si="8"/>
        <v>0</v>
      </c>
      <c r="AF43" s="78">
        <f t="shared" si="8"/>
        <v>0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92">
        <f t="shared" ref="B44:B53" si="9">B16</f>
        <v>0</v>
      </c>
      <c r="C44" s="382" t="s">
        <v>74</v>
      </c>
      <c r="D44" s="293">
        <f t="shared" ref="D44:D53" si="10">D16</f>
        <v>0</v>
      </c>
      <c r="E44" s="293">
        <f>G16</f>
        <v>0</v>
      </c>
      <c r="F44" s="294"/>
      <c r="G44" s="62" t="str">
        <f t="shared" si="5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59"/>
      <c r="AJ44" s="836"/>
      <c r="AK44" s="440"/>
      <c r="AL44" s="83"/>
      <c r="AM44" s="84"/>
    </row>
    <row r="45" spans="1:39" ht="20.25" customHeight="1">
      <c r="A45" s="384"/>
      <c r="B45" s="300">
        <f t="shared" si="9"/>
        <v>0</v>
      </c>
      <c r="C45" s="216" t="s">
        <v>75</v>
      </c>
      <c r="D45" s="302">
        <f t="shared" si="10"/>
        <v>0</v>
      </c>
      <c r="E45" s="303">
        <f t="shared" ref="E45:E53" si="11">G17</f>
        <v>0</v>
      </c>
      <c r="F45" s="296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300" t="str">
        <f t="shared" si="9"/>
        <v>I13690809</v>
      </c>
      <c r="C46" s="217" t="s">
        <v>76</v>
      </c>
      <c r="D46" s="304" t="str">
        <f t="shared" si="10"/>
        <v>มิสทีเกรย์*N</v>
      </c>
      <c r="E46" s="297">
        <f>G18</f>
        <v>5152</v>
      </c>
      <c r="F46" s="319">
        <f>210*23+10+6</f>
        <v>4846</v>
      </c>
      <c r="G46" s="70">
        <f t="shared" si="5"/>
        <v>5.93944099378882E-2</v>
      </c>
      <c r="H46" s="63"/>
      <c r="I46" s="64">
        <f>SUM(J46:AH46)</f>
        <v>306</v>
      </c>
      <c r="J46" s="360">
        <v>12</v>
      </c>
      <c r="K46" s="360">
        <f>6+7+8+15+4</f>
        <v>40</v>
      </c>
      <c r="L46" s="360">
        <f>10+7+25+30+10+12+15</f>
        <v>109</v>
      </c>
      <c r="M46" s="360"/>
      <c r="N46" s="360"/>
      <c r="O46" s="360"/>
      <c r="P46" s="360"/>
      <c r="Q46" s="360">
        <v>4</v>
      </c>
      <c r="R46" s="360"/>
      <c r="S46" s="360"/>
      <c r="T46" s="360"/>
      <c r="U46" s="360"/>
      <c r="V46" s="360">
        <f>3+10+15+3</f>
        <v>31</v>
      </c>
      <c r="W46" s="360">
        <f>15+13+20+10</f>
        <v>58</v>
      </c>
      <c r="X46" s="360"/>
      <c r="Y46" s="360"/>
      <c r="Z46" s="360"/>
      <c r="AA46" s="360"/>
      <c r="AB46" s="360"/>
      <c r="AC46" s="360">
        <f>3+5+4</f>
        <v>12</v>
      </c>
      <c r="AD46" s="360">
        <f>8+5+15</f>
        <v>28</v>
      </c>
      <c r="AE46" s="360"/>
      <c r="AF46" s="360">
        <v>12</v>
      </c>
      <c r="AG46" s="360"/>
      <c r="AH46" s="361"/>
      <c r="AI46" s="858" t="s">
        <v>175</v>
      </c>
      <c r="AJ46" s="834"/>
      <c r="AK46" s="440" t="s">
        <v>171</v>
      </c>
      <c r="AL46" s="74"/>
      <c r="AM46" s="75"/>
    </row>
    <row r="47" spans="1:39" ht="20.25" customHeight="1">
      <c r="A47" s="363"/>
      <c r="B47" s="300">
        <f t="shared" si="9"/>
        <v>0</v>
      </c>
      <c r="C47" s="217" t="s">
        <v>77</v>
      </c>
      <c r="D47" s="305">
        <f t="shared" si="10"/>
        <v>0</v>
      </c>
      <c r="E47" s="297">
        <f t="shared" si="11"/>
        <v>0</v>
      </c>
      <c r="F47" s="319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300">
        <f t="shared" si="9"/>
        <v>0</v>
      </c>
      <c r="C48" s="217" t="s">
        <v>78</v>
      </c>
      <c r="D48" s="305">
        <f t="shared" si="10"/>
        <v>0</v>
      </c>
      <c r="E48" s="297">
        <f>G20</f>
        <v>0</v>
      </c>
      <c r="F48" s="319"/>
      <c r="G48" s="70" t="str">
        <f t="shared" si="5"/>
        <v/>
      </c>
      <c r="H48" s="63"/>
      <c r="I48" s="64">
        <f t="shared" si="6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802"/>
      <c r="AJ48" s="614"/>
      <c r="AK48" s="840"/>
      <c r="AL48" s="841"/>
      <c r="AM48" s="842"/>
    </row>
    <row r="49" spans="1:39" ht="20.25" customHeight="1">
      <c r="A49" s="363"/>
      <c r="B49" s="300">
        <f t="shared" si="9"/>
        <v>0</v>
      </c>
      <c r="C49" s="217" t="s">
        <v>79</v>
      </c>
      <c r="D49" s="305">
        <f t="shared" si="10"/>
        <v>0</v>
      </c>
      <c r="E49" s="297">
        <f t="shared" si="11"/>
        <v>0</v>
      </c>
      <c r="F49" s="319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300">
        <f t="shared" si="9"/>
        <v>0</v>
      </c>
      <c r="C50" s="217" t="s">
        <v>80</v>
      </c>
      <c r="D50" s="305">
        <f t="shared" si="10"/>
        <v>0</v>
      </c>
      <c r="E50" s="297">
        <f t="shared" si="11"/>
        <v>0</v>
      </c>
      <c r="F50" s="319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300">
        <f t="shared" si="9"/>
        <v>0</v>
      </c>
      <c r="C51" s="217" t="s">
        <v>63</v>
      </c>
      <c r="D51" s="305">
        <f t="shared" si="10"/>
        <v>0</v>
      </c>
      <c r="E51" s="297">
        <f t="shared" si="11"/>
        <v>0</v>
      </c>
      <c r="F51" s="319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301">
        <f t="shared" si="9"/>
        <v>0</v>
      </c>
      <c r="C52" s="385" t="s">
        <v>81</v>
      </c>
      <c r="D52" s="305">
        <f t="shared" si="10"/>
        <v>0</v>
      </c>
      <c r="E52" s="298">
        <f t="shared" si="11"/>
        <v>0</v>
      </c>
      <c r="F52" s="349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301">
        <f t="shared" si="9"/>
        <v>0</v>
      </c>
      <c r="C53" s="218" t="s">
        <v>82</v>
      </c>
      <c r="D53" s="393">
        <f t="shared" si="10"/>
        <v>0</v>
      </c>
      <c r="E53" s="390">
        <f t="shared" si="11"/>
        <v>0</v>
      </c>
      <c r="F53" s="391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5152</v>
      </c>
      <c r="F54" s="145">
        <f>SUM(F44:F53)</f>
        <v>4846</v>
      </c>
      <c r="G54" s="135">
        <f t="shared" si="5"/>
        <v>5.93944099378882E-2</v>
      </c>
      <c r="H54" s="63"/>
      <c r="I54" s="87">
        <f t="shared" si="6"/>
        <v>306</v>
      </c>
      <c r="J54" s="77">
        <f>SUM(J44:J53)</f>
        <v>12</v>
      </c>
      <c r="K54" s="78">
        <f t="shared" ref="K54:AH54" si="12">SUM(K44:K53)</f>
        <v>40</v>
      </c>
      <c r="L54" s="78">
        <f t="shared" si="12"/>
        <v>109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4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31</v>
      </c>
      <c r="W54" s="78">
        <f t="shared" si="12"/>
        <v>58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12</v>
      </c>
      <c r="AD54" s="78">
        <f t="shared" si="12"/>
        <v>28</v>
      </c>
      <c r="AE54" s="78">
        <f t="shared" si="12"/>
        <v>0</v>
      </c>
      <c r="AF54" s="78">
        <f t="shared" si="12"/>
        <v>12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5152</v>
      </c>
      <c r="F55" s="164">
        <f>F43+F54</f>
        <v>4846</v>
      </c>
      <c r="G55" s="165">
        <f t="shared" si="5"/>
        <v>5.93944099378882E-2</v>
      </c>
      <c r="H55" s="95"/>
      <c r="I55" s="96">
        <f>SUM(I43,I54)</f>
        <v>306</v>
      </c>
      <c r="J55" s="97">
        <f>SUM(J43,J54)</f>
        <v>12</v>
      </c>
      <c r="K55" s="97">
        <f t="shared" ref="K55:AH55" si="13">SUM(K43,K54)</f>
        <v>40</v>
      </c>
      <c r="L55" s="97">
        <f t="shared" si="13"/>
        <v>109</v>
      </c>
      <c r="M55" s="97">
        <f t="shared" si="13"/>
        <v>0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4</v>
      </c>
      <c r="R55" s="97">
        <f t="shared" si="13"/>
        <v>0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31</v>
      </c>
      <c r="W55" s="97">
        <f t="shared" si="13"/>
        <v>58</v>
      </c>
      <c r="X55" s="97">
        <f t="shared" si="13"/>
        <v>0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0</v>
      </c>
      <c r="AC55" s="97">
        <f t="shared" si="13"/>
        <v>12</v>
      </c>
      <c r="AD55" s="97">
        <f t="shared" si="13"/>
        <v>28</v>
      </c>
      <c r="AE55" s="97">
        <f t="shared" si="13"/>
        <v>0</v>
      </c>
      <c r="AF55" s="97">
        <f t="shared" si="13"/>
        <v>12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9">
    <mergeCell ref="AI34:AJ34"/>
    <mergeCell ref="AK34:AM34"/>
    <mergeCell ref="AI31:AJ32"/>
    <mergeCell ref="AK31:AM32"/>
    <mergeCell ref="AI44:AJ44"/>
    <mergeCell ref="AI45:AJ45"/>
    <mergeCell ref="AI33:AJ33"/>
    <mergeCell ref="AK33:AM33"/>
    <mergeCell ref="AI35:AJ35"/>
    <mergeCell ref="AK35:AM35"/>
    <mergeCell ref="AK37:AM37"/>
    <mergeCell ref="AI37:AJ37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R28:S28"/>
    <mergeCell ref="T28:U28"/>
    <mergeCell ref="V28:W28"/>
    <mergeCell ref="X28:Y28"/>
    <mergeCell ref="I22:O22"/>
    <mergeCell ref="P22:Q22"/>
    <mergeCell ref="I23:O23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AF27:AG27"/>
    <mergeCell ref="Z29:AA29"/>
    <mergeCell ref="AB29:AC29"/>
    <mergeCell ref="AD29:AE29"/>
    <mergeCell ref="AF29:AG29"/>
    <mergeCell ref="AH29:AI29"/>
    <mergeCell ref="AJ29:AK29"/>
    <mergeCell ref="Z28:AA28"/>
    <mergeCell ref="AB28:AC28"/>
    <mergeCell ref="AH27:AI27"/>
    <mergeCell ref="P23:Q23"/>
    <mergeCell ref="AD28:AE28"/>
    <mergeCell ref="AF28:AG28"/>
    <mergeCell ref="AH28:AI28"/>
    <mergeCell ref="AJ27:AK27"/>
    <mergeCell ref="AJ24:AK24"/>
    <mergeCell ref="I25:O25"/>
    <mergeCell ref="R24:S24"/>
    <mergeCell ref="T24:U24"/>
    <mergeCell ref="V24:W24"/>
    <mergeCell ref="X24:Y24"/>
    <mergeCell ref="Z24:AA24"/>
    <mergeCell ref="AB24:AC24"/>
    <mergeCell ref="P25:Q25"/>
    <mergeCell ref="AD24:AE24"/>
    <mergeCell ref="AF24:AG24"/>
    <mergeCell ref="AH24:AI24"/>
    <mergeCell ref="I24:O24"/>
    <mergeCell ref="P24:Q24"/>
    <mergeCell ref="AD27:AE27"/>
    <mergeCell ref="X26:Y26"/>
    <mergeCell ref="Z26:AA26"/>
    <mergeCell ref="AB26:AC26"/>
    <mergeCell ref="AJ28:AK28"/>
    <mergeCell ref="Z18:AA18"/>
    <mergeCell ref="AB18:AC18"/>
    <mergeCell ref="AD18:AE18"/>
    <mergeCell ref="AF18:AG18"/>
    <mergeCell ref="AH18:AI18"/>
    <mergeCell ref="AJ18:AK18"/>
    <mergeCell ref="I18:O18"/>
    <mergeCell ref="P18:Q18"/>
    <mergeCell ref="R18:S18"/>
    <mergeCell ref="T18:U18"/>
    <mergeCell ref="V18:W18"/>
    <mergeCell ref="X18:Y18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R9:S9"/>
    <mergeCell ref="T9:U9"/>
    <mergeCell ref="V9:W9"/>
    <mergeCell ref="X9:Y9"/>
    <mergeCell ref="AB9:AC9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D9:AE9"/>
    <mergeCell ref="T7:U7"/>
    <mergeCell ref="AD5:AE5"/>
    <mergeCell ref="Z6:AA6"/>
    <mergeCell ref="V7:W7"/>
    <mergeCell ref="X7:Y7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AH4:AI4"/>
    <mergeCell ref="AF3:AG3"/>
    <mergeCell ref="AH3:AI3"/>
    <mergeCell ref="Z4:AA4"/>
    <mergeCell ref="AB4:AC4"/>
    <mergeCell ref="Z8:AA8"/>
    <mergeCell ref="AB8:AC8"/>
    <mergeCell ref="AD8:AE8"/>
    <mergeCell ref="AF8:AG8"/>
    <mergeCell ref="AH7:AI7"/>
    <mergeCell ref="AF5:AG5"/>
    <mergeCell ref="AH5:AI5"/>
    <mergeCell ref="Z5:AA5"/>
    <mergeCell ref="AB5:AC5"/>
    <mergeCell ref="AH6:AI6"/>
    <mergeCell ref="Z7:AA7"/>
    <mergeCell ref="AB7:AC7"/>
    <mergeCell ref="AD7:AE7"/>
    <mergeCell ref="AF7:AG7"/>
    <mergeCell ref="AH8:AI8"/>
    <mergeCell ref="AB6:AC6"/>
    <mergeCell ref="AD6:AE6"/>
    <mergeCell ref="AF6:AG6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J3:AK3"/>
    <mergeCell ref="AD2:AE2"/>
    <mergeCell ref="AF2:AG2"/>
    <mergeCell ref="Z2:AA2"/>
    <mergeCell ref="AB2:AC2"/>
    <mergeCell ref="M1:N1"/>
    <mergeCell ref="R1:U1"/>
    <mergeCell ref="E2:H2"/>
    <mergeCell ref="I2:O4"/>
    <mergeCell ref="P2:Q3"/>
    <mergeCell ref="R2:S2"/>
    <mergeCell ref="T2:U2"/>
    <mergeCell ref="P4:Q4"/>
    <mergeCell ref="I6:O6"/>
    <mergeCell ref="P6:Q6"/>
    <mergeCell ref="R6:S6"/>
    <mergeCell ref="T6:U6"/>
    <mergeCell ref="V6:W6"/>
    <mergeCell ref="X6:Y6"/>
    <mergeCell ref="I5:O5"/>
    <mergeCell ref="P5:Q5"/>
    <mergeCell ref="R5:S5"/>
    <mergeCell ref="T5:U5"/>
    <mergeCell ref="V5:W5"/>
    <mergeCell ref="X5:Y5"/>
    <mergeCell ref="T4:U4"/>
    <mergeCell ref="V4:W4"/>
    <mergeCell ref="X4:Y4"/>
    <mergeCell ref="AI48:AJ48"/>
    <mergeCell ref="AK48:AM48"/>
    <mergeCell ref="A43:D43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5:C7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C16:C24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M59"/>
  <sheetViews>
    <sheetView showGridLines="0" topLeftCell="A31" zoomScale="66" zoomScaleNormal="66" workbookViewId="0">
      <selection activeCell="AB17" sqref="AB17:AC17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31.33203125" style="9" customWidth="1"/>
    <col min="5" max="7" width="12" style="9" customWidth="1"/>
    <col min="8" max="8" width="11" style="9" customWidth="1"/>
    <col min="9" max="22" width="4.5" style="9" customWidth="1"/>
    <col min="23" max="32" width="4.5" style="13" customWidth="1"/>
    <col min="33" max="35" width="4.5" style="17" customWidth="1"/>
    <col min="36" max="36" width="23.25" style="17" customWidth="1"/>
    <col min="37" max="38" width="4.5" style="17" customWidth="1"/>
    <col min="39" max="39" width="12.7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>
        <v>244568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426"/>
      <c r="C5" s="130" t="s">
        <v>74</v>
      </c>
      <c r="D5" s="422"/>
      <c r="E5" s="307"/>
      <c r="F5" s="307"/>
      <c r="G5" s="423"/>
      <c r="H5" s="110" t="str">
        <f t="shared" ref="H5:H28" si="0">IF(F5=0,"",(F5-G5)/F5)</f>
        <v/>
      </c>
      <c r="I5" s="675" t="s">
        <v>33</v>
      </c>
      <c r="J5" s="676"/>
      <c r="K5" s="676"/>
      <c r="L5" s="676"/>
      <c r="M5" s="676"/>
      <c r="N5" s="676"/>
      <c r="O5" s="677"/>
      <c r="P5" s="678">
        <v>0.89</v>
      </c>
      <c r="Q5" s="679"/>
      <c r="R5" s="680">
        <v>4.9480000000000004</v>
      </c>
      <c r="S5" s="679"/>
      <c r="T5" s="681">
        <v>0.48599999999999999</v>
      </c>
      <c r="U5" s="682"/>
      <c r="V5" s="683">
        <v>11.561999999999999</v>
      </c>
      <c r="W5" s="684"/>
      <c r="X5" s="685">
        <v>0.249</v>
      </c>
      <c r="Y5" s="686"/>
      <c r="Z5" s="687">
        <f>215-20</f>
        <v>195</v>
      </c>
      <c r="AA5" s="688"/>
      <c r="AB5" s="674">
        <v>29</v>
      </c>
      <c r="AC5" s="674"/>
      <c r="AD5" s="689">
        <f>SUM(AF5:AK5)*0.025</f>
        <v>1</v>
      </c>
      <c r="AE5" s="689"/>
      <c r="AF5" s="674">
        <f>14+14+12</f>
        <v>40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427"/>
      <c r="C6" s="131" t="s">
        <v>75</v>
      </c>
      <c r="D6" s="317"/>
      <c r="E6" s="317"/>
      <c r="F6" s="317"/>
      <c r="G6" s="424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0.12973760932944606</v>
      </c>
      <c r="Q6" s="673"/>
      <c r="R6" s="673">
        <f>IF($F$15=0,0,R5*1000/$F$15)</f>
        <v>0.72128279883381929</v>
      </c>
      <c r="S6" s="673"/>
      <c r="T6" s="673">
        <f>IF($F$15=0,0,T5*1000/$F$15)</f>
        <v>7.0845481049562689E-2</v>
      </c>
      <c r="U6" s="673"/>
      <c r="V6" s="673">
        <f>IF($F$15=0,0,V5*1000/$F$15)</f>
        <v>1.6854227405247812</v>
      </c>
      <c r="W6" s="673"/>
      <c r="X6" s="673">
        <f>IF($F$15=0,0,X5*1000/$F$15)</f>
        <v>3.6297376093294462E-2</v>
      </c>
      <c r="Y6" s="673"/>
      <c r="Z6" s="673">
        <f>IF($F$15=0,0,Z5*1000/$F$15)</f>
        <v>28.425655976676385</v>
      </c>
      <c r="AA6" s="673"/>
      <c r="AB6" s="632">
        <f>IF($F$15=0,0,AB5*1000/$F$15)</f>
        <v>4.2274052478134108</v>
      </c>
      <c r="AC6" s="632"/>
      <c r="AD6" s="632">
        <f>IF($F$15=0,0,AD5*1000/$F$15)</f>
        <v>0.1457725947521866</v>
      </c>
      <c r="AE6" s="632"/>
      <c r="AF6" s="627">
        <f>IF(AF5=0,0,F15/AF5)</f>
        <v>171.5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427" t="s">
        <v>176</v>
      </c>
      <c r="C7" s="131" t="s">
        <v>76</v>
      </c>
      <c r="D7" s="313" t="s">
        <v>177</v>
      </c>
      <c r="E7" s="317">
        <v>5040</v>
      </c>
      <c r="F7" s="317">
        <v>6860</v>
      </c>
      <c r="G7" s="424">
        <v>5623</v>
      </c>
      <c r="H7" s="111">
        <f t="shared" si="0"/>
        <v>0.18032069970845482</v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0.15827849902187444</v>
      </c>
      <c r="Q7" s="639"/>
      <c r="R7" s="639">
        <f>IF($G$15=0,0,R5*1000/$G$15)</f>
        <v>0.87995731815756717</v>
      </c>
      <c r="S7" s="639"/>
      <c r="T7" s="639">
        <f>IF($G$15=0,0,T5*1000/$G$15)</f>
        <v>8.6430730926551666E-2</v>
      </c>
      <c r="U7" s="639"/>
      <c r="V7" s="639">
        <f>IF($G$15=0,0,V5*1000/$G$15)</f>
        <v>2.0561977592032723</v>
      </c>
      <c r="W7" s="639"/>
      <c r="X7" s="639">
        <f>IF($G$15=0,0,X5*1000/$G$15)</f>
        <v>4.4282411524097454E-2</v>
      </c>
      <c r="Y7" s="639"/>
      <c r="Z7" s="639">
        <f>IF($G$15=0,0,Z5*1000/$G$15)</f>
        <v>34.678996976702827</v>
      </c>
      <c r="AA7" s="639"/>
      <c r="AB7" s="632">
        <f>IF($G$15=0,0,AB5*1000/$G$15)</f>
        <v>5.1573892939711898</v>
      </c>
      <c r="AC7" s="632"/>
      <c r="AD7" s="632">
        <f>IF($G$15=0,0,AD5*1000/$G$15)</f>
        <v>0.17784101013693757</v>
      </c>
      <c r="AE7" s="632"/>
      <c r="AF7" s="627">
        <f>IF(AF5=0,0,G15/AF5)</f>
        <v>140.57499999999999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427"/>
      <c r="C8" s="129" t="s">
        <v>77</v>
      </c>
      <c r="D8" s="318"/>
      <c r="E8" s="317"/>
      <c r="F8" s="317"/>
      <c r="G8" s="424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>
        <v>70</v>
      </c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427"/>
      <c r="C9" s="129" t="s">
        <v>78</v>
      </c>
      <c r="D9" s="318"/>
      <c r="E9" s="317"/>
      <c r="F9" s="317"/>
      <c r="G9" s="424"/>
      <c r="H9" s="111" t="str">
        <f>IF(F9=0,"",(F9-G9)/F9)</f>
        <v/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428"/>
      <c r="C10" s="129" t="s">
        <v>79</v>
      </c>
      <c r="D10" s="124"/>
      <c r="E10" s="125"/>
      <c r="F10" s="125"/>
      <c r="G10" s="126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309"/>
      <c r="C12" s="129" t="s">
        <v>63</v>
      </c>
      <c r="D12" s="313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>
        <f>4+4+5+4+4+6</f>
        <v>27</v>
      </c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>
        <f>F15/P12</f>
        <v>254.07407407407408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>
        <v>6</v>
      </c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5040</v>
      </c>
      <c r="F15" s="204">
        <f>SUM(F5:F14)</f>
        <v>6860</v>
      </c>
      <c r="G15" s="204">
        <f>SUM(G5:G14)</f>
        <v>5623</v>
      </c>
      <c r="H15" s="188">
        <f>IF(F15=0,"",(F15-G15)/F15)</f>
        <v>0.18032069970845482</v>
      </c>
      <c r="I15" s="719" t="s">
        <v>70</v>
      </c>
      <c r="J15" s="720"/>
      <c r="K15" s="720"/>
      <c r="L15" s="720"/>
      <c r="M15" s="720"/>
      <c r="N15" s="720"/>
      <c r="O15" s="721"/>
      <c r="P15" s="722">
        <f>F15/P14</f>
        <v>1143.3333333333333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119"/>
      <c r="C16" s="130" t="s">
        <v>74</v>
      </c>
      <c r="D16" s="127"/>
      <c r="E16" s="122"/>
      <c r="F16" s="122"/>
      <c r="G16" s="123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f>0.619+0.172</f>
        <v>0.79099999999999993</v>
      </c>
      <c r="Q16" s="731"/>
      <c r="R16" s="732">
        <f>7.172+3.655</f>
        <v>10.827</v>
      </c>
      <c r="S16" s="731"/>
      <c r="T16" s="733">
        <f>0.828+0.244</f>
        <v>1.0720000000000001</v>
      </c>
      <c r="U16" s="734"/>
      <c r="V16" s="735">
        <f>17.53+8.765</f>
        <v>26.295000000000002</v>
      </c>
      <c r="W16" s="736"/>
      <c r="X16" s="737">
        <f>0.478+0.135</f>
        <v>0.61299999999999999</v>
      </c>
      <c r="Y16" s="738"/>
      <c r="Z16" s="740">
        <f>81+200+88</f>
        <v>369</v>
      </c>
      <c r="AA16" s="741"/>
      <c r="AB16" s="739">
        <v>48</v>
      </c>
      <c r="AC16" s="739"/>
      <c r="AD16" s="725">
        <f>SUM(AF16:AK16)*0.025</f>
        <v>2.1750000000000003</v>
      </c>
      <c r="AE16" s="725"/>
      <c r="AF16" s="726">
        <f>14+14+14+14+11+14+6</f>
        <v>87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120"/>
      <c r="C17" s="131" t="s">
        <v>75</v>
      </c>
      <c r="D17" s="128"/>
      <c r="E17" s="125"/>
      <c r="F17" s="125"/>
      <c r="G17" s="126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6.024830527839134E-2</v>
      </c>
      <c r="Q17" s="745"/>
      <c r="R17" s="746">
        <f>IF($F$26=0,0,R16*1000/$F$26)</f>
        <v>0.82466295985985227</v>
      </c>
      <c r="S17" s="745"/>
      <c r="T17" s="746">
        <f>IF($F$26=0,0,T16*1000/$F$26)</f>
        <v>8.1651306268565774E-2</v>
      </c>
      <c r="U17" s="744"/>
      <c r="V17" s="632">
        <f>IF($F$26=0,0,V16*1000/$F$26)</f>
        <v>2.0028181887424785</v>
      </c>
      <c r="W17" s="632"/>
      <c r="X17" s="632">
        <f>IF($F$26=0,0,X16*1000/$F$26)</f>
        <v>4.6690532409170538E-2</v>
      </c>
      <c r="Y17" s="632"/>
      <c r="Z17" s="744">
        <f>IF($F$26=0,0,Z16*1000/$F$26)</f>
        <v>28.105720161474597</v>
      </c>
      <c r="AA17" s="744"/>
      <c r="AB17" s="632">
        <f>IF($F$26=0,0,AB16*1000/$F$26)</f>
        <v>3.6560286388910046</v>
      </c>
      <c r="AC17" s="632"/>
      <c r="AD17" s="632">
        <f>IF($F$26=0,0,AD16*1000/$F$26)</f>
        <v>0.16566379769974868</v>
      </c>
      <c r="AE17" s="632"/>
      <c r="AF17" s="742">
        <f>IF(AF16=0,0,F26/AF16)</f>
        <v>150.90804597701148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427" t="s">
        <v>178</v>
      </c>
      <c r="C18" s="131" t="s">
        <v>76</v>
      </c>
      <c r="D18" s="425" t="s">
        <v>179</v>
      </c>
      <c r="E18" s="317">
        <v>10080</v>
      </c>
      <c r="F18" s="317">
        <f>8681+4448</f>
        <v>13129</v>
      </c>
      <c r="G18" s="424">
        <f>6892+3892</f>
        <v>10784</v>
      </c>
      <c r="H18" s="111">
        <f t="shared" si="0"/>
        <v>0.17861223246248761</v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7.33494065281899E-2</v>
      </c>
      <c r="Q18" s="752"/>
      <c r="R18" s="746">
        <f>IF($G$26=0,0,R16*1000/$G$26)</f>
        <v>1.0039873887240356</v>
      </c>
      <c r="S18" s="745"/>
      <c r="T18" s="746">
        <f>IF($G$26=0,0,T16*1000/$G$26)</f>
        <v>9.9406528189910984E-2</v>
      </c>
      <c r="U18" s="745"/>
      <c r="V18" s="753">
        <f>IF($G$26=0,0,V16*1000/$G$26)</f>
        <v>2.4383345697329375</v>
      </c>
      <c r="W18" s="754"/>
      <c r="X18" s="753">
        <f>IF($G$26=0,0,X16*1000/$G$26)</f>
        <v>5.6843471810089023E-2</v>
      </c>
      <c r="Y18" s="754"/>
      <c r="Z18" s="746">
        <f>IF($G$26=0,0,Z16*1000/$G$26)</f>
        <v>34.217359050445104</v>
      </c>
      <c r="AA18" s="744"/>
      <c r="AB18" s="632">
        <f>IF($G$26=0,0,AB16*1000/$G$26)</f>
        <v>4.4510385756676554</v>
      </c>
      <c r="AC18" s="632"/>
      <c r="AD18" s="632">
        <f>IF($G$26=0,0,AD16*1000/$G$26)</f>
        <v>0.2016876854599407</v>
      </c>
      <c r="AE18" s="632"/>
      <c r="AF18" s="742">
        <f>IF(AF16=0,0,G26/AF16)</f>
        <v>123.95402298850574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427"/>
      <c r="C19" s="131" t="s">
        <v>77</v>
      </c>
      <c r="D19" s="317"/>
      <c r="E19" s="317"/>
      <c r="F19" s="317"/>
      <c r="G19" s="424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>
        <f>96+48</f>
        <v>144</v>
      </c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427"/>
      <c r="C20" s="131" t="s">
        <v>78</v>
      </c>
      <c r="D20" s="317"/>
      <c r="E20" s="317"/>
      <c r="F20" s="317"/>
      <c r="G20" s="424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309"/>
      <c r="C21" s="129" t="s">
        <v>79</v>
      </c>
      <c r="D21" s="313"/>
      <c r="E21" s="125"/>
      <c r="F21" s="125"/>
      <c r="G21" s="126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239"/>
      <c r="C23" s="131" t="s">
        <v>63</v>
      </c>
      <c r="D23" s="241"/>
      <c r="E23" s="241"/>
      <c r="F23" s="241"/>
      <c r="G23" s="242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>
        <f>3+3+3+3+7+7+4+3+3+3+1+4</f>
        <v>44</v>
      </c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>
        <f>F26/P23</f>
        <v>298.38636363636363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>
        <f>6+6</f>
        <v>12</v>
      </c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10080</v>
      </c>
      <c r="F26" s="205">
        <f>SUM(F16:F25)</f>
        <v>13129</v>
      </c>
      <c r="G26" s="205">
        <f>SUM(G16:G25)</f>
        <v>10784</v>
      </c>
      <c r="H26" s="196">
        <f>IF(F26=0,"",(F26-G26)/F26)</f>
        <v>0.17861223246248761</v>
      </c>
      <c r="I26" s="719" t="s">
        <v>70</v>
      </c>
      <c r="J26" s="720"/>
      <c r="K26" s="720"/>
      <c r="L26" s="720"/>
      <c r="M26" s="720"/>
      <c r="N26" s="720"/>
      <c r="O26" s="721"/>
      <c r="P26" s="785">
        <f>F26/P25</f>
        <v>1094.0833333333333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1.681</v>
      </c>
      <c r="Q27" s="781"/>
      <c r="R27" s="782">
        <f>SUM(R5,R16)</f>
        <v>15.775</v>
      </c>
      <c r="S27" s="781"/>
      <c r="T27" s="782">
        <f>SUM(T5,T16)</f>
        <v>1.5580000000000001</v>
      </c>
      <c r="U27" s="781"/>
      <c r="V27" s="782">
        <f>SUM(V5,V16)</f>
        <v>37.856999999999999</v>
      </c>
      <c r="W27" s="781"/>
      <c r="X27" s="782">
        <f>SUM(X5,X16)</f>
        <v>0.86199999999999999</v>
      </c>
      <c r="Y27" s="781"/>
      <c r="Z27" s="783">
        <f>SUM(Z5,Z16)</f>
        <v>564</v>
      </c>
      <c r="AA27" s="784"/>
      <c r="AB27" s="770">
        <f>SUM(AB5,AB16)</f>
        <v>77</v>
      </c>
      <c r="AC27" s="770"/>
      <c r="AD27" s="769">
        <f>SUM(AD5,AD16)</f>
        <v>3.1750000000000003</v>
      </c>
      <c r="AE27" s="769"/>
      <c r="AF27" s="770">
        <f>SUM(AF5,AF16)</f>
        <v>127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15120</v>
      </c>
      <c r="F28" s="140">
        <f>F15+F26</f>
        <v>19989</v>
      </c>
      <c r="G28" s="140">
        <f>G15+G26</f>
        <v>16407</v>
      </c>
      <c r="H28" s="141">
        <f t="shared" si="0"/>
        <v>0.17919855920756417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8.4096252939116517E-2</v>
      </c>
      <c r="Q28" s="745"/>
      <c r="R28" s="746">
        <f t="shared" si="1"/>
        <v>0.78918405122817548</v>
      </c>
      <c r="S28" s="745"/>
      <c r="T28" s="746">
        <f t="shared" si="1"/>
        <v>7.7942868577717747E-2</v>
      </c>
      <c r="U28" s="745"/>
      <c r="V28" s="800">
        <f t="shared" si="1"/>
        <v>1.8938916404022212</v>
      </c>
      <c r="W28" s="801"/>
      <c r="X28" s="800">
        <f t="shared" si="1"/>
        <v>4.3123718044924708E-2</v>
      </c>
      <c r="Y28" s="801"/>
      <c r="Z28" s="746">
        <f t="shared" si="1"/>
        <v>28.215518535194356</v>
      </c>
      <c r="AA28" s="744"/>
      <c r="AB28" s="632">
        <f t="shared" si="1"/>
        <v>3.8521186652658961</v>
      </c>
      <c r="AC28" s="632"/>
      <c r="AD28" s="632">
        <f t="shared" si="1"/>
        <v>0.15883736054830158</v>
      </c>
      <c r="AE28" s="632"/>
      <c r="AF28" s="757">
        <f t="shared" si="1"/>
        <v>6.353494421932063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0.10245626866581337</v>
      </c>
      <c r="Q29" s="792"/>
      <c r="R29" s="771">
        <f t="shared" si="2"/>
        <v>0.96147985615895659</v>
      </c>
      <c r="S29" s="792"/>
      <c r="T29" s="771">
        <f t="shared" si="2"/>
        <v>9.4959468519534351E-2</v>
      </c>
      <c r="U29" s="792"/>
      <c r="V29" s="793">
        <f t="shared" si="2"/>
        <v>2.3073688059974402</v>
      </c>
      <c r="W29" s="794"/>
      <c r="X29" s="795">
        <f t="shared" si="2"/>
        <v>5.2538550618638387E-2</v>
      </c>
      <c r="Y29" s="796"/>
      <c r="Z29" s="771">
        <f t="shared" si="2"/>
        <v>34.375571402450177</v>
      </c>
      <c r="AA29" s="772"/>
      <c r="AB29" s="773">
        <f t="shared" si="2"/>
        <v>4.6931187907600416</v>
      </c>
      <c r="AC29" s="773"/>
      <c r="AD29" s="773">
        <f t="shared" si="2"/>
        <v>0.19351496312549524</v>
      </c>
      <c r="AE29" s="773"/>
      <c r="AF29" s="774">
        <f t="shared" si="2"/>
        <v>7.7405985250198084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413">
        <f t="shared" ref="B33:B42" si="3">B5</f>
        <v>0</v>
      </c>
      <c r="C33" s="213" t="s">
        <v>74</v>
      </c>
      <c r="D33" s="277">
        <f t="shared" ref="D33:D42" si="4">D5</f>
        <v>0</v>
      </c>
      <c r="E33" s="277">
        <f>G5</f>
        <v>0</v>
      </c>
      <c r="F33" s="476"/>
      <c r="G33" s="62" t="str">
        <f t="shared" ref="G33:G55" si="5">IF(E33=0,"",(E33-F33)/E33)</f>
        <v/>
      </c>
      <c r="H33" s="63"/>
      <c r="I33" s="64">
        <f t="shared" ref="I33:I54" si="6">SUM(J33:AH33)</f>
        <v>0</v>
      </c>
      <c r="J33" s="453"/>
      <c r="K33" s="454"/>
      <c r="L33" s="453"/>
      <c r="M33" s="454"/>
      <c r="N33" s="453"/>
      <c r="O33" s="454"/>
      <c r="P33" s="453"/>
      <c r="Q33" s="454"/>
      <c r="R33" s="453"/>
      <c r="S33" s="454"/>
      <c r="T33" s="453"/>
      <c r="U33" s="454"/>
      <c r="V33" s="453"/>
      <c r="W33" s="454"/>
      <c r="X33" s="453"/>
      <c r="Y33" s="454"/>
      <c r="Z33" s="453"/>
      <c r="AA33" s="454"/>
      <c r="AB33" s="453"/>
      <c r="AC33" s="454"/>
      <c r="AD33" s="453"/>
      <c r="AE33" s="454"/>
      <c r="AF33" s="453"/>
      <c r="AG33" s="454"/>
      <c r="AH33" s="453"/>
      <c r="AI33" s="803"/>
      <c r="AJ33" s="804"/>
      <c r="AK33" s="864"/>
      <c r="AL33" s="865"/>
      <c r="AM33" s="866"/>
    </row>
    <row r="34" spans="1:39" ht="20.25" customHeight="1">
      <c r="A34" s="370"/>
      <c r="B34" s="414">
        <f t="shared" si="3"/>
        <v>0</v>
      </c>
      <c r="C34" s="214" t="s">
        <v>75</v>
      </c>
      <c r="D34" s="278">
        <f t="shared" si="4"/>
        <v>0</v>
      </c>
      <c r="E34" s="278">
        <f>G6</f>
        <v>0</v>
      </c>
      <c r="F34" s="415"/>
      <c r="G34" s="70" t="str">
        <f t="shared" si="5"/>
        <v/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833"/>
      <c r="AJ34" s="834"/>
      <c r="AK34" s="482"/>
      <c r="AL34" s="483"/>
      <c r="AM34" s="417"/>
    </row>
    <row r="35" spans="1:39" ht="20.25" customHeight="1">
      <c r="A35" s="370"/>
      <c r="B35" s="290" t="str">
        <f t="shared" si="3"/>
        <v>I13690811</v>
      </c>
      <c r="C35" s="214" t="s">
        <v>76</v>
      </c>
      <c r="D35" s="295" t="str">
        <f t="shared" si="4"/>
        <v>เทาปีกนางนวล (ไม่มีรูตะปู)*N</v>
      </c>
      <c r="E35" s="295">
        <f>G7</f>
        <v>5623</v>
      </c>
      <c r="F35" s="296">
        <f>210*25+175+6</f>
        <v>5431</v>
      </c>
      <c r="G35" s="70">
        <f t="shared" si="5"/>
        <v>3.4145473946292013E-2</v>
      </c>
      <c r="H35" s="63"/>
      <c r="I35" s="64">
        <f t="shared" si="6"/>
        <v>192</v>
      </c>
      <c r="J35" s="455"/>
      <c r="K35" s="456">
        <f>6+3+3+5+1+3+10+3+2+5+1+5</f>
        <v>47</v>
      </c>
      <c r="L35" s="456">
        <v>1</v>
      </c>
      <c r="M35" s="456">
        <f>2+5</f>
        <v>7</v>
      </c>
      <c r="N35" s="456"/>
      <c r="O35" s="456"/>
      <c r="P35" s="456"/>
      <c r="Q35" s="456"/>
      <c r="R35" s="456">
        <f>2+10+2+5+2+7+1+6+15</f>
        <v>50</v>
      </c>
      <c r="S35" s="456"/>
      <c r="T35" s="456"/>
      <c r="U35" s="456"/>
      <c r="V35" s="456"/>
      <c r="W35" s="456">
        <f>15+10</f>
        <v>25</v>
      </c>
      <c r="X35" s="456"/>
      <c r="Y35" s="456">
        <f>7+4+3+5+2+3+3</f>
        <v>27</v>
      </c>
      <c r="Z35" s="456"/>
      <c r="AA35" s="456"/>
      <c r="AB35" s="456">
        <v>4</v>
      </c>
      <c r="AC35" s="456">
        <f>4+4+3+4</f>
        <v>15</v>
      </c>
      <c r="AD35" s="456">
        <f>7</f>
        <v>7</v>
      </c>
      <c r="AE35" s="456">
        <f>3+5</f>
        <v>8</v>
      </c>
      <c r="AF35" s="456">
        <v>1</v>
      </c>
      <c r="AG35" s="456"/>
      <c r="AH35" s="457"/>
      <c r="AI35" s="802" t="s">
        <v>180</v>
      </c>
      <c r="AJ35" s="614"/>
      <c r="AK35" s="840" t="s">
        <v>171</v>
      </c>
      <c r="AL35" s="841"/>
      <c r="AM35" s="842"/>
    </row>
    <row r="36" spans="1:39" ht="20.25" customHeight="1">
      <c r="A36" s="371">
        <v>1</v>
      </c>
      <c r="B36" s="290">
        <f t="shared" si="3"/>
        <v>0</v>
      </c>
      <c r="C36" s="214" t="s">
        <v>77</v>
      </c>
      <c r="D36" s="295">
        <f t="shared" si="4"/>
        <v>0</v>
      </c>
      <c r="E36" s="295">
        <f t="shared" ref="E36:E42" si="7">G8</f>
        <v>0</v>
      </c>
      <c r="F36" s="296"/>
      <c r="G36" s="70" t="str">
        <f t="shared" si="5"/>
        <v/>
      </c>
      <c r="H36" s="63"/>
      <c r="I36" s="64">
        <f t="shared" si="6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452"/>
      <c r="AJ36" s="438"/>
      <c r="AK36" s="73"/>
      <c r="AL36" s="74"/>
      <c r="AM36" s="75"/>
    </row>
    <row r="37" spans="1:39" ht="20.25" customHeight="1">
      <c r="A37" s="372"/>
      <c r="B37" s="414">
        <f t="shared" si="3"/>
        <v>0</v>
      </c>
      <c r="C37" s="214" t="s">
        <v>78</v>
      </c>
      <c r="D37" s="278">
        <f t="shared" si="4"/>
        <v>0</v>
      </c>
      <c r="E37" s="278">
        <f>G9</f>
        <v>0</v>
      </c>
      <c r="F37" s="415"/>
      <c r="G37" s="70" t="str">
        <f t="shared" si="5"/>
        <v/>
      </c>
      <c r="H37" s="63"/>
      <c r="I37" s="64">
        <f t="shared" si="6"/>
        <v>0</v>
      </c>
      <c r="J37" s="455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802"/>
      <c r="AJ37" s="614"/>
      <c r="AK37" s="448"/>
      <c r="AL37" s="449"/>
      <c r="AM37" s="410"/>
    </row>
    <row r="38" spans="1:39" ht="20.25" customHeight="1">
      <c r="A38" s="372"/>
      <c r="B38" s="291">
        <f t="shared" si="3"/>
        <v>0</v>
      </c>
      <c r="C38" s="214" t="s">
        <v>79</v>
      </c>
      <c r="D38" s="297">
        <f t="shared" si="4"/>
        <v>0</v>
      </c>
      <c r="E38" s="295">
        <f t="shared" si="7"/>
        <v>0</v>
      </c>
      <c r="F38" s="296"/>
      <c r="G38" s="70" t="str">
        <f t="shared" si="5"/>
        <v/>
      </c>
      <c r="H38" s="63"/>
      <c r="I38" s="64">
        <f t="shared" si="6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291">
        <f t="shared" si="3"/>
        <v>0</v>
      </c>
      <c r="C39" s="214" t="s">
        <v>80</v>
      </c>
      <c r="D39" s="297">
        <f t="shared" si="4"/>
        <v>0</v>
      </c>
      <c r="E39" s="297">
        <f t="shared" si="7"/>
        <v>0</v>
      </c>
      <c r="F39" s="319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291">
        <f t="shared" si="3"/>
        <v>0</v>
      </c>
      <c r="C40" s="214" t="s">
        <v>63</v>
      </c>
      <c r="D40" s="297">
        <f t="shared" si="4"/>
        <v>0</v>
      </c>
      <c r="E40" s="297">
        <f t="shared" si="7"/>
        <v>0</v>
      </c>
      <c r="F40" s="319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92">
        <f t="shared" si="3"/>
        <v>0</v>
      </c>
      <c r="C41" s="215" t="s">
        <v>81</v>
      </c>
      <c r="D41" s="298">
        <f t="shared" si="4"/>
        <v>0</v>
      </c>
      <c r="E41" s="298">
        <f t="shared" si="7"/>
        <v>0</v>
      </c>
      <c r="F41" s="349"/>
      <c r="G41" s="210" t="str">
        <f t="shared" si="5"/>
        <v/>
      </c>
      <c r="H41" s="63"/>
      <c r="I41" s="64">
        <f t="shared" si="6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5623</v>
      </c>
      <c r="F43" s="145">
        <f>SUM(F33:F42)</f>
        <v>5431</v>
      </c>
      <c r="G43" s="135">
        <f t="shared" si="5"/>
        <v>3.4145473946292013E-2</v>
      </c>
      <c r="H43" s="63"/>
      <c r="I43" s="376">
        <f t="shared" si="6"/>
        <v>192</v>
      </c>
      <c r="J43" s="77">
        <f>SUM(J33:J42)</f>
        <v>0</v>
      </c>
      <c r="K43" s="78">
        <f t="shared" ref="K43:AH43" si="8">SUM(K33:K42)</f>
        <v>47</v>
      </c>
      <c r="L43" s="78">
        <f t="shared" si="8"/>
        <v>1</v>
      </c>
      <c r="M43" s="78">
        <f t="shared" si="8"/>
        <v>7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0</v>
      </c>
      <c r="R43" s="78">
        <f t="shared" si="8"/>
        <v>50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0</v>
      </c>
      <c r="W43" s="78">
        <f t="shared" si="8"/>
        <v>25</v>
      </c>
      <c r="X43" s="78">
        <f t="shared" si="8"/>
        <v>0</v>
      </c>
      <c r="Y43" s="78">
        <f t="shared" si="8"/>
        <v>27</v>
      </c>
      <c r="Z43" s="78">
        <f t="shared" si="8"/>
        <v>0</v>
      </c>
      <c r="AA43" s="78">
        <f t="shared" si="8"/>
        <v>0</v>
      </c>
      <c r="AB43" s="78">
        <f t="shared" si="8"/>
        <v>4</v>
      </c>
      <c r="AC43" s="78">
        <f t="shared" si="8"/>
        <v>15</v>
      </c>
      <c r="AD43" s="78">
        <f t="shared" si="8"/>
        <v>7</v>
      </c>
      <c r="AE43" s="78">
        <f t="shared" si="8"/>
        <v>8</v>
      </c>
      <c r="AF43" s="78">
        <f t="shared" si="8"/>
        <v>1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92">
        <f t="shared" ref="B44:B53" si="9">B16</f>
        <v>0</v>
      </c>
      <c r="C44" s="382" t="s">
        <v>74</v>
      </c>
      <c r="D44" s="121">
        <f t="shared" ref="D44:D53" si="10">D16</f>
        <v>0</v>
      </c>
      <c r="E44" s="122">
        <f t="shared" ref="E44:E53" si="11">G16</f>
        <v>0</v>
      </c>
      <c r="F44" s="148"/>
      <c r="G44" s="62" t="str">
        <f t="shared" si="5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8"/>
      <c r="AJ44" s="819"/>
      <c r="AK44" s="82"/>
      <c r="AL44" s="83"/>
      <c r="AM44" s="84"/>
    </row>
    <row r="45" spans="1:39" ht="20.25" customHeight="1">
      <c r="A45" s="384"/>
      <c r="B45" s="300">
        <f t="shared" si="9"/>
        <v>0</v>
      </c>
      <c r="C45" s="216" t="s">
        <v>75</v>
      </c>
      <c r="D45" s="302">
        <f t="shared" si="10"/>
        <v>0</v>
      </c>
      <c r="E45" s="303">
        <f t="shared" si="11"/>
        <v>0</v>
      </c>
      <c r="F45" s="296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300" t="str">
        <f t="shared" si="9"/>
        <v>I13690813</v>
      </c>
      <c r="C46" s="217" t="s">
        <v>76</v>
      </c>
      <c r="D46" s="304" t="str">
        <f t="shared" si="10"/>
        <v>ลิกไนท์เกรย์ (ไม่มีรูตะปู)*N</v>
      </c>
      <c r="E46" s="297">
        <f>G18</f>
        <v>10784</v>
      </c>
      <c r="F46" s="319">
        <f>210*48+103+6</f>
        <v>10189</v>
      </c>
      <c r="G46" s="70">
        <f t="shared" si="5"/>
        <v>5.517433234421365E-2</v>
      </c>
      <c r="H46" s="63"/>
      <c r="I46" s="64">
        <f>SUM(J46:AH46)</f>
        <v>595</v>
      </c>
      <c r="J46" s="455"/>
      <c r="K46" s="456">
        <f>9+20+8+3+2+1+7+1+4</f>
        <v>55</v>
      </c>
      <c r="L46" s="456">
        <f>2+25+25+30+20+2+25+30+5+5+8+5+4+2</f>
        <v>188</v>
      </c>
      <c r="M46" s="456">
        <v>2</v>
      </c>
      <c r="N46" s="456"/>
      <c r="O46" s="456"/>
      <c r="P46" s="456"/>
      <c r="Q46" s="456">
        <v>3</v>
      </c>
      <c r="R46" s="456">
        <v>177</v>
      </c>
      <c r="S46" s="456">
        <v>2</v>
      </c>
      <c r="T46" s="456"/>
      <c r="U46" s="456"/>
      <c r="V46" s="456"/>
      <c r="W46" s="456">
        <f>2+25</f>
        <v>27</v>
      </c>
      <c r="X46" s="456"/>
      <c r="Y46" s="456">
        <v>10</v>
      </c>
      <c r="Z46" s="456">
        <v>10</v>
      </c>
      <c r="AA46" s="456"/>
      <c r="AB46" s="456"/>
      <c r="AC46" s="456">
        <f>6+5+5+25+7+10+7+3+2</f>
        <v>70</v>
      </c>
      <c r="AD46" s="456">
        <f>4+8+21</f>
        <v>33</v>
      </c>
      <c r="AE46" s="456"/>
      <c r="AF46" s="456">
        <f>6+4+2+4+2</f>
        <v>18</v>
      </c>
      <c r="AG46" s="456"/>
      <c r="AH46" s="457"/>
      <c r="AI46" s="802" t="s">
        <v>187</v>
      </c>
      <c r="AJ46" s="614"/>
      <c r="AK46" s="867" t="s">
        <v>188</v>
      </c>
      <c r="AL46" s="868"/>
      <c r="AM46" s="869"/>
    </row>
    <row r="47" spans="1:39" ht="20.25" customHeight="1">
      <c r="A47" s="363"/>
      <c r="B47" s="351">
        <f t="shared" si="9"/>
        <v>0</v>
      </c>
      <c r="C47" s="217" t="s">
        <v>77</v>
      </c>
      <c r="D47" s="357">
        <f t="shared" si="10"/>
        <v>0</v>
      </c>
      <c r="E47" s="323">
        <v>0</v>
      </c>
      <c r="F47" s="324"/>
      <c r="G47" s="70" t="str">
        <f t="shared" si="5"/>
        <v/>
      </c>
      <c r="H47" s="63"/>
      <c r="I47" s="64">
        <f t="shared" si="6"/>
        <v>0</v>
      </c>
      <c r="J47" s="455"/>
      <c r="K47" s="456"/>
      <c r="L47" s="456"/>
      <c r="M47" s="456"/>
      <c r="N47" s="456"/>
      <c r="O47" s="456"/>
      <c r="P47" s="456"/>
      <c r="Q47" s="456"/>
      <c r="R47" s="456"/>
      <c r="S47" s="456"/>
      <c r="T47" s="456"/>
      <c r="U47" s="456"/>
      <c r="V47" s="456"/>
      <c r="W47" s="456"/>
      <c r="X47" s="456"/>
      <c r="Y47" s="456"/>
      <c r="Z47" s="456"/>
      <c r="AA47" s="456"/>
      <c r="AB47" s="456"/>
      <c r="AC47" s="456"/>
      <c r="AD47" s="456"/>
      <c r="AE47" s="456"/>
      <c r="AF47" s="456"/>
      <c r="AG47" s="456"/>
      <c r="AH47" s="457"/>
      <c r="AI47" s="452"/>
      <c r="AJ47" s="438"/>
      <c r="AK47" s="73"/>
      <c r="AL47" s="74"/>
      <c r="AM47" s="75"/>
    </row>
    <row r="48" spans="1:39" ht="20.25" customHeight="1">
      <c r="A48" s="363"/>
      <c r="B48" s="351">
        <f t="shared" si="9"/>
        <v>0</v>
      </c>
      <c r="C48" s="217" t="s">
        <v>78</v>
      </c>
      <c r="D48" s="357">
        <f t="shared" si="10"/>
        <v>0</v>
      </c>
      <c r="E48" s="323">
        <v>0</v>
      </c>
      <c r="F48" s="324"/>
      <c r="G48" s="70" t="str">
        <f t="shared" si="5"/>
        <v/>
      </c>
      <c r="H48" s="63"/>
      <c r="I48" s="64">
        <f t="shared" si="6"/>
        <v>0</v>
      </c>
      <c r="J48" s="455"/>
      <c r="K48" s="456"/>
      <c r="L48" s="456"/>
      <c r="M48" s="456"/>
      <c r="N48" s="456"/>
      <c r="O48" s="456"/>
      <c r="P48" s="456"/>
      <c r="Q48" s="456"/>
      <c r="R48" s="456"/>
      <c r="S48" s="456"/>
      <c r="T48" s="456"/>
      <c r="U48" s="456"/>
      <c r="V48" s="456"/>
      <c r="W48" s="456"/>
      <c r="X48" s="456"/>
      <c r="Y48" s="456"/>
      <c r="Z48" s="456"/>
      <c r="AA48" s="456"/>
      <c r="AB48" s="456"/>
      <c r="AC48" s="456"/>
      <c r="AD48" s="456"/>
      <c r="AE48" s="456"/>
      <c r="AF48" s="456"/>
      <c r="AG48" s="456"/>
      <c r="AH48" s="457"/>
      <c r="AI48" s="299"/>
      <c r="AJ48" s="72"/>
      <c r="AK48" s="73"/>
      <c r="AL48" s="74"/>
      <c r="AM48" s="75"/>
    </row>
    <row r="49" spans="1:39" ht="20.25" customHeight="1">
      <c r="A49" s="363"/>
      <c r="B49" s="300">
        <f t="shared" si="9"/>
        <v>0</v>
      </c>
      <c r="C49" s="217" t="s">
        <v>79</v>
      </c>
      <c r="D49" s="305">
        <f t="shared" si="10"/>
        <v>0</v>
      </c>
      <c r="E49" s="297">
        <f t="shared" si="11"/>
        <v>0</v>
      </c>
      <c r="F49" s="319"/>
      <c r="G49" s="70" t="str">
        <f t="shared" si="5"/>
        <v/>
      </c>
      <c r="H49" s="63"/>
      <c r="I49" s="64">
        <f t="shared" si="6"/>
        <v>0</v>
      </c>
      <c r="J49" s="455"/>
      <c r="K49" s="456"/>
      <c r="L49" s="456"/>
      <c r="M49" s="456"/>
      <c r="N49" s="456"/>
      <c r="O49" s="456"/>
      <c r="P49" s="456"/>
      <c r="Q49" s="456"/>
      <c r="R49" s="456"/>
      <c r="S49" s="456"/>
      <c r="T49" s="456"/>
      <c r="U49" s="456"/>
      <c r="V49" s="456"/>
      <c r="W49" s="456"/>
      <c r="X49" s="456"/>
      <c r="Y49" s="456"/>
      <c r="Z49" s="456"/>
      <c r="AA49" s="456"/>
      <c r="AB49" s="456"/>
      <c r="AC49" s="456"/>
      <c r="AD49" s="456"/>
      <c r="AE49" s="456"/>
      <c r="AF49" s="456"/>
      <c r="AG49" s="456"/>
      <c r="AH49" s="457"/>
      <c r="AI49" s="71"/>
      <c r="AJ49" s="72"/>
      <c r="AK49" s="73"/>
      <c r="AL49" s="74"/>
      <c r="AM49" s="75"/>
    </row>
    <row r="50" spans="1:39" ht="20.25" customHeight="1">
      <c r="A50" s="363"/>
      <c r="B50" s="300">
        <f t="shared" si="9"/>
        <v>0</v>
      </c>
      <c r="C50" s="217" t="s">
        <v>80</v>
      </c>
      <c r="D50" s="305">
        <f t="shared" si="10"/>
        <v>0</v>
      </c>
      <c r="E50" s="297">
        <f t="shared" si="11"/>
        <v>0</v>
      </c>
      <c r="F50" s="319"/>
      <c r="G50" s="70" t="str">
        <f t="shared" si="5"/>
        <v/>
      </c>
      <c r="H50" s="63"/>
      <c r="I50" s="64">
        <f t="shared" si="6"/>
        <v>0</v>
      </c>
      <c r="J50" s="455"/>
      <c r="K50" s="456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  <c r="AA50" s="456"/>
      <c r="AB50" s="456"/>
      <c r="AC50" s="456"/>
      <c r="AD50" s="456"/>
      <c r="AE50" s="456"/>
      <c r="AF50" s="456"/>
      <c r="AG50" s="456"/>
      <c r="AH50" s="457"/>
      <c r="AI50" s="76"/>
      <c r="AJ50" s="74"/>
      <c r="AK50" s="73"/>
      <c r="AL50" s="74"/>
      <c r="AM50" s="75"/>
    </row>
    <row r="51" spans="1:39" ht="20.25" customHeight="1">
      <c r="A51" s="363"/>
      <c r="B51" s="300">
        <f t="shared" si="9"/>
        <v>0</v>
      </c>
      <c r="C51" s="217" t="s">
        <v>63</v>
      </c>
      <c r="D51" s="305">
        <f t="shared" si="10"/>
        <v>0</v>
      </c>
      <c r="E51" s="297">
        <f t="shared" si="11"/>
        <v>0</v>
      </c>
      <c r="F51" s="319"/>
      <c r="G51" s="70" t="str">
        <f t="shared" si="5"/>
        <v/>
      </c>
      <c r="H51" s="63"/>
      <c r="I51" s="64">
        <f t="shared" si="6"/>
        <v>0</v>
      </c>
      <c r="J51" s="455"/>
      <c r="K51" s="456"/>
      <c r="L51" s="456"/>
      <c r="M51" s="456"/>
      <c r="N51" s="456"/>
      <c r="O51" s="456"/>
      <c r="P51" s="456"/>
      <c r="Q51" s="456"/>
      <c r="R51" s="456"/>
      <c r="S51" s="456"/>
      <c r="T51" s="456"/>
      <c r="U51" s="456"/>
      <c r="V51" s="456"/>
      <c r="W51" s="456"/>
      <c r="X51" s="456"/>
      <c r="Y51" s="456"/>
      <c r="Z51" s="456"/>
      <c r="AA51" s="456"/>
      <c r="AB51" s="456"/>
      <c r="AC51" s="456"/>
      <c r="AD51" s="456"/>
      <c r="AE51" s="456"/>
      <c r="AF51" s="456"/>
      <c r="AG51" s="456"/>
      <c r="AH51" s="457"/>
      <c r="AI51" s="802"/>
      <c r="AJ51" s="614"/>
      <c r="AK51" s="867"/>
      <c r="AL51" s="868"/>
      <c r="AM51" s="869"/>
    </row>
    <row r="52" spans="1:39" ht="20.25" customHeight="1">
      <c r="A52" s="384"/>
      <c r="B52" s="301">
        <f t="shared" si="9"/>
        <v>0</v>
      </c>
      <c r="C52" s="385" t="s">
        <v>81</v>
      </c>
      <c r="D52" s="305">
        <f t="shared" si="10"/>
        <v>0</v>
      </c>
      <c r="E52" s="298">
        <f t="shared" si="11"/>
        <v>0</v>
      </c>
      <c r="F52" s="349"/>
      <c r="G52" s="210" t="str">
        <f t="shared" si="5"/>
        <v/>
      </c>
      <c r="H52" s="63"/>
      <c r="I52" s="64">
        <f>SUM(J52:AH52)</f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301">
        <f t="shared" si="9"/>
        <v>0</v>
      </c>
      <c r="C53" s="218" t="s">
        <v>82</v>
      </c>
      <c r="D53" s="393">
        <f t="shared" si="10"/>
        <v>0</v>
      </c>
      <c r="E53" s="390">
        <f t="shared" si="11"/>
        <v>0</v>
      </c>
      <c r="F53" s="391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10784</v>
      </c>
      <c r="F54" s="145">
        <f>SUM(F44:F53)</f>
        <v>10189</v>
      </c>
      <c r="G54" s="135">
        <f t="shared" si="5"/>
        <v>5.517433234421365E-2</v>
      </c>
      <c r="H54" s="63"/>
      <c r="I54" s="87">
        <f t="shared" si="6"/>
        <v>595</v>
      </c>
      <c r="J54" s="77">
        <f>SUM(J44:J53)</f>
        <v>0</v>
      </c>
      <c r="K54" s="78">
        <f t="shared" ref="K54:AH54" si="12">SUM(K44:K53)</f>
        <v>55</v>
      </c>
      <c r="L54" s="78">
        <f t="shared" si="12"/>
        <v>188</v>
      </c>
      <c r="M54" s="78">
        <f t="shared" si="12"/>
        <v>2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3</v>
      </c>
      <c r="R54" s="78">
        <f t="shared" si="12"/>
        <v>177</v>
      </c>
      <c r="S54" s="78">
        <f t="shared" si="12"/>
        <v>2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27</v>
      </c>
      <c r="X54" s="78">
        <f t="shared" si="12"/>
        <v>0</v>
      </c>
      <c r="Y54" s="78">
        <f t="shared" si="12"/>
        <v>10</v>
      </c>
      <c r="Z54" s="78">
        <f t="shared" si="12"/>
        <v>10</v>
      </c>
      <c r="AA54" s="78">
        <f t="shared" si="12"/>
        <v>0</v>
      </c>
      <c r="AB54" s="78">
        <f t="shared" si="12"/>
        <v>0</v>
      </c>
      <c r="AC54" s="78">
        <f t="shared" si="12"/>
        <v>70</v>
      </c>
      <c r="AD54" s="78">
        <f t="shared" si="12"/>
        <v>33</v>
      </c>
      <c r="AE54" s="78">
        <f t="shared" si="12"/>
        <v>0</v>
      </c>
      <c r="AF54" s="78">
        <f t="shared" si="12"/>
        <v>18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16407</v>
      </c>
      <c r="F55" s="164">
        <f>F43+F54</f>
        <v>15620</v>
      </c>
      <c r="G55" s="165">
        <f t="shared" si="5"/>
        <v>4.7967331017248732E-2</v>
      </c>
      <c r="H55" s="95"/>
      <c r="I55" s="96">
        <f>SUM(I43,I54)</f>
        <v>787</v>
      </c>
      <c r="J55" s="97">
        <f>SUM(J43,J54)</f>
        <v>0</v>
      </c>
      <c r="K55" s="97">
        <f t="shared" ref="K55:AH55" si="13">SUM(K43,K54)</f>
        <v>102</v>
      </c>
      <c r="L55" s="97">
        <f t="shared" si="13"/>
        <v>189</v>
      </c>
      <c r="M55" s="97">
        <f t="shared" si="13"/>
        <v>9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3</v>
      </c>
      <c r="R55" s="97">
        <f t="shared" si="13"/>
        <v>227</v>
      </c>
      <c r="S55" s="97">
        <f t="shared" si="13"/>
        <v>2</v>
      </c>
      <c r="T55" s="97">
        <f t="shared" si="13"/>
        <v>0</v>
      </c>
      <c r="U55" s="97">
        <f t="shared" si="13"/>
        <v>0</v>
      </c>
      <c r="V55" s="97">
        <f t="shared" si="13"/>
        <v>0</v>
      </c>
      <c r="W55" s="97">
        <f t="shared" si="13"/>
        <v>52</v>
      </c>
      <c r="X55" s="97">
        <f t="shared" si="13"/>
        <v>0</v>
      </c>
      <c r="Y55" s="97">
        <f t="shared" si="13"/>
        <v>37</v>
      </c>
      <c r="Z55" s="97">
        <f t="shared" si="13"/>
        <v>10</v>
      </c>
      <c r="AA55" s="97">
        <f t="shared" si="13"/>
        <v>0</v>
      </c>
      <c r="AB55" s="97">
        <f t="shared" si="13"/>
        <v>4</v>
      </c>
      <c r="AC55" s="97">
        <f t="shared" si="13"/>
        <v>85</v>
      </c>
      <c r="AD55" s="97">
        <f t="shared" si="13"/>
        <v>40</v>
      </c>
      <c r="AE55" s="97">
        <f t="shared" si="13"/>
        <v>8</v>
      </c>
      <c r="AF55" s="97">
        <f t="shared" si="13"/>
        <v>19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8">
    <mergeCell ref="AI31:AJ32"/>
    <mergeCell ref="AK31:AM32"/>
    <mergeCell ref="AI44:AJ44"/>
    <mergeCell ref="AI45:AJ45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R28:S28"/>
    <mergeCell ref="T28:U28"/>
    <mergeCell ref="V28:W28"/>
    <mergeCell ref="X28:Y28"/>
    <mergeCell ref="I22:O22"/>
    <mergeCell ref="P22:Q22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P23:Q23"/>
    <mergeCell ref="I23:O23"/>
    <mergeCell ref="AB29:AC29"/>
    <mergeCell ref="AD29:AE29"/>
    <mergeCell ref="AF29:AG29"/>
    <mergeCell ref="AH29:AI29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AJ28:AK28"/>
    <mergeCell ref="AF27:AG27"/>
    <mergeCell ref="Z29:AA29"/>
    <mergeCell ref="AF17:AG17"/>
    <mergeCell ref="I18:O18"/>
    <mergeCell ref="P18:Q18"/>
    <mergeCell ref="R18:S18"/>
    <mergeCell ref="T18:U18"/>
    <mergeCell ref="V18:W18"/>
    <mergeCell ref="X18:Y18"/>
    <mergeCell ref="X26:Y26"/>
    <mergeCell ref="Z26:AA26"/>
    <mergeCell ref="I25:O25"/>
    <mergeCell ref="R24:S24"/>
    <mergeCell ref="T24:U24"/>
    <mergeCell ref="V24:W24"/>
    <mergeCell ref="X24:Y24"/>
    <mergeCell ref="Z24:AA24"/>
    <mergeCell ref="P25:Q25"/>
    <mergeCell ref="AB26:AC26"/>
    <mergeCell ref="AH17:AI17"/>
    <mergeCell ref="AF18:AG18"/>
    <mergeCell ref="AH18:AI18"/>
    <mergeCell ref="AJ18:AK18"/>
    <mergeCell ref="AJ24:AK24"/>
    <mergeCell ref="AF24:AG24"/>
    <mergeCell ref="AH24:AI24"/>
    <mergeCell ref="AJ17:AK17"/>
    <mergeCell ref="I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B24:AC24"/>
    <mergeCell ref="AD24:AE24"/>
    <mergeCell ref="I24:O24"/>
    <mergeCell ref="P24:Q24"/>
    <mergeCell ref="Z18:AA18"/>
    <mergeCell ref="AB18:AC18"/>
    <mergeCell ref="AD18:AE18"/>
    <mergeCell ref="Z16:AA16"/>
    <mergeCell ref="AB16:AC16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Z15:AA15"/>
    <mergeCell ref="AB15:AC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J9:AK9"/>
    <mergeCell ref="I9:O9"/>
    <mergeCell ref="P9:Q9"/>
    <mergeCell ref="R9:S9"/>
    <mergeCell ref="T9:U9"/>
    <mergeCell ref="V9:W9"/>
    <mergeCell ref="X9:Y9"/>
    <mergeCell ref="Z8:AA8"/>
    <mergeCell ref="AB8:AC8"/>
    <mergeCell ref="AD8:AE8"/>
    <mergeCell ref="AF8:AG8"/>
    <mergeCell ref="AH8:AI8"/>
    <mergeCell ref="AJ8:AK8"/>
    <mergeCell ref="I8:O8"/>
    <mergeCell ref="AD2:AE2"/>
    <mergeCell ref="AF2:AG2"/>
    <mergeCell ref="Z7:AA7"/>
    <mergeCell ref="AB7:AC7"/>
    <mergeCell ref="AD7:AE7"/>
    <mergeCell ref="AF7:AG7"/>
    <mergeCell ref="T4:U4"/>
    <mergeCell ref="V4:W4"/>
    <mergeCell ref="X4:Y4"/>
    <mergeCell ref="Z2:AA2"/>
    <mergeCell ref="AB2:AC2"/>
    <mergeCell ref="AB6:AC6"/>
    <mergeCell ref="AD6:AE6"/>
    <mergeCell ref="AF6:AG6"/>
    <mergeCell ref="T7:U7"/>
    <mergeCell ref="AJ3:AK3"/>
    <mergeCell ref="P4:Q4"/>
    <mergeCell ref="AH7:AI7"/>
    <mergeCell ref="I6:O6"/>
    <mergeCell ref="P6:Q6"/>
    <mergeCell ref="R6:S6"/>
    <mergeCell ref="T6:U6"/>
    <mergeCell ref="V6:W6"/>
    <mergeCell ref="X6:Y6"/>
    <mergeCell ref="AF5:AG5"/>
    <mergeCell ref="AH5:AI5"/>
    <mergeCell ref="I5:O5"/>
    <mergeCell ref="P5:Q5"/>
    <mergeCell ref="R5:S5"/>
    <mergeCell ref="T5:U5"/>
    <mergeCell ref="V5:W5"/>
    <mergeCell ref="X5:Y5"/>
    <mergeCell ref="Z5:AA5"/>
    <mergeCell ref="AB5:AC5"/>
    <mergeCell ref="AH6:AI6"/>
    <mergeCell ref="AD5:AE5"/>
    <mergeCell ref="Z6:AA6"/>
    <mergeCell ref="V7:W7"/>
    <mergeCell ref="X7:Y7"/>
    <mergeCell ref="M1:N1"/>
    <mergeCell ref="R1:U1"/>
    <mergeCell ref="E2:H2"/>
    <mergeCell ref="I2:O4"/>
    <mergeCell ref="P2:Q3"/>
    <mergeCell ref="R2:S2"/>
    <mergeCell ref="T2:U2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H4:AI4"/>
    <mergeCell ref="AF3:AG3"/>
    <mergeCell ref="AH3:AI3"/>
    <mergeCell ref="Z4:AA4"/>
    <mergeCell ref="AB4:AC4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  <mergeCell ref="AB9:AC9"/>
    <mergeCell ref="AD9:AE9"/>
    <mergeCell ref="AF9:AG9"/>
    <mergeCell ref="AH9:AI9"/>
    <mergeCell ref="AK33:AM33"/>
    <mergeCell ref="AK35:AM35"/>
    <mergeCell ref="AI33:AJ33"/>
    <mergeCell ref="AI35:AJ35"/>
    <mergeCell ref="A43:D43"/>
    <mergeCell ref="AI46:AJ46"/>
    <mergeCell ref="AK46:AM46"/>
    <mergeCell ref="AI51:AJ51"/>
    <mergeCell ref="AK51:AM51"/>
    <mergeCell ref="AI37:AJ37"/>
    <mergeCell ref="AI34:AJ34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5:C7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C16:C20 C22:C24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M59"/>
  <sheetViews>
    <sheetView showGridLines="0" topLeftCell="A31" zoomScale="66" zoomScaleNormal="66" workbookViewId="0">
      <selection activeCell="AD12" sqref="AD12:AE12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29.33203125" style="9" customWidth="1"/>
    <col min="5" max="7" width="12" style="9" customWidth="1"/>
    <col min="8" max="8" width="11" style="9" customWidth="1"/>
    <col min="9" max="9" width="5.75" style="9" customWidth="1"/>
    <col min="10" max="22" width="4.5" style="9" customWidth="1"/>
    <col min="23" max="32" width="4.5" style="13" customWidth="1"/>
    <col min="33" max="35" width="4.5" style="17" customWidth="1"/>
    <col min="36" max="36" width="25.5" style="17" customWidth="1"/>
    <col min="37" max="37" width="4.5" style="17" customWidth="1"/>
    <col min="38" max="38" width="15.83203125" style="17" customWidth="1"/>
    <col min="39" max="39" width="5.7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>
        <v>244569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308"/>
      <c r="C5" s="129" t="s">
        <v>74</v>
      </c>
      <c r="D5" s="293"/>
      <c r="E5" s="293"/>
      <c r="F5" s="293"/>
      <c r="G5" s="311"/>
      <c r="H5" s="110" t="str">
        <f t="shared" ref="H5:H28" si="0">IF(F5=0,"",(F5-G5)/F5)</f>
        <v/>
      </c>
      <c r="I5" s="675" t="s">
        <v>33</v>
      </c>
      <c r="J5" s="676"/>
      <c r="K5" s="676"/>
      <c r="L5" s="676"/>
      <c r="M5" s="676"/>
      <c r="N5" s="676"/>
      <c r="O5" s="677"/>
      <c r="P5" s="678">
        <v>1.7999999999999999E-2</v>
      </c>
      <c r="Q5" s="679"/>
      <c r="R5" s="680">
        <v>5.3079999999999998</v>
      </c>
      <c r="S5" s="679"/>
      <c r="T5" s="681">
        <v>0.35799999999999998</v>
      </c>
      <c r="U5" s="682"/>
      <c r="V5" s="683">
        <v>11.608000000000001</v>
      </c>
      <c r="W5" s="684"/>
      <c r="X5" s="685">
        <v>0.20399999999999999</v>
      </c>
      <c r="Y5" s="686"/>
      <c r="Z5" s="687">
        <f>200-48</f>
        <v>152</v>
      </c>
      <c r="AA5" s="688"/>
      <c r="AB5" s="674">
        <v>19</v>
      </c>
      <c r="AC5" s="674"/>
      <c r="AD5" s="689">
        <f>SUM(AF5:AK5)*0.025</f>
        <v>0.75</v>
      </c>
      <c r="AE5" s="689"/>
      <c r="AF5" s="674">
        <f>9+14+7</f>
        <v>30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309"/>
      <c r="C6" s="129" t="s">
        <v>75</v>
      </c>
      <c r="D6" s="303"/>
      <c r="E6" s="303"/>
      <c r="F6" s="303"/>
      <c r="G6" s="312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3.5580154180668115E-3</v>
      </c>
      <c r="Q6" s="673"/>
      <c r="R6" s="673">
        <f>IF($F$15=0,0,R5*1000/$F$15)</f>
        <v>1.0492192132832576</v>
      </c>
      <c r="S6" s="673"/>
      <c r="T6" s="673">
        <f>IF($F$15=0,0,T5*1000/$F$15)</f>
        <v>7.0764973314884363E-2</v>
      </c>
      <c r="U6" s="673"/>
      <c r="V6" s="673">
        <f>IF($F$15=0,0,V5*1000/$F$15)</f>
        <v>2.2945246096066416</v>
      </c>
      <c r="W6" s="673"/>
      <c r="X6" s="673">
        <f>IF($F$15=0,0,X5*1000/$F$15)</f>
        <v>4.032417473809053E-2</v>
      </c>
      <c r="Y6" s="673"/>
      <c r="Z6" s="673">
        <f>IF($F$15=0,0,Z5*1000/$F$15)</f>
        <v>30.045463530341966</v>
      </c>
      <c r="AA6" s="673"/>
      <c r="AB6" s="632">
        <f>IF($F$15=0,0,AB5*1000/$F$15)</f>
        <v>3.7556829412927457</v>
      </c>
      <c r="AC6" s="632"/>
      <c r="AD6" s="632">
        <f>IF($F$15=0,0,AD5*1000/$F$15)</f>
        <v>0.14825064241945049</v>
      </c>
      <c r="AE6" s="632"/>
      <c r="AF6" s="627">
        <f>IF(AF5=0,0,F15/AF5)</f>
        <v>168.63333333333333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429" t="s">
        <v>181</v>
      </c>
      <c r="C7" s="287" t="s">
        <v>76</v>
      </c>
      <c r="D7" s="295" t="s">
        <v>182</v>
      </c>
      <c r="E7" s="303">
        <v>5040</v>
      </c>
      <c r="F7" s="303">
        <v>5059</v>
      </c>
      <c r="G7" s="312">
        <v>4472</v>
      </c>
      <c r="H7" s="111">
        <f t="shared" si="0"/>
        <v>0.11603083613362325</v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4.0250447227191417E-3</v>
      </c>
      <c r="Q7" s="639"/>
      <c r="R7" s="639">
        <f>IF($G$15=0,0,R5*1000/$G$15)</f>
        <v>1.1869409660107335</v>
      </c>
      <c r="S7" s="639"/>
      <c r="T7" s="639">
        <f>IF($G$15=0,0,T5*1000/$G$15)</f>
        <v>8.0053667262969586E-2</v>
      </c>
      <c r="U7" s="639"/>
      <c r="V7" s="639">
        <f>IF($G$15=0,0,V5*1000/$G$15)</f>
        <v>2.5957066189624327</v>
      </c>
      <c r="W7" s="639"/>
      <c r="X7" s="639">
        <f>IF($G$15=0,0,X5*1000/$G$15)</f>
        <v>4.5617173524150269E-2</v>
      </c>
      <c r="Y7" s="639"/>
      <c r="Z7" s="639">
        <f>IF($G$15=0,0,Z5*1000/$G$15)</f>
        <v>33.989266547406082</v>
      </c>
      <c r="AA7" s="639"/>
      <c r="AB7" s="632">
        <f>IF($G$15=0,0,AB5*1000/$G$15)</f>
        <v>4.2486583184257602</v>
      </c>
      <c r="AC7" s="632"/>
      <c r="AD7" s="632">
        <f>IF($G$15=0,0,AD5*1000/$G$15)</f>
        <v>0.16771019677996421</v>
      </c>
      <c r="AE7" s="632"/>
      <c r="AF7" s="627">
        <f>IF(AF5=0,0,G15/AF5)</f>
        <v>149.06666666666666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309"/>
      <c r="C8" s="129" t="s">
        <v>77</v>
      </c>
      <c r="D8" s="303"/>
      <c r="E8" s="303"/>
      <c r="F8" s="303"/>
      <c r="G8" s="312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>
        <v>64</v>
      </c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309"/>
      <c r="C9" s="129" t="s">
        <v>78</v>
      </c>
      <c r="D9" s="295"/>
      <c r="E9" s="303"/>
      <c r="F9" s="303"/>
      <c r="G9" s="312"/>
      <c r="H9" s="111" t="str">
        <f>IF(F9=0,"",(F9-G9)/F9)</f>
        <v/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120"/>
      <c r="C10" s="129" t="s">
        <v>79</v>
      </c>
      <c r="D10" s="124"/>
      <c r="E10" s="125"/>
      <c r="F10" s="125"/>
      <c r="G10" s="126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>
        <f>1+1+1+1+1+1+1+1+1+1+3+1</f>
        <v>14</v>
      </c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>
        <f>F15/P12</f>
        <v>361.35714285714283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>
        <v>6</v>
      </c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5040</v>
      </c>
      <c r="F15" s="204">
        <f>SUM(F5:F14)</f>
        <v>5059</v>
      </c>
      <c r="G15" s="204">
        <f>SUM(G5:G14)</f>
        <v>4472</v>
      </c>
      <c r="H15" s="188">
        <f>IF(F15=0,"",(F15-G15)/F15)</f>
        <v>0.11603083613362325</v>
      </c>
      <c r="I15" s="719" t="s">
        <v>70</v>
      </c>
      <c r="J15" s="720"/>
      <c r="K15" s="720"/>
      <c r="L15" s="720"/>
      <c r="M15" s="720"/>
      <c r="N15" s="720"/>
      <c r="O15" s="721"/>
      <c r="P15" s="722">
        <f>F15/P14</f>
        <v>843.16666666666663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236"/>
      <c r="C16" s="130" t="s">
        <v>74</v>
      </c>
      <c r="D16" s="250"/>
      <c r="E16" s="237"/>
      <c r="F16" s="237"/>
      <c r="G16" s="238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1.5269999999999999</v>
      </c>
      <c r="S16" s="731"/>
      <c r="T16" s="733">
        <v>0.159</v>
      </c>
      <c r="U16" s="734"/>
      <c r="V16" s="735">
        <v>3.347</v>
      </c>
      <c r="W16" s="736"/>
      <c r="X16" s="737">
        <v>9.1999999999999998E-2</v>
      </c>
      <c r="Y16" s="738"/>
      <c r="Z16" s="740">
        <f>106-8</f>
        <v>98</v>
      </c>
      <c r="AA16" s="741"/>
      <c r="AB16" s="739">
        <v>62</v>
      </c>
      <c r="AC16" s="739"/>
      <c r="AD16" s="725">
        <f>SUM(AF16:AK16)*0.025</f>
        <v>0.32500000000000001</v>
      </c>
      <c r="AE16" s="725"/>
      <c r="AF16" s="726">
        <f>13</f>
        <v>13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239"/>
      <c r="C17" s="131" t="s">
        <v>75</v>
      </c>
      <c r="D17" s="241"/>
      <c r="E17" s="241"/>
      <c r="F17" s="241"/>
      <c r="G17" s="242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0.70891364902506959</v>
      </c>
      <c r="S17" s="745"/>
      <c r="T17" s="746">
        <f>IF($F$26=0,0,T16*1000/$F$26)</f>
        <v>7.3816155988857934E-2</v>
      </c>
      <c r="U17" s="744"/>
      <c r="V17" s="632">
        <f>IF($F$26=0,0,V16*1000/$F$26)</f>
        <v>1.5538532961931291</v>
      </c>
      <c r="W17" s="632"/>
      <c r="X17" s="632">
        <f>IF($F$26=0,0,X16*1000/$F$26)</f>
        <v>4.2711234911792018E-2</v>
      </c>
      <c r="Y17" s="632"/>
      <c r="Z17" s="744">
        <f>IF($F$26=0,0,Z16*1000/$F$26)</f>
        <v>45.496750232126274</v>
      </c>
      <c r="AA17" s="744"/>
      <c r="AB17" s="632">
        <f>IF($F$26=0,0,AB16*1000/$F$26)</f>
        <v>28.783658310120707</v>
      </c>
      <c r="AC17" s="632"/>
      <c r="AD17" s="632">
        <f>IF($F$26=0,0,AD16*1000/$F$26)</f>
        <v>0.15088207985143917</v>
      </c>
      <c r="AE17" s="632"/>
      <c r="AF17" s="742">
        <f>IF(AF16=0,0,F26/AF16)</f>
        <v>165.69230769230768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239" t="s">
        <v>183</v>
      </c>
      <c r="C18" s="131" t="s">
        <v>76</v>
      </c>
      <c r="D18" s="241" t="s">
        <v>184</v>
      </c>
      <c r="E18" s="241">
        <v>1260</v>
      </c>
      <c r="F18" s="241">
        <v>2154</v>
      </c>
      <c r="G18" s="242">
        <v>1802</v>
      </c>
      <c r="H18" s="111">
        <f t="shared" si="0"/>
        <v>0.16341689879294335</v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0.84739178690344064</v>
      </c>
      <c r="S18" s="745"/>
      <c r="T18" s="746">
        <f>IF($G$26=0,0,T16*1000/$G$26)</f>
        <v>8.8235294117647065E-2</v>
      </c>
      <c r="U18" s="745"/>
      <c r="V18" s="753">
        <f>IF($G$26=0,0,V16*1000/$G$26)</f>
        <v>1.8573806881243062</v>
      </c>
      <c r="W18" s="754"/>
      <c r="X18" s="753">
        <f>IF($G$26=0,0,X16*1000/$G$26)</f>
        <v>5.1054384017758046E-2</v>
      </c>
      <c r="Y18" s="754"/>
      <c r="Z18" s="746">
        <f>IF($G$26=0,0,Z16*1000/$G$26)</f>
        <v>54.384017758046618</v>
      </c>
      <c r="AA18" s="744"/>
      <c r="AB18" s="632">
        <f>IF($G$26=0,0,AB16*1000/$G$26)</f>
        <v>34.406215316315205</v>
      </c>
      <c r="AC18" s="632"/>
      <c r="AD18" s="632">
        <f>IF($G$26=0,0,AD16*1000/$G$26)</f>
        <v>0.18035516093229745</v>
      </c>
      <c r="AE18" s="632"/>
      <c r="AF18" s="747">
        <f>IF(AF16=0,0,G26/AF16)</f>
        <v>138.61538461538461</v>
      </c>
      <c r="AG18" s="748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239"/>
      <c r="C19" s="131" t="s">
        <v>77</v>
      </c>
      <c r="D19" s="241"/>
      <c r="E19" s="241"/>
      <c r="F19" s="241"/>
      <c r="G19" s="242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>
        <v>18</v>
      </c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239"/>
      <c r="C20" s="131" t="s">
        <v>78</v>
      </c>
      <c r="D20" s="241"/>
      <c r="E20" s="241"/>
      <c r="F20" s="241"/>
      <c r="G20" s="242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239"/>
      <c r="C21" s="131" t="s">
        <v>79</v>
      </c>
      <c r="D21" s="241"/>
      <c r="E21" s="241"/>
      <c r="F21" s="241"/>
      <c r="G21" s="242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>
        <f>2+2+2+2+2</f>
        <v>10</v>
      </c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>
        <f>F26/P23</f>
        <v>215.4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>
        <v>5</v>
      </c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1260</v>
      </c>
      <c r="F26" s="205">
        <f>SUM(F16:F25)</f>
        <v>2154</v>
      </c>
      <c r="G26" s="205">
        <f>SUM(G16:G25)</f>
        <v>1802</v>
      </c>
      <c r="H26" s="196">
        <f>IF(F26=0,"",(F26-G26)/F26)</f>
        <v>0.16341689879294335</v>
      </c>
      <c r="I26" s="719" t="s">
        <v>70</v>
      </c>
      <c r="J26" s="720"/>
      <c r="K26" s="720"/>
      <c r="L26" s="720"/>
      <c r="M26" s="720"/>
      <c r="N26" s="720"/>
      <c r="O26" s="721"/>
      <c r="P26" s="785">
        <f>F26/P25</f>
        <v>430.8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1.7999999999999999E-2</v>
      </c>
      <c r="Q27" s="781"/>
      <c r="R27" s="782">
        <f>SUM(R5,R16)</f>
        <v>6.835</v>
      </c>
      <c r="S27" s="781"/>
      <c r="T27" s="782">
        <f>SUM(T5,T16)</f>
        <v>0.51700000000000002</v>
      </c>
      <c r="U27" s="781"/>
      <c r="V27" s="782">
        <f>SUM(V5,V16)</f>
        <v>14.955</v>
      </c>
      <c r="W27" s="781"/>
      <c r="X27" s="782">
        <f>SUM(X5,X16)</f>
        <v>0.29599999999999999</v>
      </c>
      <c r="Y27" s="781"/>
      <c r="Z27" s="783">
        <f>SUM(Z5,Z16)</f>
        <v>250</v>
      </c>
      <c r="AA27" s="784"/>
      <c r="AB27" s="770">
        <f>SUM(AB5,AB16)</f>
        <v>81</v>
      </c>
      <c r="AC27" s="770"/>
      <c r="AD27" s="769">
        <f>SUM(AD5,AD16)</f>
        <v>1.075</v>
      </c>
      <c r="AE27" s="769"/>
      <c r="AF27" s="770">
        <f>SUM(AF5,AF16)</f>
        <v>43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6300</v>
      </c>
      <c r="F28" s="140">
        <f>F15+F26</f>
        <v>7213</v>
      </c>
      <c r="G28" s="140">
        <f>G15+G26</f>
        <v>6274</v>
      </c>
      <c r="H28" s="141">
        <f t="shared" si="0"/>
        <v>0.13018161652571744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2.495494246499376E-3</v>
      </c>
      <c r="Q28" s="745"/>
      <c r="R28" s="746">
        <f t="shared" si="1"/>
        <v>0.94759462082351309</v>
      </c>
      <c r="S28" s="745"/>
      <c r="T28" s="746">
        <f t="shared" si="1"/>
        <v>7.1676140302232086E-2</v>
      </c>
      <c r="U28" s="745"/>
      <c r="V28" s="800">
        <f t="shared" si="1"/>
        <v>2.0733398031332317</v>
      </c>
      <c r="W28" s="801"/>
      <c r="X28" s="800">
        <f t="shared" si="1"/>
        <v>4.1037016497989742E-2</v>
      </c>
      <c r="Y28" s="801"/>
      <c r="Z28" s="746">
        <f t="shared" si="1"/>
        <v>34.659642312491336</v>
      </c>
      <c r="AA28" s="744"/>
      <c r="AB28" s="632">
        <f t="shared" si="1"/>
        <v>11.229724109247192</v>
      </c>
      <c r="AC28" s="632"/>
      <c r="AD28" s="632">
        <f t="shared" si="1"/>
        <v>0.14903646194371273</v>
      </c>
      <c r="AE28" s="632"/>
      <c r="AF28" s="757">
        <f t="shared" si="1"/>
        <v>5.9614584777485096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2.8689831048772712E-3</v>
      </c>
      <c r="Q29" s="792"/>
      <c r="R29" s="771">
        <f t="shared" si="2"/>
        <v>1.0894166401020082</v>
      </c>
      <c r="S29" s="792"/>
      <c r="T29" s="771">
        <f t="shared" si="2"/>
        <v>8.2403570290086076E-2</v>
      </c>
      <c r="U29" s="792"/>
      <c r="V29" s="793">
        <f t="shared" si="2"/>
        <v>2.3836467963021994</v>
      </c>
      <c r="W29" s="794"/>
      <c r="X29" s="795">
        <f t="shared" si="2"/>
        <v>4.7178833280204016E-2</v>
      </c>
      <c r="Y29" s="796"/>
      <c r="Z29" s="771">
        <f t="shared" si="2"/>
        <v>39.84698756773988</v>
      </c>
      <c r="AA29" s="772"/>
      <c r="AB29" s="773">
        <f t="shared" si="2"/>
        <v>12.91042397194772</v>
      </c>
      <c r="AC29" s="773"/>
      <c r="AD29" s="773">
        <f t="shared" si="2"/>
        <v>0.17134204654128149</v>
      </c>
      <c r="AE29" s="773"/>
      <c r="AF29" s="774">
        <f t="shared" si="2"/>
        <v>6.8536818616512596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289">
        <f t="shared" ref="B33:B42" si="3">B5</f>
        <v>0</v>
      </c>
      <c r="C33" s="213" t="s">
        <v>74</v>
      </c>
      <c r="D33" s="293">
        <f t="shared" ref="D33:D42" si="4">D5</f>
        <v>0</v>
      </c>
      <c r="E33" s="293">
        <f>G5</f>
        <v>0</v>
      </c>
      <c r="F33" s="294"/>
      <c r="G33" s="62" t="str">
        <f t="shared" ref="G33:G55" si="5">IF(E33=0,"",(E33-F33)/E33)</f>
        <v/>
      </c>
      <c r="H33" s="63"/>
      <c r="I33" s="64">
        <f t="shared" ref="I33:I54" si="6">SUM(J33:AH33)</f>
        <v>0</v>
      </c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Y33" s="360"/>
      <c r="Z33" s="360"/>
      <c r="AA33" s="360"/>
      <c r="AB33" s="360"/>
      <c r="AC33" s="360"/>
      <c r="AD33" s="360"/>
      <c r="AE33" s="360"/>
      <c r="AF33" s="360"/>
      <c r="AG33" s="360"/>
      <c r="AH33" s="361"/>
      <c r="AI33" s="803"/>
      <c r="AJ33" s="804"/>
      <c r="AK33" s="840"/>
      <c r="AL33" s="841"/>
      <c r="AM33" s="842"/>
    </row>
    <row r="34" spans="1:39" ht="20.25" customHeight="1">
      <c r="A34" s="370"/>
      <c r="B34" s="290">
        <f t="shared" si="3"/>
        <v>0</v>
      </c>
      <c r="C34" s="214" t="s">
        <v>75</v>
      </c>
      <c r="D34" s="295">
        <f t="shared" si="4"/>
        <v>0</v>
      </c>
      <c r="E34" s="295">
        <f t="shared" ref="E34:E42" si="7">G6</f>
        <v>0</v>
      </c>
      <c r="F34" s="296"/>
      <c r="G34" s="70" t="str">
        <f t="shared" si="5"/>
        <v/>
      </c>
      <c r="H34" s="63"/>
      <c r="I34" s="64">
        <f t="shared" si="6"/>
        <v>0</v>
      </c>
      <c r="J34" s="360"/>
      <c r="K34" s="360"/>
      <c r="L34" s="360"/>
      <c r="M34" s="360"/>
      <c r="N34" s="360"/>
      <c r="O34" s="360"/>
      <c r="P34" s="360"/>
      <c r="Q34" s="360"/>
      <c r="R34" s="360"/>
      <c r="S34" s="360"/>
      <c r="T34" s="360"/>
      <c r="U34" s="360"/>
      <c r="V34" s="360"/>
      <c r="W34" s="360"/>
      <c r="X34" s="360"/>
      <c r="Y34" s="360"/>
      <c r="Z34" s="360"/>
      <c r="AA34" s="360"/>
      <c r="AB34" s="360"/>
      <c r="AC34" s="360"/>
      <c r="AD34" s="360"/>
      <c r="AE34" s="360"/>
      <c r="AF34" s="360"/>
      <c r="AG34" s="360"/>
      <c r="AH34" s="361"/>
      <c r="AI34" s="76"/>
      <c r="AJ34" s="86"/>
      <c r="AK34" s="73"/>
      <c r="AL34" s="74"/>
      <c r="AM34" s="388"/>
    </row>
    <row r="35" spans="1:39" ht="20.25" customHeight="1">
      <c r="A35" s="370"/>
      <c r="B35" s="290" t="str">
        <f t="shared" si="3"/>
        <v>I13690815</v>
      </c>
      <c r="C35" s="214" t="s">
        <v>76</v>
      </c>
      <c r="D35" s="295" t="str">
        <f t="shared" si="4"/>
        <v>ขาวปุ่ยนุ่น (ไม่มีรูตะปู)*N</v>
      </c>
      <c r="E35" s="295">
        <f>G7</f>
        <v>4472</v>
      </c>
      <c r="F35" s="296">
        <f>210*19+6</f>
        <v>3996</v>
      </c>
      <c r="G35" s="70">
        <f t="shared" si="5"/>
        <v>0.10644007155635063</v>
      </c>
      <c r="H35" s="63"/>
      <c r="I35" s="64">
        <f t="shared" si="6"/>
        <v>476</v>
      </c>
      <c r="J35" s="360"/>
      <c r="K35" s="360">
        <v>14</v>
      </c>
      <c r="L35" s="360"/>
      <c r="M35" s="360"/>
      <c r="N35" s="360"/>
      <c r="O35" s="360">
        <f>8+25+25+20+15+4</f>
        <v>97</v>
      </c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>
        <f>6+13+7+25+25+20+50+20+20+20+100</f>
        <v>306</v>
      </c>
      <c r="AF35" s="360"/>
      <c r="AG35" s="360"/>
      <c r="AH35" s="361">
        <f>476-417</f>
        <v>59</v>
      </c>
      <c r="AI35" s="870" t="s">
        <v>189</v>
      </c>
      <c r="AJ35" s="813"/>
      <c r="AK35" s="827" t="s">
        <v>188</v>
      </c>
      <c r="AL35" s="828"/>
      <c r="AM35" s="829"/>
    </row>
    <row r="36" spans="1:39" ht="20.25" customHeight="1">
      <c r="A36" s="371">
        <v>1</v>
      </c>
      <c r="B36" s="290">
        <f t="shared" si="3"/>
        <v>0</v>
      </c>
      <c r="C36" s="214" t="s">
        <v>77</v>
      </c>
      <c r="D36" s="295">
        <f t="shared" si="4"/>
        <v>0</v>
      </c>
      <c r="E36" s="295">
        <f t="shared" si="7"/>
        <v>0</v>
      </c>
      <c r="F36" s="296"/>
      <c r="G36" s="70" t="str">
        <f t="shared" si="5"/>
        <v/>
      </c>
      <c r="H36" s="63"/>
      <c r="I36" s="64">
        <f t="shared" si="6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452"/>
      <c r="AJ36" s="438"/>
      <c r="AK36" s="73"/>
      <c r="AL36" s="74"/>
      <c r="AM36" s="388"/>
    </row>
    <row r="37" spans="1:39" ht="20.25" customHeight="1">
      <c r="A37" s="372"/>
      <c r="B37" s="290">
        <f t="shared" si="3"/>
        <v>0</v>
      </c>
      <c r="C37" s="214" t="s">
        <v>78</v>
      </c>
      <c r="D37" s="295">
        <f t="shared" si="4"/>
        <v>0</v>
      </c>
      <c r="E37" s="295">
        <f>G9</f>
        <v>0</v>
      </c>
      <c r="F37" s="296"/>
      <c r="G37" s="70" t="str">
        <f t="shared" si="5"/>
        <v/>
      </c>
      <c r="H37" s="63"/>
      <c r="I37" s="64">
        <f t="shared" si="6"/>
        <v>0</v>
      </c>
      <c r="J37" s="455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833"/>
      <c r="AJ37" s="834"/>
      <c r="AK37" s="442"/>
      <c r="AL37" s="74"/>
      <c r="AM37" s="388"/>
    </row>
    <row r="38" spans="1:39" ht="20.25" customHeight="1">
      <c r="A38" s="372"/>
      <c r="B38" s="291">
        <f t="shared" si="3"/>
        <v>0</v>
      </c>
      <c r="C38" s="214" t="s">
        <v>79</v>
      </c>
      <c r="D38" s="297">
        <f t="shared" si="4"/>
        <v>0</v>
      </c>
      <c r="E38" s="295">
        <f t="shared" si="7"/>
        <v>0</v>
      </c>
      <c r="F38" s="296"/>
      <c r="G38" s="70" t="str">
        <f t="shared" si="5"/>
        <v/>
      </c>
      <c r="H38" s="63"/>
      <c r="I38" s="64">
        <f t="shared" si="6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291">
        <f t="shared" si="3"/>
        <v>0</v>
      </c>
      <c r="C39" s="214" t="s">
        <v>80</v>
      </c>
      <c r="D39" s="297">
        <f t="shared" si="4"/>
        <v>0</v>
      </c>
      <c r="E39" s="297">
        <f t="shared" si="7"/>
        <v>0</v>
      </c>
      <c r="F39" s="319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162">
        <f t="shared" si="3"/>
        <v>0</v>
      </c>
      <c r="C40" s="214" t="s">
        <v>63</v>
      </c>
      <c r="D40" s="297">
        <f t="shared" si="4"/>
        <v>0</v>
      </c>
      <c r="E40" s="297">
        <f t="shared" si="7"/>
        <v>0</v>
      </c>
      <c r="F40" s="319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98">
        <f t="shared" si="4"/>
        <v>0</v>
      </c>
      <c r="E41" s="298">
        <f t="shared" si="7"/>
        <v>0</v>
      </c>
      <c r="F41" s="349"/>
      <c r="G41" s="210" t="str">
        <f t="shared" si="5"/>
        <v/>
      </c>
      <c r="H41" s="63"/>
      <c r="I41" s="64">
        <f>SUM(J41:AH41)</f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4472</v>
      </c>
      <c r="F43" s="145">
        <f>SUM(F33:F42)</f>
        <v>3996</v>
      </c>
      <c r="G43" s="135">
        <f t="shared" si="5"/>
        <v>0.10644007155635063</v>
      </c>
      <c r="H43" s="63"/>
      <c r="I43" s="376">
        <f t="shared" si="6"/>
        <v>476</v>
      </c>
      <c r="J43" s="77">
        <f>SUM(J33:J42)</f>
        <v>0</v>
      </c>
      <c r="K43" s="78">
        <f t="shared" ref="K43:AH43" si="8">SUM(K33:K42)</f>
        <v>14</v>
      </c>
      <c r="L43" s="78">
        <f t="shared" si="8"/>
        <v>0</v>
      </c>
      <c r="M43" s="78">
        <f t="shared" si="8"/>
        <v>0</v>
      </c>
      <c r="N43" s="78">
        <f t="shared" si="8"/>
        <v>0</v>
      </c>
      <c r="O43" s="78">
        <f t="shared" si="8"/>
        <v>97</v>
      </c>
      <c r="P43" s="78">
        <f t="shared" si="8"/>
        <v>0</v>
      </c>
      <c r="Q43" s="78">
        <f t="shared" si="8"/>
        <v>0</v>
      </c>
      <c r="R43" s="78">
        <f t="shared" si="8"/>
        <v>0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0</v>
      </c>
      <c r="W43" s="78">
        <f t="shared" si="8"/>
        <v>0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0</v>
      </c>
      <c r="AC43" s="78">
        <f t="shared" si="8"/>
        <v>0</v>
      </c>
      <c r="AD43" s="78">
        <f t="shared" si="8"/>
        <v>0</v>
      </c>
      <c r="AE43" s="78">
        <f t="shared" si="8"/>
        <v>306</v>
      </c>
      <c r="AF43" s="78">
        <f t="shared" si="8"/>
        <v>0</v>
      </c>
      <c r="AG43" s="78">
        <f t="shared" si="8"/>
        <v>0</v>
      </c>
      <c r="AH43" s="79">
        <f t="shared" si="8"/>
        <v>59</v>
      </c>
      <c r="AI43" s="80"/>
      <c r="AJ43" s="377"/>
      <c r="AK43" s="378"/>
      <c r="AL43" s="379"/>
      <c r="AM43" s="81"/>
    </row>
    <row r="44" spans="1:39" ht="20.25" customHeight="1">
      <c r="A44" s="380"/>
      <c r="B44" s="381">
        <f t="shared" ref="B44:B53" si="9">B16</f>
        <v>0</v>
      </c>
      <c r="C44" s="382" t="s">
        <v>74</v>
      </c>
      <c r="D44" s="121">
        <f t="shared" ref="D44:D53" si="10">D16</f>
        <v>0</v>
      </c>
      <c r="E44" s="122">
        <f t="shared" ref="E44:E53" si="11">G16</f>
        <v>0</v>
      </c>
      <c r="F44" s="148"/>
      <c r="G44" s="62" t="str">
        <f t="shared" si="5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8"/>
      <c r="AJ44" s="819"/>
      <c r="AK44" s="82"/>
      <c r="AL44" s="83"/>
      <c r="AM44" s="84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si="11"/>
        <v>0</v>
      </c>
      <c r="F45" s="151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300" t="str">
        <f t="shared" si="9"/>
        <v>I13690816</v>
      </c>
      <c r="C46" s="217" t="s">
        <v>76</v>
      </c>
      <c r="D46" s="304" t="str">
        <f t="shared" si="10"/>
        <v>แดงกุหลาบ (ไม่มีรูตะปู)*N</v>
      </c>
      <c r="E46" s="297">
        <f>G18</f>
        <v>1802</v>
      </c>
      <c r="F46" s="319">
        <f>210*8+41+6</f>
        <v>1727</v>
      </c>
      <c r="G46" s="70">
        <f t="shared" si="5"/>
        <v>4.1620421753607105E-2</v>
      </c>
      <c r="H46" s="63"/>
      <c r="I46" s="64">
        <f>SUM(J46:AH46)</f>
        <v>75</v>
      </c>
      <c r="J46" s="360"/>
      <c r="K46" s="360">
        <v>20</v>
      </c>
      <c r="L46" s="360">
        <v>13</v>
      </c>
      <c r="M46" s="360">
        <f>3+2</f>
        <v>5</v>
      </c>
      <c r="N46" s="360"/>
      <c r="O46" s="360">
        <v>1</v>
      </c>
      <c r="P46" s="360"/>
      <c r="Q46" s="360">
        <f>2+3+2</f>
        <v>7</v>
      </c>
      <c r="R46" s="360"/>
      <c r="S46" s="360"/>
      <c r="T46" s="360"/>
      <c r="U46" s="360"/>
      <c r="V46" s="360"/>
      <c r="W46" s="360">
        <f>18</f>
        <v>18</v>
      </c>
      <c r="X46" s="360"/>
      <c r="Y46" s="360"/>
      <c r="Z46" s="360">
        <v>2</v>
      </c>
      <c r="AA46" s="360">
        <v>5</v>
      </c>
      <c r="AB46" s="360"/>
      <c r="AC46" s="360">
        <v>4</v>
      </c>
      <c r="AD46" s="360"/>
      <c r="AE46" s="360"/>
      <c r="AF46" s="360"/>
      <c r="AG46" s="360"/>
      <c r="AH46" s="361"/>
      <c r="AI46" s="613" t="s">
        <v>190</v>
      </c>
      <c r="AJ46" s="614"/>
      <c r="AK46" s="554" t="s">
        <v>186</v>
      </c>
      <c r="AL46" s="74"/>
      <c r="AM46" s="75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149">
        <f t="shared" si="9"/>
        <v>0</v>
      </c>
      <c r="C48" s="217" t="s">
        <v>78</v>
      </c>
      <c r="D48" s="155">
        <f t="shared" si="10"/>
        <v>0</v>
      </c>
      <c r="E48" s="153">
        <f t="shared" si="11"/>
        <v>0</v>
      </c>
      <c r="F48" s="154"/>
      <c r="G48" s="70" t="str">
        <f t="shared" si="5"/>
        <v/>
      </c>
      <c r="H48" s="63"/>
      <c r="I48" s="64">
        <f t="shared" si="6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75"/>
    </row>
    <row r="49" spans="1:39" ht="20.25" customHeight="1">
      <c r="A49" s="363"/>
      <c r="B49" s="300">
        <f t="shared" si="9"/>
        <v>0</v>
      </c>
      <c r="C49" s="217" t="s">
        <v>79</v>
      </c>
      <c r="D49" s="305">
        <f t="shared" si="10"/>
        <v>0</v>
      </c>
      <c r="E49" s="297">
        <f>G21</f>
        <v>0</v>
      </c>
      <c r="F49" s="319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02"/>
      <c r="AJ49" s="614"/>
      <c r="AK49" s="442"/>
      <c r="AL49" s="451"/>
      <c r="AM49" s="417"/>
    </row>
    <row r="50" spans="1:39" ht="20.25" customHeight="1">
      <c r="A50" s="363"/>
      <c r="B50" s="149">
        <f t="shared" si="9"/>
        <v>0</v>
      </c>
      <c r="C50" s="217" t="s">
        <v>80</v>
      </c>
      <c r="D50" s="462">
        <f t="shared" si="10"/>
        <v>0</v>
      </c>
      <c r="E50" s="153">
        <f t="shared" si="11"/>
        <v>0</v>
      </c>
      <c r="F50" s="154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1802</v>
      </c>
      <c r="F54" s="145">
        <f>SUM(F44:F53)</f>
        <v>1727</v>
      </c>
      <c r="G54" s="135">
        <f t="shared" si="5"/>
        <v>4.1620421753607105E-2</v>
      </c>
      <c r="H54" s="63"/>
      <c r="I54" s="87">
        <f t="shared" si="6"/>
        <v>75</v>
      </c>
      <c r="J54" s="77">
        <f>SUM(J44:J53)</f>
        <v>0</v>
      </c>
      <c r="K54" s="78">
        <f t="shared" ref="K54:AH54" si="12">SUM(K44:K53)</f>
        <v>20</v>
      </c>
      <c r="L54" s="78">
        <f t="shared" si="12"/>
        <v>13</v>
      </c>
      <c r="M54" s="78">
        <f t="shared" si="12"/>
        <v>5</v>
      </c>
      <c r="N54" s="78">
        <f t="shared" si="12"/>
        <v>0</v>
      </c>
      <c r="O54" s="78">
        <f t="shared" si="12"/>
        <v>1</v>
      </c>
      <c r="P54" s="78">
        <f t="shared" si="12"/>
        <v>0</v>
      </c>
      <c r="Q54" s="78">
        <f t="shared" si="12"/>
        <v>7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18</v>
      </c>
      <c r="X54" s="78">
        <f t="shared" si="12"/>
        <v>0</v>
      </c>
      <c r="Y54" s="78">
        <f t="shared" si="12"/>
        <v>0</v>
      </c>
      <c r="Z54" s="78">
        <f t="shared" si="12"/>
        <v>2</v>
      </c>
      <c r="AA54" s="78">
        <f t="shared" si="12"/>
        <v>5</v>
      </c>
      <c r="AB54" s="78">
        <f t="shared" si="12"/>
        <v>0</v>
      </c>
      <c r="AC54" s="78">
        <f t="shared" si="12"/>
        <v>4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6274</v>
      </c>
      <c r="F55" s="164">
        <f>F43+F54</f>
        <v>5723</v>
      </c>
      <c r="G55" s="165">
        <f t="shared" si="5"/>
        <v>8.7822760599298694E-2</v>
      </c>
      <c r="H55" s="95"/>
      <c r="I55" s="96">
        <f>SUM(I43,I54)</f>
        <v>551</v>
      </c>
      <c r="J55" s="97">
        <f>SUM(J43,J54)</f>
        <v>0</v>
      </c>
      <c r="K55" s="97">
        <f t="shared" ref="K55:AH55" si="13">SUM(K43,K54)</f>
        <v>34</v>
      </c>
      <c r="L55" s="97">
        <f t="shared" si="13"/>
        <v>13</v>
      </c>
      <c r="M55" s="97">
        <f t="shared" si="13"/>
        <v>5</v>
      </c>
      <c r="N55" s="97">
        <f t="shared" si="13"/>
        <v>0</v>
      </c>
      <c r="O55" s="97">
        <f t="shared" si="13"/>
        <v>98</v>
      </c>
      <c r="P55" s="97">
        <f t="shared" si="13"/>
        <v>0</v>
      </c>
      <c r="Q55" s="97">
        <f t="shared" si="13"/>
        <v>7</v>
      </c>
      <c r="R55" s="97">
        <f t="shared" si="13"/>
        <v>0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0</v>
      </c>
      <c r="W55" s="97">
        <f t="shared" si="13"/>
        <v>18</v>
      </c>
      <c r="X55" s="97">
        <f t="shared" si="13"/>
        <v>0</v>
      </c>
      <c r="Y55" s="97">
        <f t="shared" si="13"/>
        <v>0</v>
      </c>
      <c r="Z55" s="97">
        <f t="shared" si="13"/>
        <v>2</v>
      </c>
      <c r="AA55" s="97">
        <f t="shared" si="13"/>
        <v>5</v>
      </c>
      <c r="AB55" s="97">
        <f t="shared" si="13"/>
        <v>0</v>
      </c>
      <c r="AC55" s="97">
        <f t="shared" si="13"/>
        <v>4</v>
      </c>
      <c r="AD55" s="97">
        <f t="shared" si="13"/>
        <v>0</v>
      </c>
      <c r="AE55" s="97">
        <f t="shared" si="13"/>
        <v>306</v>
      </c>
      <c r="AF55" s="97">
        <f t="shared" si="13"/>
        <v>0</v>
      </c>
      <c r="AG55" s="97">
        <f t="shared" si="13"/>
        <v>0</v>
      </c>
      <c r="AH55" s="97">
        <f t="shared" si="13"/>
        <v>59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5">
    <mergeCell ref="AI46:AJ46"/>
    <mergeCell ref="I57:O57"/>
    <mergeCell ref="P57:V57"/>
    <mergeCell ref="W57:AE57"/>
    <mergeCell ref="AF57:AM57"/>
    <mergeCell ref="AI31:AJ32"/>
    <mergeCell ref="AK31:AM32"/>
    <mergeCell ref="AI45:AJ45"/>
    <mergeCell ref="AI33:AJ33"/>
    <mergeCell ref="AK33:AM33"/>
    <mergeCell ref="AI35:AJ35"/>
    <mergeCell ref="AK35:AM35"/>
    <mergeCell ref="AI49:AJ49"/>
    <mergeCell ref="AI37:AJ37"/>
    <mergeCell ref="A43:D43"/>
    <mergeCell ref="AI44:AJ44"/>
    <mergeCell ref="A15:D15"/>
    <mergeCell ref="A26:D26"/>
    <mergeCell ref="I29:O29"/>
    <mergeCell ref="P29:Q29"/>
    <mergeCell ref="R29:S29"/>
    <mergeCell ref="T29:U29"/>
    <mergeCell ref="V29:W29"/>
    <mergeCell ref="X29:Y29"/>
    <mergeCell ref="AB28:AC28"/>
    <mergeCell ref="A28:D28"/>
    <mergeCell ref="I28:O28"/>
    <mergeCell ref="P28:Q28"/>
    <mergeCell ref="R28:S28"/>
    <mergeCell ref="T28:U28"/>
    <mergeCell ref="V28:W28"/>
    <mergeCell ref="X28:Y28"/>
    <mergeCell ref="I22:O22"/>
    <mergeCell ref="P22:Q22"/>
    <mergeCell ref="I23:O23"/>
    <mergeCell ref="P23:Q23"/>
    <mergeCell ref="I19:O19"/>
    <mergeCell ref="P19:Q19"/>
    <mergeCell ref="Z29:AA29"/>
    <mergeCell ref="AB29:AC29"/>
    <mergeCell ref="AD29:AE29"/>
    <mergeCell ref="AF29:AG29"/>
    <mergeCell ref="AH29:AI29"/>
    <mergeCell ref="AJ29:AK29"/>
    <mergeCell ref="Z28:AA28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R26:S26"/>
    <mergeCell ref="T26:U26"/>
    <mergeCell ref="V26:W26"/>
    <mergeCell ref="Z26:AA26"/>
    <mergeCell ref="AB26:AC26"/>
    <mergeCell ref="AD26:AE26"/>
    <mergeCell ref="AF26:AG26"/>
    <mergeCell ref="AD28:AE28"/>
    <mergeCell ref="AF28:AG28"/>
    <mergeCell ref="AH28:AI28"/>
    <mergeCell ref="AJ28:AK28"/>
    <mergeCell ref="AF27:AG27"/>
    <mergeCell ref="AH27:AI27"/>
    <mergeCell ref="AJ27:AK27"/>
    <mergeCell ref="AJ24:AK24"/>
    <mergeCell ref="I25:O25"/>
    <mergeCell ref="R24:S24"/>
    <mergeCell ref="T24:U24"/>
    <mergeCell ref="V24:W24"/>
    <mergeCell ref="X24:Y24"/>
    <mergeCell ref="Z24:AA24"/>
    <mergeCell ref="AB24:AC24"/>
    <mergeCell ref="P25:Q25"/>
    <mergeCell ref="AD24:AE24"/>
    <mergeCell ref="AF24:AG24"/>
    <mergeCell ref="AH24:AI24"/>
    <mergeCell ref="I24:O24"/>
    <mergeCell ref="P24:Q24"/>
    <mergeCell ref="X26:Y26"/>
    <mergeCell ref="AH26:AI26"/>
    <mergeCell ref="I26:O26"/>
    <mergeCell ref="P26:Q26"/>
    <mergeCell ref="I21:O21"/>
    <mergeCell ref="P21:Q21"/>
    <mergeCell ref="Z18:AA18"/>
    <mergeCell ref="AB18:AC18"/>
    <mergeCell ref="AD18:AE18"/>
    <mergeCell ref="AF18:AG18"/>
    <mergeCell ref="AH18:AI18"/>
    <mergeCell ref="I20:O20"/>
    <mergeCell ref="P20:Q20"/>
    <mergeCell ref="AJ18:AK18"/>
    <mergeCell ref="I18:O18"/>
    <mergeCell ref="P18:Q18"/>
    <mergeCell ref="R18:S18"/>
    <mergeCell ref="T18:U18"/>
    <mergeCell ref="V18:W18"/>
    <mergeCell ref="X18:Y18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R4:S4"/>
    <mergeCell ref="AJ7:AK7"/>
    <mergeCell ref="I7:O7"/>
    <mergeCell ref="P7:Q7"/>
    <mergeCell ref="R7:S7"/>
    <mergeCell ref="T7:U7"/>
    <mergeCell ref="Z9:AA9"/>
    <mergeCell ref="AB9:AC9"/>
    <mergeCell ref="AD9:AE9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Z8:AA8"/>
    <mergeCell ref="AB8:AC8"/>
    <mergeCell ref="AD8:AE8"/>
    <mergeCell ref="AF8:AG8"/>
    <mergeCell ref="AH8:AI8"/>
    <mergeCell ref="AJ8:AK8"/>
    <mergeCell ref="AD2:AE2"/>
    <mergeCell ref="AF2:AG2"/>
    <mergeCell ref="Z7:AA7"/>
    <mergeCell ref="AB7:AC7"/>
    <mergeCell ref="AD7:AE7"/>
    <mergeCell ref="AF7:AG7"/>
    <mergeCell ref="T4:U4"/>
    <mergeCell ref="V4:W4"/>
    <mergeCell ref="X4:Y4"/>
    <mergeCell ref="Z2:AA2"/>
    <mergeCell ref="AB2:AC2"/>
    <mergeCell ref="AB6:AC6"/>
    <mergeCell ref="AD6:AE6"/>
    <mergeCell ref="AF6:AG6"/>
    <mergeCell ref="AH6:AI6"/>
    <mergeCell ref="AD5:AE5"/>
    <mergeCell ref="Z6:AA6"/>
    <mergeCell ref="P8:Q8"/>
    <mergeCell ref="R8:S8"/>
    <mergeCell ref="T8:U8"/>
    <mergeCell ref="V8:W8"/>
    <mergeCell ref="X8:Y8"/>
    <mergeCell ref="V7:W7"/>
    <mergeCell ref="X7:Y7"/>
    <mergeCell ref="AH4:AI4"/>
    <mergeCell ref="AF3:AG3"/>
    <mergeCell ref="AH3:AI3"/>
    <mergeCell ref="Z4:AA4"/>
    <mergeCell ref="AB4:AC4"/>
    <mergeCell ref="AJ3:AK3"/>
    <mergeCell ref="P4:Q4"/>
    <mergeCell ref="AH7:AI7"/>
    <mergeCell ref="I6:O6"/>
    <mergeCell ref="P6:Q6"/>
    <mergeCell ref="R6:S6"/>
    <mergeCell ref="T6:U6"/>
    <mergeCell ref="V6:W6"/>
    <mergeCell ref="X6:Y6"/>
    <mergeCell ref="AF5:AG5"/>
    <mergeCell ref="AH5:AI5"/>
    <mergeCell ref="I5:O5"/>
    <mergeCell ref="P5:Q5"/>
    <mergeCell ref="R5:S5"/>
    <mergeCell ref="T5:U5"/>
    <mergeCell ref="V5:W5"/>
    <mergeCell ref="X5:Y5"/>
    <mergeCell ref="Z5:AA5"/>
    <mergeCell ref="AB5:AC5"/>
    <mergeCell ref="AJ4:AK4"/>
    <mergeCell ref="AD4:AE4"/>
    <mergeCell ref="AF4:AG4"/>
    <mergeCell ref="AJ6:AK6"/>
    <mergeCell ref="AJ5:AK5"/>
    <mergeCell ref="M1:N1"/>
    <mergeCell ref="R1:U1"/>
    <mergeCell ref="E2:H2"/>
    <mergeCell ref="I2:O4"/>
    <mergeCell ref="P2:Q3"/>
    <mergeCell ref="R2:S2"/>
    <mergeCell ref="T2:U2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1" orientation="landscape" blackAndWhite="1" r:id="rId1"/>
  <headerFooter alignWithMargins="0"/>
  <colBreaks count="1" manualBreakCount="1">
    <brk id="31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0" tint="-4.9989318521683403E-2"/>
    <pageSetUpPr fitToPage="1"/>
  </sheetPr>
  <dimension ref="A1:AM59"/>
  <sheetViews>
    <sheetView showGridLines="0" zoomScale="64" zoomScaleNormal="64" workbookViewId="0">
      <selection activeCell="X18" sqref="X18:Y18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21" style="9" customWidth="1"/>
    <col min="5" max="7" width="12" style="9" customWidth="1"/>
    <col min="8" max="8" width="11" style="9" customWidth="1"/>
    <col min="9" max="16" width="4.5" style="9" customWidth="1"/>
    <col min="17" max="17" width="5.83203125" style="9" customWidth="1"/>
    <col min="18" max="22" width="4.5" style="9" customWidth="1"/>
    <col min="23" max="32" width="4.5" style="13" customWidth="1"/>
    <col min="33" max="35" width="4.5" style="17" customWidth="1"/>
    <col min="36" max="36" width="25.25" style="17" customWidth="1"/>
    <col min="37" max="38" width="4.5" style="17" customWidth="1"/>
    <col min="39" max="39" width="26.082031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 t="s">
        <v>117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426"/>
      <c r="C5" s="130" t="s">
        <v>74</v>
      </c>
      <c r="D5" s="422"/>
      <c r="E5" s="307"/>
      <c r="F5" s="307"/>
      <c r="G5" s="423"/>
      <c r="H5" s="110" t="str">
        <f t="shared" ref="H5:H28" si="0">IF(F5=0,"",(F5-G5)/F5)</f>
        <v/>
      </c>
      <c r="I5" s="675" t="s">
        <v>33</v>
      </c>
      <c r="J5" s="676"/>
      <c r="K5" s="676"/>
      <c r="L5" s="676"/>
      <c r="M5" s="676"/>
      <c r="N5" s="676"/>
      <c r="O5" s="677"/>
      <c r="P5" s="678">
        <v>0</v>
      </c>
      <c r="Q5" s="679"/>
      <c r="R5" s="680">
        <v>0</v>
      </c>
      <c r="S5" s="679"/>
      <c r="T5" s="681">
        <v>0</v>
      </c>
      <c r="U5" s="682"/>
      <c r="V5" s="683">
        <v>0</v>
      </c>
      <c r="W5" s="684"/>
      <c r="X5" s="685">
        <v>0</v>
      </c>
      <c r="Y5" s="686"/>
      <c r="Z5" s="687">
        <v>0</v>
      </c>
      <c r="AA5" s="688"/>
      <c r="AB5" s="674">
        <v>0</v>
      </c>
      <c r="AC5" s="674"/>
      <c r="AD5" s="689">
        <f>SUM(AF5:AK5)*0.025</f>
        <v>0</v>
      </c>
      <c r="AE5" s="689"/>
      <c r="AF5" s="674">
        <v>0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427"/>
      <c r="C6" s="131" t="s">
        <v>75</v>
      </c>
      <c r="D6" s="317"/>
      <c r="E6" s="317"/>
      <c r="F6" s="317"/>
      <c r="G6" s="424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</v>
      </c>
      <c r="Q6" s="673"/>
      <c r="R6" s="673">
        <f>IF($F$15=0,0,R5*1000/$F$15)</f>
        <v>0</v>
      </c>
      <c r="S6" s="673"/>
      <c r="T6" s="673">
        <f>IF($F$15=0,0,T5*1000/$F$15)</f>
        <v>0</v>
      </c>
      <c r="U6" s="673"/>
      <c r="V6" s="673">
        <f>IF($F$15=0,0,V5*1000/$F$15)</f>
        <v>0</v>
      </c>
      <c r="W6" s="673"/>
      <c r="X6" s="673">
        <f>IF($F$15=0,0,X5*1000/$F$15)</f>
        <v>0</v>
      </c>
      <c r="Y6" s="673"/>
      <c r="Z6" s="673">
        <f>IF($F$15=0,0,Z5*1000/$F$15)</f>
        <v>0</v>
      </c>
      <c r="AA6" s="673"/>
      <c r="AB6" s="632">
        <f>IF($F$15=0,0,AB5*1000/$F$15)</f>
        <v>0</v>
      </c>
      <c r="AC6" s="632"/>
      <c r="AD6" s="632">
        <f>IF($F$15=0,0,AD5*1000/$F$15)</f>
        <v>0</v>
      </c>
      <c r="AE6" s="632"/>
      <c r="AF6" s="627">
        <f>IF(AF5=0,0,F15/AF5)</f>
        <v>0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427"/>
      <c r="C7" s="131" t="s">
        <v>76</v>
      </c>
      <c r="D7" s="425"/>
      <c r="E7" s="317"/>
      <c r="F7" s="317"/>
      <c r="G7" s="424"/>
      <c r="H7" s="111" t="str">
        <f t="shared" si="0"/>
        <v/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</v>
      </c>
      <c r="Q7" s="639"/>
      <c r="R7" s="639">
        <f>IF($G$15=0,0,R5*1000/$G$15)</f>
        <v>0</v>
      </c>
      <c r="S7" s="639"/>
      <c r="T7" s="639">
        <f>IF($G$15=0,0,T5*1000/$G$15)</f>
        <v>0</v>
      </c>
      <c r="U7" s="639"/>
      <c r="V7" s="639">
        <f>IF($G$15=0,0,V5*1000/$G$15)</f>
        <v>0</v>
      </c>
      <c r="W7" s="639"/>
      <c r="X7" s="639">
        <f>IF($G$15=0,0,X5*1000/$G$15)</f>
        <v>0</v>
      </c>
      <c r="Y7" s="639"/>
      <c r="Z7" s="639">
        <f>IF($G$15=0,0,Z5*1000/$G$15)</f>
        <v>0</v>
      </c>
      <c r="AA7" s="639"/>
      <c r="AB7" s="632">
        <f>IF($G$15=0,0,AB5*1000/$G$15)</f>
        <v>0</v>
      </c>
      <c r="AC7" s="632"/>
      <c r="AD7" s="632">
        <f>IF($G$15=0,0,AD5*1000/$G$15)</f>
        <v>0</v>
      </c>
      <c r="AE7" s="632"/>
      <c r="AF7" s="627">
        <f>IF(AF5=0,0,G15/AF5)</f>
        <v>0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427"/>
      <c r="C8" s="129" t="s">
        <v>77</v>
      </c>
      <c r="D8" s="317"/>
      <c r="E8" s="317"/>
      <c r="F8" s="317"/>
      <c r="G8" s="424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/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276"/>
      <c r="C9" s="129" t="s">
        <v>78</v>
      </c>
      <c r="D9" s="288"/>
      <c r="E9" s="279"/>
      <c r="F9" s="279"/>
      <c r="G9" s="280"/>
      <c r="H9" s="111" t="str">
        <f>IF(F9=0,"",(F9-G9)/F9)</f>
        <v/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120"/>
      <c r="C10" s="129" t="s">
        <v>79</v>
      </c>
      <c r="D10" s="124"/>
      <c r="E10" s="125"/>
      <c r="F10" s="125"/>
      <c r="G10" s="126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/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 t="e">
        <f>F15/P12</f>
        <v>#DIV/0!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/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0</v>
      </c>
      <c r="F15" s="204">
        <f>SUM(F5:F14)</f>
        <v>0</v>
      </c>
      <c r="G15" s="204">
        <f>SUM(G5:G14)</f>
        <v>0</v>
      </c>
      <c r="H15" s="188" t="str">
        <f>IF(F15=0,"",(F15-G15)/F15)</f>
        <v/>
      </c>
      <c r="I15" s="719" t="s">
        <v>70</v>
      </c>
      <c r="J15" s="720"/>
      <c r="K15" s="720"/>
      <c r="L15" s="720"/>
      <c r="M15" s="720"/>
      <c r="N15" s="720"/>
      <c r="O15" s="721"/>
      <c r="P15" s="722" t="e">
        <f>F15/P14</f>
        <v>#DIV/0!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426"/>
      <c r="C16" s="130" t="s">
        <v>74</v>
      </c>
      <c r="D16" s="422"/>
      <c r="E16" s="307"/>
      <c r="F16" s="307"/>
      <c r="G16" s="423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427"/>
      <c r="C17" s="131" t="s">
        <v>75</v>
      </c>
      <c r="D17" s="317"/>
      <c r="E17" s="317"/>
      <c r="F17" s="317"/>
      <c r="G17" s="424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742">
        <f>IF($F$26=0,0,AF16*1000/$F$26)</f>
        <v>0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427"/>
      <c r="C18" s="131" t="s">
        <v>76</v>
      </c>
      <c r="D18" s="425"/>
      <c r="E18" s="317"/>
      <c r="F18" s="317"/>
      <c r="G18" s="424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742">
        <f>IF($G$26=0,0,AF16*1000/$G$26)</f>
        <v>0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221"/>
      <c r="C19" s="131" t="s">
        <v>77</v>
      </c>
      <c r="D19" s="241"/>
      <c r="E19" s="241"/>
      <c r="F19" s="241"/>
      <c r="G19" s="223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239"/>
      <c r="C20" s="131" t="s">
        <v>78</v>
      </c>
      <c r="D20" s="251"/>
      <c r="E20" s="241"/>
      <c r="F20" s="241"/>
      <c r="G20" s="223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120"/>
      <c r="C21" s="131" t="s">
        <v>79</v>
      </c>
      <c r="D21" s="128"/>
      <c r="E21" s="125"/>
      <c r="F21" s="125"/>
      <c r="G21" s="126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0</v>
      </c>
      <c r="G26" s="205">
        <f>SUM(G16:G25)</f>
        <v>0</v>
      </c>
      <c r="H26" s="196" t="str">
        <f>IF(F26=0,"",(F26-G26)/F26)</f>
        <v/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0</v>
      </c>
      <c r="Q27" s="781"/>
      <c r="R27" s="782">
        <f>SUM(R5,R16)</f>
        <v>0</v>
      </c>
      <c r="S27" s="781"/>
      <c r="T27" s="782">
        <f>SUM(T5,T16)</f>
        <v>0</v>
      </c>
      <c r="U27" s="781"/>
      <c r="V27" s="782">
        <f>SUM(V5,V16)</f>
        <v>0</v>
      </c>
      <c r="W27" s="781"/>
      <c r="X27" s="782">
        <f>SUM(X5,X16)</f>
        <v>0</v>
      </c>
      <c r="Y27" s="781"/>
      <c r="Z27" s="783">
        <f>SUM(Z5,Z16)</f>
        <v>0</v>
      </c>
      <c r="AA27" s="784"/>
      <c r="AB27" s="770">
        <f>SUM(AB5,AB16)</f>
        <v>0</v>
      </c>
      <c r="AC27" s="770"/>
      <c r="AD27" s="769">
        <f>SUM(AD5,AD16)</f>
        <v>0</v>
      </c>
      <c r="AE27" s="769"/>
      <c r="AF27" s="770">
        <f>SUM(AF5,AF16)</f>
        <v>0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0</v>
      </c>
      <c r="F28" s="140">
        <f>F15+F26</f>
        <v>0</v>
      </c>
      <c r="G28" s="140">
        <f>G15+G26</f>
        <v>0</v>
      </c>
      <c r="H28" s="141" t="str">
        <f t="shared" si="0"/>
        <v/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</v>
      </c>
      <c r="Q28" s="745"/>
      <c r="R28" s="746">
        <f t="shared" si="1"/>
        <v>0</v>
      </c>
      <c r="S28" s="745"/>
      <c r="T28" s="746">
        <f t="shared" si="1"/>
        <v>0</v>
      </c>
      <c r="U28" s="745"/>
      <c r="V28" s="800">
        <f t="shared" si="1"/>
        <v>0</v>
      </c>
      <c r="W28" s="801"/>
      <c r="X28" s="800">
        <f t="shared" si="1"/>
        <v>0</v>
      </c>
      <c r="Y28" s="801"/>
      <c r="Z28" s="746">
        <f t="shared" si="1"/>
        <v>0</v>
      </c>
      <c r="AA28" s="744"/>
      <c r="AB28" s="632">
        <f t="shared" si="1"/>
        <v>0</v>
      </c>
      <c r="AC28" s="632"/>
      <c r="AD28" s="632">
        <f t="shared" si="1"/>
        <v>0</v>
      </c>
      <c r="AE28" s="632"/>
      <c r="AF28" s="757">
        <f t="shared" si="1"/>
        <v>0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</v>
      </c>
      <c r="Q29" s="792"/>
      <c r="R29" s="771">
        <f t="shared" si="2"/>
        <v>0</v>
      </c>
      <c r="S29" s="792"/>
      <c r="T29" s="771">
        <f t="shared" si="2"/>
        <v>0</v>
      </c>
      <c r="U29" s="792"/>
      <c r="V29" s="793">
        <f t="shared" si="2"/>
        <v>0</v>
      </c>
      <c r="W29" s="794"/>
      <c r="X29" s="795">
        <f t="shared" si="2"/>
        <v>0</v>
      </c>
      <c r="Y29" s="796"/>
      <c r="Z29" s="771">
        <f t="shared" si="2"/>
        <v>0</v>
      </c>
      <c r="AA29" s="772"/>
      <c r="AB29" s="773">
        <f t="shared" si="2"/>
        <v>0</v>
      </c>
      <c r="AC29" s="773"/>
      <c r="AD29" s="773">
        <f t="shared" si="2"/>
        <v>0</v>
      </c>
      <c r="AE29" s="773"/>
      <c r="AF29" s="774">
        <f t="shared" si="2"/>
        <v>0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306">
        <f t="shared" ref="B33:B42" si="3">B5</f>
        <v>0</v>
      </c>
      <c r="C33" s="213" t="s">
        <v>74</v>
      </c>
      <c r="D33" s="307">
        <f t="shared" ref="D33:D42" si="4">D5</f>
        <v>0</v>
      </c>
      <c r="E33" s="307">
        <f>G5</f>
        <v>0</v>
      </c>
      <c r="F33" s="395"/>
      <c r="G33" s="62" t="str">
        <f t="shared" ref="G33:G55" si="5">IF(E33=0,"",(E33-F33)/E33)</f>
        <v/>
      </c>
      <c r="H33" s="63"/>
      <c r="I33" s="64">
        <f t="shared" ref="I33:I54" si="6">SUM(J33:AH33)</f>
        <v>0</v>
      </c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Y33" s="360"/>
      <c r="Z33" s="360"/>
      <c r="AA33" s="360"/>
      <c r="AB33" s="360"/>
      <c r="AC33" s="360"/>
      <c r="AD33" s="360"/>
      <c r="AE33" s="360"/>
      <c r="AF33" s="360"/>
      <c r="AG33" s="360"/>
      <c r="AH33" s="361"/>
      <c r="AI33" s="803"/>
      <c r="AJ33" s="804"/>
      <c r="AK33" s="840"/>
      <c r="AL33" s="841"/>
      <c r="AM33" s="842"/>
    </row>
    <row r="34" spans="1:39" ht="20.25" customHeight="1">
      <c r="A34" s="370"/>
      <c r="B34" s="290">
        <f t="shared" si="3"/>
        <v>0</v>
      </c>
      <c r="C34" s="214" t="s">
        <v>75</v>
      </c>
      <c r="D34" s="295">
        <f t="shared" si="4"/>
        <v>0</v>
      </c>
      <c r="E34" s="295">
        <f>G6</f>
        <v>0</v>
      </c>
      <c r="F34" s="296"/>
      <c r="G34" s="70" t="str">
        <f t="shared" si="5"/>
        <v/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870"/>
      <c r="AJ34" s="813"/>
      <c r="AK34" s="448"/>
      <c r="AL34" s="449"/>
      <c r="AM34" s="430"/>
    </row>
    <row r="35" spans="1:39" ht="20.25" customHeight="1">
      <c r="A35" s="370"/>
      <c r="B35" s="320">
        <f t="shared" si="3"/>
        <v>0</v>
      </c>
      <c r="C35" s="214" t="s">
        <v>76</v>
      </c>
      <c r="D35" s="318">
        <f t="shared" si="4"/>
        <v>0</v>
      </c>
      <c r="E35" s="318">
        <v>0</v>
      </c>
      <c r="F35" s="322"/>
      <c r="G35" s="70" t="str">
        <f t="shared" si="5"/>
        <v/>
      </c>
      <c r="H35" s="63"/>
      <c r="I35" s="64">
        <f t="shared" si="6"/>
        <v>0</v>
      </c>
      <c r="J35" s="360"/>
      <c r="K35" s="360"/>
      <c r="L35" s="360"/>
      <c r="M35" s="360"/>
      <c r="N35" s="360"/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1"/>
      <c r="AI35" s="870"/>
      <c r="AJ35" s="813"/>
      <c r="AK35" s="840"/>
      <c r="AL35" s="841"/>
      <c r="AM35" s="842"/>
    </row>
    <row r="36" spans="1:39" ht="20.25" customHeight="1">
      <c r="A36" s="371">
        <v>1</v>
      </c>
      <c r="B36" s="320">
        <f t="shared" si="3"/>
        <v>0</v>
      </c>
      <c r="C36" s="214" t="s">
        <v>77</v>
      </c>
      <c r="D36" s="318">
        <f t="shared" si="4"/>
        <v>0</v>
      </c>
      <c r="E36" s="318">
        <f>G8</f>
        <v>0</v>
      </c>
      <c r="F36" s="322"/>
      <c r="G36" s="70" t="str">
        <f t="shared" si="5"/>
        <v/>
      </c>
      <c r="H36" s="63"/>
      <c r="I36" s="64">
        <f t="shared" si="6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833"/>
      <c r="AJ36" s="834"/>
      <c r="AK36" s="840"/>
      <c r="AL36" s="841"/>
      <c r="AM36" s="842"/>
    </row>
    <row r="37" spans="1:39" ht="20.25" customHeight="1">
      <c r="A37" s="372"/>
      <c r="B37" s="320">
        <f t="shared" si="3"/>
        <v>0</v>
      </c>
      <c r="C37" s="214" t="s">
        <v>78</v>
      </c>
      <c r="D37" s="318">
        <f t="shared" si="4"/>
        <v>0</v>
      </c>
      <c r="E37" s="318">
        <f t="shared" ref="E37:E42" si="7">G9</f>
        <v>0</v>
      </c>
      <c r="F37" s="322"/>
      <c r="G37" s="70" t="str">
        <f t="shared" si="5"/>
        <v/>
      </c>
      <c r="H37" s="63"/>
      <c r="I37" s="64">
        <f t="shared" si="6"/>
        <v>0</v>
      </c>
      <c r="J37" s="455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833"/>
      <c r="AJ37" s="834"/>
      <c r="AK37" s="871"/>
      <c r="AL37" s="872"/>
      <c r="AM37" s="873"/>
    </row>
    <row r="38" spans="1:39" ht="20.25" customHeight="1">
      <c r="A38" s="372"/>
      <c r="B38" s="321">
        <f t="shared" si="3"/>
        <v>0</v>
      </c>
      <c r="C38" s="214" t="s">
        <v>79</v>
      </c>
      <c r="D38" s="323">
        <f t="shared" si="4"/>
        <v>0</v>
      </c>
      <c r="E38" s="318">
        <f t="shared" si="7"/>
        <v>0</v>
      </c>
      <c r="F38" s="322"/>
      <c r="G38" s="70" t="str">
        <f t="shared" si="5"/>
        <v/>
      </c>
      <c r="H38" s="63"/>
      <c r="I38" s="64">
        <f t="shared" si="6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321">
        <f t="shared" si="3"/>
        <v>0</v>
      </c>
      <c r="C39" s="214" t="s">
        <v>80</v>
      </c>
      <c r="D39" s="323">
        <f t="shared" si="4"/>
        <v>0</v>
      </c>
      <c r="E39" s="323">
        <f t="shared" si="7"/>
        <v>0</v>
      </c>
      <c r="F39" s="324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321">
        <f t="shared" si="3"/>
        <v>0</v>
      </c>
      <c r="C40" s="214" t="s">
        <v>63</v>
      </c>
      <c r="D40" s="323">
        <f t="shared" si="4"/>
        <v>0</v>
      </c>
      <c r="E40" s="323">
        <f t="shared" si="7"/>
        <v>0</v>
      </c>
      <c r="F40" s="324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7"/>
        <v>0</v>
      </c>
      <c r="F41" s="209"/>
      <c r="G41" s="210" t="str">
        <f t="shared" si="5"/>
        <v/>
      </c>
      <c r="H41" s="63"/>
      <c r="I41" s="64">
        <f t="shared" si="6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0</v>
      </c>
      <c r="F43" s="145">
        <f>SUM(F33:F42)</f>
        <v>0</v>
      </c>
      <c r="G43" s="135" t="str">
        <f t="shared" si="5"/>
        <v/>
      </c>
      <c r="H43" s="63"/>
      <c r="I43" s="376">
        <f t="shared" si="6"/>
        <v>0</v>
      </c>
      <c r="J43" s="77">
        <f>SUM(J33:J42)</f>
        <v>0</v>
      </c>
      <c r="K43" s="78">
        <f t="shared" ref="K43:AH43" si="8">SUM(K33:K42)</f>
        <v>0</v>
      </c>
      <c r="L43" s="78">
        <f t="shared" si="8"/>
        <v>0</v>
      </c>
      <c r="M43" s="78">
        <f t="shared" si="8"/>
        <v>0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0</v>
      </c>
      <c r="R43" s="78">
        <f t="shared" si="8"/>
        <v>0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0</v>
      </c>
      <c r="W43" s="78">
        <f t="shared" si="8"/>
        <v>0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0</v>
      </c>
      <c r="AC43" s="78">
        <f t="shared" si="8"/>
        <v>0</v>
      </c>
      <c r="AD43" s="78">
        <f t="shared" si="8"/>
        <v>0</v>
      </c>
      <c r="AE43" s="78">
        <f t="shared" si="8"/>
        <v>0</v>
      </c>
      <c r="AF43" s="78">
        <f t="shared" si="8"/>
        <v>0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92">
        <f t="shared" ref="B44:B53" si="9">B16</f>
        <v>0</v>
      </c>
      <c r="C44" s="382" t="s">
        <v>74</v>
      </c>
      <c r="D44" s="293">
        <f t="shared" ref="D44:D53" si="10">D16</f>
        <v>0</v>
      </c>
      <c r="E44" s="293">
        <f>G16</f>
        <v>0</v>
      </c>
      <c r="F44" s="294"/>
      <c r="G44" s="62" t="str">
        <f t="shared" si="5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59"/>
      <c r="AJ44" s="836"/>
      <c r="AK44" s="444"/>
      <c r="AL44" s="445"/>
      <c r="AM44" s="431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ref="E45:E53" si="11">G17</f>
        <v>0</v>
      </c>
      <c r="F45" s="151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300">
        <f t="shared" si="9"/>
        <v>0</v>
      </c>
      <c r="C46" s="217" t="s">
        <v>76</v>
      </c>
      <c r="D46" s="304">
        <f t="shared" si="10"/>
        <v>0</v>
      </c>
      <c r="E46" s="297">
        <f>G18</f>
        <v>0</v>
      </c>
      <c r="F46" s="319"/>
      <c r="G46" s="70" t="str">
        <f t="shared" si="5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858"/>
      <c r="AJ46" s="834"/>
      <c r="AK46" s="451"/>
      <c r="AL46" s="451"/>
      <c r="AM46" s="417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149">
        <f t="shared" si="9"/>
        <v>0</v>
      </c>
      <c r="C48" s="217" t="s">
        <v>78</v>
      </c>
      <c r="D48" s="155">
        <f t="shared" si="10"/>
        <v>0</v>
      </c>
      <c r="E48" s="153">
        <f t="shared" si="11"/>
        <v>0</v>
      </c>
      <c r="F48" s="154"/>
      <c r="G48" s="70" t="str">
        <f t="shared" si="5"/>
        <v/>
      </c>
      <c r="H48" s="63"/>
      <c r="I48" s="64">
        <f t="shared" si="6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75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5"/>
        <v/>
      </c>
      <c r="H54" s="63"/>
      <c r="I54" s="87">
        <f t="shared" si="6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0</v>
      </c>
      <c r="F55" s="164">
        <f>F43+F54</f>
        <v>0</v>
      </c>
      <c r="G55" s="165" t="str">
        <f t="shared" si="5"/>
        <v/>
      </c>
      <c r="H55" s="95"/>
      <c r="I55" s="96">
        <f>SUM(I43,I54)</f>
        <v>0</v>
      </c>
      <c r="J55" s="97">
        <f>SUM(J43,J54)</f>
        <v>0</v>
      </c>
      <c r="K55" s="97">
        <f t="shared" ref="K55:AH55" si="13">SUM(K43,K54)</f>
        <v>0</v>
      </c>
      <c r="L55" s="97">
        <f t="shared" si="13"/>
        <v>0</v>
      </c>
      <c r="M55" s="97">
        <f t="shared" si="13"/>
        <v>0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0</v>
      </c>
      <c r="R55" s="97">
        <f t="shared" si="13"/>
        <v>0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0</v>
      </c>
      <c r="W55" s="97">
        <f t="shared" si="13"/>
        <v>0</v>
      </c>
      <c r="X55" s="97">
        <f t="shared" si="13"/>
        <v>0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0</v>
      </c>
      <c r="AC55" s="97">
        <f t="shared" si="13"/>
        <v>0</v>
      </c>
      <c r="AD55" s="97">
        <f t="shared" si="13"/>
        <v>0</v>
      </c>
      <c r="AE55" s="97">
        <f t="shared" si="13"/>
        <v>0</v>
      </c>
      <c r="AF55" s="97">
        <f t="shared" si="13"/>
        <v>0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8">
    <mergeCell ref="AI37:AJ37"/>
    <mergeCell ref="AK37:AM37"/>
    <mergeCell ref="AI31:AJ32"/>
    <mergeCell ref="AK31:AM32"/>
    <mergeCell ref="AI44:AJ44"/>
    <mergeCell ref="AI33:AJ33"/>
    <mergeCell ref="AK33:AM33"/>
    <mergeCell ref="AI35:AJ35"/>
    <mergeCell ref="AK35:AM35"/>
    <mergeCell ref="AI34:AJ34"/>
    <mergeCell ref="AI36:AJ36"/>
    <mergeCell ref="AK36:AM36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R28:S28"/>
    <mergeCell ref="T28:U28"/>
    <mergeCell ref="V28:W28"/>
    <mergeCell ref="X28:Y28"/>
    <mergeCell ref="I22:O22"/>
    <mergeCell ref="P22:Q22"/>
    <mergeCell ref="I23:O23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AF27:AG27"/>
    <mergeCell ref="Z29:AA29"/>
    <mergeCell ref="AB29:AC29"/>
    <mergeCell ref="AD29:AE29"/>
    <mergeCell ref="AF29:AG29"/>
    <mergeCell ref="AH29:AI29"/>
    <mergeCell ref="AJ29:AK29"/>
    <mergeCell ref="Z28:AA28"/>
    <mergeCell ref="AB28:AC28"/>
    <mergeCell ref="AH27:AI27"/>
    <mergeCell ref="P23:Q23"/>
    <mergeCell ref="AD28:AE28"/>
    <mergeCell ref="AF28:AG28"/>
    <mergeCell ref="AH28:AI28"/>
    <mergeCell ref="AJ27:AK27"/>
    <mergeCell ref="AJ24:AK24"/>
    <mergeCell ref="I25:O25"/>
    <mergeCell ref="R24:S24"/>
    <mergeCell ref="T24:U24"/>
    <mergeCell ref="V24:W24"/>
    <mergeCell ref="X24:Y24"/>
    <mergeCell ref="Z24:AA24"/>
    <mergeCell ref="AB24:AC24"/>
    <mergeCell ref="P25:Q25"/>
    <mergeCell ref="AD24:AE24"/>
    <mergeCell ref="AF24:AG24"/>
    <mergeCell ref="AH24:AI24"/>
    <mergeCell ref="I24:O24"/>
    <mergeCell ref="P24:Q24"/>
    <mergeCell ref="AD27:AE27"/>
    <mergeCell ref="X26:Y26"/>
    <mergeCell ref="Z26:AA26"/>
    <mergeCell ref="AB26:AC26"/>
    <mergeCell ref="AJ28:AK28"/>
    <mergeCell ref="Z18:AA18"/>
    <mergeCell ref="AB18:AC18"/>
    <mergeCell ref="AD18:AE18"/>
    <mergeCell ref="AF18:AG18"/>
    <mergeCell ref="AH18:AI18"/>
    <mergeCell ref="AJ18:AK18"/>
    <mergeCell ref="I18:O18"/>
    <mergeCell ref="P18:Q18"/>
    <mergeCell ref="R18:S18"/>
    <mergeCell ref="T18:U18"/>
    <mergeCell ref="V18:W18"/>
    <mergeCell ref="X18:Y18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H8:AI8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D9:AE9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AD2:AE2"/>
    <mergeCell ref="AF2:AG2"/>
    <mergeCell ref="Z7:AA7"/>
    <mergeCell ref="AB7:AC7"/>
    <mergeCell ref="AD7:AE7"/>
    <mergeCell ref="AF7:AG7"/>
    <mergeCell ref="T4:U4"/>
    <mergeCell ref="V4:W4"/>
    <mergeCell ref="X4:Y4"/>
    <mergeCell ref="Z2:AA2"/>
    <mergeCell ref="AB2:AC2"/>
    <mergeCell ref="AB6:AC6"/>
    <mergeCell ref="AD6:AE6"/>
    <mergeCell ref="AF6:AG6"/>
    <mergeCell ref="T7:U7"/>
    <mergeCell ref="Z8:AA8"/>
    <mergeCell ref="AB8:AC8"/>
    <mergeCell ref="AD8:AE8"/>
    <mergeCell ref="AF8:AG8"/>
    <mergeCell ref="AJ3:AK3"/>
    <mergeCell ref="P4:Q4"/>
    <mergeCell ref="AH7:AI7"/>
    <mergeCell ref="I6:O6"/>
    <mergeCell ref="P6:Q6"/>
    <mergeCell ref="R6:S6"/>
    <mergeCell ref="T6:U6"/>
    <mergeCell ref="V6:W6"/>
    <mergeCell ref="X6:Y6"/>
    <mergeCell ref="AF5:AG5"/>
    <mergeCell ref="AH5:AI5"/>
    <mergeCell ref="I5:O5"/>
    <mergeCell ref="P5:Q5"/>
    <mergeCell ref="R5:S5"/>
    <mergeCell ref="T5:U5"/>
    <mergeCell ref="V5:W5"/>
    <mergeCell ref="X5:Y5"/>
    <mergeCell ref="Z5:AA5"/>
    <mergeCell ref="AB5:AC5"/>
    <mergeCell ref="AH6:AI6"/>
    <mergeCell ref="AD5:AE5"/>
    <mergeCell ref="Z6:AA6"/>
    <mergeCell ref="V7:W7"/>
    <mergeCell ref="X7:Y7"/>
    <mergeCell ref="M1:N1"/>
    <mergeCell ref="R1:U1"/>
    <mergeCell ref="E2:H2"/>
    <mergeCell ref="I2:O4"/>
    <mergeCell ref="P2:Q3"/>
    <mergeCell ref="R2:S2"/>
    <mergeCell ref="T2:U2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H4:AI4"/>
    <mergeCell ref="AF3:AG3"/>
    <mergeCell ref="AH3:AI3"/>
    <mergeCell ref="Z4:AA4"/>
    <mergeCell ref="AB4:AC4"/>
    <mergeCell ref="A43:D43"/>
    <mergeCell ref="AI45:AJ45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  <mergeCell ref="AB9:AC9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C5:C7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M59"/>
  <sheetViews>
    <sheetView showGridLines="0" topLeftCell="A31" zoomScale="64" zoomScaleNormal="64" workbookViewId="0">
      <selection activeCell="AD11" sqref="AD11:AE11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24.08203125" style="9" customWidth="1"/>
    <col min="5" max="7" width="12" style="9" customWidth="1"/>
    <col min="8" max="8" width="11" style="9" customWidth="1"/>
    <col min="9" max="9" width="5.83203125" style="9" customWidth="1"/>
    <col min="10" max="16" width="4.5" style="9" customWidth="1"/>
    <col min="17" max="17" width="4.75" style="9" customWidth="1"/>
    <col min="18" max="22" width="4.5" style="9" customWidth="1"/>
    <col min="23" max="32" width="4.5" style="13" customWidth="1"/>
    <col min="33" max="35" width="4.5" style="17" customWidth="1"/>
    <col min="36" max="36" width="49" style="17" customWidth="1"/>
    <col min="37" max="38" width="4.5" style="17" customWidth="1"/>
    <col min="39" max="39" width="17.7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>
        <v>244571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341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224" t="s">
        <v>191</v>
      </c>
      <c r="C5" s="129" t="s">
        <v>74</v>
      </c>
      <c r="D5" s="225" t="s">
        <v>194</v>
      </c>
      <c r="E5" s="225">
        <v>2000</v>
      </c>
      <c r="F5" s="225">
        <v>1721</v>
      </c>
      <c r="G5" s="226">
        <v>1514</v>
      </c>
      <c r="H5" s="110">
        <f t="shared" ref="H5:H28" si="0">IF(F5=0,"",(F5-G5)/F5)</f>
        <v>0.12027890761185357</v>
      </c>
      <c r="I5" s="675" t="s">
        <v>33</v>
      </c>
      <c r="J5" s="676"/>
      <c r="K5" s="676"/>
      <c r="L5" s="676"/>
      <c r="M5" s="676"/>
      <c r="N5" s="676"/>
      <c r="O5" s="677"/>
      <c r="P5" s="678">
        <v>2.2850000000000001</v>
      </c>
      <c r="Q5" s="679"/>
      <c r="R5" s="680">
        <v>8.718</v>
      </c>
      <c r="S5" s="679"/>
      <c r="T5" s="681">
        <v>0.95799999999999996</v>
      </c>
      <c r="U5" s="682"/>
      <c r="V5" s="683">
        <v>21.635999999999999</v>
      </c>
      <c r="W5" s="684"/>
      <c r="X5" s="685">
        <v>0.55200000000000005</v>
      </c>
      <c r="Y5" s="686"/>
      <c r="Z5" s="687">
        <f>108+200+36</f>
        <v>344</v>
      </c>
      <c r="AA5" s="688"/>
      <c r="AB5" s="674">
        <f>39+29</f>
        <v>68</v>
      </c>
      <c r="AC5" s="674"/>
      <c r="AD5" s="689">
        <f>SUM(AF5:AK5)*0.025</f>
        <v>1.9500000000000002</v>
      </c>
      <c r="AE5" s="689"/>
      <c r="AF5" s="674">
        <f>14+14+12+14+14+10</f>
        <v>78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362"/>
      <c r="C6" s="129" t="s">
        <v>75</v>
      </c>
      <c r="D6" s="227"/>
      <c r="E6" s="228"/>
      <c r="F6" s="228"/>
      <c r="G6" s="229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0.22349374021909232</v>
      </c>
      <c r="Q6" s="673"/>
      <c r="R6" s="673">
        <f>IF($F$15=0,0,R5*1000/$F$15)</f>
        <v>0.85269953051643188</v>
      </c>
      <c r="S6" s="673"/>
      <c r="T6" s="673">
        <f>IF($F$15=0,0,T5*1000/$F$15)</f>
        <v>9.3701095461658848E-2</v>
      </c>
      <c r="U6" s="673"/>
      <c r="V6" s="673">
        <f>IF($F$15=0,0,V5*1000/$F$15)</f>
        <v>2.1161971830985915</v>
      </c>
      <c r="W6" s="673"/>
      <c r="X6" s="673">
        <f>IF($F$15=0,0,X5*1000/$F$15)</f>
        <v>5.39906103286385E-2</v>
      </c>
      <c r="Y6" s="673"/>
      <c r="Z6" s="673">
        <f>IF($F$15=0,0,Z5*1000/$F$15)</f>
        <v>33.646322378716746</v>
      </c>
      <c r="AA6" s="673"/>
      <c r="AB6" s="632">
        <f>IF($F$15=0,0,AB5*1000/$F$15)</f>
        <v>6.6510172143974957</v>
      </c>
      <c r="AC6" s="632"/>
      <c r="AD6" s="632">
        <f>IF($F$15=0,0,AD5*1000/$F$15)</f>
        <v>0.19072769953051646</v>
      </c>
      <c r="AE6" s="632"/>
      <c r="AF6" s="627">
        <f>IF(AF5=0,0,F15/AF5)</f>
        <v>131.07692307692307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42"/>
      <c r="B7" s="362" t="s">
        <v>192</v>
      </c>
      <c r="C7" s="129" t="s">
        <v>76</v>
      </c>
      <c r="D7" s="227" t="s">
        <v>194</v>
      </c>
      <c r="E7" s="228">
        <v>6000</v>
      </c>
      <c r="F7" s="228">
        <v>5979</v>
      </c>
      <c r="G7" s="229">
        <v>4919</v>
      </c>
      <c r="H7" s="111">
        <f t="shared" si="0"/>
        <v>0.17728717176785416</v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0.25700146215273872</v>
      </c>
      <c r="Q7" s="639"/>
      <c r="R7" s="639">
        <f>IF($G$15=0,0,R5*1000/$G$15)</f>
        <v>0.98054212124620399</v>
      </c>
      <c r="S7" s="639"/>
      <c r="T7" s="639">
        <f>IF($G$15=0,0,T5*1000/$G$15)</f>
        <v>0.10774940951524013</v>
      </c>
      <c r="U7" s="639"/>
      <c r="V7" s="639">
        <f>IF($G$15=0,0,V5*1000/$G$15)</f>
        <v>2.4334720503880329</v>
      </c>
      <c r="W7" s="639"/>
      <c r="X7" s="639">
        <f>IF($G$15=0,0,X5*1000/$G$15)</f>
        <v>6.2085254751996402E-2</v>
      </c>
      <c r="Y7" s="639"/>
      <c r="Z7" s="639">
        <f>IF($G$15=0,0,Z5*1000/$G$15)</f>
        <v>38.690810932403551</v>
      </c>
      <c r="AA7" s="639"/>
      <c r="AB7" s="632">
        <f>IF($G$15=0,0,AB5*1000/$G$15)</f>
        <v>7.6481835564053533</v>
      </c>
      <c r="AC7" s="632"/>
      <c r="AD7" s="632">
        <f>IF($G$15=0,0,AD5*1000/$G$15)</f>
        <v>0.21932291080868296</v>
      </c>
      <c r="AE7" s="632"/>
      <c r="AF7" s="627">
        <f>IF(AF5=0,0,G15/AF5)</f>
        <v>113.98717948717949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42"/>
      <c r="B8" s="362"/>
      <c r="C8" s="129" t="s">
        <v>77</v>
      </c>
      <c r="D8" s="227"/>
      <c r="E8" s="228"/>
      <c r="F8" s="228"/>
      <c r="G8" s="229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>
        <f>30+18+14+33+5+13</f>
        <v>113</v>
      </c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42"/>
      <c r="B9" s="362" t="s">
        <v>193</v>
      </c>
      <c r="C9" s="129" t="s">
        <v>78</v>
      </c>
      <c r="D9" s="227" t="s">
        <v>194</v>
      </c>
      <c r="E9" s="228">
        <v>2000</v>
      </c>
      <c r="F9" s="228">
        <v>2524</v>
      </c>
      <c r="G9" s="229">
        <v>2458</v>
      </c>
      <c r="H9" s="111">
        <f>IF(F9=0,"",(F9-G9)/F9)</f>
        <v>2.6148969889064975E-2</v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42"/>
      <c r="B10" s="239"/>
      <c r="C10" s="129" t="s">
        <v>79</v>
      </c>
      <c r="D10" s="240"/>
      <c r="E10" s="241"/>
      <c r="F10" s="241"/>
      <c r="G10" s="242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42"/>
      <c r="B11" s="239"/>
      <c r="C11" s="129" t="s">
        <v>80</v>
      </c>
      <c r="D11" s="241"/>
      <c r="E11" s="241"/>
      <c r="F11" s="241"/>
      <c r="G11" s="242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42"/>
      <c r="B12" s="239"/>
      <c r="C12" s="129" t="s">
        <v>63</v>
      </c>
      <c r="D12" s="240"/>
      <c r="E12" s="241"/>
      <c r="F12" s="241"/>
      <c r="G12" s="242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>
        <f>3+3+2+3+4+5+5+1+6+6</f>
        <v>38</v>
      </c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42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>
        <f>F15/P12</f>
        <v>269.05263157894734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343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>
        <v>6</v>
      </c>
      <c r="Q14" s="714"/>
      <c r="R14" s="332"/>
      <c r="S14" s="332"/>
      <c r="T14" s="333"/>
      <c r="U14" s="333"/>
      <c r="V14" s="334"/>
      <c r="W14" s="334"/>
      <c r="X14" s="335"/>
      <c r="Y14" s="335"/>
      <c r="Z14" s="333"/>
      <c r="AA14" s="333"/>
      <c r="AB14" s="333"/>
      <c r="AC14" s="333"/>
      <c r="AD14" s="336"/>
      <c r="AE14" s="336"/>
      <c r="AF14" s="337"/>
      <c r="AG14" s="337"/>
      <c r="AH14" s="336"/>
      <c r="AI14" s="336"/>
      <c r="AJ14" s="337"/>
      <c r="AK14" s="338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10000</v>
      </c>
      <c r="F15" s="204">
        <f>SUM(F5:F14)</f>
        <v>10224</v>
      </c>
      <c r="G15" s="204">
        <f>SUM(G5:G14)</f>
        <v>8891</v>
      </c>
      <c r="H15" s="188">
        <f>IF(F15=0,"",(F15-G15)/F15)</f>
        <v>0.13037949921752739</v>
      </c>
      <c r="I15" s="719" t="s">
        <v>70</v>
      </c>
      <c r="J15" s="720"/>
      <c r="K15" s="720"/>
      <c r="L15" s="720"/>
      <c r="M15" s="720"/>
      <c r="N15" s="720"/>
      <c r="O15" s="721"/>
      <c r="P15" s="722">
        <f>F15/P14</f>
        <v>1704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119"/>
      <c r="C16" s="130" t="s">
        <v>74</v>
      </c>
      <c r="D16" s="127"/>
      <c r="E16" s="122"/>
      <c r="F16" s="122"/>
      <c r="G16" s="123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362" t="s">
        <v>195</v>
      </c>
      <c r="C17" s="131" t="s">
        <v>75</v>
      </c>
      <c r="D17" s="228" t="s">
        <v>196</v>
      </c>
      <c r="E17" s="228">
        <v>0</v>
      </c>
      <c r="F17" s="228">
        <v>10</v>
      </c>
      <c r="G17" s="229">
        <v>10</v>
      </c>
      <c r="H17" s="111">
        <f t="shared" si="0"/>
        <v>0</v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742">
        <f>IF($F$26=0,0,AF16*1000/$F$26)</f>
        <v>0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42"/>
      <c r="B18" s="120"/>
      <c r="C18" s="131" t="s">
        <v>76</v>
      </c>
      <c r="D18" s="128"/>
      <c r="E18" s="125"/>
      <c r="F18" s="125"/>
      <c r="G18" s="126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742">
        <f>IF($G$26=0,0,AF16*1000/$G$26)</f>
        <v>0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42"/>
      <c r="B19" s="120"/>
      <c r="C19" s="131" t="s">
        <v>77</v>
      </c>
      <c r="D19" s="128"/>
      <c r="E19" s="125"/>
      <c r="F19" s="125"/>
      <c r="G19" s="126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340"/>
      <c r="AD19" s="177"/>
      <c r="AE19" s="340"/>
      <c r="AF19" s="177"/>
      <c r="AG19" s="340"/>
      <c r="AH19" s="177"/>
      <c r="AI19" s="340"/>
      <c r="AJ19" s="177"/>
      <c r="AK19" s="186"/>
      <c r="AL19" s="178"/>
    </row>
    <row r="20" spans="1:39" ht="20.25" customHeight="1">
      <c r="A20" s="342"/>
      <c r="B20" s="120"/>
      <c r="C20" s="131" t="s">
        <v>78</v>
      </c>
      <c r="D20" s="128"/>
      <c r="E20" s="125"/>
      <c r="F20" s="125"/>
      <c r="G20" s="126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339"/>
      <c r="S20" s="339"/>
      <c r="T20" s="339"/>
      <c r="U20" s="339"/>
      <c r="V20" s="339"/>
      <c r="W20" s="339"/>
      <c r="X20" s="339"/>
      <c r="Y20" s="339"/>
      <c r="Z20" s="339"/>
      <c r="AA20" s="339"/>
      <c r="AB20" s="339"/>
      <c r="AC20" s="339"/>
      <c r="AD20" s="339"/>
      <c r="AE20" s="339"/>
      <c r="AF20" s="339"/>
      <c r="AG20" s="339"/>
      <c r="AH20" s="339"/>
      <c r="AI20" s="339"/>
      <c r="AJ20" s="339"/>
      <c r="AK20" s="187"/>
      <c r="AL20" s="178"/>
    </row>
    <row r="21" spans="1:39" ht="20.25" customHeight="1">
      <c r="A21" s="342"/>
      <c r="B21" s="120"/>
      <c r="C21" s="131" t="s">
        <v>79</v>
      </c>
      <c r="D21" s="128"/>
      <c r="E21" s="125"/>
      <c r="F21" s="125"/>
      <c r="G21" s="126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339"/>
      <c r="S21" s="339"/>
      <c r="T21" s="339"/>
      <c r="U21" s="339"/>
      <c r="V21" s="339"/>
      <c r="W21" s="339"/>
      <c r="X21" s="339"/>
      <c r="Y21" s="339"/>
      <c r="Z21" s="339"/>
      <c r="AA21" s="339"/>
      <c r="AB21" s="339"/>
      <c r="AC21" s="339"/>
      <c r="AD21" s="339"/>
      <c r="AE21" s="339"/>
      <c r="AF21" s="339"/>
      <c r="AG21" s="339"/>
      <c r="AH21" s="339"/>
      <c r="AI21" s="339"/>
      <c r="AJ21" s="339"/>
      <c r="AK21" s="187"/>
      <c r="AL21" s="178"/>
    </row>
    <row r="22" spans="1:39" ht="20.25" customHeight="1">
      <c r="A22" s="342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339"/>
      <c r="S22" s="339"/>
      <c r="T22" s="339"/>
      <c r="U22" s="339"/>
      <c r="V22" s="339"/>
      <c r="W22" s="339"/>
      <c r="X22" s="339"/>
      <c r="Y22" s="339"/>
      <c r="Z22" s="339"/>
      <c r="AA22" s="339"/>
      <c r="AB22" s="339"/>
      <c r="AC22" s="339"/>
      <c r="AD22" s="339"/>
      <c r="AE22" s="339"/>
      <c r="AF22" s="339"/>
      <c r="AG22" s="339"/>
      <c r="AH22" s="339"/>
      <c r="AI22" s="339"/>
      <c r="AJ22" s="339"/>
      <c r="AK22" s="187"/>
      <c r="AL22" s="178"/>
    </row>
    <row r="23" spans="1:39" ht="20.25" customHeight="1">
      <c r="A23" s="342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339"/>
      <c r="S23" s="339"/>
      <c r="T23" s="339"/>
      <c r="U23" s="339"/>
      <c r="V23" s="339"/>
      <c r="W23" s="339"/>
      <c r="X23" s="339"/>
      <c r="Y23" s="339"/>
      <c r="Z23" s="339"/>
      <c r="AA23" s="339"/>
      <c r="AB23" s="339"/>
      <c r="AC23" s="339"/>
      <c r="AD23" s="339"/>
      <c r="AE23" s="339"/>
      <c r="AF23" s="339"/>
      <c r="AG23" s="339"/>
      <c r="AH23" s="339"/>
      <c r="AI23" s="339"/>
      <c r="AJ23" s="339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344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327"/>
      <c r="S25" s="327"/>
      <c r="T25" s="328"/>
      <c r="U25" s="328"/>
      <c r="V25" s="329"/>
      <c r="W25" s="329"/>
      <c r="X25" s="330"/>
      <c r="Y25" s="330"/>
      <c r="Z25" s="328"/>
      <c r="AA25" s="328"/>
      <c r="AB25" s="328"/>
      <c r="AC25" s="328"/>
      <c r="AD25" s="331"/>
      <c r="AE25" s="331"/>
      <c r="AF25" s="325"/>
      <c r="AG25" s="325"/>
      <c r="AH25" s="331"/>
      <c r="AI25" s="331"/>
      <c r="AJ25" s="325"/>
      <c r="AK25" s="326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10</v>
      </c>
      <c r="G26" s="205">
        <f>SUM(G16:G25)</f>
        <v>10</v>
      </c>
      <c r="H26" s="196">
        <f>IF(F26=0,"",(F26-G26)/F26)</f>
        <v>0</v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345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2.2850000000000001</v>
      </c>
      <c r="Q27" s="781"/>
      <c r="R27" s="782">
        <f>SUM(R5,R16)</f>
        <v>8.718</v>
      </c>
      <c r="S27" s="781"/>
      <c r="T27" s="782">
        <f>SUM(T5,T16)</f>
        <v>0.95799999999999996</v>
      </c>
      <c r="U27" s="781"/>
      <c r="V27" s="782">
        <f>SUM(V5,V16)</f>
        <v>21.635999999999999</v>
      </c>
      <c r="W27" s="781"/>
      <c r="X27" s="782">
        <f>SUM(X5,X16)</f>
        <v>0.55200000000000005</v>
      </c>
      <c r="Y27" s="781"/>
      <c r="Z27" s="783">
        <f>SUM(Z5,Z16)</f>
        <v>344</v>
      </c>
      <c r="AA27" s="784"/>
      <c r="AB27" s="770">
        <f>SUM(AB5,AB16)</f>
        <v>68</v>
      </c>
      <c r="AC27" s="770"/>
      <c r="AD27" s="769">
        <f>SUM(AD5,AD16)</f>
        <v>1.9500000000000002</v>
      </c>
      <c r="AE27" s="769"/>
      <c r="AF27" s="770">
        <f>SUM(AF5,AF16)</f>
        <v>78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346">
        <f>E15+E26</f>
        <v>10000</v>
      </c>
      <c r="F28" s="140">
        <f>F15+F26</f>
        <v>10234</v>
      </c>
      <c r="G28" s="140">
        <f>G15+G26</f>
        <v>8901</v>
      </c>
      <c r="H28" s="141">
        <f t="shared" si="0"/>
        <v>0.13025210084033614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0.22327535665428963</v>
      </c>
      <c r="Q28" s="745"/>
      <c r="R28" s="746">
        <f t="shared" si="1"/>
        <v>0.8518663279265194</v>
      </c>
      <c r="S28" s="745"/>
      <c r="T28" s="746">
        <f t="shared" si="1"/>
        <v>9.3609536837991017E-2</v>
      </c>
      <c r="U28" s="745"/>
      <c r="V28" s="800">
        <f t="shared" si="1"/>
        <v>2.1141293726793045</v>
      </c>
      <c r="W28" s="801"/>
      <c r="X28" s="800">
        <f t="shared" si="1"/>
        <v>5.3937854211452023E-2</v>
      </c>
      <c r="Y28" s="801"/>
      <c r="Z28" s="746">
        <f t="shared" si="1"/>
        <v>33.613445378151262</v>
      </c>
      <c r="AA28" s="744"/>
      <c r="AB28" s="632">
        <f t="shared" si="1"/>
        <v>6.6445182724252492</v>
      </c>
      <c r="AC28" s="632"/>
      <c r="AD28" s="632">
        <f t="shared" si="1"/>
        <v>0.19054133281219468</v>
      </c>
      <c r="AE28" s="632"/>
      <c r="AF28" s="757">
        <f t="shared" si="1"/>
        <v>7.6216533124877861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347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0.25671272890686442</v>
      </c>
      <c r="Q29" s="792"/>
      <c r="R29" s="771">
        <f t="shared" si="2"/>
        <v>0.97944051230198859</v>
      </c>
      <c r="S29" s="792"/>
      <c r="T29" s="771">
        <f t="shared" si="2"/>
        <v>0.10762835636445343</v>
      </c>
      <c r="U29" s="792"/>
      <c r="V29" s="793">
        <f t="shared" si="2"/>
        <v>2.4307381193124367</v>
      </c>
      <c r="W29" s="794"/>
      <c r="X29" s="795">
        <f t="shared" si="2"/>
        <v>6.2015503875968991E-2</v>
      </c>
      <c r="Y29" s="796"/>
      <c r="Z29" s="771">
        <f t="shared" si="2"/>
        <v>38.647342995169083</v>
      </c>
      <c r="AA29" s="772"/>
      <c r="AB29" s="773">
        <f t="shared" si="2"/>
        <v>7.6395910571845862</v>
      </c>
      <c r="AC29" s="773"/>
      <c r="AD29" s="773">
        <f t="shared" si="2"/>
        <v>0.21907650825749919</v>
      </c>
      <c r="AE29" s="773"/>
      <c r="AF29" s="774">
        <f t="shared" si="2"/>
        <v>8.7630603302999663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348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306" t="str">
        <f t="shared" ref="B33:B42" si="3">B5</f>
        <v>I11690820</v>
      </c>
      <c r="C33" s="213" t="s">
        <v>74</v>
      </c>
      <c r="D33" s="307" t="str">
        <f t="shared" ref="D33:D42" si="4">D5</f>
        <v>มิดไนท์บลู*N</v>
      </c>
      <c r="E33" s="307">
        <f>G5</f>
        <v>1514</v>
      </c>
      <c r="F33" s="395">
        <f>144*9+23+6</f>
        <v>1325</v>
      </c>
      <c r="G33" s="62">
        <f t="shared" ref="G33:G55" si="5">IF(E33=0,"",(E33-F33)/E33)</f>
        <v>0.12483487450462351</v>
      </c>
      <c r="H33" s="63"/>
      <c r="I33" s="64">
        <f t="shared" ref="I33:I54" si="6">SUM(J33:AH33)</f>
        <v>189</v>
      </c>
      <c r="J33" s="453"/>
      <c r="K33" s="454">
        <f>15</f>
        <v>15</v>
      </c>
      <c r="L33" s="453">
        <v>52</v>
      </c>
      <c r="M33" s="454">
        <f>5+15</f>
        <v>20</v>
      </c>
      <c r="N33" s="453"/>
      <c r="O33" s="454"/>
      <c r="P33" s="453"/>
      <c r="Q33" s="454"/>
      <c r="R33" s="453">
        <f>2+8</f>
        <v>10</v>
      </c>
      <c r="S33" s="454"/>
      <c r="T33" s="453"/>
      <c r="U33" s="454"/>
      <c r="V33" s="453">
        <v>19</v>
      </c>
      <c r="W33" s="454">
        <v>9</v>
      </c>
      <c r="X33" s="453">
        <f>35</f>
        <v>35</v>
      </c>
      <c r="Y33" s="454"/>
      <c r="Z33" s="453"/>
      <c r="AA33" s="454"/>
      <c r="AB33" s="453">
        <f>4</f>
        <v>4</v>
      </c>
      <c r="AC33" s="454"/>
      <c r="AD33" s="453"/>
      <c r="AE33" s="454"/>
      <c r="AF33" s="453">
        <f>20+2+3</f>
        <v>25</v>
      </c>
      <c r="AG33" s="454"/>
      <c r="AH33" s="453"/>
      <c r="AI33" s="820" t="s">
        <v>210</v>
      </c>
      <c r="AJ33" s="821"/>
      <c r="AK33" s="827" t="s">
        <v>207</v>
      </c>
      <c r="AL33" s="828"/>
      <c r="AM33" s="829"/>
    </row>
    <row r="34" spans="1:39" ht="20.25" customHeight="1">
      <c r="A34" s="370"/>
      <c r="B34" s="320">
        <f t="shared" si="3"/>
        <v>0</v>
      </c>
      <c r="C34" s="214" t="s">
        <v>75</v>
      </c>
      <c r="D34" s="318">
        <f t="shared" si="4"/>
        <v>0</v>
      </c>
      <c r="E34" s="318">
        <f t="shared" ref="E34:E42" si="7">G6</f>
        <v>0</v>
      </c>
      <c r="F34" s="322"/>
      <c r="G34" s="70" t="str">
        <f t="shared" si="5"/>
        <v/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71"/>
      <c r="AJ34" s="72"/>
      <c r="AK34" s="73"/>
      <c r="AL34" s="74"/>
      <c r="AM34" s="388"/>
    </row>
    <row r="35" spans="1:39" ht="20.25" customHeight="1">
      <c r="A35" s="370"/>
      <c r="B35" s="320" t="str">
        <f t="shared" si="3"/>
        <v>I13690820</v>
      </c>
      <c r="C35" s="214" t="s">
        <v>76</v>
      </c>
      <c r="D35" s="318" t="str">
        <f t="shared" si="4"/>
        <v>มิดไนท์บลู*N</v>
      </c>
      <c r="E35" s="318">
        <f>F35+389+9</f>
        <v>4919</v>
      </c>
      <c r="F35" s="322">
        <f>210*21+6+105</f>
        <v>4521</v>
      </c>
      <c r="G35" s="70">
        <f t="shared" si="5"/>
        <v>8.0910754218337058E-2</v>
      </c>
      <c r="H35" s="63"/>
      <c r="I35" s="64">
        <f t="shared" si="6"/>
        <v>398</v>
      </c>
      <c r="J35" s="360"/>
      <c r="K35" s="360">
        <f>4+13+3+12+5</f>
        <v>37</v>
      </c>
      <c r="L35" s="360">
        <f>15+4+8+5</f>
        <v>32</v>
      </c>
      <c r="M35" s="360">
        <v>7</v>
      </c>
      <c r="N35" s="360"/>
      <c r="O35" s="360"/>
      <c r="P35" s="360"/>
      <c r="Q35" s="360">
        <v>2</v>
      </c>
      <c r="R35" s="360">
        <f>3+7</f>
        <v>10</v>
      </c>
      <c r="S35" s="360"/>
      <c r="T35" s="360"/>
      <c r="U35" s="360"/>
      <c r="V35" s="360"/>
      <c r="W35" s="360">
        <f>30+30+1</f>
        <v>61</v>
      </c>
      <c r="X35" s="360"/>
      <c r="Y35" s="360"/>
      <c r="Z35" s="360"/>
      <c r="AA35" s="360"/>
      <c r="AB35" s="360">
        <f>10+7+11</f>
        <v>28</v>
      </c>
      <c r="AC35" s="360">
        <f>25+30+25+30+25+20+20+20</f>
        <v>195</v>
      </c>
      <c r="AD35" s="360"/>
      <c r="AE35" s="360"/>
      <c r="AF35" s="360">
        <f>20+2+3+1</f>
        <v>26</v>
      </c>
      <c r="AG35" s="360"/>
      <c r="AH35" s="361"/>
      <c r="AI35" s="833" t="s">
        <v>219</v>
      </c>
      <c r="AJ35" s="834"/>
      <c r="AK35" s="874" t="s">
        <v>218</v>
      </c>
      <c r="AL35" s="875"/>
      <c r="AM35" s="876"/>
    </row>
    <row r="36" spans="1:39" ht="20.25" customHeight="1">
      <c r="A36" s="371">
        <v>1</v>
      </c>
      <c r="B36" s="320">
        <f t="shared" si="3"/>
        <v>0</v>
      </c>
      <c r="C36" s="214" t="s">
        <v>77</v>
      </c>
      <c r="D36" s="318">
        <f t="shared" si="4"/>
        <v>0</v>
      </c>
      <c r="E36" s="318">
        <f>G8</f>
        <v>0</v>
      </c>
      <c r="F36" s="322"/>
      <c r="G36" s="70" t="str">
        <f t="shared" si="5"/>
        <v/>
      </c>
      <c r="H36" s="63"/>
      <c r="I36" s="64">
        <f t="shared" si="6"/>
        <v>0</v>
      </c>
      <c r="J36" s="360"/>
      <c r="K36" s="360"/>
      <c r="L36" s="360"/>
      <c r="M36" s="360"/>
      <c r="N36" s="360"/>
      <c r="O36" s="360"/>
      <c r="P36" s="360"/>
      <c r="Q36" s="360"/>
      <c r="R36" s="360"/>
      <c r="S36" s="360"/>
      <c r="T36" s="360"/>
      <c r="U36" s="360"/>
      <c r="V36" s="360"/>
      <c r="W36" s="360"/>
      <c r="X36" s="360"/>
      <c r="Y36" s="360"/>
      <c r="Z36" s="360"/>
      <c r="AA36" s="360"/>
      <c r="AB36" s="360"/>
      <c r="AC36" s="360"/>
      <c r="AD36" s="360"/>
      <c r="AE36" s="360"/>
      <c r="AF36" s="360"/>
      <c r="AG36" s="360"/>
      <c r="AH36" s="361"/>
      <c r="AI36" s="802"/>
      <c r="AJ36" s="614"/>
      <c r="AK36" s="475"/>
      <c r="AL36" s="474"/>
      <c r="AM36" s="487"/>
    </row>
    <row r="37" spans="1:39" ht="20.25" customHeight="1">
      <c r="A37" s="372"/>
      <c r="B37" s="320" t="str">
        <f t="shared" si="3"/>
        <v>I15690820</v>
      </c>
      <c r="C37" s="214" t="s">
        <v>78</v>
      </c>
      <c r="D37" s="318" t="str">
        <f t="shared" si="4"/>
        <v>มิดไนท์บลู*N</v>
      </c>
      <c r="E37" s="318">
        <f>G9</f>
        <v>2458</v>
      </c>
      <c r="F37" s="322">
        <f>280*7+252+6</f>
        <v>2218</v>
      </c>
      <c r="G37" s="70">
        <f t="shared" si="5"/>
        <v>9.7640358014646059E-2</v>
      </c>
      <c r="H37" s="63"/>
      <c r="I37" s="64">
        <f t="shared" si="6"/>
        <v>240</v>
      </c>
      <c r="J37" s="360">
        <f>20</f>
        <v>20</v>
      </c>
      <c r="K37" s="360">
        <f>35+30+20+20</f>
        <v>105</v>
      </c>
      <c r="L37" s="360">
        <v>20</v>
      </c>
      <c r="M37" s="360"/>
      <c r="N37" s="360"/>
      <c r="O37" s="360"/>
      <c r="P37" s="360"/>
      <c r="Q37" s="360">
        <f>2</f>
        <v>2</v>
      </c>
      <c r="R37" s="360">
        <f>12+20</f>
        <v>32</v>
      </c>
      <c r="S37" s="360"/>
      <c r="T37" s="360"/>
      <c r="U37" s="360"/>
      <c r="V37" s="360"/>
      <c r="W37" s="360">
        <f>2+3</f>
        <v>5</v>
      </c>
      <c r="X37" s="360"/>
      <c r="Y37" s="360"/>
      <c r="Z37" s="360"/>
      <c r="AA37" s="360"/>
      <c r="AB37" s="360">
        <f>5+20</f>
        <v>25</v>
      </c>
      <c r="AC37" s="360">
        <f>11+10</f>
        <v>21</v>
      </c>
      <c r="AD37" s="360"/>
      <c r="AE37" s="360"/>
      <c r="AF37" s="360"/>
      <c r="AG37" s="360"/>
      <c r="AH37" s="361">
        <v>10</v>
      </c>
      <c r="AI37" s="802" t="s">
        <v>209</v>
      </c>
      <c r="AJ37" s="614"/>
      <c r="AK37" s="559" t="s">
        <v>207</v>
      </c>
      <c r="AL37" s="74"/>
      <c r="AM37" s="388"/>
    </row>
    <row r="38" spans="1:39" ht="20.25" customHeight="1">
      <c r="A38" s="372"/>
      <c r="B38" s="321">
        <f t="shared" si="3"/>
        <v>0</v>
      </c>
      <c r="C38" s="214" t="s">
        <v>79</v>
      </c>
      <c r="D38" s="323">
        <f t="shared" si="4"/>
        <v>0</v>
      </c>
      <c r="E38" s="318">
        <f t="shared" si="7"/>
        <v>0</v>
      </c>
      <c r="F38" s="322"/>
      <c r="G38" s="70" t="str">
        <f t="shared" si="5"/>
        <v/>
      </c>
      <c r="H38" s="63"/>
      <c r="I38" s="64">
        <f t="shared" si="6"/>
        <v>0</v>
      </c>
      <c r="J38" s="360"/>
      <c r="K38" s="360"/>
      <c r="L38" s="360"/>
      <c r="M38" s="360"/>
      <c r="N38" s="360"/>
      <c r="O38" s="360"/>
      <c r="P38" s="360"/>
      <c r="Q38" s="360"/>
      <c r="R38" s="360"/>
      <c r="S38" s="360"/>
      <c r="T38" s="360"/>
      <c r="U38" s="360"/>
      <c r="V38" s="360"/>
      <c r="W38" s="360"/>
      <c r="X38" s="360"/>
      <c r="Y38" s="360"/>
      <c r="Z38" s="360"/>
      <c r="AA38" s="360"/>
      <c r="AB38" s="360"/>
      <c r="AC38" s="360"/>
      <c r="AD38" s="360"/>
      <c r="AE38" s="360"/>
      <c r="AF38" s="360"/>
      <c r="AG38" s="360"/>
      <c r="AH38" s="361"/>
      <c r="AI38" s="85"/>
      <c r="AJ38" s="86"/>
      <c r="AK38" s="73"/>
      <c r="AL38" s="74"/>
      <c r="AM38" s="388"/>
    </row>
    <row r="39" spans="1:39" ht="20.25" customHeight="1">
      <c r="A39" s="372"/>
      <c r="B39" s="321">
        <f t="shared" si="3"/>
        <v>0</v>
      </c>
      <c r="C39" s="214" t="s">
        <v>80</v>
      </c>
      <c r="D39" s="323">
        <f t="shared" si="4"/>
        <v>0</v>
      </c>
      <c r="E39" s="323">
        <f t="shared" si="7"/>
        <v>0</v>
      </c>
      <c r="F39" s="324"/>
      <c r="G39" s="70" t="str">
        <f t="shared" si="5"/>
        <v/>
      </c>
      <c r="H39" s="63"/>
      <c r="I39" s="64">
        <f t="shared" si="6"/>
        <v>0</v>
      </c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360"/>
      <c r="AB39" s="360"/>
      <c r="AC39" s="360"/>
      <c r="AD39" s="360"/>
      <c r="AE39" s="360"/>
      <c r="AF39" s="360"/>
      <c r="AG39" s="360"/>
      <c r="AH39" s="361"/>
      <c r="AI39" s="85"/>
      <c r="AJ39" s="86"/>
      <c r="AK39" s="73"/>
      <c r="AL39" s="74"/>
      <c r="AM39" s="388"/>
    </row>
    <row r="40" spans="1:39" ht="20.25" customHeight="1">
      <c r="A40" s="372"/>
      <c r="B40" s="321">
        <f t="shared" si="3"/>
        <v>0</v>
      </c>
      <c r="C40" s="214" t="s">
        <v>63</v>
      </c>
      <c r="D40" s="323">
        <f t="shared" si="4"/>
        <v>0</v>
      </c>
      <c r="E40" s="323">
        <f t="shared" si="7"/>
        <v>0</v>
      </c>
      <c r="F40" s="324"/>
      <c r="G40" s="70" t="str">
        <f t="shared" si="5"/>
        <v/>
      </c>
      <c r="H40" s="63"/>
      <c r="I40" s="64">
        <f t="shared" si="6"/>
        <v>0</v>
      </c>
      <c r="J40" s="360"/>
      <c r="K40" s="360"/>
      <c r="L40" s="360"/>
      <c r="M40" s="360"/>
      <c r="N40" s="360"/>
      <c r="O40" s="360"/>
      <c r="P40" s="360"/>
      <c r="Q40" s="360"/>
      <c r="R40" s="360"/>
      <c r="S40" s="360"/>
      <c r="T40" s="360"/>
      <c r="U40" s="360"/>
      <c r="V40" s="360"/>
      <c r="W40" s="360"/>
      <c r="X40" s="360"/>
      <c r="Y40" s="360"/>
      <c r="Z40" s="360"/>
      <c r="AA40" s="360"/>
      <c r="AB40" s="360"/>
      <c r="AC40" s="360"/>
      <c r="AD40" s="360"/>
      <c r="AE40" s="360"/>
      <c r="AF40" s="360"/>
      <c r="AG40" s="360"/>
      <c r="AH40" s="361"/>
      <c r="AI40" s="802"/>
      <c r="AJ40" s="614"/>
      <c r="AK40" s="837"/>
      <c r="AL40" s="838"/>
      <c r="AM40" s="839"/>
    </row>
    <row r="41" spans="1:39" ht="20.25" customHeight="1">
      <c r="A41" s="370"/>
      <c r="B41" s="350">
        <f t="shared" si="3"/>
        <v>0</v>
      </c>
      <c r="C41" s="215" t="s">
        <v>81</v>
      </c>
      <c r="D41" s="353">
        <f t="shared" si="4"/>
        <v>0</v>
      </c>
      <c r="E41" s="353">
        <f t="shared" si="7"/>
        <v>0</v>
      </c>
      <c r="F41" s="354"/>
      <c r="G41" s="210" t="str">
        <f t="shared" si="5"/>
        <v/>
      </c>
      <c r="H41" s="63"/>
      <c r="I41" s="64">
        <f>SUM(J41:AH41)</f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388"/>
    </row>
    <row r="42" spans="1:39" ht="20.25" customHeight="1" thickBot="1">
      <c r="A42" s="370"/>
      <c r="B42" s="394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388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8891</v>
      </c>
      <c r="F43" s="145">
        <f>SUM(F33:F42)</f>
        <v>8064</v>
      </c>
      <c r="G43" s="135">
        <f t="shared" si="5"/>
        <v>9.301540884040041E-2</v>
      </c>
      <c r="H43" s="63"/>
      <c r="I43" s="376">
        <f t="shared" si="6"/>
        <v>827</v>
      </c>
      <c r="J43" s="77">
        <f>SUM(J33:J42)</f>
        <v>20</v>
      </c>
      <c r="K43" s="78">
        <f t="shared" ref="K43:AH43" si="8">SUM(K33:K42)</f>
        <v>157</v>
      </c>
      <c r="L43" s="78">
        <f t="shared" si="8"/>
        <v>104</v>
      </c>
      <c r="M43" s="78">
        <f t="shared" si="8"/>
        <v>27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4</v>
      </c>
      <c r="R43" s="78">
        <f t="shared" si="8"/>
        <v>52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19</v>
      </c>
      <c r="W43" s="78">
        <f t="shared" si="8"/>
        <v>75</v>
      </c>
      <c r="X43" s="78">
        <f t="shared" si="8"/>
        <v>35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57</v>
      </c>
      <c r="AC43" s="78">
        <f t="shared" si="8"/>
        <v>216</v>
      </c>
      <c r="AD43" s="78">
        <f t="shared" si="8"/>
        <v>0</v>
      </c>
      <c r="AE43" s="78">
        <f t="shared" si="8"/>
        <v>0</v>
      </c>
      <c r="AF43" s="78">
        <f t="shared" si="8"/>
        <v>51</v>
      </c>
      <c r="AG43" s="78">
        <f t="shared" si="8"/>
        <v>0</v>
      </c>
      <c r="AH43" s="79">
        <f t="shared" si="8"/>
        <v>10</v>
      </c>
      <c r="AI43" s="80"/>
      <c r="AJ43" s="377"/>
      <c r="AK43" s="378"/>
      <c r="AL43" s="379"/>
      <c r="AM43" s="81"/>
    </row>
    <row r="44" spans="1:39" ht="20.25" customHeight="1">
      <c r="A44" s="380"/>
      <c r="B44" s="381">
        <f t="shared" ref="B44:B53" si="9">B16</f>
        <v>0</v>
      </c>
      <c r="C44" s="382" t="s">
        <v>74</v>
      </c>
      <c r="D44" s="121">
        <f t="shared" ref="D44:D53" si="10">D16</f>
        <v>0</v>
      </c>
      <c r="E44" s="122">
        <f t="shared" ref="E44:E53" si="11">G16</f>
        <v>0</v>
      </c>
      <c r="F44" s="148"/>
      <c r="G44" s="62" t="str">
        <f t="shared" si="5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8"/>
      <c r="AJ44" s="819"/>
      <c r="AK44" s="82"/>
      <c r="AL44" s="83"/>
      <c r="AM44" s="84"/>
    </row>
    <row r="45" spans="1:39" ht="20.25" customHeight="1">
      <c r="A45" s="384"/>
      <c r="B45" s="351" t="str">
        <f t="shared" si="9"/>
        <v>I12690822</v>
      </c>
      <c r="C45" s="216" t="s">
        <v>75</v>
      </c>
      <c r="D45" s="355" t="str">
        <f t="shared" si="10"/>
        <v>โกลเด้นบราวน์*N</v>
      </c>
      <c r="E45" s="317">
        <f>G17</f>
        <v>10</v>
      </c>
      <c r="F45" s="322">
        <f>10</f>
        <v>10</v>
      </c>
      <c r="G45" s="70">
        <f t="shared" si="5"/>
        <v>0</v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58" t="s">
        <v>197</v>
      </c>
      <c r="AJ45" s="834"/>
      <c r="AK45" s="556" t="s">
        <v>186</v>
      </c>
      <c r="AL45" s="557"/>
      <c r="AM45" s="75"/>
    </row>
    <row r="46" spans="1:39" ht="20.25" customHeight="1">
      <c r="A46" s="363">
        <v>2</v>
      </c>
      <c r="B46" s="149">
        <f t="shared" si="9"/>
        <v>0</v>
      </c>
      <c r="C46" s="217" t="s">
        <v>76</v>
      </c>
      <c r="D46" s="152">
        <f t="shared" si="10"/>
        <v>0</v>
      </c>
      <c r="E46" s="153">
        <f t="shared" si="11"/>
        <v>0</v>
      </c>
      <c r="F46" s="154"/>
      <c r="G46" s="70" t="str">
        <f t="shared" si="5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814"/>
      <c r="AJ46" s="815"/>
      <c r="AK46" s="74"/>
      <c r="AL46" s="74"/>
      <c r="AM46" s="75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149">
        <f t="shared" si="9"/>
        <v>0</v>
      </c>
      <c r="C48" s="217" t="s">
        <v>78</v>
      </c>
      <c r="D48" s="155">
        <f t="shared" si="10"/>
        <v>0</v>
      </c>
      <c r="E48" s="153">
        <f t="shared" si="11"/>
        <v>0</v>
      </c>
      <c r="F48" s="154"/>
      <c r="G48" s="70" t="str">
        <f t="shared" si="5"/>
        <v/>
      </c>
      <c r="H48" s="63"/>
      <c r="I48" s="64">
        <f t="shared" si="6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75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10</v>
      </c>
      <c r="F54" s="145">
        <f>SUM(F44:F53)</f>
        <v>10</v>
      </c>
      <c r="G54" s="135">
        <f t="shared" si="5"/>
        <v>0</v>
      </c>
      <c r="H54" s="63"/>
      <c r="I54" s="87">
        <f t="shared" si="6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8901</v>
      </c>
      <c r="F55" s="164">
        <f>F43+F54</f>
        <v>8074</v>
      </c>
      <c r="G55" s="165">
        <f t="shared" si="5"/>
        <v>9.2910908886641955E-2</v>
      </c>
      <c r="H55" s="95"/>
      <c r="I55" s="96">
        <f>SUM(I43,I54)</f>
        <v>827</v>
      </c>
      <c r="J55" s="97">
        <f>SUM(J43,J54)</f>
        <v>20</v>
      </c>
      <c r="K55" s="97">
        <f t="shared" ref="K55:AH55" si="13">SUM(K43,K54)</f>
        <v>157</v>
      </c>
      <c r="L55" s="97">
        <f t="shared" si="13"/>
        <v>104</v>
      </c>
      <c r="M55" s="97">
        <f t="shared" si="13"/>
        <v>27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4</v>
      </c>
      <c r="R55" s="97">
        <f t="shared" si="13"/>
        <v>52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19</v>
      </c>
      <c r="W55" s="97">
        <f t="shared" si="13"/>
        <v>75</v>
      </c>
      <c r="X55" s="97">
        <f t="shared" si="13"/>
        <v>35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57</v>
      </c>
      <c r="AC55" s="97">
        <f t="shared" si="13"/>
        <v>216</v>
      </c>
      <c r="AD55" s="97">
        <f t="shared" si="13"/>
        <v>0</v>
      </c>
      <c r="AE55" s="97">
        <f t="shared" si="13"/>
        <v>0</v>
      </c>
      <c r="AF55" s="97">
        <f t="shared" si="13"/>
        <v>51</v>
      </c>
      <c r="AG55" s="97">
        <f t="shared" si="13"/>
        <v>0</v>
      </c>
      <c r="AH55" s="97">
        <f t="shared" si="13"/>
        <v>10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7">
    <mergeCell ref="AI46:AJ46"/>
    <mergeCell ref="I57:O57"/>
    <mergeCell ref="P57:V57"/>
    <mergeCell ref="W57:AE57"/>
    <mergeCell ref="AF57:AM57"/>
    <mergeCell ref="AI31:AJ32"/>
    <mergeCell ref="AK31:AM32"/>
    <mergeCell ref="AI44:AJ44"/>
    <mergeCell ref="AI35:AJ35"/>
    <mergeCell ref="AK35:AM35"/>
    <mergeCell ref="AI40:AJ40"/>
    <mergeCell ref="AK40:AM40"/>
    <mergeCell ref="A43:D43"/>
    <mergeCell ref="AI45:AJ45"/>
    <mergeCell ref="Z29:AA29"/>
    <mergeCell ref="AB29:AC29"/>
    <mergeCell ref="AD29:AE29"/>
    <mergeCell ref="AF29:AG29"/>
    <mergeCell ref="AH29:AI29"/>
    <mergeCell ref="AJ29:AK29"/>
    <mergeCell ref="I29:O29"/>
    <mergeCell ref="P29:Q29"/>
    <mergeCell ref="R29:S29"/>
    <mergeCell ref="T29:U29"/>
    <mergeCell ref="V29:W29"/>
    <mergeCell ref="X29:Y29"/>
    <mergeCell ref="AI33:AJ33"/>
    <mergeCell ref="AK33:AM33"/>
    <mergeCell ref="AI36:AJ36"/>
    <mergeCell ref="AI37:AJ37"/>
    <mergeCell ref="Z28:AA28"/>
    <mergeCell ref="AB28:AC28"/>
    <mergeCell ref="AD28:AE28"/>
    <mergeCell ref="AF28:AG28"/>
    <mergeCell ref="AH28:AI28"/>
    <mergeCell ref="AJ28:AK28"/>
    <mergeCell ref="AF27:AG27"/>
    <mergeCell ref="AH27:AI27"/>
    <mergeCell ref="AJ27:AK27"/>
    <mergeCell ref="A28:D28"/>
    <mergeCell ref="I28:O28"/>
    <mergeCell ref="P28:Q28"/>
    <mergeCell ref="R28:S28"/>
    <mergeCell ref="T28:U28"/>
    <mergeCell ref="V28:W28"/>
    <mergeCell ref="X28:Y28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X26:Y26"/>
    <mergeCell ref="Z26:AA26"/>
    <mergeCell ref="AB26:AC26"/>
    <mergeCell ref="AD26:AE26"/>
    <mergeCell ref="AF26:AG26"/>
    <mergeCell ref="AH26:AI26"/>
    <mergeCell ref="A26:D26"/>
    <mergeCell ref="AB17:AC17"/>
    <mergeCell ref="I26:O26"/>
    <mergeCell ref="P26:Q26"/>
    <mergeCell ref="I18:O18"/>
    <mergeCell ref="P18:Q18"/>
    <mergeCell ref="R26:S26"/>
    <mergeCell ref="T26:U26"/>
    <mergeCell ref="V26:W26"/>
    <mergeCell ref="AD24:AE24"/>
    <mergeCell ref="I25:O25"/>
    <mergeCell ref="P25:Q25"/>
    <mergeCell ref="R24:S24"/>
    <mergeCell ref="T24:U24"/>
    <mergeCell ref="V24:W24"/>
    <mergeCell ref="X24:Y24"/>
    <mergeCell ref="Z24:AA24"/>
    <mergeCell ref="AB24:AC24"/>
    <mergeCell ref="I24:O24"/>
    <mergeCell ref="P24:Q24"/>
    <mergeCell ref="I22:O22"/>
    <mergeCell ref="P22:Q22"/>
    <mergeCell ref="I23:O23"/>
    <mergeCell ref="P23:Q23"/>
    <mergeCell ref="I20:O20"/>
    <mergeCell ref="I17:O17"/>
    <mergeCell ref="P17:Q17"/>
    <mergeCell ref="R17:S17"/>
    <mergeCell ref="T17:U17"/>
    <mergeCell ref="V17:W17"/>
    <mergeCell ref="X17:Y17"/>
    <mergeCell ref="I19:O19"/>
    <mergeCell ref="P19:Q19"/>
    <mergeCell ref="Z17:AA17"/>
    <mergeCell ref="P20:Q20"/>
    <mergeCell ref="I21:O21"/>
    <mergeCell ref="P21:Q21"/>
    <mergeCell ref="Z18:AA18"/>
    <mergeCell ref="AB18:AC18"/>
    <mergeCell ref="AD18:AE18"/>
    <mergeCell ref="AF18:AG18"/>
    <mergeCell ref="AH18:AI18"/>
    <mergeCell ref="AJ18:AK18"/>
    <mergeCell ref="R18:S18"/>
    <mergeCell ref="T18:U18"/>
    <mergeCell ref="V18:W18"/>
    <mergeCell ref="X18:Y18"/>
    <mergeCell ref="Z13:AA13"/>
    <mergeCell ref="AB13:AC13"/>
    <mergeCell ref="AD13:AE13"/>
    <mergeCell ref="AH15:AI15"/>
    <mergeCell ref="AJ15:AK15"/>
    <mergeCell ref="I16:O16"/>
    <mergeCell ref="P16:Q16"/>
    <mergeCell ref="R16:S16"/>
    <mergeCell ref="T16:U16"/>
    <mergeCell ref="V16:W16"/>
    <mergeCell ref="X16:Y16"/>
    <mergeCell ref="Z16:AA16"/>
    <mergeCell ref="AB16:AC16"/>
    <mergeCell ref="T15:U15"/>
    <mergeCell ref="V15:W15"/>
    <mergeCell ref="Z15:AA15"/>
    <mergeCell ref="AB15:AC15"/>
    <mergeCell ref="AD15:AE15"/>
    <mergeCell ref="AF15:AG15"/>
    <mergeCell ref="AD16:AE16"/>
    <mergeCell ref="AF16:AG16"/>
    <mergeCell ref="AH16:AI16"/>
    <mergeCell ref="AJ16:AK16"/>
    <mergeCell ref="I13:O13"/>
    <mergeCell ref="P13:Q13"/>
    <mergeCell ref="R13:S13"/>
    <mergeCell ref="T13:U13"/>
    <mergeCell ref="V13:W13"/>
    <mergeCell ref="X13:Y13"/>
    <mergeCell ref="I14:O14"/>
    <mergeCell ref="P14:Q14"/>
    <mergeCell ref="A15:D15"/>
    <mergeCell ref="I15:O15"/>
    <mergeCell ref="P15:Q15"/>
    <mergeCell ref="R15:S15"/>
    <mergeCell ref="Z12:AA12"/>
    <mergeCell ref="AB12:AC12"/>
    <mergeCell ref="AD12:AE12"/>
    <mergeCell ref="AF12:AG12"/>
    <mergeCell ref="AH12:AI12"/>
    <mergeCell ref="AJ12:AK12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Z9:AA9"/>
    <mergeCell ref="AB9:AC9"/>
    <mergeCell ref="AD9:AE9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Z8:AA8"/>
    <mergeCell ref="AB8:AC8"/>
    <mergeCell ref="AD8:AE8"/>
    <mergeCell ref="AF8:AG8"/>
    <mergeCell ref="AH8:AI8"/>
    <mergeCell ref="AJ8:AK8"/>
    <mergeCell ref="I8:O8"/>
    <mergeCell ref="P8:Q8"/>
    <mergeCell ref="R8:S8"/>
    <mergeCell ref="T8:U8"/>
    <mergeCell ref="V8:W8"/>
    <mergeCell ref="X8:Y8"/>
    <mergeCell ref="Z7:AA7"/>
    <mergeCell ref="AB7:AC7"/>
    <mergeCell ref="AD7:AE7"/>
    <mergeCell ref="AF7:AG7"/>
    <mergeCell ref="AH7:AI7"/>
    <mergeCell ref="AJ7:AK7"/>
    <mergeCell ref="I7:O7"/>
    <mergeCell ref="P7:Q7"/>
    <mergeCell ref="R7:S7"/>
    <mergeCell ref="T7:U7"/>
    <mergeCell ref="V7:W7"/>
    <mergeCell ref="X7:Y7"/>
    <mergeCell ref="I6:O6"/>
    <mergeCell ref="P6:Q6"/>
    <mergeCell ref="R6:S6"/>
    <mergeCell ref="T6:U6"/>
    <mergeCell ref="V6:W6"/>
    <mergeCell ref="X6:Y6"/>
    <mergeCell ref="I5:O5"/>
    <mergeCell ref="P5:Q5"/>
    <mergeCell ref="R5:S5"/>
    <mergeCell ref="T5:U5"/>
    <mergeCell ref="V5:W5"/>
    <mergeCell ref="X5:Y5"/>
    <mergeCell ref="E2:H2"/>
    <mergeCell ref="I2:O4"/>
    <mergeCell ref="P2:Q3"/>
    <mergeCell ref="R2:S2"/>
    <mergeCell ref="T2:U2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Z2:AA2"/>
    <mergeCell ref="AB2:AC2"/>
    <mergeCell ref="AF3:AG3"/>
    <mergeCell ref="AH3:AI3"/>
    <mergeCell ref="AJ3:AK3"/>
    <mergeCell ref="P4:Q4"/>
    <mergeCell ref="R4:S4"/>
    <mergeCell ref="AF17:AG17"/>
    <mergeCell ref="AH17:AI17"/>
    <mergeCell ref="AJ17:AK17"/>
    <mergeCell ref="AH24:AI24"/>
    <mergeCell ref="AJ24:AK24"/>
    <mergeCell ref="AD17:AE17"/>
    <mergeCell ref="AF24:AG24"/>
    <mergeCell ref="M1:N1"/>
    <mergeCell ref="R1:U1"/>
    <mergeCell ref="T4:U4"/>
    <mergeCell ref="V4:W4"/>
    <mergeCell ref="X4:Y4"/>
    <mergeCell ref="Z4:AA4"/>
    <mergeCell ref="AB4:AC4"/>
    <mergeCell ref="AJ4:AK4"/>
    <mergeCell ref="Z6:AA6"/>
    <mergeCell ref="AB6:AC6"/>
    <mergeCell ref="AD6:AE6"/>
    <mergeCell ref="AF6:AG6"/>
    <mergeCell ref="AH6:AI6"/>
    <mergeCell ref="AJ6:AK6"/>
    <mergeCell ref="Z5:AA5"/>
    <mergeCell ref="AB5:AC5"/>
    <mergeCell ref="AD5:AE5"/>
    <mergeCell ref="AD2:AE2"/>
    <mergeCell ref="AF2:AG2"/>
    <mergeCell ref="AH4:AI4"/>
    <mergeCell ref="AJ5:AK5"/>
    <mergeCell ref="AD4:AE4"/>
    <mergeCell ref="AF4:AG4"/>
    <mergeCell ref="AF13:AG13"/>
    <mergeCell ref="AH13:AI13"/>
    <mergeCell ref="AJ13:AK13"/>
    <mergeCell ref="AF5:AG5"/>
    <mergeCell ref="AH5:AI5"/>
  </mergeCells>
  <dataValidations disablePrompts="1"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M59"/>
  <sheetViews>
    <sheetView showGridLines="0" topLeftCell="A31" zoomScale="64" zoomScaleNormal="64" workbookViewId="0">
      <selection activeCell="AI47" sqref="AI47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25.58203125" style="9" customWidth="1"/>
    <col min="5" max="7" width="12" style="9" customWidth="1"/>
    <col min="8" max="8" width="11" style="9" customWidth="1"/>
    <col min="9" max="9" width="7" style="9" customWidth="1"/>
    <col min="10" max="16" width="4.5" style="9" customWidth="1"/>
    <col min="17" max="17" width="5.5" style="9" customWidth="1"/>
    <col min="18" max="22" width="4.5" style="9" customWidth="1"/>
    <col min="23" max="32" width="4.5" style="13" customWidth="1"/>
    <col min="33" max="35" width="4.5" style="17" customWidth="1"/>
    <col min="36" max="36" width="27.5" style="17" customWidth="1"/>
    <col min="37" max="38" width="4.5" style="17" customWidth="1"/>
    <col min="39" max="39" width="16.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>
        <v>244572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224" t="s">
        <v>198</v>
      </c>
      <c r="C5" s="129" t="s">
        <v>74</v>
      </c>
      <c r="D5" s="237" t="s">
        <v>124</v>
      </c>
      <c r="E5" s="225">
        <v>3000</v>
      </c>
      <c r="F5" s="225">
        <f>1395+742+550</f>
        <v>2687</v>
      </c>
      <c r="G5" s="226">
        <f>998+1053</f>
        <v>2051</v>
      </c>
      <c r="H5" s="110">
        <f t="shared" ref="H5:H28" si="0">IF(F5=0,"",(F5-G5)/F5)</f>
        <v>0.23669519910681058</v>
      </c>
      <c r="I5" s="675" t="s">
        <v>33</v>
      </c>
      <c r="J5" s="676"/>
      <c r="K5" s="676"/>
      <c r="L5" s="676"/>
      <c r="M5" s="676"/>
      <c r="N5" s="676"/>
      <c r="O5" s="677"/>
      <c r="P5" s="678">
        <v>2.645</v>
      </c>
      <c r="Q5" s="679"/>
      <c r="R5" s="680">
        <v>8.6470000000000002</v>
      </c>
      <c r="S5" s="679"/>
      <c r="T5" s="681">
        <v>0.96399999999999997</v>
      </c>
      <c r="U5" s="682"/>
      <c r="V5" s="683">
        <v>22.315000000000001</v>
      </c>
      <c r="W5" s="684"/>
      <c r="X5" s="685">
        <v>0.55500000000000005</v>
      </c>
      <c r="Y5" s="686"/>
      <c r="Z5" s="687">
        <f>200+14+98</f>
        <v>312</v>
      </c>
      <c r="AA5" s="688"/>
      <c r="AB5" s="674">
        <f>61-5</f>
        <v>56</v>
      </c>
      <c r="AC5" s="674"/>
      <c r="AD5" s="689">
        <f>SUM(AF5:AK5)*0.025</f>
        <v>1.9500000000000002</v>
      </c>
      <c r="AE5" s="689"/>
      <c r="AF5" s="674">
        <f>14+14+3+5+14+14+14</f>
        <v>78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362" t="s">
        <v>199</v>
      </c>
      <c r="C6" s="129" t="s">
        <v>75</v>
      </c>
      <c r="D6" s="240" t="s">
        <v>124</v>
      </c>
      <c r="E6" s="228">
        <v>150</v>
      </c>
      <c r="F6" s="228">
        <v>145</v>
      </c>
      <c r="G6" s="229">
        <v>145</v>
      </c>
      <c r="H6" s="111">
        <f t="shared" si="0"/>
        <v>0</v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0.24731182795698925</v>
      </c>
      <c r="Q6" s="673"/>
      <c r="R6" s="673">
        <f>IF($F$15=0,0,R5*1000/$F$15)</f>
        <v>0.80850864890135576</v>
      </c>
      <c r="S6" s="673"/>
      <c r="T6" s="673">
        <f>IF($F$15=0,0,T5*1000/$F$15)</f>
        <v>9.0135577372604025E-2</v>
      </c>
      <c r="U6" s="673"/>
      <c r="V6" s="673">
        <f>IF($F$15=0,0,V5*1000/$F$15)</f>
        <v>2.0864890135577374</v>
      </c>
      <c r="W6" s="673"/>
      <c r="X6" s="673">
        <f>IF($F$15=0,0,X5*1000/$F$15)</f>
        <v>5.1893408134642355E-2</v>
      </c>
      <c r="Y6" s="673"/>
      <c r="Z6" s="673">
        <f>IF($F$15=0,0,Z5*1000/$F$15)</f>
        <v>29.172510518934082</v>
      </c>
      <c r="AA6" s="673"/>
      <c r="AB6" s="632">
        <f>IF($F$15=0,0,AB5*1000/$F$15)</f>
        <v>5.2360916316035526</v>
      </c>
      <c r="AC6" s="632"/>
      <c r="AD6" s="632">
        <f>IF($F$15=0,0,AD5*1000/$F$15)</f>
        <v>0.18232819074333803</v>
      </c>
      <c r="AE6" s="632"/>
      <c r="AF6" s="627">
        <f>IF(AF5=0,0,F15/AF5)</f>
        <v>137.11538461538461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362" t="s">
        <v>200</v>
      </c>
      <c r="C7" s="129" t="s">
        <v>76</v>
      </c>
      <c r="D7" s="240" t="s">
        <v>124</v>
      </c>
      <c r="E7" s="228">
        <v>6000</v>
      </c>
      <c r="F7" s="228">
        <f>2765+785+749+707+692</f>
        <v>5698</v>
      </c>
      <c r="G7" s="229">
        <f>2478+2822</f>
        <v>5300</v>
      </c>
      <c r="H7" s="111">
        <f t="shared" si="0"/>
        <v>6.9849069849069856E-2</v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0.27600960033392463</v>
      </c>
      <c r="Q7" s="639"/>
      <c r="R7" s="639">
        <f>IF($G$15=0,0,R5*1000/$G$15)</f>
        <v>0.90232703746217258</v>
      </c>
      <c r="S7" s="639"/>
      <c r="T7" s="639">
        <f>IF($G$15=0,0,T5*1000/$G$15)</f>
        <v>0.100594803297506</v>
      </c>
      <c r="U7" s="639"/>
      <c r="V7" s="639">
        <f>IF($G$15=0,0,V5*1000/$G$15)</f>
        <v>2.3286027340081392</v>
      </c>
      <c r="W7" s="639"/>
      <c r="X7" s="639">
        <f>IF($G$15=0,0,X5*1000/$G$15)</f>
        <v>5.7915057915057917E-2</v>
      </c>
      <c r="Y7" s="639"/>
      <c r="Z7" s="639">
        <f>IF($G$15=0,0,Z5*1000/$G$15)</f>
        <v>32.557654179275801</v>
      </c>
      <c r="AA7" s="639"/>
      <c r="AB7" s="632">
        <f>IF($G$15=0,0,AB5*1000/$G$15)</f>
        <v>5.8436815193571947</v>
      </c>
      <c r="AC7" s="632"/>
      <c r="AD7" s="632">
        <f>IF($G$15=0,0,AD5*1000/$G$15)</f>
        <v>0.20348533862047377</v>
      </c>
      <c r="AE7" s="632"/>
      <c r="AF7" s="627">
        <f>IF(AF5=0,0,G15/AF5)</f>
        <v>122.85897435897436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362"/>
      <c r="C8" s="129" t="s">
        <v>77</v>
      </c>
      <c r="D8" s="240"/>
      <c r="E8" s="228"/>
      <c r="F8" s="228"/>
      <c r="G8" s="229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>
        <f>67+58</f>
        <v>125</v>
      </c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362" t="s">
        <v>201</v>
      </c>
      <c r="C9" s="129" t="s">
        <v>78</v>
      </c>
      <c r="D9" s="240" t="s">
        <v>124</v>
      </c>
      <c r="E9" s="228">
        <v>1000</v>
      </c>
      <c r="F9" s="228">
        <f>1219+946</f>
        <v>2165</v>
      </c>
      <c r="G9" s="229">
        <f>1164+923</f>
        <v>2087</v>
      </c>
      <c r="H9" s="111">
        <f>IF(F9=0,"",(F9-G9)/F9)</f>
        <v>3.6027713625866049E-2</v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120"/>
      <c r="C10" s="129" t="s">
        <v>79</v>
      </c>
      <c r="D10" s="124"/>
      <c r="E10" s="125"/>
      <c r="F10" s="125"/>
      <c r="G10" s="126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>
        <f>4+4+2+2+2+3+4+4+4+3+3+4+4</f>
        <v>43</v>
      </c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>
        <f>F15/P12</f>
        <v>248.72093023255815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>
        <v>7</v>
      </c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10150</v>
      </c>
      <c r="F15" s="204">
        <f>SUM(F5:F14)</f>
        <v>10695</v>
      </c>
      <c r="G15" s="204">
        <f>SUM(G5:G14)</f>
        <v>9583</v>
      </c>
      <c r="H15" s="188">
        <f>IF(F15=0,"",(F15-G15)/F15)</f>
        <v>0.10397381954184198</v>
      </c>
      <c r="I15" s="719" t="s">
        <v>70</v>
      </c>
      <c r="J15" s="720"/>
      <c r="K15" s="720"/>
      <c r="L15" s="720"/>
      <c r="M15" s="720"/>
      <c r="N15" s="720"/>
      <c r="O15" s="721"/>
      <c r="P15" s="722">
        <f>F15/P14</f>
        <v>1527.8571428571429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224" t="s">
        <v>202</v>
      </c>
      <c r="C16" s="130" t="s">
        <v>74</v>
      </c>
      <c r="D16" s="250" t="s">
        <v>205</v>
      </c>
      <c r="E16" s="225">
        <v>200</v>
      </c>
      <c r="F16" s="225">
        <v>246</v>
      </c>
      <c r="G16" s="226">
        <v>223</v>
      </c>
      <c r="H16" s="110">
        <f t="shared" si="0"/>
        <v>9.3495934959349589E-2</v>
      </c>
      <c r="I16" s="727" t="s">
        <v>71</v>
      </c>
      <c r="J16" s="728"/>
      <c r="K16" s="728"/>
      <c r="L16" s="728"/>
      <c r="M16" s="728"/>
      <c r="N16" s="728"/>
      <c r="O16" s="729"/>
      <c r="P16" s="730">
        <v>0.28100000000000003</v>
      </c>
      <c r="Q16" s="731"/>
      <c r="R16" s="732">
        <v>1.145</v>
      </c>
      <c r="S16" s="731"/>
      <c r="T16" s="733">
        <v>9.6000000000000002E-2</v>
      </c>
      <c r="U16" s="734"/>
      <c r="V16" s="735">
        <v>2.7610000000000001</v>
      </c>
      <c r="W16" s="736"/>
      <c r="X16" s="737">
        <v>5.5E-2</v>
      </c>
      <c r="Y16" s="738"/>
      <c r="Z16" s="740">
        <v>50</v>
      </c>
      <c r="AA16" s="741"/>
      <c r="AB16" s="739">
        <v>5</v>
      </c>
      <c r="AC16" s="739"/>
      <c r="AD16" s="725">
        <f>SUM(AF16:AK16)*0.025</f>
        <v>0.2</v>
      </c>
      <c r="AE16" s="725"/>
      <c r="AF16" s="726">
        <v>8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362"/>
      <c r="C17" s="131" t="s">
        <v>75</v>
      </c>
      <c r="D17" s="228"/>
      <c r="E17" s="228"/>
      <c r="F17" s="228"/>
      <c r="G17" s="229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0.23693086003372682</v>
      </c>
      <c r="Q17" s="745"/>
      <c r="R17" s="746">
        <f>IF($F$26=0,0,R16*1000/$F$26)</f>
        <v>0.96543001686340646</v>
      </c>
      <c r="S17" s="745"/>
      <c r="T17" s="746">
        <f>IF($F$26=0,0,T16*1000/$F$26)</f>
        <v>8.0944350758853284E-2</v>
      </c>
      <c r="U17" s="744"/>
      <c r="V17" s="632">
        <f>IF($F$26=0,0,V16*1000/$F$26)</f>
        <v>2.3279932546374367</v>
      </c>
      <c r="W17" s="632"/>
      <c r="X17" s="632">
        <f>IF($F$26=0,0,X16*1000/$F$26)</f>
        <v>4.6374367622259695E-2</v>
      </c>
      <c r="Y17" s="632"/>
      <c r="Z17" s="744">
        <f>IF($F$26=0,0,Z16*1000/$F$26)</f>
        <v>42.158516020236085</v>
      </c>
      <c r="AA17" s="744"/>
      <c r="AB17" s="632">
        <f>IF($F$26=0,0,AB16*1000/$F$26)</f>
        <v>4.2158516020236085</v>
      </c>
      <c r="AC17" s="632"/>
      <c r="AD17" s="632">
        <f>IF($F$26=0,0,AD16*1000/$F$26)</f>
        <v>0.16863406408094436</v>
      </c>
      <c r="AE17" s="632"/>
      <c r="AF17" s="742">
        <f>IF(AF16=0,0,F26/AF16)</f>
        <v>148.25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362" t="s">
        <v>203</v>
      </c>
      <c r="C18" s="131" t="s">
        <v>76</v>
      </c>
      <c r="D18" s="241" t="s">
        <v>205</v>
      </c>
      <c r="E18" s="228">
        <v>500</v>
      </c>
      <c r="F18" s="228">
        <v>544</v>
      </c>
      <c r="G18" s="229">
        <v>528</v>
      </c>
      <c r="H18" s="111">
        <f t="shared" si="0"/>
        <v>2.9411764705882353E-2</v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0.24605954465849386</v>
      </c>
      <c r="Q18" s="752"/>
      <c r="R18" s="746">
        <f>IF($G$26=0,0,R16*1000/$G$26)</f>
        <v>1.0026269702276707</v>
      </c>
      <c r="S18" s="745"/>
      <c r="T18" s="746">
        <f>IF($G$26=0,0,T16*1000/$G$26)</f>
        <v>8.4063047285464099E-2</v>
      </c>
      <c r="U18" s="745"/>
      <c r="V18" s="753">
        <f>IF($G$26=0,0,V16*1000/$G$26)</f>
        <v>2.4176882661996499</v>
      </c>
      <c r="W18" s="754"/>
      <c r="X18" s="753">
        <f>IF($G$26=0,0,X16*1000/$G$26)</f>
        <v>4.816112084063047E-2</v>
      </c>
      <c r="Y18" s="754"/>
      <c r="Z18" s="746">
        <f>IF($G$26=0,0,Z16*1000/$G$26)</f>
        <v>43.782837127845887</v>
      </c>
      <c r="AA18" s="744"/>
      <c r="AB18" s="632">
        <f>IF($G$26=0,0,AB16*1000/$G$26)</f>
        <v>4.3782837127845884</v>
      </c>
      <c r="AC18" s="632"/>
      <c r="AD18" s="632">
        <f>IF($G$26=0,0,AD16*1000/$G$26)</f>
        <v>0.17513134851138354</v>
      </c>
      <c r="AE18" s="632"/>
      <c r="AF18" s="742">
        <f>IF(AF16=0,0,G26/AF16)</f>
        <v>142.75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221"/>
      <c r="C19" s="131" t="s">
        <v>77</v>
      </c>
      <c r="D19" s="558"/>
      <c r="E19" s="228"/>
      <c r="F19" s="228"/>
      <c r="G19" s="229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>
        <f>4+5+7</f>
        <v>16</v>
      </c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239" t="s">
        <v>204</v>
      </c>
      <c r="C20" s="131" t="s">
        <v>78</v>
      </c>
      <c r="D20" s="241" t="s">
        <v>205</v>
      </c>
      <c r="E20" s="228">
        <v>200</v>
      </c>
      <c r="F20" s="228">
        <v>396</v>
      </c>
      <c r="G20" s="229">
        <v>391</v>
      </c>
      <c r="H20" s="111">
        <f t="shared" si="0"/>
        <v>1.2626262626262626E-2</v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120"/>
      <c r="C21" s="131" t="s">
        <v>79</v>
      </c>
      <c r="D21" s="128"/>
      <c r="E21" s="125"/>
      <c r="F21" s="125"/>
      <c r="G21" s="126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>
        <v>5</v>
      </c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>
        <f>F26/P23</f>
        <v>237.2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>
        <v>7</v>
      </c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900</v>
      </c>
      <c r="F26" s="205">
        <f>SUM(F16:F25)</f>
        <v>1186</v>
      </c>
      <c r="G26" s="205">
        <f>SUM(G16:G25)</f>
        <v>1142</v>
      </c>
      <c r="H26" s="196">
        <f>IF(F26=0,"",(F26-G26)/F26)</f>
        <v>3.7099494097807759E-2</v>
      </c>
      <c r="I26" s="719" t="s">
        <v>70</v>
      </c>
      <c r="J26" s="720"/>
      <c r="K26" s="720"/>
      <c r="L26" s="720"/>
      <c r="M26" s="720"/>
      <c r="N26" s="720"/>
      <c r="O26" s="721"/>
      <c r="P26" s="785">
        <f>F26/P25</f>
        <v>169.42857142857142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2.9260000000000002</v>
      </c>
      <c r="Q27" s="781"/>
      <c r="R27" s="782">
        <f>SUM(R5,R16)</f>
        <v>9.7919999999999998</v>
      </c>
      <c r="S27" s="781"/>
      <c r="T27" s="782">
        <f>SUM(T5,T16)</f>
        <v>1.06</v>
      </c>
      <c r="U27" s="781"/>
      <c r="V27" s="782">
        <f>SUM(V5,V16)</f>
        <v>25.076000000000001</v>
      </c>
      <c r="W27" s="781"/>
      <c r="X27" s="782">
        <f>SUM(X5,X16)</f>
        <v>0.6100000000000001</v>
      </c>
      <c r="Y27" s="781"/>
      <c r="Z27" s="783">
        <f>SUM(Z5,Z16)</f>
        <v>362</v>
      </c>
      <c r="AA27" s="784"/>
      <c r="AB27" s="770">
        <f>SUM(AB5,AB16)</f>
        <v>61</v>
      </c>
      <c r="AC27" s="770"/>
      <c r="AD27" s="769">
        <f>SUM(AD5,AD16)</f>
        <v>2.1500000000000004</v>
      </c>
      <c r="AE27" s="769"/>
      <c r="AF27" s="770">
        <f>SUM(AF5,AF16)</f>
        <v>86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11050</v>
      </c>
      <c r="F28" s="140">
        <f>F15+F26</f>
        <v>11881</v>
      </c>
      <c r="G28" s="140">
        <f>G15+G26</f>
        <v>10725</v>
      </c>
      <c r="H28" s="141">
        <f t="shared" si="0"/>
        <v>9.7298207221614336E-2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0.24627556602979547</v>
      </c>
      <c r="Q28" s="745"/>
      <c r="R28" s="746">
        <f t="shared" si="1"/>
        <v>0.82417304940661562</v>
      </c>
      <c r="S28" s="745"/>
      <c r="T28" s="746">
        <f t="shared" si="1"/>
        <v>8.9218079286255372E-2</v>
      </c>
      <c r="U28" s="745"/>
      <c r="V28" s="800">
        <f t="shared" si="1"/>
        <v>2.1105967511152262</v>
      </c>
      <c r="W28" s="801"/>
      <c r="X28" s="800">
        <f t="shared" si="1"/>
        <v>5.1342479589260172E-2</v>
      </c>
      <c r="Y28" s="801"/>
      <c r="Z28" s="746">
        <f t="shared" si="1"/>
        <v>30.468815756249473</v>
      </c>
      <c r="AA28" s="744"/>
      <c r="AB28" s="632">
        <f t="shared" si="1"/>
        <v>5.1342479589260162</v>
      </c>
      <c r="AC28" s="632"/>
      <c r="AD28" s="632">
        <f t="shared" si="1"/>
        <v>0.18096119855231044</v>
      </c>
      <c r="AE28" s="632"/>
      <c r="AF28" s="757">
        <f>IF(AF27=0,0,F28/AF27)</f>
        <v>138.15116279069767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0.27282051282051284</v>
      </c>
      <c r="Q29" s="792"/>
      <c r="R29" s="771">
        <f t="shared" si="2"/>
        <v>0.91300699300699306</v>
      </c>
      <c r="S29" s="792"/>
      <c r="T29" s="771">
        <f t="shared" si="2"/>
        <v>9.8834498834498838E-2</v>
      </c>
      <c r="U29" s="792"/>
      <c r="V29" s="793">
        <f t="shared" si="2"/>
        <v>2.3380885780885783</v>
      </c>
      <c r="W29" s="794"/>
      <c r="X29" s="795">
        <f t="shared" si="2"/>
        <v>5.6876456876456885E-2</v>
      </c>
      <c r="Y29" s="796"/>
      <c r="Z29" s="771">
        <f t="shared" si="2"/>
        <v>33.752913752913756</v>
      </c>
      <c r="AA29" s="772"/>
      <c r="AB29" s="773">
        <f t="shared" si="2"/>
        <v>5.6876456876456878</v>
      </c>
      <c r="AC29" s="773"/>
      <c r="AD29" s="773">
        <f t="shared" si="2"/>
        <v>0.20046620046620051</v>
      </c>
      <c r="AE29" s="773"/>
      <c r="AF29" s="774">
        <f>IF(AF27=0,0,G28/AF27)</f>
        <v>124.70930232558139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306" t="str">
        <f t="shared" ref="B33:B42" si="3">B5</f>
        <v>I11690823</v>
      </c>
      <c r="C33" s="213" t="s">
        <v>74</v>
      </c>
      <c r="D33" s="293" t="str">
        <f t="shared" ref="D33:D42" si="4">D5</f>
        <v>มิดไนท์เกรย์*N</v>
      </c>
      <c r="E33" s="307">
        <f>G5</f>
        <v>2051</v>
      </c>
      <c r="F33" s="395">
        <f>144*12+117+6</f>
        <v>1851</v>
      </c>
      <c r="G33" s="62">
        <f t="shared" ref="G33:G55" si="5">IF(E33=0,"",(E33-F33)/E33)</f>
        <v>9.7513408093612877E-2</v>
      </c>
      <c r="H33" s="63"/>
      <c r="I33" s="64">
        <f t="shared" ref="I33:I54" si="6">SUM(J33:AH33)</f>
        <v>200</v>
      </c>
      <c r="J33" s="453"/>
      <c r="K33" s="454">
        <f>25+20</f>
        <v>45</v>
      </c>
      <c r="L33" s="453">
        <v>107</v>
      </c>
      <c r="M33" s="454"/>
      <c r="N33" s="453"/>
      <c r="O33" s="454"/>
      <c r="P33" s="453"/>
      <c r="Q33" s="454"/>
      <c r="R33" s="453"/>
      <c r="S33" s="454"/>
      <c r="T33" s="453"/>
      <c r="U33" s="454"/>
      <c r="V33" s="453"/>
      <c r="W33" s="454"/>
      <c r="X33" s="453"/>
      <c r="Y33" s="454"/>
      <c r="Z33" s="453"/>
      <c r="AA33" s="454"/>
      <c r="AB33" s="453">
        <f>6+7</f>
        <v>13</v>
      </c>
      <c r="AC33" s="454">
        <f>10+11</f>
        <v>21</v>
      </c>
      <c r="AD33" s="453"/>
      <c r="AE33" s="454">
        <v>2</v>
      </c>
      <c r="AF33" s="453">
        <v>12</v>
      </c>
      <c r="AG33" s="454"/>
      <c r="AH33" s="453"/>
      <c r="AI33" s="820" t="s">
        <v>217</v>
      </c>
      <c r="AJ33" s="821"/>
      <c r="AK33" s="450" t="s">
        <v>218</v>
      </c>
      <c r="AL33" s="68"/>
      <c r="AM33" s="69"/>
    </row>
    <row r="34" spans="1:39" ht="20.25" customHeight="1">
      <c r="A34" s="370"/>
      <c r="B34" s="320" t="str">
        <f t="shared" si="3"/>
        <v>I12690823</v>
      </c>
      <c r="C34" s="214" t="s">
        <v>75</v>
      </c>
      <c r="D34" s="295" t="str">
        <f t="shared" si="4"/>
        <v>มิดไนท์เกรย์*N</v>
      </c>
      <c r="E34" s="318">
        <f>G6</f>
        <v>145</v>
      </c>
      <c r="F34" s="322">
        <f>40*3+25</f>
        <v>145</v>
      </c>
      <c r="G34" s="70">
        <f t="shared" si="5"/>
        <v>0</v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802" t="s">
        <v>213</v>
      </c>
      <c r="AJ34" s="614"/>
      <c r="AK34" s="450" t="s">
        <v>207</v>
      </c>
      <c r="AL34" s="74"/>
      <c r="AM34" s="75"/>
    </row>
    <row r="35" spans="1:39" ht="20.25" customHeight="1">
      <c r="A35" s="370"/>
      <c r="B35" s="320" t="str">
        <f t="shared" si="3"/>
        <v>I13690823</v>
      </c>
      <c r="C35" s="214" t="s">
        <v>76</v>
      </c>
      <c r="D35" s="295" t="str">
        <f t="shared" si="4"/>
        <v>มิดไนท์เกรย์*N</v>
      </c>
      <c r="E35" s="318">
        <f>G7</f>
        <v>5300</v>
      </c>
      <c r="F35" s="322">
        <f>210*23+117+6</f>
        <v>4953</v>
      </c>
      <c r="G35" s="70">
        <f>IF(E35=0,"",(E35-F35)/E35)</f>
        <v>6.5471698113207549E-2</v>
      </c>
      <c r="H35" s="63"/>
      <c r="I35" s="64">
        <f t="shared" si="6"/>
        <v>347</v>
      </c>
      <c r="J35" s="455"/>
      <c r="K35" s="456">
        <v>2</v>
      </c>
      <c r="L35" s="456">
        <f>10+25+15+25+20+20+25+25</f>
        <v>165</v>
      </c>
      <c r="M35" s="456"/>
      <c r="N35" s="456"/>
      <c r="O35" s="456"/>
      <c r="P35" s="456"/>
      <c r="Q35" s="456"/>
      <c r="R35" s="456"/>
      <c r="S35" s="456"/>
      <c r="T35" s="456"/>
      <c r="U35" s="456"/>
      <c r="V35" s="456"/>
      <c r="W35" s="456">
        <v>157</v>
      </c>
      <c r="X35" s="456"/>
      <c r="Y35" s="456"/>
      <c r="Z35" s="456"/>
      <c r="AA35" s="456"/>
      <c r="AB35" s="456"/>
      <c r="AC35" s="456">
        <f>2+2+3+10</f>
        <v>17</v>
      </c>
      <c r="AD35" s="456"/>
      <c r="AE35" s="456">
        <f>2+1</f>
        <v>3</v>
      </c>
      <c r="AF35" s="456">
        <v>3</v>
      </c>
      <c r="AG35" s="456"/>
      <c r="AH35" s="457"/>
      <c r="AI35" s="833" t="s">
        <v>212</v>
      </c>
      <c r="AJ35" s="834"/>
      <c r="AK35" s="450" t="s">
        <v>207</v>
      </c>
      <c r="AL35" s="449"/>
      <c r="AM35" s="410"/>
    </row>
    <row r="36" spans="1:39" ht="20.25" customHeight="1">
      <c r="A36" s="371">
        <v>1</v>
      </c>
      <c r="B36" s="320">
        <f t="shared" si="3"/>
        <v>0</v>
      </c>
      <c r="C36" s="214" t="s">
        <v>77</v>
      </c>
      <c r="D36" s="318">
        <f t="shared" si="4"/>
        <v>0</v>
      </c>
      <c r="E36" s="318">
        <f t="shared" ref="E36:E42" si="7">G8</f>
        <v>0</v>
      </c>
      <c r="F36" s="322"/>
      <c r="G36" s="70" t="str">
        <f t="shared" si="5"/>
        <v/>
      </c>
      <c r="H36" s="63"/>
      <c r="I36" s="64">
        <f t="shared" si="6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833"/>
      <c r="AJ36" s="834"/>
      <c r="AK36" s="485"/>
      <c r="AL36" s="486"/>
      <c r="AM36" s="417"/>
    </row>
    <row r="37" spans="1:39" ht="20.25" customHeight="1">
      <c r="A37" s="372"/>
      <c r="B37" s="320" t="str">
        <f t="shared" si="3"/>
        <v>I15690823</v>
      </c>
      <c r="C37" s="214" t="s">
        <v>78</v>
      </c>
      <c r="D37" s="295" t="str">
        <f t="shared" si="4"/>
        <v>มิดไนท์เกรย์*N</v>
      </c>
      <c r="E37" s="318">
        <f>G9</f>
        <v>2087</v>
      </c>
      <c r="F37" s="322">
        <f>280*7+6</f>
        <v>1966</v>
      </c>
      <c r="G37" s="70">
        <f t="shared" si="5"/>
        <v>5.7977958792525153E-2</v>
      </c>
      <c r="H37" s="63"/>
      <c r="I37" s="64">
        <f t="shared" si="6"/>
        <v>121</v>
      </c>
      <c r="J37" s="455"/>
      <c r="K37" s="456">
        <f>8+30+35</f>
        <v>73</v>
      </c>
      <c r="L37" s="456">
        <v>9</v>
      </c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>
        <f>8+9</f>
        <v>17</v>
      </c>
      <c r="X37" s="456"/>
      <c r="Y37" s="456"/>
      <c r="Z37" s="456"/>
      <c r="AA37" s="456"/>
      <c r="AB37" s="456"/>
      <c r="AC37" s="456"/>
      <c r="AD37" s="456"/>
      <c r="AE37" s="456">
        <v>4</v>
      </c>
      <c r="AF37" s="456">
        <v>18</v>
      </c>
      <c r="AG37" s="456"/>
      <c r="AH37" s="457"/>
      <c r="AI37" s="833" t="s">
        <v>211</v>
      </c>
      <c r="AJ37" s="834"/>
      <c r="AK37" s="450" t="s">
        <v>207</v>
      </c>
      <c r="AL37" s="74"/>
      <c r="AM37" s="75"/>
    </row>
    <row r="38" spans="1:39" ht="20.25" customHeight="1">
      <c r="A38" s="372"/>
      <c r="B38" s="162">
        <f t="shared" si="3"/>
        <v>0</v>
      </c>
      <c r="C38" s="214" t="s">
        <v>79</v>
      </c>
      <c r="D38" s="163">
        <f t="shared" si="4"/>
        <v>0</v>
      </c>
      <c r="E38" s="161">
        <f t="shared" si="7"/>
        <v>0</v>
      </c>
      <c r="F38" s="151"/>
      <c r="G38" s="70" t="str">
        <f>IF(E38=0,"",(E38-F38)/E38)</f>
        <v/>
      </c>
      <c r="H38" s="63"/>
      <c r="I38" s="64">
        <f t="shared" si="6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7"/>
        <v>0</v>
      </c>
      <c r="F39" s="154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162">
        <f t="shared" si="3"/>
        <v>0</v>
      </c>
      <c r="C40" s="214" t="s">
        <v>63</v>
      </c>
      <c r="D40" s="163">
        <f t="shared" si="4"/>
        <v>0</v>
      </c>
      <c r="E40" s="153">
        <f t="shared" si="7"/>
        <v>0</v>
      </c>
      <c r="F40" s="154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7"/>
        <v>0</v>
      </c>
      <c r="F41" s="209"/>
      <c r="G41" s="210" t="str">
        <f t="shared" si="5"/>
        <v/>
      </c>
      <c r="H41" s="63"/>
      <c r="I41" s="64">
        <f t="shared" si="6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9583</v>
      </c>
      <c r="F43" s="145">
        <f>SUM(F33:F42)</f>
        <v>8915</v>
      </c>
      <c r="G43" s="135">
        <f t="shared" si="5"/>
        <v>6.9706772409475107E-2</v>
      </c>
      <c r="H43" s="63"/>
      <c r="I43" s="376">
        <f t="shared" si="6"/>
        <v>668</v>
      </c>
      <c r="J43" s="77">
        <f>SUM(J33:J42)</f>
        <v>0</v>
      </c>
      <c r="K43" s="78">
        <f t="shared" ref="K43:AH43" si="8">SUM(K33:K42)</f>
        <v>120</v>
      </c>
      <c r="L43" s="78">
        <f t="shared" si="8"/>
        <v>281</v>
      </c>
      <c r="M43" s="78">
        <f t="shared" si="8"/>
        <v>0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0</v>
      </c>
      <c r="R43" s="78">
        <f t="shared" si="8"/>
        <v>0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0</v>
      </c>
      <c r="W43" s="78">
        <f t="shared" si="8"/>
        <v>174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13</v>
      </c>
      <c r="AC43" s="78">
        <f t="shared" si="8"/>
        <v>38</v>
      </c>
      <c r="AD43" s="78">
        <f t="shared" si="8"/>
        <v>0</v>
      </c>
      <c r="AE43" s="78">
        <f t="shared" si="8"/>
        <v>9</v>
      </c>
      <c r="AF43" s="78">
        <f t="shared" si="8"/>
        <v>33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92" t="str">
        <f t="shared" ref="B44:B53" si="9">B16</f>
        <v>I11690824</v>
      </c>
      <c r="C44" s="382" t="s">
        <v>74</v>
      </c>
      <c r="D44" s="293" t="str">
        <f t="shared" ref="D44:D53" si="10">D16</f>
        <v>น้ำตาลมั่งมี*N</v>
      </c>
      <c r="E44" s="293">
        <f>G16</f>
        <v>223</v>
      </c>
      <c r="F44" s="294">
        <f>144*1+52+6</f>
        <v>202</v>
      </c>
      <c r="G44" s="62">
        <f t="shared" si="5"/>
        <v>9.417040358744394E-2</v>
      </c>
      <c r="H44" s="63"/>
      <c r="I44" s="383">
        <f>SUM(J44:AH44)</f>
        <v>21</v>
      </c>
      <c r="J44" s="459"/>
      <c r="K44" s="459">
        <v>15</v>
      </c>
      <c r="L44" s="459"/>
      <c r="M44" s="459">
        <v>6</v>
      </c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59" t="s">
        <v>221</v>
      </c>
      <c r="AJ44" s="836"/>
      <c r="AK44" s="450" t="s">
        <v>218</v>
      </c>
      <c r="AL44" s="83"/>
      <c r="AM44" s="84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ref="E45:E53" si="11">G17</f>
        <v>0</v>
      </c>
      <c r="F45" s="151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300" t="str">
        <f t="shared" si="9"/>
        <v>I13690824</v>
      </c>
      <c r="C46" s="217" t="s">
        <v>76</v>
      </c>
      <c r="D46" s="304" t="str">
        <f t="shared" si="10"/>
        <v>น้ำตาลมั่งมี*N</v>
      </c>
      <c r="E46" s="297">
        <f>G18</f>
        <v>528</v>
      </c>
      <c r="F46" s="319">
        <f>210*2+77+6</f>
        <v>503</v>
      </c>
      <c r="G46" s="70">
        <f t="shared" si="5"/>
        <v>4.7348484848484848E-2</v>
      </c>
      <c r="H46" s="63"/>
      <c r="I46" s="64">
        <f>SUM(J46:AH46)</f>
        <v>25</v>
      </c>
      <c r="J46" s="360"/>
      <c r="K46" s="360">
        <v>10</v>
      </c>
      <c r="L46" s="360">
        <v>10</v>
      </c>
      <c r="M46" s="360"/>
      <c r="N46" s="360"/>
      <c r="O46" s="360"/>
      <c r="P46" s="360"/>
      <c r="Q46" s="360">
        <v>5</v>
      </c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858" t="s">
        <v>328</v>
      </c>
      <c r="AJ46" s="834"/>
      <c r="AK46" s="450" t="s">
        <v>218</v>
      </c>
      <c r="AL46" s="74"/>
      <c r="AM46" s="75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300" t="str">
        <f t="shared" si="9"/>
        <v>I15690824</v>
      </c>
      <c r="C48" s="217" t="s">
        <v>78</v>
      </c>
      <c r="D48" s="305" t="str">
        <f t="shared" si="10"/>
        <v>น้ำตาลมั่งมี*N</v>
      </c>
      <c r="E48" s="297">
        <f>G20</f>
        <v>391</v>
      </c>
      <c r="F48" s="319">
        <f>280*1+85+6</f>
        <v>371</v>
      </c>
      <c r="G48" s="70">
        <f t="shared" si="5"/>
        <v>5.1150895140664961E-2</v>
      </c>
      <c r="H48" s="63"/>
      <c r="I48" s="64">
        <f t="shared" si="6"/>
        <v>20</v>
      </c>
      <c r="J48" s="360"/>
      <c r="K48" s="360">
        <v>10</v>
      </c>
      <c r="L48" s="360"/>
      <c r="M48" s="360">
        <v>2</v>
      </c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>
        <v>3</v>
      </c>
      <c r="AF48" s="360">
        <v>5</v>
      </c>
      <c r="AG48" s="360"/>
      <c r="AH48" s="361"/>
      <c r="AI48" s="802" t="s">
        <v>220</v>
      </c>
      <c r="AJ48" s="614"/>
      <c r="AK48" s="561" t="s">
        <v>218</v>
      </c>
      <c r="AL48" s="74"/>
      <c r="AM48" s="75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1142</v>
      </c>
      <c r="F54" s="145">
        <f>SUM(F44:F53)</f>
        <v>1076</v>
      </c>
      <c r="G54" s="135">
        <f t="shared" si="5"/>
        <v>5.7793345008756568E-2</v>
      </c>
      <c r="H54" s="63"/>
      <c r="I54" s="87">
        <f t="shared" si="6"/>
        <v>66</v>
      </c>
      <c r="J54" s="77">
        <f>SUM(J44:J53)</f>
        <v>0</v>
      </c>
      <c r="K54" s="78">
        <f t="shared" ref="K54:AH54" si="12">SUM(K44:K53)</f>
        <v>35</v>
      </c>
      <c r="L54" s="78">
        <f t="shared" si="12"/>
        <v>10</v>
      </c>
      <c r="M54" s="78">
        <f t="shared" si="12"/>
        <v>8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5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3</v>
      </c>
      <c r="AF54" s="78">
        <f t="shared" si="12"/>
        <v>5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10725</v>
      </c>
      <c r="F55" s="164">
        <f>F43+F54</f>
        <v>9991</v>
      </c>
      <c r="G55" s="165">
        <f t="shared" si="5"/>
        <v>6.8438228438228443E-2</v>
      </c>
      <c r="H55" s="95"/>
      <c r="I55" s="96">
        <f>SUM(I43,I54)</f>
        <v>734</v>
      </c>
      <c r="J55" s="97">
        <f>SUM(J43,J54)</f>
        <v>0</v>
      </c>
      <c r="K55" s="97">
        <f t="shared" ref="K55:AH55" si="13">SUM(K43,K54)</f>
        <v>155</v>
      </c>
      <c r="L55" s="97">
        <f t="shared" si="13"/>
        <v>291</v>
      </c>
      <c r="M55" s="97">
        <f t="shared" si="13"/>
        <v>8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5</v>
      </c>
      <c r="R55" s="97">
        <f t="shared" si="13"/>
        <v>0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0</v>
      </c>
      <c r="W55" s="97">
        <f t="shared" si="13"/>
        <v>174</v>
      </c>
      <c r="X55" s="97">
        <f t="shared" si="13"/>
        <v>0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13</v>
      </c>
      <c r="AC55" s="97">
        <f t="shared" si="13"/>
        <v>38</v>
      </c>
      <c r="AD55" s="97">
        <f t="shared" si="13"/>
        <v>0</v>
      </c>
      <c r="AE55" s="97">
        <f t="shared" si="13"/>
        <v>12</v>
      </c>
      <c r="AF55" s="97">
        <f t="shared" si="13"/>
        <v>38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5">
    <mergeCell ref="AI45:AJ45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R28:S28"/>
    <mergeCell ref="AD26:AE26"/>
    <mergeCell ref="AF26:AG26"/>
    <mergeCell ref="AH26:AI26"/>
    <mergeCell ref="I26:O26"/>
    <mergeCell ref="AI37:AJ37"/>
    <mergeCell ref="AI33:AJ33"/>
    <mergeCell ref="AI31:AJ32"/>
    <mergeCell ref="AK31:AM32"/>
    <mergeCell ref="AI44:AJ44"/>
    <mergeCell ref="I27:O27"/>
    <mergeCell ref="P27:Q27"/>
    <mergeCell ref="R27:S27"/>
    <mergeCell ref="T27:U27"/>
    <mergeCell ref="V27:W27"/>
    <mergeCell ref="X27:Y27"/>
    <mergeCell ref="Z27:AA27"/>
    <mergeCell ref="AB27:AC27"/>
    <mergeCell ref="AJ29:AK29"/>
    <mergeCell ref="AJ27:AK27"/>
    <mergeCell ref="AJ28:AK28"/>
    <mergeCell ref="AI35:AJ35"/>
    <mergeCell ref="AI34:AJ34"/>
    <mergeCell ref="AI36:AJ36"/>
    <mergeCell ref="R26:S26"/>
    <mergeCell ref="T26:U26"/>
    <mergeCell ref="V26:W26"/>
    <mergeCell ref="P26:Q26"/>
    <mergeCell ref="Z29:AA29"/>
    <mergeCell ref="AB29:AC29"/>
    <mergeCell ref="AD29:AE29"/>
    <mergeCell ref="AF29:AG29"/>
    <mergeCell ref="AH29:AI29"/>
    <mergeCell ref="Z28:AA28"/>
    <mergeCell ref="AB28:AC28"/>
    <mergeCell ref="AH27:AI27"/>
    <mergeCell ref="AD28:AE28"/>
    <mergeCell ref="AF28:AG28"/>
    <mergeCell ref="AH28:AI28"/>
    <mergeCell ref="AD27:AE27"/>
    <mergeCell ref="AF27:AG27"/>
    <mergeCell ref="T28:U28"/>
    <mergeCell ref="X26:Y26"/>
    <mergeCell ref="Z26:AA26"/>
    <mergeCell ref="AB26:AC26"/>
    <mergeCell ref="V28:W28"/>
    <mergeCell ref="X28:Y28"/>
    <mergeCell ref="AJ26:AK26"/>
    <mergeCell ref="AJ18:AK18"/>
    <mergeCell ref="AJ24:AK24"/>
    <mergeCell ref="AF24:AG24"/>
    <mergeCell ref="AH24:AI24"/>
    <mergeCell ref="I25:O25"/>
    <mergeCell ref="R24:S24"/>
    <mergeCell ref="T24:U24"/>
    <mergeCell ref="V24:W24"/>
    <mergeCell ref="X24:Y24"/>
    <mergeCell ref="Z24:AA24"/>
    <mergeCell ref="AB24:AC24"/>
    <mergeCell ref="P25:Q25"/>
    <mergeCell ref="AD24:AE24"/>
    <mergeCell ref="I24:O24"/>
    <mergeCell ref="P24:Q24"/>
    <mergeCell ref="P23:Q23"/>
    <mergeCell ref="I23:O23"/>
    <mergeCell ref="I18:O18"/>
    <mergeCell ref="P18:Q18"/>
    <mergeCell ref="R18:S18"/>
    <mergeCell ref="T18:U18"/>
    <mergeCell ref="V18:W18"/>
    <mergeCell ref="I22:O22"/>
    <mergeCell ref="P22:Q22"/>
    <mergeCell ref="X18:Y18"/>
    <mergeCell ref="Z17:AA17"/>
    <mergeCell ref="AB17:AC17"/>
    <mergeCell ref="AD17:AE17"/>
    <mergeCell ref="Z18:AA18"/>
    <mergeCell ref="AB18:AC18"/>
    <mergeCell ref="AD18:AE18"/>
    <mergeCell ref="AF17:AG17"/>
    <mergeCell ref="AH17:AI17"/>
    <mergeCell ref="AF18:AG18"/>
    <mergeCell ref="AH18:AI18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Z15:AA15"/>
    <mergeCell ref="AB15:AC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H8:AI8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AJ2:AK2"/>
    <mergeCell ref="AF3:AG3"/>
    <mergeCell ref="AH3:AI3"/>
    <mergeCell ref="AJ3:AK3"/>
    <mergeCell ref="AH6:AI6"/>
    <mergeCell ref="AD2:AE2"/>
    <mergeCell ref="AF2:AG2"/>
    <mergeCell ref="Z7:AA7"/>
    <mergeCell ref="AB7:AC7"/>
    <mergeCell ref="AD7:AE7"/>
    <mergeCell ref="AF7:AG7"/>
    <mergeCell ref="Z2:AA2"/>
    <mergeCell ref="AB2:AC2"/>
    <mergeCell ref="AB6:AC6"/>
    <mergeCell ref="AD6:AE6"/>
    <mergeCell ref="AF6:AG6"/>
    <mergeCell ref="AD5:AE5"/>
    <mergeCell ref="Z6:AA6"/>
    <mergeCell ref="AF5:AG5"/>
    <mergeCell ref="AH5:AI5"/>
    <mergeCell ref="AD8:AE8"/>
    <mergeCell ref="AF8:AG8"/>
    <mergeCell ref="P4:Q4"/>
    <mergeCell ref="AH7:AI7"/>
    <mergeCell ref="I6:O6"/>
    <mergeCell ref="P6:Q6"/>
    <mergeCell ref="R6:S6"/>
    <mergeCell ref="T6:U6"/>
    <mergeCell ref="V6:W6"/>
    <mergeCell ref="X6:Y6"/>
    <mergeCell ref="I5:O5"/>
    <mergeCell ref="P5:Q5"/>
    <mergeCell ref="R5:S5"/>
    <mergeCell ref="T5:U5"/>
    <mergeCell ref="V5:W5"/>
    <mergeCell ref="X5:Y5"/>
    <mergeCell ref="Z5:AA5"/>
    <mergeCell ref="AB5:AC5"/>
    <mergeCell ref="T4:U4"/>
    <mergeCell ref="V4:W4"/>
    <mergeCell ref="X4:Y4"/>
    <mergeCell ref="T7:U7"/>
    <mergeCell ref="V7:W7"/>
    <mergeCell ref="X7:Y7"/>
    <mergeCell ref="AD9:AE9"/>
    <mergeCell ref="M1:N1"/>
    <mergeCell ref="R1:U1"/>
    <mergeCell ref="E2:H2"/>
    <mergeCell ref="I2:O4"/>
    <mergeCell ref="P2:Q3"/>
    <mergeCell ref="R2:S2"/>
    <mergeCell ref="T2:U2"/>
    <mergeCell ref="AH2:AI2"/>
    <mergeCell ref="AH4:AI4"/>
    <mergeCell ref="Z4:AA4"/>
    <mergeCell ref="AB4:AC4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Z8:AA8"/>
    <mergeCell ref="AB8:AC8"/>
    <mergeCell ref="AI48:AJ48"/>
    <mergeCell ref="A43:D43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  <mergeCell ref="AB9:AC9"/>
  </mergeCells>
  <dataValidations disablePrompts="1"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theme="0" tint="-4.9989318521683403E-2"/>
    <pageSetUpPr fitToPage="1"/>
  </sheetPr>
  <dimension ref="A1:AM59"/>
  <sheetViews>
    <sheetView showGridLines="0" zoomScale="62" zoomScaleNormal="62" workbookViewId="0">
      <selection activeCell="X18" sqref="X18:Y18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18.25" style="9" customWidth="1"/>
    <col min="5" max="7" width="12" style="9" customWidth="1"/>
    <col min="8" max="8" width="11" style="9" customWidth="1"/>
    <col min="9" max="9" width="7.25" style="9" customWidth="1"/>
    <col min="10" max="11" width="4.5" style="9" customWidth="1"/>
    <col min="12" max="12" width="5.25" style="9" customWidth="1"/>
    <col min="13" max="22" width="4.5" style="9" customWidth="1"/>
    <col min="23" max="32" width="4.5" style="13" customWidth="1"/>
    <col min="33" max="35" width="4.5" style="17" customWidth="1"/>
    <col min="36" max="36" width="25.25" style="17" customWidth="1"/>
    <col min="37" max="38" width="4.5" style="17" customWidth="1"/>
    <col min="39" max="39" width="14.7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 t="s">
        <v>117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236"/>
      <c r="C5" s="129" t="s">
        <v>74</v>
      </c>
      <c r="D5" s="237"/>
      <c r="E5" s="237"/>
      <c r="F5" s="237"/>
      <c r="G5" s="238"/>
      <c r="H5" s="110" t="str">
        <f t="shared" ref="H5:H28" si="0">IF(F5=0,"",(F5-G5)/F5)</f>
        <v/>
      </c>
      <c r="I5" s="675" t="s">
        <v>33</v>
      </c>
      <c r="J5" s="676"/>
      <c r="K5" s="676"/>
      <c r="L5" s="676"/>
      <c r="M5" s="676"/>
      <c r="N5" s="676"/>
      <c r="O5" s="677"/>
      <c r="P5" s="678">
        <v>0</v>
      </c>
      <c r="Q5" s="679"/>
      <c r="R5" s="680">
        <v>0</v>
      </c>
      <c r="S5" s="679"/>
      <c r="T5" s="681">
        <v>0</v>
      </c>
      <c r="U5" s="682"/>
      <c r="V5" s="683">
        <v>0</v>
      </c>
      <c r="W5" s="684"/>
      <c r="X5" s="685">
        <v>0</v>
      </c>
      <c r="Y5" s="686"/>
      <c r="Z5" s="687">
        <v>0</v>
      </c>
      <c r="AA5" s="688"/>
      <c r="AB5" s="674">
        <v>0</v>
      </c>
      <c r="AC5" s="674"/>
      <c r="AD5" s="689">
        <f>SUM(AF5:AK5)*0.025</f>
        <v>0</v>
      </c>
      <c r="AE5" s="689"/>
      <c r="AF5" s="674">
        <v>0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239"/>
      <c r="C6" s="129" t="s">
        <v>75</v>
      </c>
      <c r="D6" s="240"/>
      <c r="E6" s="241"/>
      <c r="F6" s="241"/>
      <c r="G6" s="242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</v>
      </c>
      <c r="Q6" s="673"/>
      <c r="R6" s="673">
        <f>IF($F$15=0,0,R5*1000/$F$15)</f>
        <v>0</v>
      </c>
      <c r="S6" s="673"/>
      <c r="T6" s="673">
        <f>IF($F$15=0,0,T5*1000/$F$15)</f>
        <v>0</v>
      </c>
      <c r="U6" s="673"/>
      <c r="V6" s="673">
        <f>IF($F$15=0,0,V5*1000/$F$15)</f>
        <v>0</v>
      </c>
      <c r="W6" s="673"/>
      <c r="X6" s="673">
        <f>IF($F$15=0,0,X5*1000/$F$15)</f>
        <v>0</v>
      </c>
      <c r="Y6" s="673"/>
      <c r="Z6" s="673">
        <f>IF($F$15=0,0,Z5*1000/$F$15)</f>
        <v>0</v>
      </c>
      <c r="AA6" s="673"/>
      <c r="AB6" s="632">
        <f>IF($F$15=0,0,AB5*1000/$F$15)</f>
        <v>0</v>
      </c>
      <c r="AC6" s="632"/>
      <c r="AD6" s="632">
        <f>IF($F$15=0,0,AD5*1000/$F$15)</f>
        <v>0</v>
      </c>
      <c r="AE6" s="632"/>
      <c r="AF6" s="627">
        <f>IF(AF5=0,0,F15/AF5)</f>
        <v>0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239"/>
      <c r="C7" s="129" t="s">
        <v>76</v>
      </c>
      <c r="D7" s="240"/>
      <c r="E7" s="241"/>
      <c r="F7" s="241"/>
      <c r="G7" s="242"/>
      <c r="H7" s="111" t="str">
        <f t="shared" si="0"/>
        <v/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</v>
      </c>
      <c r="Q7" s="639"/>
      <c r="R7" s="639">
        <f>IF($G$15=0,0,R5*1000/$G$15)</f>
        <v>0</v>
      </c>
      <c r="S7" s="639"/>
      <c r="T7" s="639">
        <f>IF($G$15=0,0,T5*1000/$G$15)</f>
        <v>0</v>
      </c>
      <c r="U7" s="639"/>
      <c r="V7" s="639">
        <f>IF($G$15=0,0,V5*1000/$G$15)</f>
        <v>0</v>
      </c>
      <c r="W7" s="639"/>
      <c r="X7" s="639">
        <f>IF($G$15=0,0,X5*1000/$G$15)</f>
        <v>0</v>
      </c>
      <c r="Y7" s="639"/>
      <c r="Z7" s="639">
        <f>IF($G$15=0,0,Z5*1000/$G$15)</f>
        <v>0</v>
      </c>
      <c r="AA7" s="639"/>
      <c r="AB7" s="632">
        <f>IF($G$15=0,0,AB5*1000/$G$15)</f>
        <v>0</v>
      </c>
      <c r="AC7" s="632"/>
      <c r="AD7" s="632">
        <f>IF($G$15=0,0,AD5*1000/$G$15)</f>
        <v>0</v>
      </c>
      <c r="AE7" s="632"/>
      <c r="AF7" s="627">
        <f>IF(AF5=0,0,G15/AF5)</f>
        <v>0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239"/>
      <c r="C8" s="129" t="s">
        <v>77</v>
      </c>
      <c r="D8" s="240"/>
      <c r="E8" s="241"/>
      <c r="F8" s="241"/>
      <c r="G8" s="242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/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239"/>
      <c r="C9" s="129" t="s">
        <v>78</v>
      </c>
      <c r="D9" s="240"/>
      <c r="E9" s="241"/>
      <c r="F9" s="241"/>
      <c r="G9" s="242"/>
      <c r="H9" s="111" t="str">
        <f>IF(F9=0,"",(F9-G9)/F9)</f>
        <v/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239"/>
      <c r="C10" s="129" t="s">
        <v>79</v>
      </c>
      <c r="D10" s="240"/>
      <c r="E10" s="241"/>
      <c r="F10" s="241"/>
      <c r="G10" s="242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239"/>
      <c r="C11" s="129" t="s">
        <v>80</v>
      </c>
      <c r="D11" s="240"/>
      <c r="E11" s="241"/>
      <c r="F11" s="241"/>
      <c r="G11" s="242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239"/>
      <c r="C12" s="129" t="s">
        <v>63</v>
      </c>
      <c r="D12" s="240"/>
      <c r="E12" s="241"/>
      <c r="F12" s="241"/>
      <c r="G12" s="242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/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 t="e">
        <f>F15/P12</f>
        <v>#DIV/0!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/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0</v>
      </c>
      <c r="F15" s="204">
        <f>SUM(F5:F14)</f>
        <v>0</v>
      </c>
      <c r="G15" s="204">
        <f>SUM(G5:G14)</f>
        <v>0</v>
      </c>
      <c r="H15" s="188" t="str">
        <f>IF(F15=0,"",(F15-G15)/F15)</f>
        <v/>
      </c>
      <c r="I15" s="719" t="s">
        <v>70</v>
      </c>
      <c r="J15" s="720"/>
      <c r="K15" s="720"/>
      <c r="L15" s="720"/>
      <c r="M15" s="720"/>
      <c r="N15" s="720"/>
      <c r="O15" s="721"/>
      <c r="P15" s="722" t="e">
        <f>F15/P14</f>
        <v>#DIV/0!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224"/>
      <c r="C16" s="130" t="s">
        <v>74</v>
      </c>
      <c r="D16" s="230"/>
      <c r="E16" s="225"/>
      <c r="F16" s="225"/>
      <c r="G16" s="226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362"/>
      <c r="C17" s="131" t="s">
        <v>75</v>
      </c>
      <c r="D17" s="228"/>
      <c r="E17" s="228"/>
      <c r="F17" s="228"/>
      <c r="G17" s="229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742">
        <f>IF(AF16=0,0,F26/AF16)</f>
        <v>0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362"/>
      <c r="C18" s="131" t="s">
        <v>76</v>
      </c>
      <c r="D18" s="228"/>
      <c r="E18" s="228"/>
      <c r="F18" s="228"/>
      <c r="G18" s="229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742">
        <f>IF(AF16=0,0,G26/AF16)</f>
        <v>0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362"/>
      <c r="C19" s="131" t="s">
        <v>77</v>
      </c>
      <c r="D19" s="228"/>
      <c r="E19" s="228"/>
      <c r="F19" s="228"/>
      <c r="G19" s="229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362"/>
      <c r="C20" s="131" t="s">
        <v>78</v>
      </c>
      <c r="D20" s="228"/>
      <c r="E20" s="228"/>
      <c r="F20" s="228"/>
      <c r="G20" s="229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362"/>
      <c r="C21" s="131" t="s">
        <v>79</v>
      </c>
      <c r="D21" s="228"/>
      <c r="E21" s="228"/>
      <c r="F21" s="228"/>
      <c r="G21" s="229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362"/>
      <c r="C22" s="131" t="s">
        <v>80</v>
      </c>
      <c r="D22" s="228"/>
      <c r="E22" s="228"/>
      <c r="F22" s="228"/>
      <c r="G22" s="229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0</v>
      </c>
      <c r="G26" s="205">
        <f>SUM(G16:G25)</f>
        <v>0</v>
      </c>
      <c r="H26" s="196" t="str">
        <f>IF(F26=0,"",(F26-G26)/F26)</f>
        <v/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0</v>
      </c>
      <c r="Q27" s="781"/>
      <c r="R27" s="782">
        <f>SUM(R5,R16)</f>
        <v>0</v>
      </c>
      <c r="S27" s="781"/>
      <c r="T27" s="782">
        <f>SUM(T5,T16)</f>
        <v>0</v>
      </c>
      <c r="U27" s="781"/>
      <c r="V27" s="782">
        <f>SUM(V5,V16)</f>
        <v>0</v>
      </c>
      <c r="W27" s="781"/>
      <c r="X27" s="782">
        <f>SUM(X5,X16)</f>
        <v>0</v>
      </c>
      <c r="Y27" s="781"/>
      <c r="Z27" s="783">
        <f>SUM(Z5,Z16)</f>
        <v>0</v>
      </c>
      <c r="AA27" s="784"/>
      <c r="AB27" s="770">
        <f>SUM(AB5,AB16)</f>
        <v>0</v>
      </c>
      <c r="AC27" s="770"/>
      <c r="AD27" s="769">
        <f>SUM(AD5,AD16)</f>
        <v>0</v>
      </c>
      <c r="AE27" s="769"/>
      <c r="AF27" s="770">
        <f>SUM(AF5,AF16)</f>
        <v>0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0</v>
      </c>
      <c r="F28" s="140">
        <f>F15+F26</f>
        <v>0</v>
      </c>
      <c r="G28" s="140">
        <f>G15+G26</f>
        <v>0</v>
      </c>
      <c r="H28" s="141" t="str">
        <f t="shared" si="0"/>
        <v/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</v>
      </c>
      <c r="Q28" s="745"/>
      <c r="R28" s="746">
        <f t="shared" si="1"/>
        <v>0</v>
      </c>
      <c r="S28" s="745"/>
      <c r="T28" s="746">
        <f t="shared" si="1"/>
        <v>0</v>
      </c>
      <c r="U28" s="745"/>
      <c r="V28" s="800">
        <f t="shared" si="1"/>
        <v>0</v>
      </c>
      <c r="W28" s="801"/>
      <c r="X28" s="800">
        <f t="shared" si="1"/>
        <v>0</v>
      </c>
      <c r="Y28" s="801"/>
      <c r="Z28" s="746">
        <f t="shared" si="1"/>
        <v>0</v>
      </c>
      <c r="AA28" s="744"/>
      <c r="AB28" s="632">
        <f t="shared" si="1"/>
        <v>0</v>
      </c>
      <c r="AC28" s="632"/>
      <c r="AD28" s="632">
        <f t="shared" si="1"/>
        <v>0</v>
      </c>
      <c r="AE28" s="632"/>
      <c r="AF28" s="757">
        <f t="shared" si="1"/>
        <v>0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</v>
      </c>
      <c r="Q29" s="792"/>
      <c r="R29" s="771">
        <f t="shared" si="2"/>
        <v>0</v>
      </c>
      <c r="S29" s="792"/>
      <c r="T29" s="771">
        <f t="shared" si="2"/>
        <v>0</v>
      </c>
      <c r="U29" s="792"/>
      <c r="V29" s="793">
        <f t="shared" si="2"/>
        <v>0</v>
      </c>
      <c r="W29" s="794"/>
      <c r="X29" s="795">
        <f t="shared" si="2"/>
        <v>0</v>
      </c>
      <c r="Y29" s="796"/>
      <c r="Z29" s="771">
        <f t="shared" si="2"/>
        <v>0</v>
      </c>
      <c r="AA29" s="772"/>
      <c r="AB29" s="773">
        <f t="shared" si="2"/>
        <v>0</v>
      </c>
      <c r="AC29" s="773"/>
      <c r="AD29" s="773">
        <f t="shared" si="2"/>
        <v>0</v>
      </c>
      <c r="AE29" s="773"/>
      <c r="AF29" s="774">
        <f t="shared" si="2"/>
        <v>0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289">
        <f t="shared" ref="B33:B42" si="3">B5</f>
        <v>0</v>
      </c>
      <c r="C33" s="213" t="s">
        <v>74</v>
      </c>
      <c r="D33" s="293">
        <f t="shared" ref="D33:D42" si="4">D5</f>
        <v>0</v>
      </c>
      <c r="E33" s="293">
        <f>G5</f>
        <v>0</v>
      </c>
      <c r="F33" s="294"/>
      <c r="G33" s="62" t="str">
        <f t="shared" ref="G33:G55" si="5">IF(E33=0,"",(E33-F33)/E33)</f>
        <v/>
      </c>
      <c r="H33" s="63"/>
      <c r="I33" s="64">
        <f t="shared" ref="I33:I54" si="6">SUM(J33:AH33)</f>
        <v>0</v>
      </c>
      <c r="J33" s="453"/>
      <c r="K33" s="454"/>
      <c r="L33" s="453"/>
      <c r="M33" s="454"/>
      <c r="N33" s="453"/>
      <c r="O33" s="454"/>
      <c r="P33" s="453"/>
      <c r="Q33" s="454"/>
      <c r="R33" s="453"/>
      <c r="S33" s="454"/>
      <c r="T33" s="453"/>
      <c r="U33" s="454"/>
      <c r="V33" s="453"/>
      <c r="W33" s="454"/>
      <c r="X33" s="453"/>
      <c r="Y33" s="454"/>
      <c r="Z33" s="453"/>
      <c r="AA33" s="454"/>
      <c r="AB33" s="453"/>
      <c r="AC33" s="454"/>
      <c r="AD33" s="453"/>
      <c r="AE33" s="454"/>
      <c r="AF33" s="453"/>
      <c r="AG33" s="454"/>
      <c r="AH33" s="453"/>
      <c r="AI33" s="820"/>
      <c r="AJ33" s="821"/>
      <c r="AK33" s="432"/>
      <c r="AL33" s="68"/>
      <c r="AM33" s="69"/>
    </row>
    <row r="34" spans="1:39" ht="20.25" customHeight="1">
      <c r="A34" s="370"/>
      <c r="B34" s="160">
        <f t="shared" si="3"/>
        <v>0</v>
      </c>
      <c r="C34" s="214" t="s">
        <v>75</v>
      </c>
      <c r="D34" s="124">
        <f t="shared" si="4"/>
        <v>0</v>
      </c>
      <c r="E34" s="161">
        <f t="shared" ref="E34:E42" si="7">G6</f>
        <v>0</v>
      </c>
      <c r="F34" s="151"/>
      <c r="G34" s="70" t="str">
        <f t="shared" si="5"/>
        <v/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71"/>
      <c r="AJ34" s="72"/>
      <c r="AK34" s="73"/>
      <c r="AL34" s="74"/>
      <c r="AM34" s="75"/>
    </row>
    <row r="35" spans="1:39" ht="20.25" customHeight="1">
      <c r="A35" s="370"/>
      <c r="B35" s="290">
        <f t="shared" si="3"/>
        <v>0</v>
      </c>
      <c r="C35" s="214" t="s">
        <v>76</v>
      </c>
      <c r="D35" s="295">
        <f t="shared" si="4"/>
        <v>0</v>
      </c>
      <c r="E35" s="295">
        <v>0</v>
      </c>
      <c r="F35" s="296"/>
      <c r="G35" s="70" t="str">
        <f t="shared" si="5"/>
        <v/>
      </c>
      <c r="H35" s="63"/>
      <c r="I35" s="64">
        <f t="shared" si="6"/>
        <v>0</v>
      </c>
      <c r="J35" s="455"/>
      <c r="K35" s="456"/>
      <c r="L35" s="456"/>
      <c r="M35" s="456"/>
      <c r="N35" s="456"/>
      <c r="O35" s="456"/>
      <c r="P35" s="456"/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7"/>
      <c r="AI35" s="833"/>
      <c r="AJ35" s="834"/>
      <c r="AK35" s="441"/>
      <c r="AL35" s="74"/>
      <c r="AM35" s="75"/>
    </row>
    <row r="36" spans="1:39" ht="20.25" customHeight="1">
      <c r="A36" s="371">
        <v>1</v>
      </c>
      <c r="B36" s="160">
        <f t="shared" si="3"/>
        <v>0</v>
      </c>
      <c r="C36" s="214" t="s">
        <v>77</v>
      </c>
      <c r="D36" s="124">
        <f t="shared" si="4"/>
        <v>0</v>
      </c>
      <c r="E36" s="161">
        <f t="shared" si="7"/>
        <v>0</v>
      </c>
      <c r="F36" s="151"/>
      <c r="G36" s="70" t="str">
        <f t="shared" si="5"/>
        <v/>
      </c>
      <c r="H36" s="63"/>
      <c r="I36" s="64">
        <f t="shared" si="6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452"/>
      <c r="AJ36" s="438"/>
      <c r="AK36" s="73"/>
      <c r="AL36" s="74"/>
      <c r="AM36" s="75"/>
    </row>
    <row r="37" spans="1:39" ht="20.25" customHeight="1">
      <c r="A37" s="372"/>
      <c r="B37" s="160">
        <f t="shared" si="3"/>
        <v>0</v>
      </c>
      <c r="C37" s="214" t="s">
        <v>78</v>
      </c>
      <c r="D37" s="124">
        <f t="shared" si="4"/>
        <v>0</v>
      </c>
      <c r="E37" s="161">
        <f t="shared" si="7"/>
        <v>0</v>
      </c>
      <c r="F37" s="151"/>
      <c r="G37" s="70" t="str">
        <f t="shared" si="5"/>
        <v/>
      </c>
      <c r="H37" s="63"/>
      <c r="I37" s="64">
        <f t="shared" si="6"/>
        <v>0</v>
      </c>
      <c r="J37" s="455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71"/>
      <c r="AJ37" s="72"/>
      <c r="AK37" s="73"/>
      <c r="AL37" s="74"/>
      <c r="AM37" s="75"/>
    </row>
    <row r="38" spans="1:39" ht="20.25" customHeight="1">
      <c r="A38" s="372"/>
      <c r="B38" s="162">
        <f t="shared" si="3"/>
        <v>0</v>
      </c>
      <c r="C38" s="214" t="s">
        <v>79</v>
      </c>
      <c r="D38" s="163">
        <f t="shared" si="4"/>
        <v>0</v>
      </c>
      <c r="E38" s="161">
        <f t="shared" si="7"/>
        <v>0</v>
      </c>
      <c r="F38" s="151"/>
      <c r="G38" s="70" t="str">
        <f t="shared" si="5"/>
        <v/>
      </c>
      <c r="H38" s="63"/>
      <c r="I38" s="64">
        <f t="shared" si="6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7"/>
        <v>0</v>
      </c>
      <c r="F39" s="154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291">
        <f t="shared" si="3"/>
        <v>0</v>
      </c>
      <c r="C40" s="214" t="s">
        <v>63</v>
      </c>
      <c r="D40" s="297">
        <f t="shared" si="4"/>
        <v>0</v>
      </c>
      <c r="E40" s="297">
        <f>G12</f>
        <v>0</v>
      </c>
      <c r="F40" s="319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802"/>
      <c r="AJ40" s="614"/>
      <c r="AK40" s="524"/>
      <c r="AL40" s="525"/>
      <c r="AM40" s="410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7"/>
        <v>0</v>
      </c>
      <c r="F41" s="209"/>
      <c r="G41" s="210" t="str">
        <f t="shared" si="5"/>
        <v/>
      </c>
      <c r="H41" s="63"/>
      <c r="I41" s="64">
        <f t="shared" si="6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0</v>
      </c>
      <c r="F43" s="145">
        <f>SUM(F33:F42)</f>
        <v>0</v>
      </c>
      <c r="G43" s="135" t="str">
        <f t="shared" si="5"/>
        <v/>
      </c>
      <c r="H43" s="63"/>
      <c r="I43" s="376">
        <f t="shared" si="6"/>
        <v>0</v>
      </c>
      <c r="J43" s="77">
        <f>SUM(J33:J42)</f>
        <v>0</v>
      </c>
      <c r="K43" s="78">
        <f t="shared" ref="K43:AH43" si="8">SUM(K33:K42)</f>
        <v>0</v>
      </c>
      <c r="L43" s="78">
        <f t="shared" si="8"/>
        <v>0</v>
      </c>
      <c r="M43" s="78">
        <f t="shared" si="8"/>
        <v>0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0</v>
      </c>
      <c r="R43" s="78">
        <f t="shared" si="8"/>
        <v>0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0</v>
      </c>
      <c r="W43" s="78">
        <f t="shared" si="8"/>
        <v>0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0</v>
      </c>
      <c r="AC43" s="78">
        <f t="shared" si="8"/>
        <v>0</v>
      </c>
      <c r="AD43" s="78">
        <f t="shared" si="8"/>
        <v>0</v>
      </c>
      <c r="AE43" s="78">
        <f t="shared" si="8"/>
        <v>0</v>
      </c>
      <c r="AF43" s="78">
        <f t="shared" si="8"/>
        <v>0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96">
        <f t="shared" ref="B44:B53" si="9">B16</f>
        <v>0</v>
      </c>
      <c r="C44" s="382" t="s">
        <v>74</v>
      </c>
      <c r="D44" s="307">
        <f t="shared" ref="D44:D53" si="10">D16</f>
        <v>0</v>
      </c>
      <c r="E44" s="307">
        <f t="shared" ref="E44:E53" si="11">G16</f>
        <v>0</v>
      </c>
      <c r="F44" s="395"/>
      <c r="G44" s="62" t="str">
        <f t="shared" si="5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8"/>
      <c r="AJ44" s="819"/>
      <c r="AK44" s="82"/>
      <c r="AL44" s="83"/>
      <c r="AM44" s="84"/>
    </row>
    <row r="45" spans="1:39" ht="20.25" customHeight="1">
      <c r="A45" s="384"/>
      <c r="B45" s="351">
        <f t="shared" si="9"/>
        <v>0</v>
      </c>
      <c r="C45" s="216" t="s">
        <v>75</v>
      </c>
      <c r="D45" s="355">
        <f t="shared" si="10"/>
        <v>0</v>
      </c>
      <c r="E45" s="317">
        <f t="shared" si="11"/>
        <v>0</v>
      </c>
      <c r="F45" s="322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351">
        <f t="shared" si="9"/>
        <v>0</v>
      </c>
      <c r="C46" s="217" t="s">
        <v>76</v>
      </c>
      <c r="D46" s="356">
        <f t="shared" si="10"/>
        <v>0</v>
      </c>
      <c r="E46" s="323">
        <f t="shared" si="11"/>
        <v>0</v>
      </c>
      <c r="F46" s="324"/>
      <c r="G46" s="70" t="str">
        <f t="shared" si="5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814"/>
      <c r="AJ46" s="815"/>
      <c r="AK46" s="74"/>
      <c r="AL46" s="74"/>
      <c r="AM46" s="75"/>
    </row>
    <row r="47" spans="1:39" ht="20.25" customHeight="1">
      <c r="A47" s="363"/>
      <c r="B47" s="351">
        <f t="shared" si="9"/>
        <v>0</v>
      </c>
      <c r="C47" s="217" t="s">
        <v>77</v>
      </c>
      <c r="D47" s="357">
        <f t="shared" si="10"/>
        <v>0</v>
      </c>
      <c r="E47" s="323">
        <f t="shared" si="11"/>
        <v>0</v>
      </c>
      <c r="F47" s="324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351">
        <f t="shared" si="9"/>
        <v>0</v>
      </c>
      <c r="C48" s="217" t="s">
        <v>78</v>
      </c>
      <c r="D48" s="357">
        <f t="shared" si="10"/>
        <v>0</v>
      </c>
      <c r="E48" s="323">
        <f t="shared" si="11"/>
        <v>0</v>
      </c>
      <c r="F48" s="324"/>
      <c r="G48" s="70" t="str">
        <f t="shared" si="5"/>
        <v/>
      </c>
      <c r="H48" s="63"/>
      <c r="I48" s="64">
        <f t="shared" si="6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75"/>
    </row>
    <row r="49" spans="1:39" ht="20.25" customHeight="1">
      <c r="A49" s="363"/>
      <c r="B49" s="351">
        <f t="shared" si="9"/>
        <v>0</v>
      </c>
      <c r="C49" s="217" t="s">
        <v>79</v>
      </c>
      <c r="D49" s="357">
        <f t="shared" si="10"/>
        <v>0</v>
      </c>
      <c r="E49" s="323">
        <f t="shared" si="11"/>
        <v>0</v>
      </c>
      <c r="F49" s="324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351">
        <f t="shared" si="9"/>
        <v>0</v>
      </c>
      <c r="C50" s="217" t="s">
        <v>80</v>
      </c>
      <c r="D50" s="357">
        <f t="shared" si="10"/>
        <v>0</v>
      </c>
      <c r="E50" s="323">
        <f t="shared" si="11"/>
        <v>0</v>
      </c>
      <c r="F50" s="324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351">
        <f t="shared" si="9"/>
        <v>0</v>
      </c>
      <c r="C51" s="217" t="s">
        <v>63</v>
      </c>
      <c r="D51" s="357">
        <f t="shared" si="10"/>
        <v>0</v>
      </c>
      <c r="E51" s="323">
        <f t="shared" si="11"/>
        <v>0</v>
      </c>
      <c r="F51" s="32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5"/>
        <v/>
      </c>
      <c r="H54" s="63"/>
      <c r="I54" s="87">
        <f t="shared" si="6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0</v>
      </c>
      <c r="F55" s="164">
        <f>F43+F54</f>
        <v>0</v>
      </c>
      <c r="G55" s="165" t="str">
        <f t="shared" si="5"/>
        <v/>
      </c>
      <c r="H55" s="95"/>
      <c r="I55" s="96">
        <f>SUM(I43,I54)</f>
        <v>0</v>
      </c>
      <c r="J55" s="97">
        <f>SUM(J43,J54)</f>
        <v>0</v>
      </c>
      <c r="K55" s="97">
        <f t="shared" ref="K55:AH55" si="13">SUM(K43,K54)</f>
        <v>0</v>
      </c>
      <c r="L55" s="97">
        <f t="shared" si="13"/>
        <v>0</v>
      </c>
      <c r="M55" s="97">
        <f t="shared" si="13"/>
        <v>0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0</v>
      </c>
      <c r="R55" s="97">
        <f t="shared" si="13"/>
        <v>0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0</v>
      </c>
      <c r="W55" s="97">
        <f t="shared" si="13"/>
        <v>0</v>
      </c>
      <c r="X55" s="97">
        <f t="shared" si="13"/>
        <v>0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0</v>
      </c>
      <c r="AC55" s="97">
        <f t="shared" si="13"/>
        <v>0</v>
      </c>
      <c r="AD55" s="97">
        <f t="shared" si="13"/>
        <v>0</v>
      </c>
      <c r="AE55" s="97">
        <f t="shared" si="13"/>
        <v>0</v>
      </c>
      <c r="AF55" s="97">
        <f t="shared" si="13"/>
        <v>0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2">
    <mergeCell ref="AI40:AJ40"/>
    <mergeCell ref="AI31:AJ32"/>
    <mergeCell ref="AK31:AM32"/>
    <mergeCell ref="AI44:AJ44"/>
    <mergeCell ref="AI45:AJ45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R28:S28"/>
    <mergeCell ref="T28:U28"/>
    <mergeCell ref="V28:W28"/>
    <mergeCell ref="X28:Y28"/>
    <mergeCell ref="I22:O22"/>
    <mergeCell ref="P22:Q22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P23:Q23"/>
    <mergeCell ref="I23:O23"/>
    <mergeCell ref="AB29:AC29"/>
    <mergeCell ref="AD29:AE29"/>
    <mergeCell ref="AF29:AG29"/>
    <mergeCell ref="AH29:AI29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AJ28:AK28"/>
    <mergeCell ref="AF27:AG27"/>
    <mergeCell ref="Z29:AA29"/>
    <mergeCell ref="AF17:AG17"/>
    <mergeCell ref="I18:O18"/>
    <mergeCell ref="P18:Q18"/>
    <mergeCell ref="R18:S18"/>
    <mergeCell ref="T18:U18"/>
    <mergeCell ref="V18:W18"/>
    <mergeCell ref="X18:Y18"/>
    <mergeCell ref="X26:Y26"/>
    <mergeCell ref="Z26:AA26"/>
    <mergeCell ref="I25:O25"/>
    <mergeCell ref="R24:S24"/>
    <mergeCell ref="T24:U24"/>
    <mergeCell ref="V24:W24"/>
    <mergeCell ref="X24:Y24"/>
    <mergeCell ref="Z24:AA24"/>
    <mergeCell ref="P25:Q25"/>
    <mergeCell ref="AB26:AC26"/>
    <mergeCell ref="AH17:AI17"/>
    <mergeCell ref="AF18:AG18"/>
    <mergeCell ref="AH18:AI18"/>
    <mergeCell ref="AJ18:AK18"/>
    <mergeCell ref="AJ24:AK24"/>
    <mergeCell ref="AF24:AG24"/>
    <mergeCell ref="AH24:AI24"/>
    <mergeCell ref="AJ17:AK17"/>
    <mergeCell ref="I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B24:AC24"/>
    <mergeCell ref="AD24:AE24"/>
    <mergeCell ref="I24:O24"/>
    <mergeCell ref="P24:Q24"/>
    <mergeCell ref="Z18:AA18"/>
    <mergeCell ref="AB18:AC18"/>
    <mergeCell ref="AD18:AE18"/>
    <mergeCell ref="Z16:AA16"/>
    <mergeCell ref="AB16:AC16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Z15:AA15"/>
    <mergeCell ref="AB15:AC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R9:S9"/>
    <mergeCell ref="T9:U9"/>
    <mergeCell ref="V9:W9"/>
    <mergeCell ref="X9:Y9"/>
    <mergeCell ref="AB9:AC9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D9:AE9"/>
    <mergeCell ref="T7:U7"/>
    <mergeCell ref="AD5:AE5"/>
    <mergeCell ref="Z6:AA6"/>
    <mergeCell ref="V7:W7"/>
    <mergeCell ref="X7:Y7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AH4:AI4"/>
    <mergeCell ref="AF3:AG3"/>
    <mergeCell ref="AH3:AI3"/>
    <mergeCell ref="Z4:AA4"/>
    <mergeCell ref="AB4:AC4"/>
    <mergeCell ref="Z8:AA8"/>
    <mergeCell ref="AB8:AC8"/>
    <mergeCell ref="AD8:AE8"/>
    <mergeCell ref="AF8:AG8"/>
    <mergeCell ref="AH7:AI7"/>
    <mergeCell ref="AF5:AG5"/>
    <mergeCell ref="AH5:AI5"/>
    <mergeCell ref="Z5:AA5"/>
    <mergeCell ref="AB5:AC5"/>
    <mergeCell ref="AH6:AI6"/>
    <mergeCell ref="Z7:AA7"/>
    <mergeCell ref="AB7:AC7"/>
    <mergeCell ref="AD7:AE7"/>
    <mergeCell ref="AF7:AG7"/>
    <mergeCell ref="AH8:AI8"/>
    <mergeCell ref="AB6:AC6"/>
    <mergeCell ref="AD6:AE6"/>
    <mergeCell ref="AF6:AG6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J3:AK3"/>
    <mergeCell ref="AD2:AE2"/>
    <mergeCell ref="AF2:AG2"/>
    <mergeCell ref="Z2:AA2"/>
    <mergeCell ref="AB2:AC2"/>
    <mergeCell ref="M1:N1"/>
    <mergeCell ref="R1:U1"/>
    <mergeCell ref="E2:H2"/>
    <mergeCell ref="I2:O4"/>
    <mergeCell ref="P2:Q3"/>
    <mergeCell ref="R2:S2"/>
    <mergeCell ref="T2:U2"/>
    <mergeCell ref="P4:Q4"/>
    <mergeCell ref="I6:O6"/>
    <mergeCell ref="P6:Q6"/>
    <mergeCell ref="R6:S6"/>
    <mergeCell ref="T6:U6"/>
    <mergeCell ref="V6:W6"/>
    <mergeCell ref="X6:Y6"/>
    <mergeCell ref="I5:O5"/>
    <mergeCell ref="P5:Q5"/>
    <mergeCell ref="R5:S5"/>
    <mergeCell ref="T5:U5"/>
    <mergeCell ref="V5:W5"/>
    <mergeCell ref="X5:Y5"/>
    <mergeCell ref="T4:U4"/>
    <mergeCell ref="V4:W4"/>
    <mergeCell ref="X4:Y4"/>
    <mergeCell ref="AI33:AJ33"/>
    <mergeCell ref="AI35:AJ35"/>
    <mergeCell ref="A43:D43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M59"/>
  <sheetViews>
    <sheetView showGridLines="0" topLeftCell="A31" zoomScale="64" zoomScaleNormal="64" workbookViewId="0">
      <selection activeCell="AA14" sqref="AA14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18.25" style="9" customWidth="1"/>
    <col min="5" max="7" width="12" style="9" customWidth="1"/>
    <col min="8" max="8" width="11" style="9" customWidth="1"/>
    <col min="9" max="9" width="6.33203125" style="9" customWidth="1"/>
    <col min="10" max="16" width="4.5" style="9" customWidth="1"/>
    <col min="17" max="17" width="6.5" style="9" customWidth="1"/>
    <col min="18" max="22" width="4.5" style="9" customWidth="1"/>
    <col min="23" max="32" width="4.5" style="13" customWidth="1"/>
    <col min="33" max="35" width="4.5" style="17" customWidth="1"/>
    <col min="36" max="36" width="25.25" style="17" customWidth="1"/>
    <col min="37" max="37" width="10.75" style="17" customWidth="1"/>
    <col min="38" max="38" width="4.5" style="17" customWidth="1"/>
    <col min="39" max="39" width="9.582031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>
        <v>244574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236" t="s">
        <v>214</v>
      </c>
      <c r="C5" s="129" t="s">
        <v>74</v>
      </c>
      <c r="D5" s="237" t="s">
        <v>124</v>
      </c>
      <c r="E5" s="237">
        <v>4000</v>
      </c>
      <c r="F5" s="237">
        <f>2236+1282+1273</f>
        <v>4791</v>
      </c>
      <c r="G5" s="238">
        <f>2056+2314</f>
        <v>4370</v>
      </c>
      <c r="H5" s="110">
        <f t="shared" ref="H5:H28" si="0">IF(F5=0,"",(F5-G5)/F5)</f>
        <v>8.7873095387184311E-2</v>
      </c>
      <c r="I5" s="675" t="s">
        <v>33</v>
      </c>
      <c r="J5" s="676"/>
      <c r="K5" s="676"/>
      <c r="L5" s="676"/>
      <c r="M5" s="676"/>
      <c r="N5" s="676"/>
      <c r="O5" s="677"/>
      <c r="P5" s="678">
        <v>4.5860000000000003</v>
      </c>
      <c r="Q5" s="679"/>
      <c r="R5" s="680">
        <v>14.388999999999999</v>
      </c>
      <c r="S5" s="679"/>
      <c r="T5" s="681">
        <v>1.43</v>
      </c>
      <c r="U5" s="682"/>
      <c r="V5" s="683">
        <v>36.649000000000001</v>
      </c>
      <c r="W5" s="684"/>
      <c r="X5" s="685">
        <v>0.82899999999999996</v>
      </c>
      <c r="Y5" s="686"/>
      <c r="Z5" s="687">
        <f>200+200+110</f>
        <v>510</v>
      </c>
      <c r="AA5" s="688"/>
      <c r="AB5" s="674">
        <f>32+29</f>
        <v>61</v>
      </c>
      <c r="AC5" s="674"/>
      <c r="AD5" s="689">
        <f>SUM(AF5:AK5)*0.025</f>
        <v>2.9250000000000003</v>
      </c>
      <c r="AE5" s="689"/>
      <c r="AF5" s="674">
        <f>14+14+14+14+14+47</f>
        <v>117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239"/>
      <c r="C6" s="129" t="s">
        <v>75</v>
      </c>
      <c r="D6" s="240"/>
      <c r="E6" s="241"/>
      <c r="F6" s="241"/>
      <c r="G6" s="242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0.25449500554938959</v>
      </c>
      <c r="Q6" s="673"/>
      <c r="R6" s="673">
        <f>IF($F$15=0,0,R5*1000/$F$15)</f>
        <v>0.79850166481687013</v>
      </c>
      <c r="S6" s="673"/>
      <c r="T6" s="673">
        <f>IF($F$15=0,0,T5*1000/$F$15)</f>
        <v>7.9356270810210877E-2</v>
      </c>
      <c r="U6" s="673"/>
      <c r="V6" s="673">
        <f>IF($F$15=0,0,V5*1000/$F$15)</f>
        <v>2.0337957824639288</v>
      </c>
      <c r="W6" s="673"/>
      <c r="X6" s="673">
        <f>IF($F$15=0,0,X5*1000/$F$15)</f>
        <v>4.6004439511653721E-2</v>
      </c>
      <c r="Y6" s="673"/>
      <c r="Z6" s="673">
        <f>IF($F$15=0,0,Z5*1000/$F$15)</f>
        <v>28.30188679245283</v>
      </c>
      <c r="AA6" s="673"/>
      <c r="AB6" s="632">
        <f>IF($F$15=0,0,AB5*1000/$F$15)</f>
        <v>3.3851276359600444</v>
      </c>
      <c r="AC6" s="632"/>
      <c r="AD6" s="632">
        <f>IF($F$15=0,0,AD5*1000/$F$15)</f>
        <v>0.16231964483906772</v>
      </c>
      <c r="AE6" s="632"/>
      <c r="AF6" s="627">
        <f>IF(AF5=0,0,F15/AF5)</f>
        <v>154.01709401709402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239" t="s">
        <v>215</v>
      </c>
      <c r="C7" s="129" t="s">
        <v>76</v>
      </c>
      <c r="D7" s="240" t="s">
        <v>124</v>
      </c>
      <c r="E7" s="241">
        <v>6000</v>
      </c>
      <c r="F7" s="241">
        <f>5620+1225+1120+1205+1330</f>
        <v>10500</v>
      </c>
      <c r="G7" s="242">
        <f>5069+4447</f>
        <v>9516</v>
      </c>
      <c r="H7" s="111">
        <f t="shared" si="0"/>
        <v>9.3714285714285708E-2</v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0.27735107348049592</v>
      </c>
      <c r="Q7" s="639"/>
      <c r="R7" s="639">
        <f>IF($G$15=0,0,R5*1000/$G$15)</f>
        <v>0.87021469609918356</v>
      </c>
      <c r="S7" s="639"/>
      <c r="T7" s="639">
        <f>IF($G$15=0,0,T5*1000/$G$15)</f>
        <v>8.6483217417599026E-2</v>
      </c>
      <c r="U7" s="639"/>
      <c r="V7" s="639">
        <f>IF($G$15=0,0,V5*1000/$G$15)</f>
        <v>2.2164499546416692</v>
      </c>
      <c r="W7" s="639"/>
      <c r="X7" s="639">
        <f>IF($G$15=0,0,X5*1000/$G$15)</f>
        <v>5.0136074992440278E-2</v>
      </c>
      <c r="Y7" s="639"/>
      <c r="Z7" s="639">
        <f>IF($G$15=0,0,Z5*1000/$G$15)</f>
        <v>30.843664953129725</v>
      </c>
      <c r="AA7" s="639"/>
      <c r="AB7" s="632">
        <f>IF($G$15=0,0,AB5*1000/$G$15)</f>
        <v>3.6891442394919869</v>
      </c>
      <c r="AC7" s="632"/>
      <c r="AD7" s="632">
        <f>IF($G$15=0,0,AD5*1000/$G$15)</f>
        <v>0.17689749017236167</v>
      </c>
      <c r="AE7" s="632"/>
      <c r="AF7" s="627">
        <f>IF(AF5=0,0,G15/AF5)</f>
        <v>141.32478632478632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239"/>
      <c r="C8" s="129" t="s">
        <v>77</v>
      </c>
      <c r="D8" s="240"/>
      <c r="E8" s="241"/>
      <c r="F8" s="241"/>
      <c r="G8" s="242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>
        <f>117+95</f>
        <v>212</v>
      </c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239" t="s">
        <v>216</v>
      </c>
      <c r="C9" s="129" t="s">
        <v>78</v>
      </c>
      <c r="D9" s="240" t="s">
        <v>124</v>
      </c>
      <c r="E9" s="241">
        <v>2000</v>
      </c>
      <c r="F9" s="241">
        <f>1557+1172</f>
        <v>2729</v>
      </c>
      <c r="G9" s="242">
        <f>1493+1156</f>
        <v>2649</v>
      </c>
      <c r="H9" s="111">
        <f>IF(F9=0,"",(F9-G9)/F9)</f>
        <v>2.9314767314034446E-2</v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239"/>
      <c r="C10" s="129" t="s">
        <v>79</v>
      </c>
      <c r="D10" s="240"/>
      <c r="E10" s="241"/>
      <c r="F10" s="241"/>
      <c r="G10" s="242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239"/>
      <c r="C12" s="129" t="s">
        <v>63</v>
      </c>
      <c r="D12" s="240"/>
      <c r="E12" s="241"/>
      <c r="F12" s="241"/>
      <c r="G12" s="242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>
        <f>4+4+5+5+5+5+6+6+5+5+4+5+4</f>
        <v>63</v>
      </c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>
        <f>F15/P12</f>
        <v>286.03174603174602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>
        <v>7</v>
      </c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12000</v>
      </c>
      <c r="F15" s="204">
        <f>SUM(F5:F14)</f>
        <v>18020</v>
      </c>
      <c r="G15" s="204">
        <f>SUM(G5:G14)</f>
        <v>16535</v>
      </c>
      <c r="H15" s="188">
        <f>IF(F15=0,"",(F15-G15)/F15)</f>
        <v>8.2408435072142058E-2</v>
      </c>
      <c r="I15" s="719" t="s">
        <v>70</v>
      </c>
      <c r="J15" s="720"/>
      <c r="K15" s="720"/>
      <c r="L15" s="720"/>
      <c r="M15" s="720"/>
      <c r="N15" s="720"/>
      <c r="O15" s="721"/>
      <c r="P15" s="722">
        <f>F15/P14</f>
        <v>2574.2857142857142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236"/>
      <c r="C16" s="129" t="s">
        <v>74</v>
      </c>
      <c r="D16" s="237"/>
      <c r="E16" s="237"/>
      <c r="F16" s="237"/>
      <c r="G16" s="238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239"/>
      <c r="C17" s="129" t="s">
        <v>75</v>
      </c>
      <c r="D17" s="240"/>
      <c r="E17" s="241"/>
      <c r="F17" s="241"/>
      <c r="G17" s="242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627">
        <f>IF(AF16=0,0,F26/AF16)</f>
        <v>0</v>
      </c>
      <c r="AG17" s="671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239"/>
      <c r="C18" s="129" t="s">
        <v>76</v>
      </c>
      <c r="D18" s="240"/>
      <c r="E18" s="241"/>
      <c r="F18" s="241"/>
      <c r="G18" s="242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627">
        <f>IF(AF16=0,0,G26/AF16)</f>
        <v>0</v>
      </c>
      <c r="AG18" s="671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239"/>
      <c r="C19" s="131" t="s">
        <v>77</v>
      </c>
      <c r="D19" s="240"/>
      <c r="E19" s="240"/>
      <c r="F19" s="241"/>
      <c r="G19" s="242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239"/>
      <c r="C20" s="131" t="s">
        <v>78</v>
      </c>
      <c r="D20" s="241"/>
      <c r="E20" s="241"/>
      <c r="F20" s="241"/>
      <c r="G20" s="242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239"/>
      <c r="C21" s="131" t="s">
        <v>79</v>
      </c>
      <c r="D21" s="241"/>
      <c r="E21" s="241"/>
      <c r="F21" s="241"/>
      <c r="G21" s="242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241"/>
      <c r="E22" s="241"/>
      <c r="F22" s="241"/>
      <c r="G22" s="242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0</v>
      </c>
      <c r="G26" s="205">
        <f>SUM(G16:G25)</f>
        <v>0</v>
      </c>
      <c r="H26" s="196" t="str">
        <f>IF(F26=0,"",(F26-G26)/F26)</f>
        <v/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4.5860000000000003</v>
      </c>
      <c r="Q27" s="781"/>
      <c r="R27" s="782">
        <f>SUM(R5,R16)</f>
        <v>14.388999999999999</v>
      </c>
      <c r="S27" s="781"/>
      <c r="T27" s="782">
        <f>SUM(T5,T16)</f>
        <v>1.43</v>
      </c>
      <c r="U27" s="781"/>
      <c r="V27" s="782">
        <f>SUM(V5,V16)</f>
        <v>36.649000000000001</v>
      </c>
      <c r="W27" s="781"/>
      <c r="X27" s="782">
        <f>SUM(X5,X16)</f>
        <v>0.82899999999999996</v>
      </c>
      <c r="Y27" s="781"/>
      <c r="Z27" s="783">
        <f>SUM(Z5,Z16)</f>
        <v>510</v>
      </c>
      <c r="AA27" s="784"/>
      <c r="AB27" s="770">
        <f>SUM(AB5,AB16)</f>
        <v>61</v>
      </c>
      <c r="AC27" s="770"/>
      <c r="AD27" s="769">
        <f>SUM(AD5,AD16)</f>
        <v>2.9250000000000003</v>
      </c>
      <c r="AE27" s="769"/>
      <c r="AF27" s="770">
        <f>SUM(AF5,AF16)</f>
        <v>117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12000</v>
      </c>
      <c r="F28" s="140">
        <f>F15+F26</f>
        <v>18020</v>
      </c>
      <c r="G28" s="140">
        <f>G15+G26</f>
        <v>16535</v>
      </c>
      <c r="H28" s="141">
        <f t="shared" si="0"/>
        <v>8.2408435072142058E-2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0.25449500554938959</v>
      </c>
      <c r="Q28" s="745"/>
      <c r="R28" s="746">
        <f t="shared" si="1"/>
        <v>0.79850166481687013</v>
      </c>
      <c r="S28" s="745"/>
      <c r="T28" s="746">
        <f t="shared" si="1"/>
        <v>7.9356270810210877E-2</v>
      </c>
      <c r="U28" s="745"/>
      <c r="V28" s="800">
        <f t="shared" si="1"/>
        <v>2.0337957824639288</v>
      </c>
      <c r="W28" s="801"/>
      <c r="X28" s="800">
        <f t="shared" si="1"/>
        <v>4.6004439511653721E-2</v>
      </c>
      <c r="Y28" s="801"/>
      <c r="Z28" s="746">
        <f t="shared" si="1"/>
        <v>28.30188679245283</v>
      </c>
      <c r="AA28" s="744"/>
      <c r="AB28" s="632">
        <f t="shared" si="1"/>
        <v>3.3851276359600444</v>
      </c>
      <c r="AC28" s="632"/>
      <c r="AD28" s="632">
        <f t="shared" si="1"/>
        <v>0.16231964483906772</v>
      </c>
      <c r="AE28" s="632"/>
      <c r="AF28" s="757">
        <f t="shared" si="1"/>
        <v>6.4927857935627085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0.27735107348049592</v>
      </c>
      <c r="Q29" s="792"/>
      <c r="R29" s="771">
        <f t="shared" si="2"/>
        <v>0.87021469609918356</v>
      </c>
      <c r="S29" s="792"/>
      <c r="T29" s="771">
        <f t="shared" si="2"/>
        <v>8.6483217417599026E-2</v>
      </c>
      <c r="U29" s="792"/>
      <c r="V29" s="793">
        <f t="shared" si="2"/>
        <v>2.2164499546416692</v>
      </c>
      <c r="W29" s="794"/>
      <c r="X29" s="795">
        <f t="shared" si="2"/>
        <v>5.0136074992440278E-2</v>
      </c>
      <c r="Y29" s="796"/>
      <c r="Z29" s="771">
        <f t="shared" si="2"/>
        <v>30.843664953129725</v>
      </c>
      <c r="AA29" s="772"/>
      <c r="AB29" s="773">
        <f t="shared" si="2"/>
        <v>3.6891442394919869</v>
      </c>
      <c r="AC29" s="773"/>
      <c r="AD29" s="773">
        <f t="shared" si="2"/>
        <v>0.17689749017236167</v>
      </c>
      <c r="AE29" s="773"/>
      <c r="AF29" s="774">
        <f t="shared" si="2"/>
        <v>7.075899606894466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289" t="str">
        <f t="shared" ref="B33:B42" si="3">B5</f>
        <v>I11690826</v>
      </c>
      <c r="C33" s="213" t="s">
        <v>74</v>
      </c>
      <c r="D33" s="293" t="str">
        <f t="shared" ref="D33:D42" si="4">D5</f>
        <v>มิดไนท์เกรย์*N</v>
      </c>
      <c r="E33" s="293">
        <f>G5</f>
        <v>4370</v>
      </c>
      <c r="F33" s="294">
        <f>144*25+100+6</f>
        <v>3706</v>
      </c>
      <c r="G33" s="62">
        <f t="shared" ref="G33:G55" si="5">IF(E33=0,"",(E33-F33)/E33)</f>
        <v>0.15194508009153318</v>
      </c>
      <c r="H33" s="63"/>
      <c r="I33" s="64">
        <f t="shared" ref="I33:I54" si="6">SUM(J33:AH33)</f>
        <v>664</v>
      </c>
      <c r="J33" s="453"/>
      <c r="K33" s="454">
        <f>25+25+25+20+30+25+11+14</f>
        <v>175</v>
      </c>
      <c r="L33" s="453">
        <f>25+25+35+30+35+30</f>
        <v>180</v>
      </c>
      <c r="M33" s="454">
        <f>20+20+7+15</f>
        <v>62</v>
      </c>
      <c r="N33" s="453"/>
      <c r="O33" s="454"/>
      <c r="P33" s="453"/>
      <c r="Q33" s="454">
        <v>3</v>
      </c>
      <c r="R33" s="453">
        <v>3</v>
      </c>
      <c r="S33" s="454"/>
      <c r="T33" s="453"/>
      <c r="U33" s="454"/>
      <c r="V33" s="453">
        <f>25+25+25+1+30+15</f>
        <v>121</v>
      </c>
      <c r="W33" s="454">
        <f>20+30</f>
        <v>50</v>
      </c>
      <c r="X33" s="453"/>
      <c r="Y33" s="454"/>
      <c r="Z33" s="453"/>
      <c r="AA33" s="454"/>
      <c r="AB33" s="453">
        <f>10+12+4</f>
        <v>26</v>
      </c>
      <c r="AC33" s="454">
        <v>1</v>
      </c>
      <c r="AD33" s="453"/>
      <c r="AE33" s="454">
        <f>13</f>
        <v>13</v>
      </c>
      <c r="AF33" s="453">
        <f>7+3</f>
        <v>10</v>
      </c>
      <c r="AG33" s="454"/>
      <c r="AH33" s="453">
        <v>20</v>
      </c>
      <c r="AI33" s="880" t="s">
        <v>227</v>
      </c>
      <c r="AJ33" s="821"/>
      <c r="AK33" s="563" t="s">
        <v>225</v>
      </c>
      <c r="AL33" s="488"/>
      <c r="AM33" s="489"/>
    </row>
    <row r="34" spans="1:39" ht="20.25" customHeight="1">
      <c r="A34" s="370"/>
      <c r="B34" s="290">
        <f t="shared" si="3"/>
        <v>0</v>
      </c>
      <c r="C34" s="214" t="s">
        <v>75</v>
      </c>
      <c r="D34" s="295">
        <f t="shared" si="4"/>
        <v>0</v>
      </c>
      <c r="E34" s="295">
        <f t="shared" ref="E34:E42" si="7">G6</f>
        <v>0</v>
      </c>
      <c r="F34" s="296"/>
      <c r="G34" s="70" t="str">
        <f t="shared" si="5"/>
        <v/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564"/>
      <c r="AJ34" s="565"/>
      <c r="AK34" s="73"/>
      <c r="AL34" s="74"/>
      <c r="AM34" s="388"/>
    </row>
    <row r="35" spans="1:39" ht="20.25" customHeight="1">
      <c r="A35" s="370"/>
      <c r="B35" s="290" t="str">
        <f t="shared" si="3"/>
        <v>I13690826</v>
      </c>
      <c r="C35" s="214" t="s">
        <v>76</v>
      </c>
      <c r="D35" s="295" t="str">
        <f t="shared" si="4"/>
        <v>มิดไนท์เกรย์*N</v>
      </c>
      <c r="E35" s="295">
        <f>G7</f>
        <v>9516</v>
      </c>
      <c r="F35" s="296">
        <f>210*41+44+6</f>
        <v>8660</v>
      </c>
      <c r="G35" s="70">
        <f t="shared" si="5"/>
        <v>8.9953762084909628E-2</v>
      </c>
      <c r="H35" s="63"/>
      <c r="I35" s="64">
        <f t="shared" si="6"/>
        <v>856</v>
      </c>
      <c r="J35" s="455"/>
      <c r="K35" s="456">
        <f>9+30+8+30+2+2+22+20+2+9+3+4</f>
        <v>141</v>
      </c>
      <c r="L35" s="456">
        <f>15+30+30+10+35+30+15+25+11+25+25+7+8+30+10+13</f>
        <v>319</v>
      </c>
      <c r="M35" s="456">
        <v>2</v>
      </c>
      <c r="N35" s="456"/>
      <c r="O35" s="456">
        <f>2+10+25+20+7</f>
        <v>64</v>
      </c>
      <c r="P35" s="456"/>
      <c r="Q35" s="456">
        <v>2</v>
      </c>
      <c r="R35" s="456">
        <v>2</v>
      </c>
      <c r="S35" s="456"/>
      <c r="T35" s="456"/>
      <c r="U35" s="456"/>
      <c r="V35" s="456">
        <f>5+12+30</f>
        <v>47</v>
      </c>
      <c r="W35" s="456">
        <f>30+35+25+20+35+30</f>
        <v>175</v>
      </c>
      <c r="X35" s="456"/>
      <c r="Y35" s="456">
        <f>2+7</f>
        <v>9</v>
      </c>
      <c r="Z35" s="456"/>
      <c r="AA35" s="456"/>
      <c r="AB35" s="456">
        <v>4</v>
      </c>
      <c r="AC35" s="456">
        <f>13+3+6+5</f>
        <v>27</v>
      </c>
      <c r="AD35" s="456"/>
      <c r="AE35" s="456"/>
      <c r="AF35" s="456">
        <f>4+4+2</f>
        <v>10</v>
      </c>
      <c r="AG35" s="456"/>
      <c r="AH35" s="457">
        <v>54</v>
      </c>
      <c r="AI35" s="835" t="s">
        <v>228</v>
      </c>
      <c r="AJ35" s="836"/>
      <c r="AK35" s="562" t="s">
        <v>225</v>
      </c>
      <c r="AL35" s="490"/>
      <c r="AM35" s="491"/>
    </row>
    <row r="36" spans="1:39" ht="20.25" customHeight="1">
      <c r="A36" s="371">
        <v>1</v>
      </c>
      <c r="B36" s="290">
        <f t="shared" si="3"/>
        <v>0</v>
      </c>
      <c r="C36" s="214" t="s">
        <v>77</v>
      </c>
      <c r="D36" s="295">
        <f t="shared" si="4"/>
        <v>0</v>
      </c>
      <c r="E36" s="318">
        <v>0</v>
      </c>
      <c r="F36" s="322"/>
      <c r="G36" s="70" t="str">
        <f t="shared" si="5"/>
        <v/>
      </c>
      <c r="H36" s="63"/>
      <c r="I36" s="64">
        <f t="shared" si="6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877"/>
      <c r="AJ36" s="878"/>
      <c r="AK36" s="827"/>
      <c r="AL36" s="828"/>
      <c r="AM36" s="829"/>
    </row>
    <row r="37" spans="1:39" ht="20.25" customHeight="1">
      <c r="A37" s="372"/>
      <c r="B37" s="290" t="str">
        <f t="shared" si="3"/>
        <v>I15690826</v>
      </c>
      <c r="C37" s="214" t="s">
        <v>78</v>
      </c>
      <c r="D37" s="295" t="str">
        <f t="shared" si="4"/>
        <v>มิดไนท์เกรย์*N</v>
      </c>
      <c r="E37" s="295">
        <f>G9</f>
        <v>2649</v>
      </c>
      <c r="F37" s="296">
        <f>280*9+6</f>
        <v>2526</v>
      </c>
      <c r="G37" s="70">
        <f t="shared" si="5"/>
        <v>4.6432616081540201E-2</v>
      </c>
      <c r="H37" s="63"/>
      <c r="I37" s="64">
        <f t="shared" si="6"/>
        <v>123</v>
      </c>
      <c r="J37" s="455"/>
      <c r="K37" s="456">
        <f>5+17+30+15</f>
        <v>67</v>
      </c>
      <c r="L37" s="456">
        <v>23</v>
      </c>
      <c r="M37" s="456"/>
      <c r="N37" s="456"/>
      <c r="O37" s="456"/>
      <c r="P37" s="456"/>
      <c r="Q37" s="456">
        <v>8</v>
      </c>
      <c r="R37" s="456">
        <v>5</v>
      </c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>
        <v>1</v>
      </c>
      <c r="AD37" s="456"/>
      <c r="AE37" s="456"/>
      <c r="AF37" s="456">
        <f>5+7+7</f>
        <v>19</v>
      </c>
      <c r="AG37" s="456"/>
      <c r="AH37" s="457"/>
      <c r="AI37" s="833" t="s">
        <v>226</v>
      </c>
      <c r="AJ37" s="834"/>
      <c r="AK37" s="562" t="s">
        <v>225</v>
      </c>
      <c r="AL37" s="74"/>
      <c r="AM37" s="75"/>
    </row>
    <row r="38" spans="1:39" ht="20.25" customHeight="1">
      <c r="A38" s="372"/>
      <c r="B38" s="162">
        <f t="shared" si="3"/>
        <v>0</v>
      </c>
      <c r="C38" s="214" t="s">
        <v>79</v>
      </c>
      <c r="D38" s="163">
        <f t="shared" si="4"/>
        <v>0</v>
      </c>
      <c r="E38" s="161">
        <f t="shared" si="7"/>
        <v>0</v>
      </c>
      <c r="F38" s="151"/>
      <c r="G38" s="70" t="str">
        <f t="shared" si="5"/>
        <v/>
      </c>
      <c r="H38" s="63"/>
      <c r="I38" s="64">
        <f t="shared" si="6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7"/>
        <v>0</v>
      </c>
      <c r="F39" s="319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479">
        <f t="shared" si="3"/>
        <v>0</v>
      </c>
      <c r="C40" s="214" t="s">
        <v>63</v>
      </c>
      <c r="D40" s="480">
        <f t="shared" si="4"/>
        <v>0</v>
      </c>
      <c r="E40" s="480">
        <f>G12</f>
        <v>0</v>
      </c>
      <c r="F40" s="319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802"/>
      <c r="AJ40" s="614"/>
      <c r="AK40" s="475"/>
      <c r="AL40" s="474"/>
      <c r="AM40" s="410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7"/>
        <v>0</v>
      </c>
      <c r="F41" s="209"/>
      <c r="G41" s="210" t="str">
        <f t="shared" si="5"/>
        <v/>
      </c>
      <c r="H41" s="63"/>
      <c r="I41" s="64">
        <f t="shared" si="6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16535</v>
      </c>
      <c r="F43" s="145">
        <f>SUM(F33:F42)</f>
        <v>14892</v>
      </c>
      <c r="G43" s="135">
        <f t="shared" si="5"/>
        <v>9.9364983368612034E-2</v>
      </c>
      <c r="H43" s="63"/>
      <c r="I43" s="376">
        <f t="shared" si="6"/>
        <v>1643</v>
      </c>
      <c r="J43" s="77">
        <f>SUM(J33:J42)</f>
        <v>0</v>
      </c>
      <c r="K43" s="78">
        <f t="shared" ref="K43:AH43" si="8">SUM(K33:K42)</f>
        <v>383</v>
      </c>
      <c r="L43" s="78">
        <f t="shared" si="8"/>
        <v>522</v>
      </c>
      <c r="M43" s="78">
        <f t="shared" si="8"/>
        <v>64</v>
      </c>
      <c r="N43" s="78">
        <f t="shared" si="8"/>
        <v>0</v>
      </c>
      <c r="O43" s="78">
        <f t="shared" si="8"/>
        <v>64</v>
      </c>
      <c r="P43" s="78">
        <f t="shared" si="8"/>
        <v>0</v>
      </c>
      <c r="Q43" s="78">
        <f t="shared" si="8"/>
        <v>13</v>
      </c>
      <c r="R43" s="78">
        <f t="shared" si="8"/>
        <v>10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168</v>
      </c>
      <c r="W43" s="78">
        <f t="shared" si="8"/>
        <v>225</v>
      </c>
      <c r="X43" s="78">
        <f t="shared" si="8"/>
        <v>0</v>
      </c>
      <c r="Y43" s="78">
        <f t="shared" si="8"/>
        <v>9</v>
      </c>
      <c r="Z43" s="78">
        <f t="shared" si="8"/>
        <v>0</v>
      </c>
      <c r="AA43" s="78">
        <f t="shared" si="8"/>
        <v>0</v>
      </c>
      <c r="AB43" s="78">
        <f t="shared" si="8"/>
        <v>30</v>
      </c>
      <c r="AC43" s="78">
        <f t="shared" si="8"/>
        <v>29</v>
      </c>
      <c r="AD43" s="78">
        <f t="shared" si="8"/>
        <v>0</v>
      </c>
      <c r="AE43" s="78">
        <f t="shared" si="8"/>
        <v>13</v>
      </c>
      <c r="AF43" s="78">
        <f t="shared" si="8"/>
        <v>39</v>
      </c>
      <c r="AG43" s="78">
        <f t="shared" si="8"/>
        <v>0</v>
      </c>
      <c r="AH43" s="79">
        <f t="shared" si="8"/>
        <v>74</v>
      </c>
      <c r="AI43" s="80"/>
      <c r="AJ43" s="377"/>
      <c r="AK43" s="378"/>
      <c r="AL43" s="379"/>
      <c r="AM43" s="81"/>
    </row>
    <row r="44" spans="1:39" ht="20.25" customHeight="1">
      <c r="A44" s="380"/>
      <c r="B44" s="392">
        <f t="shared" ref="B44:B53" si="9">B16</f>
        <v>0</v>
      </c>
      <c r="C44" s="382" t="s">
        <v>74</v>
      </c>
      <c r="D44" s="293">
        <f t="shared" ref="D44:D53" si="10">D16</f>
        <v>0</v>
      </c>
      <c r="E44" s="293">
        <f>G16</f>
        <v>0</v>
      </c>
      <c r="F44" s="294"/>
      <c r="G44" s="62" t="str">
        <f t="shared" si="5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81"/>
      <c r="AJ44" s="882"/>
      <c r="AK44" s="446"/>
      <c r="AL44" s="83"/>
      <c r="AM44" s="84"/>
    </row>
    <row r="45" spans="1:39" ht="20.25" customHeight="1">
      <c r="A45" s="384"/>
      <c r="B45" s="300">
        <f t="shared" si="9"/>
        <v>0</v>
      </c>
      <c r="C45" s="216" t="s">
        <v>75</v>
      </c>
      <c r="D45" s="302">
        <f t="shared" si="10"/>
        <v>0</v>
      </c>
      <c r="E45" s="303">
        <f>G17</f>
        <v>0</v>
      </c>
      <c r="F45" s="296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58"/>
      <c r="AJ45" s="834"/>
      <c r="AK45" s="433"/>
      <c r="AL45" s="74"/>
      <c r="AM45" s="75"/>
    </row>
    <row r="46" spans="1:39" ht="20.25" customHeight="1">
      <c r="A46" s="363">
        <v>2</v>
      </c>
      <c r="B46" s="300">
        <f t="shared" si="9"/>
        <v>0</v>
      </c>
      <c r="C46" s="217" t="s">
        <v>76</v>
      </c>
      <c r="D46" s="304">
        <f t="shared" si="10"/>
        <v>0</v>
      </c>
      <c r="E46" s="297">
        <f>G18</f>
        <v>0</v>
      </c>
      <c r="F46" s="319"/>
      <c r="G46" s="70" t="str">
        <f t="shared" si="5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879"/>
      <c r="AJ46" s="817"/>
      <c r="AK46" s="448"/>
      <c r="AL46" s="74"/>
      <c r="AM46" s="75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ref="E47:E53" si="11">G19</f>
        <v>0</v>
      </c>
      <c r="F47" s="154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300">
        <f t="shared" si="9"/>
        <v>0</v>
      </c>
      <c r="C48" s="217" t="s">
        <v>78</v>
      </c>
      <c r="D48" s="305">
        <f t="shared" si="10"/>
        <v>0</v>
      </c>
      <c r="E48" s="297">
        <f>G20</f>
        <v>0</v>
      </c>
      <c r="F48" s="319"/>
      <c r="G48" s="70" t="str">
        <f t="shared" si="5"/>
        <v/>
      </c>
      <c r="H48" s="63"/>
      <c r="I48" s="64">
        <f t="shared" si="6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816"/>
      <c r="AJ48" s="817"/>
      <c r="AK48" s="448"/>
      <c r="AL48" s="74"/>
      <c r="AM48" s="75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5"/>
        <v/>
      </c>
      <c r="H54" s="63"/>
      <c r="I54" s="87">
        <f t="shared" si="6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16535</v>
      </c>
      <c r="F55" s="164">
        <f>F43+F54</f>
        <v>14892</v>
      </c>
      <c r="G55" s="165">
        <f t="shared" si="5"/>
        <v>9.9364983368612034E-2</v>
      </c>
      <c r="H55" s="95"/>
      <c r="I55" s="96">
        <f>SUM(I43,I54)</f>
        <v>1643</v>
      </c>
      <c r="J55" s="97">
        <f>SUM(J43,J54)</f>
        <v>0</v>
      </c>
      <c r="K55" s="97">
        <f t="shared" ref="K55:AH55" si="13">SUM(K43,K54)</f>
        <v>383</v>
      </c>
      <c r="L55" s="97">
        <f t="shared" si="13"/>
        <v>522</v>
      </c>
      <c r="M55" s="97">
        <f t="shared" si="13"/>
        <v>64</v>
      </c>
      <c r="N55" s="97">
        <f t="shared" si="13"/>
        <v>0</v>
      </c>
      <c r="O55" s="97">
        <f t="shared" si="13"/>
        <v>64</v>
      </c>
      <c r="P55" s="97">
        <f t="shared" si="13"/>
        <v>0</v>
      </c>
      <c r="Q55" s="97">
        <f t="shared" si="13"/>
        <v>13</v>
      </c>
      <c r="R55" s="97">
        <f t="shared" si="13"/>
        <v>10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168</v>
      </c>
      <c r="W55" s="97">
        <f t="shared" si="13"/>
        <v>225</v>
      </c>
      <c r="X55" s="97">
        <f t="shared" si="13"/>
        <v>0</v>
      </c>
      <c r="Y55" s="97">
        <f t="shared" si="13"/>
        <v>9</v>
      </c>
      <c r="Z55" s="97">
        <f t="shared" si="13"/>
        <v>0</v>
      </c>
      <c r="AA55" s="97">
        <f t="shared" si="13"/>
        <v>0</v>
      </c>
      <c r="AB55" s="97">
        <f t="shared" si="13"/>
        <v>30</v>
      </c>
      <c r="AC55" s="97">
        <f t="shared" si="13"/>
        <v>29</v>
      </c>
      <c r="AD55" s="97">
        <f t="shared" si="13"/>
        <v>0</v>
      </c>
      <c r="AE55" s="97">
        <f t="shared" si="13"/>
        <v>13</v>
      </c>
      <c r="AF55" s="97">
        <f t="shared" si="13"/>
        <v>39</v>
      </c>
      <c r="AG55" s="97">
        <f t="shared" si="13"/>
        <v>0</v>
      </c>
      <c r="AH55" s="97">
        <f t="shared" si="13"/>
        <v>74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6">
    <mergeCell ref="AI33:AJ33"/>
    <mergeCell ref="AI35:AJ35"/>
    <mergeCell ref="AI31:AJ32"/>
    <mergeCell ref="AK31:AM32"/>
    <mergeCell ref="AI44:AJ44"/>
    <mergeCell ref="AI45:AJ45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AJ26:AK26"/>
    <mergeCell ref="I27:O27"/>
    <mergeCell ref="AD26:AE26"/>
    <mergeCell ref="AF26:AG26"/>
    <mergeCell ref="AH26:AI26"/>
    <mergeCell ref="I26:O26"/>
    <mergeCell ref="P26:Q26"/>
    <mergeCell ref="AF27:AG27"/>
    <mergeCell ref="X26:Y26"/>
    <mergeCell ref="Z26:AA26"/>
    <mergeCell ref="AB26:AC26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F29:AG29"/>
    <mergeCell ref="AH29:AI29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AJ28:AK28"/>
    <mergeCell ref="Z29:AA29"/>
    <mergeCell ref="AB29:AC29"/>
    <mergeCell ref="AD29:AE29"/>
    <mergeCell ref="I25:O25"/>
    <mergeCell ref="R24:S24"/>
    <mergeCell ref="T24:U24"/>
    <mergeCell ref="V24:W24"/>
    <mergeCell ref="X24:Y24"/>
    <mergeCell ref="Z24:AA24"/>
    <mergeCell ref="AB24:AC24"/>
    <mergeCell ref="P25:Q25"/>
    <mergeCell ref="T28:U28"/>
    <mergeCell ref="V28:W28"/>
    <mergeCell ref="X28:Y28"/>
    <mergeCell ref="R28:S28"/>
    <mergeCell ref="P28:Q28"/>
    <mergeCell ref="AF18:AG18"/>
    <mergeCell ref="AH18:AI18"/>
    <mergeCell ref="AJ18:AK18"/>
    <mergeCell ref="AJ24:AK24"/>
    <mergeCell ref="AF24:AG24"/>
    <mergeCell ref="AH24:AI24"/>
    <mergeCell ref="I18:O18"/>
    <mergeCell ref="P18:Q18"/>
    <mergeCell ref="R18:S18"/>
    <mergeCell ref="T18:U18"/>
    <mergeCell ref="V18:W18"/>
    <mergeCell ref="X18:Y18"/>
    <mergeCell ref="AD24:AE24"/>
    <mergeCell ref="I24:O24"/>
    <mergeCell ref="P24:Q24"/>
    <mergeCell ref="Z18:AA18"/>
    <mergeCell ref="AB18:AC18"/>
    <mergeCell ref="AD18:AE18"/>
    <mergeCell ref="I23:O23"/>
    <mergeCell ref="P23:Q23"/>
    <mergeCell ref="I22:O22"/>
    <mergeCell ref="P22:Q22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AD9:AE9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AB9:AC9"/>
    <mergeCell ref="AB5:AC5"/>
    <mergeCell ref="AH6:AI6"/>
    <mergeCell ref="Z7:AA7"/>
    <mergeCell ref="AB7:AC7"/>
    <mergeCell ref="AD7:AE7"/>
    <mergeCell ref="AF7:AG7"/>
    <mergeCell ref="AH8:AI8"/>
    <mergeCell ref="AB6:AC6"/>
    <mergeCell ref="AD6:AE6"/>
    <mergeCell ref="AF6:AG6"/>
    <mergeCell ref="AD5:AE5"/>
    <mergeCell ref="Z6:AA6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J3:AK3"/>
    <mergeCell ref="AD2:AE2"/>
    <mergeCell ref="AF2:AG2"/>
    <mergeCell ref="Z2:AA2"/>
    <mergeCell ref="AB2:AC2"/>
    <mergeCell ref="AF3:AG3"/>
    <mergeCell ref="AH3:AI3"/>
    <mergeCell ref="M1:N1"/>
    <mergeCell ref="R1:U1"/>
    <mergeCell ref="E2:H2"/>
    <mergeCell ref="I2:O4"/>
    <mergeCell ref="P2:Q3"/>
    <mergeCell ref="R2:S2"/>
    <mergeCell ref="T2:U2"/>
    <mergeCell ref="P4:Q4"/>
    <mergeCell ref="I6:O6"/>
    <mergeCell ref="P6:Q6"/>
    <mergeCell ref="R6:S6"/>
    <mergeCell ref="T6:U6"/>
    <mergeCell ref="I7:O7"/>
    <mergeCell ref="P7:Q7"/>
    <mergeCell ref="R7:S7"/>
    <mergeCell ref="Z9:AA9"/>
    <mergeCell ref="V6:W6"/>
    <mergeCell ref="X6:Y6"/>
    <mergeCell ref="I5:O5"/>
    <mergeCell ref="P5:Q5"/>
    <mergeCell ref="R5:S5"/>
    <mergeCell ref="T5:U5"/>
    <mergeCell ref="V5:W5"/>
    <mergeCell ref="X5:Y5"/>
    <mergeCell ref="Z8:AA8"/>
    <mergeCell ref="Z5:AA5"/>
    <mergeCell ref="T7:U7"/>
    <mergeCell ref="V7:W7"/>
    <mergeCell ref="X7:Y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T4:U4"/>
    <mergeCell ref="V4:W4"/>
    <mergeCell ref="X4:Y4"/>
    <mergeCell ref="AH4:AI4"/>
    <mergeCell ref="Z4:AA4"/>
    <mergeCell ref="AB4:AC4"/>
    <mergeCell ref="AB8:AC8"/>
    <mergeCell ref="AD8:AE8"/>
    <mergeCell ref="AF8:AG8"/>
    <mergeCell ref="AH7:AI7"/>
    <mergeCell ref="AF5:AG5"/>
    <mergeCell ref="AH5:AI5"/>
    <mergeCell ref="AI37:AJ37"/>
    <mergeCell ref="AI36:AJ36"/>
    <mergeCell ref="AK36:AM36"/>
    <mergeCell ref="A43:D43"/>
    <mergeCell ref="AI46:AJ46"/>
    <mergeCell ref="I57:O57"/>
    <mergeCell ref="P57:V57"/>
    <mergeCell ref="W57:AE57"/>
    <mergeCell ref="AF57:AM57"/>
    <mergeCell ref="AI40:AJ40"/>
    <mergeCell ref="AI48:AJ48"/>
  </mergeCells>
  <dataValidations disablePrompts="1"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C19:C24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M59"/>
  <sheetViews>
    <sheetView showGridLines="0" topLeftCell="A31" zoomScale="64" zoomScaleNormal="64" workbookViewId="0">
      <selection activeCell="AB6" sqref="AB6:AC6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18.25" style="9" customWidth="1"/>
    <col min="5" max="7" width="12" style="9" customWidth="1"/>
    <col min="8" max="8" width="11" style="9" customWidth="1"/>
    <col min="9" max="9" width="5.58203125" style="9" customWidth="1"/>
    <col min="10" max="16" width="4.5" style="9" customWidth="1"/>
    <col min="17" max="17" width="6.5" style="9" customWidth="1"/>
    <col min="18" max="22" width="4.5" style="9" customWidth="1"/>
    <col min="23" max="32" width="4.5" style="13" customWidth="1"/>
    <col min="33" max="35" width="4.5" style="17" customWidth="1"/>
    <col min="36" max="36" width="22.25" style="17" customWidth="1"/>
    <col min="37" max="38" width="4.5" style="17" customWidth="1"/>
    <col min="39" max="39" width="15.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>
        <v>244575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224" t="s">
        <v>222</v>
      </c>
      <c r="C5" s="129" t="s">
        <v>74</v>
      </c>
      <c r="D5" s="225" t="s">
        <v>194</v>
      </c>
      <c r="E5" s="225">
        <v>4000</v>
      </c>
      <c r="F5" s="225">
        <f>2472+1020+1055</f>
        <v>4547</v>
      </c>
      <c r="G5" s="226">
        <f>2340+1855</f>
        <v>4195</v>
      </c>
      <c r="H5" s="110">
        <f t="shared" ref="H5:H28" si="0">IF(F5=0,"",(F5-G5)/F5)</f>
        <v>7.7413679349021339E-2</v>
      </c>
      <c r="I5" s="675" t="s">
        <v>33</v>
      </c>
      <c r="J5" s="676"/>
      <c r="K5" s="676"/>
      <c r="L5" s="676"/>
      <c r="M5" s="676"/>
      <c r="N5" s="676"/>
      <c r="O5" s="677"/>
      <c r="P5" s="678">
        <v>4.3719999999999999</v>
      </c>
      <c r="Q5" s="679"/>
      <c r="R5" s="680">
        <v>13.084</v>
      </c>
      <c r="S5" s="679"/>
      <c r="T5" s="681">
        <v>1.38</v>
      </c>
      <c r="U5" s="682"/>
      <c r="V5" s="683">
        <v>34.741</v>
      </c>
      <c r="W5" s="684"/>
      <c r="X5" s="685">
        <v>0.80700000000000005</v>
      </c>
      <c r="Y5" s="686"/>
      <c r="Z5" s="687">
        <f>164+180+110+20</f>
        <v>474</v>
      </c>
      <c r="AA5" s="688"/>
      <c r="AB5" s="674">
        <f>33+30</f>
        <v>63</v>
      </c>
      <c r="AC5" s="674"/>
      <c r="AD5" s="689">
        <f>SUM(AF5:AK5)*0.025</f>
        <v>2.8250000000000002</v>
      </c>
      <c r="AE5" s="689"/>
      <c r="AF5" s="674">
        <f>66+47</f>
        <v>113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362"/>
      <c r="C6" s="129" t="s">
        <v>75</v>
      </c>
      <c r="D6" s="227"/>
      <c r="E6" s="228"/>
      <c r="F6" s="228"/>
      <c r="G6" s="229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0.26364349032141349</v>
      </c>
      <c r="Q6" s="673"/>
      <c r="R6" s="673">
        <f>IF($F$15=0,0,R5*1000/$F$15)</f>
        <v>0.78900078393535544</v>
      </c>
      <c r="S6" s="673"/>
      <c r="T6" s="673">
        <f>IF($F$15=0,0,T5*1000/$F$15)</f>
        <v>8.3217753120665747E-2</v>
      </c>
      <c r="U6" s="673"/>
      <c r="V6" s="673">
        <f>IF($F$15=0,0,V5*1000/$F$15)</f>
        <v>2.0949767834529336</v>
      </c>
      <c r="W6" s="673"/>
      <c r="X6" s="673">
        <f>IF($F$15=0,0,X5*1000/$F$15)</f>
        <v>4.8664294759693659E-2</v>
      </c>
      <c r="Y6" s="673"/>
      <c r="Z6" s="673">
        <f>IF($F$15=0,0,Z5*1000/$F$15)</f>
        <v>28.583489115359104</v>
      </c>
      <c r="AA6" s="673"/>
      <c r="AB6" s="632">
        <f>IF($F$15=0,0,AB5*1000/$F$15)</f>
        <v>3.7990713381173489</v>
      </c>
      <c r="AC6" s="632"/>
      <c r="AD6" s="632">
        <f>IF($F$15=0,0,AD5*1000/$F$15)</f>
        <v>0.17035518301875416</v>
      </c>
      <c r="AE6" s="632"/>
      <c r="AF6" s="627">
        <f>IF(AF5=0,0,F15/AF5)</f>
        <v>146.75221238938053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362" t="s">
        <v>223</v>
      </c>
      <c r="C7" s="129" t="s">
        <v>76</v>
      </c>
      <c r="D7" s="227" t="s">
        <v>194</v>
      </c>
      <c r="E7" s="228">
        <v>6000</v>
      </c>
      <c r="F7" s="228">
        <f>4744+1001+1152+1266+1099</f>
        <v>9262</v>
      </c>
      <c r="G7" s="229">
        <f>3966+4210</f>
        <v>8176</v>
      </c>
      <c r="H7" s="111">
        <f t="shared" si="0"/>
        <v>0.11725329302526452</v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0.29090425177989221</v>
      </c>
      <c r="Q7" s="639"/>
      <c r="R7" s="639">
        <f>IF($G$15=0,0,R5*1000/$G$15)</f>
        <v>0.87058353849224834</v>
      </c>
      <c r="S7" s="639"/>
      <c r="T7" s="639">
        <f>IF($G$15=0,0,T5*1000/$G$15)</f>
        <v>9.1822476545345671E-2</v>
      </c>
      <c r="U7" s="639"/>
      <c r="V7" s="639">
        <f>IF($G$15=0,0,V5*1000/$G$15)</f>
        <v>2.311597578015836</v>
      </c>
      <c r="W7" s="639"/>
      <c r="X7" s="639">
        <f>IF($G$15=0,0,X5*1000/$G$15)</f>
        <v>5.3696187371082574E-2</v>
      </c>
      <c r="Y7" s="639"/>
      <c r="Z7" s="639">
        <f>IF($G$15=0,0,Z5*1000/$G$15)</f>
        <v>31.539024552531771</v>
      </c>
      <c r="AA7" s="639"/>
      <c r="AB7" s="632">
        <f>IF($G$15=0,0,AB5*1000/$G$15)</f>
        <v>4.1918956683744764</v>
      </c>
      <c r="AC7" s="632"/>
      <c r="AD7" s="632">
        <f>IF($G$15=0,0,AD5*1000/$G$15)</f>
        <v>0.18796992481203006</v>
      </c>
      <c r="AE7" s="632"/>
      <c r="AF7" s="627">
        <f>IF(AF5=0,0,G15/AF5)</f>
        <v>133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362"/>
      <c r="C8" s="129" t="s">
        <v>77</v>
      </c>
      <c r="D8" s="227"/>
      <c r="E8" s="228"/>
      <c r="F8" s="228"/>
      <c r="G8" s="229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>
        <f>106+86</f>
        <v>192</v>
      </c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362" t="s">
        <v>224</v>
      </c>
      <c r="C9" s="129" t="s">
        <v>78</v>
      </c>
      <c r="D9" s="227" t="s">
        <v>194</v>
      </c>
      <c r="E9" s="228">
        <v>2000</v>
      </c>
      <c r="F9" s="228">
        <f>1422+1352</f>
        <v>2774</v>
      </c>
      <c r="G9" s="229">
        <f>1344+1314</f>
        <v>2658</v>
      </c>
      <c r="H9" s="111">
        <f>IF(F9=0,"",(F9-G9)/F9)</f>
        <v>4.1816870944484497E-2</v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362"/>
      <c r="C10" s="129" t="s">
        <v>79</v>
      </c>
      <c r="D10" s="227"/>
      <c r="E10" s="228"/>
      <c r="F10" s="228"/>
      <c r="G10" s="229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362"/>
      <c r="C11" s="129" t="s">
        <v>80</v>
      </c>
      <c r="D11" s="227"/>
      <c r="E11" s="228"/>
      <c r="F11" s="228"/>
      <c r="G11" s="229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221"/>
      <c r="C12" s="129" t="s">
        <v>63</v>
      </c>
      <c r="D12" s="240"/>
      <c r="E12" s="241"/>
      <c r="F12" s="241"/>
      <c r="G12" s="242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>
        <f>36+5+6+6+5+4+4+4</f>
        <v>70</v>
      </c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>
        <f>F15/P12</f>
        <v>236.9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>
        <v>7</v>
      </c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12000</v>
      </c>
      <c r="F15" s="204">
        <f>SUM(F5:F14)</f>
        <v>16583</v>
      </c>
      <c r="G15" s="204">
        <f>SUM(G5:G14)</f>
        <v>15029</v>
      </c>
      <c r="H15" s="188">
        <f>IF(F15=0,"",(F15-G15)/F15)</f>
        <v>9.3710426340227942E-2</v>
      </c>
      <c r="I15" s="719" t="s">
        <v>70</v>
      </c>
      <c r="J15" s="720"/>
      <c r="K15" s="720"/>
      <c r="L15" s="720"/>
      <c r="M15" s="720"/>
      <c r="N15" s="720"/>
      <c r="O15" s="721"/>
      <c r="P15" s="722">
        <f>F15/P14</f>
        <v>2369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224"/>
      <c r="C16" s="130" t="s">
        <v>74</v>
      </c>
      <c r="D16" s="230"/>
      <c r="E16" s="225"/>
      <c r="F16" s="225"/>
      <c r="G16" s="226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362"/>
      <c r="C17" s="131" t="s">
        <v>75</v>
      </c>
      <c r="D17" s="228"/>
      <c r="E17" s="228"/>
      <c r="F17" s="228"/>
      <c r="G17" s="229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742">
        <f>IF(AF16=0,0,F26/AF16)</f>
        <v>0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362"/>
      <c r="C18" s="131" t="s">
        <v>76</v>
      </c>
      <c r="D18" s="228"/>
      <c r="E18" s="228"/>
      <c r="F18" s="228"/>
      <c r="G18" s="229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742">
        <f>IF(AF16=0,0,G26/AF16)</f>
        <v>0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362"/>
      <c r="C19" s="131" t="s">
        <v>77</v>
      </c>
      <c r="D19" s="228"/>
      <c r="E19" s="228"/>
      <c r="F19" s="228"/>
      <c r="G19" s="229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362"/>
      <c r="C20" s="131" t="s">
        <v>78</v>
      </c>
      <c r="D20" s="228"/>
      <c r="E20" s="228"/>
      <c r="F20" s="228"/>
      <c r="G20" s="229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362"/>
      <c r="C21" s="131" t="s">
        <v>79</v>
      </c>
      <c r="D21" s="228"/>
      <c r="E21" s="228"/>
      <c r="F21" s="228"/>
      <c r="G21" s="229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228"/>
      <c r="E22" s="228"/>
      <c r="F22" s="228"/>
      <c r="G22" s="229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0</v>
      </c>
      <c r="G26" s="205">
        <f>SUM(G16:G25)</f>
        <v>0</v>
      </c>
      <c r="H26" s="196" t="str">
        <f>IF(F26=0,"",(F26-G26)/F26)</f>
        <v/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4.3719999999999999</v>
      </c>
      <c r="Q27" s="781"/>
      <c r="R27" s="782">
        <f>SUM(R5,R16)</f>
        <v>13.084</v>
      </c>
      <c r="S27" s="781"/>
      <c r="T27" s="782">
        <f>SUM(T5,T16)</f>
        <v>1.38</v>
      </c>
      <c r="U27" s="781"/>
      <c r="V27" s="782">
        <f>SUM(V5,V16)</f>
        <v>34.741</v>
      </c>
      <c r="W27" s="781"/>
      <c r="X27" s="782">
        <f>SUM(X5,X16)</f>
        <v>0.80700000000000005</v>
      </c>
      <c r="Y27" s="781"/>
      <c r="Z27" s="783">
        <f>SUM(Z5,Z16)</f>
        <v>474</v>
      </c>
      <c r="AA27" s="784"/>
      <c r="AB27" s="770">
        <f>SUM(AB5,AB16)</f>
        <v>63</v>
      </c>
      <c r="AC27" s="770"/>
      <c r="AD27" s="769">
        <f>SUM(AD5,AD16)</f>
        <v>2.8250000000000002</v>
      </c>
      <c r="AE27" s="769"/>
      <c r="AF27" s="770">
        <f>SUM(AF5,AF16)</f>
        <v>113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12000</v>
      </c>
      <c r="F28" s="140">
        <f>F15+F26</f>
        <v>16583</v>
      </c>
      <c r="G28" s="140">
        <f>G15+G26</f>
        <v>15029</v>
      </c>
      <c r="H28" s="141">
        <f t="shared" si="0"/>
        <v>9.3710426340227942E-2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0.26364349032141349</v>
      </c>
      <c r="Q28" s="745"/>
      <c r="R28" s="746">
        <f t="shared" si="1"/>
        <v>0.78900078393535544</v>
      </c>
      <c r="S28" s="745"/>
      <c r="T28" s="746">
        <f t="shared" si="1"/>
        <v>8.3217753120665747E-2</v>
      </c>
      <c r="U28" s="745"/>
      <c r="V28" s="800">
        <f t="shared" si="1"/>
        <v>2.0949767834529336</v>
      </c>
      <c r="W28" s="801"/>
      <c r="X28" s="800">
        <f t="shared" si="1"/>
        <v>4.8664294759693659E-2</v>
      </c>
      <c r="Y28" s="801"/>
      <c r="Z28" s="746">
        <f t="shared" si="1"/>
        <v>28.583489115359104</v>
      </c>
      <c r="AA28" s="744"/>
      <c r="AB28" s="632">
        <f t="shared" si="1"/>
        <v>3.7990713381173489</v>
      </c>
      <c r="AC28" s="632"/>
      <c r="AD28" s="632">
        <f t="shared" si="1"/>
        <v>0.17035518301875416</v>
      </c>
      <c r="AE28" s="632"/>
      <c r="AF28" s="757">
        <f>IF(AF27=0,0,F28/AF27)</f>
        <v>146.75221238938053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0.29090425177989221</v>
      </c>
      <c r="Q29" s="792"/>
      <c r="R29" s="771">
        <f t="shared" si="2"/>
        <v>0.87058353849224834</v>
      </c>
      <c r="S29" s="792"/>
      <c r="T29" s="771">
        <f t="shared" si="2"/>
        <v>9.1822476545345671E-2</v>
      </c>
      <c r="U29" s="792"/>
      <c r="V29" s="793">
        <f t="shared" si="2"/>
        <v>2.311597578015836</v>
      </c>
      <c r="W29" s="794"/>
      <c r="X29" s="795">
        <f t="shared" si="2"/>
        <v>5.3696187371082574E-2</v>
      </c>
      <c r="Y29" s="796"/>
      <c r="Z29" s="771">
        <f t="shared" si="2"/>
        <v>31.539024552531771</v>
      </c>
      <c r="AA29" s="772"/>
      <c r="AB29" s="773">
        <f t="shared" si="2"/>
        <v>4.1918956683744764</v>
      </c>
      <c r="AC29" s="773"/>
      <c r="AD29" s="773">
        <f t="shared" si="2"/>
        <v>0.18796992481203006</v>
      </c>
      <c r="AE29" s="773"/>
      <c r="AF29" s="774">
        <f>IF(AF27=0,0,G28/AF27)</f>
        <v>133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306" t="str">
        <f t="shared" ref="B33:B42" si="3">B5</f>
        <v>I11690827</v>
      </c>
      <c r="C33" s="213" t="s">
        <v>74</v>
      </c>
      <c r="D33" s="307" t="str">
        <f t="shared" ref="D33:D42" si="4">D5</f>
        <v>มิดไนท์บลู*N</v>
      </c>
      <c r="E33" s="307">
        <f>G5</f>
        <v>4195</v>
      </c>
      <c r="F33" s="395">
        <f>144*25+27+6</f>
        <v>3633</v>
      </c>
      <c r="G33" s="62">
        <f t="shared" ref="G33:G55" si="5">IF(E33=0,"",(E33-F33)/E33)</f>
        <v>0.13396901072705603</v>
      </c>
      <c r="H33" s="63"/>
      <c r="I33" s="64">
        <f t="shared" ref="I33:I54" si="6">SUM(J33:AH33)</f>
        <v>562</v>
      </c>
      <c r="J33" s="453">
        <f>7</f>
        <v>7</v>
      </c>
      <c r="K33" s="454">
        <f>5+20+25+20+13+4</f>
        <v>87</v>
      </c>
      <c r="L33" s="453">
        <f>38+35+15</f>
        <v>88</v>
      </c>
      <c r="M33" s="454">
        <v>230</v>
      </c>
      <c r="N33" s="453"/>
      <c r="O33" s="454">
        <v>10</v>
      </c>
      <c r="P33" s="453"/>
      <c r="Q33" s="454"/>
      <c r="R33" s="453"/>
      <c r="S33" s="454"/>
      <c r="T33" s="453"/>
      <c r="U33" s="454"/>
      <c r="V33" s="453">
        <f>15+30+30+30+4+5+7+14</f>
        <v>135</v>
      </c>
      <c r="W33" s="454"/>
      <c r="X33" s="453"/>
      <c r="Y33" s="454"/>
      <c r="Z33" s="453"/>
      <c r="AA33" s="454"/>
      <c r="AB33" s="453"/>
      <c r="AC33" s="454"/>
      <c r="AD33" s="453"/>
      <c r="AE33" s="454"/>
      <c r="AF33" s="453">
        <f>3+2</f>
        <v>5</v>
      </c>
      <c r="AG33" s="454"/>
      <c r="AH33" s="453"/>
      <c r="AI33" s="820" t="s">
        <v>233</v>
      </c>
      <c r="AJ33" s="821"/>
      <c r="AK33" s="883" t="s">
        <v>236</v>
      </c>
      <c r="AL33" s="884"/>
      <c r="AM33" s="885"/>
    </row>
    <row r="34" spans="1:39" ht="20.25" customHeight="1">
      <c r="A34" s="370"/>
      <c r="B34" s="320">
        <f t="shared" si="3"/>
        <v>0</v>
      </c>
      <c r="C34" s="214" t="s">
        <v>75</v>
      </c>
      <c r="D34" s="318">
        <f t="shared" si="4"/>
        <v>0</v>
      </c>
      <c r="E34" s="318">
        <f>G6</f>
        <v>0</v>
      </c>
      <c r="F34" s="322"/>
      <c r="G34" s="70" t="str">
        <f t="shared" si="5"/>
        <v/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833"/>
      <c r="AJ34" s="834"/>
      <c r="AK34" s="484"/>
      <c r="AL34" s="74"/>
      <c r="AM34" s="388"/>
    </row>
    <row r="35" spans="1:39" ht="20.25" customHeight="1">
      <c r="A35" s="370"/>
      <c r="B35" s="320" t="str">
        <f t="shared" si="3"/>
        <v>I13690827</v>
      </c>
      <c r="C35" s="214" t="s">
        <v>76</v>
      </c>
      <c r="D35" s="318" t="str">
        <f t="shared" si="4"/>
        <v>มิดไนท์บลู*N</v>
      </c>
      <c r="E35" s="318">
        <f>G7</f>
        <v>8176</v>
      </c>
      <c r="F35" s="322">
        <f>210*35+155+6</f>
        <v>7511</v>
      </c>
      <c r="G35" s="70">
        <f t="shared" si="5"/>
        <v>8.133561643835617E-2</v>
      </c>
      <c r="H35" s="63"/>
      <c r="I35" s="64">
        <f t="shared" si="6"/>
        <v>665</v>
      </c>
      <c r="J35" s="455">
        <f>10</f>
        <v>10</v>
      </c>
      <c r="K35" s="456">
        <f>14+20+10+8+20+35+3+7</f>
        <v>117</v>
      </c>
      <c r="L35" s="456">
        <f>7+18+10+25+30+3+1+7+8+25+2+20</f>
        <v>156</v>
      </c>
      <c r="M35" s="456">
        <v>7</v>
      </c>
      <c r="N35" s="456"/>
      <c r="O35" s="456">
        <f>25+15+25+25+22+31</f>
        <v>143</v>
      </c>
      <c r="P35" s="456"/>
      <c r="Q35" s="456">
        <f>2+3</f>
        <v>5</v>
      </c>
      <c r="R35" s="456"/>
      <c r="S35" s="456"/>
      <c r="T35" s="456"/>
      <c r="U35" s="456"/>
      <c r="V35" s="456"/>
      <c r="W35" s="456">
        <f>23+35+30+15+25+25+20</f>
        <v>173</v>
      </c>
      <c r="X35" s="456"/>
      <c r="Y35" s="456"/>
      <c r="Z35" s="456"/>
      <c r="AA35" s="456"/>
      <c r="AB35" s="456">
        <v>4</v>
      </c>
      <c r="AC35" s="456">
        <f>9+9+13+3+7+3</f>
        <v>44</v>
      </c>
      <c r="AD35" s="456"/>
      <c r="AE35" s="456"/>
      <c r="AF35" s="456">
        <f>2+4</f>
        <v>6</v>
      </c>
      <c r="AG35" s="456"/>
      <c r="AH35" s="457"/>
      <c r="AI35" s="835" t="s">
        <v>235</v>
      </c>
      <c r="AJ35" s="836"/>
      <c r="AK35" s="886" t="s">
        <v>236</v>
      </c>
      <c r="AL35" s="887"/>
      <c r="AM35" s="888"/>
    </row>
    <row r="36" spans="1:39" ht="20.25" customHeight="1">
      <c r="A36" s="371">
        <v>1</v>
      </c>
      <c r="B36" s="320">
        <f t="shared" si="3"/>
        <v>0</v>
      </c>
      <c r="C36" s="214" t="s">
        <v>77</v>
      </c>
      <c r="D36" s="124">
        <f t="shared" si="4"/>
        <v>0</v>
      </c>
      <c r="E36" s="161">
        <f t="shared" ref="E36:E42" si="7">G8</f>
        <v>0</v>
      </c>
      <c r="F36" s="151"/>
      <c r="G36" s="70" t="str">
        <f t="shared" si="5"/>
        <v/>
      </c>
      <c r="H36" s="63"/>
      <c r="I36" s="64">
        <f t="shared" si="6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452"/>
      <c r="AJ36" s="438"/>
      <c r="AK36" s="73"/>
      <c r="AL36" s="74"/>
      <c r="AM36" s="388"/>
    </row>
    <row r="37" spans="1:39" ht="20.25" customHeight="1">
      <c r="A37" s="372"/>
      <c r="B37" s="320" t="str">
        <f t="shared" si="3"/>
        <v>I15690827</v>
      </c>
      <c r="C37" s="214" t="s">
        <v>78</v>
      </c>
      <c r="D37" s="318" t="str">
        <f t="shared" si="4"/>
        <v>มิดไนท์บลู*N</v>
      </c>
      <c r="E37" s="318">
        <f>G9</f>
        <v>2658</v>
      </c>
      <c r="F37" s="322">
        <f>280*8+165+6</f>
        <v>2411</v>
      </c>
      <c r="G37" s="70">
        <f t="shared" si="5"/>
        <v>9.2927012791572616E-2</v>
      </c>
      <c r="H37" s="63"/>
      <c r="I37" s="64">
        <f t="shared" si="6"/>
        <v>247</v>
      </c>
      <c r="J37" s="455">
        <f>7+20</f>
        <v>27</v>
      </c>
      <c r="K37" s="456">
        <f>30+10+23+20+15</f>
        <v>98</v>
      </c>
      <c r="L37" s="456">
        <f>25</f>
        <v>25</v>
      </c>
      <c r="M37" s="456">
        <f>13+5</f>
        <v>18</v>
      </c>
      <c r="N37" s="456"/>
      <c r="O37" s="456"/>
      <c r="P37" s="456"/>
      <c r="Q37" s="456">
        <f>6+7+2</f>
        <v>15</v>
      </c>
      <c r="R37" s="456">
        <v>3</v>
      </c>
      <c r="S37" s="456"/>
      <c r="T37" s="456"/>
      <c r="U37" s="456"/>
      <c r="V37" s="456"/>
      <c r="W37" s="456">
        <f>11</f>
        <v>11</v>
      </c>
      <c r="X37" s="456"/>
      <c r="Y37" s="456">
        <v>3</v>
      </c>
      <c r="Z37" s="456"/>
      <c r="AA37" s="456"/>
      <c r="AB37" s="456"/>
      <c r="AC37" s="456"/>
      <c r="AD37" s="456"/>
      <c r="AE37" s="456"/>
      <c r="AF37" s="456">
        <f>5+13+4+20</f>
        <v>42</v>
      </c>
      <c r="AG37" s="456"/>
      <c r="AH37" s="457">
        <v>5</v>
      </c>
      <c r="AI37" s="833" t="s">
        <v>234</v>
      </c>
      <c r="AJ37" s="834"/>
      <c r="AK37" s="566" t="s">
        <v>236</v>
      </c>
      <c r="AL37" s="74"/>
      <c r="AM37" s="388"/>
    </row>
    <row r="38" spans="1:39" ht="20.25" customHeight="1">
      <c r="A38" s="372"/>
      <c r="B38" s="321">
        <f t="shared" si="3"/>
        <v>0</v>
      </c>
      <c r="C38" s="214" t="s">
        <v>79</v>
      </c>
      <c r="D38" s="323">
        <f t="shared" si="4"/>
        <v>0</v>
      </c>
      <c r="E38" s="318">
        <f>G10</f>
        <v>0</v>
      </c>
      <c r="F38" s="322"/>
      <c r="G38" s="70" t="str">
        <f t="shared" si="5"/>
        <v/>
      </c>
      <c r="H38" s="63"/>
      <c r="I38" s="64">
        <f t="shared" si="6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833"/>
      <c r="AJ38" s="834"/>
      <c r="AK38" s="477"/>
      <c r="AL38" s="478"/>
      <c r="AM38" s="481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7"/>
        <v>0</v>
      </c>
      <c r="F39" s="154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291">
        <f t="shared" si="3"/>
        <v>0</v>
      </c>
      <c r="C40" s="214" t="s">
        <v>63</v>
      </c>
      <c r="D40" s="297">
        <f t="shared" si="4"/>
        <v>0</v>
      </c>
      <c r="E40" s="297">
        <f t="shared" si="7"/>
        <v>0</v>
      </c>
      <c r="F40" s="319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877"/>
      <c r="AJ40" s="878"/>
      <c r="AK40" s="889"/>
      <c r="AL40" s="890"/>
      <c r="AM40" s="891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7"/>
        <v>0</v>
      </c>
      <c r="F41" s="209"/>
      <c r="G41" s="210" t="str">
        <f t="shared" si="5"/>
        <v/>
      </c>
      <c r="H41" s="63"/>
      <c r="I41" s="64">
        <f t="shared" si="6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15029</v>
      </c>
      <c r="F43" s="145">
        <f>SUM(F33:F42)</f>
        <v>13555</v>
      </c>
      <c r="G43" s="135">
        <f t="shared" si="5"/>
        <v>9.807705103466631E-2</v>
      </c>
      <c r="H43" s="63"/>
      <c r="I43" s="376">
        <f t="shared" si="6"/>
        <v>1474</v>
      </c>
      <c r="J43" s="77">
        <f>SUM(J33:J42)</f>
        <v>44</v>
      </c>
      <c r="K43" s="78">
        <f t="shared" ref="K43:AH43" si="8">SUM(K33:K42)</f>
        <v>302</v>
      </c>
      <c r="L43" s="78">
        <f t="shared" si="8"/>
        <v>269</v>
      </c>
      <c r="M43" s="78">
        <f t="shared" si="8"/>
        <v>255</v>
      </c>
      <c r="N43" s="78">
        <f t="shared" si="8"/>
        <v>0</v>
      </c>
      <c r="O43" s="78">
        <f t="shared" si="8"/>
        <v>153</v>
      </c>
      <c r="P43" s="78">
        <f t="shared" si="8"/>
        <v>0</v>
      </c>
      <c r="Q43" s="78">
        <f t="shared" si="8"/>
        <v>20</v>
      </c>
      <c r="R43" s="78">
        <f t="shared" si="8"/>
        <v>3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135</v>
      </c>
      <c r="W43" s="78">
        <f t="shared" si="8"/>
        <v>184</v>
      </c>
      <c r="X43" s="78">
        <f t="shared" si="8"/>
        <v>0</v>
      </c>
      <c r="Y43" s="78">
        <f t="shared" si="8"/>
        <v>3</v>
      </c>
      <c r="Z43" s="78">
        <f t="shared" si="8"/>
        <v>0</v>
      </c>
      <c r="AA43" s="78">
        <f t="shared" si="8"/>
        <v>0</v>
      </c>
      <c r="AB43" s="78">
        <f t="shared" si="8"/>
        <v>4</v>
      </c>
      <c r="AC43" s="78">
        <f t="shared" si="8"/>
        <v>44</v>
      </c>
      <c r="AD43" s="78">
        <f t="shared" si="8"/>
        <v>0</v>
      </c>
      <c r="AE43" s="78">
        <f t="shared" si="8"/>
        <v>0</v>
      </c>
      <c r="AF43" s="78">
        <f t="shared" si="8"/>
        <v>53</v>
      </c>
      <c r="AG43" s="78">
        <f t="shared" si="8"/>
        <v>0</v>
      </c>
      <c r="AH43" s="79">
        <f t="shared" si="8"/>
        <v>5</v>
      </c>
      <c r="AI43" s="80"/>
      <c r="AJ43" s="377"/>
      <c r="AK43" s="378"/>
      <c r="AL43" s="379"/>
      <c r="AM43" s="81"/>
    </row>
    <row r="44" spans="1:39" ht="20.25" customHeight="1">
      <c r="A44" s="380"/>
      <c r="B44" s="396">
        <f t="shared" ref="B44:B53" si="9">B16</f>
        <v>0</v>
      </c>
      <c r="C44" s="382" t="s">
        <v>74</v>
      </c>
      <c r="D44" s="307">
        <f t="shared" ref="D44:D53" si="10">D16</f>
        <v>0</v>
      </c>
      <c r="E44" s="307">
        <v>0</v>
      </c>
      <c r="F44" s="395"/>
      <c r="G44" s="62" t="str">
        <f t="shared" si="5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2"/>
      <c r="AJ44" s="813"/>
      <c r="AK44" s="498"/>
      <c r="AL44" s="499"/>
      <c r="AM44" s="431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ref="E45:E53" si="11">G17</f>
        <v>0</v>
      </c>
      <c r="F45" s="151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351">
        <f t="shared" si="9"/>
        <v>0</v>
      </c>
      <c r="C46" s="217" t="s">
        <v>76</v>
      </c>
      <c r="D46" s="356">
        <f t="shared" si="10"/>
        <v>0</v>
      </c>
      <c r="E46" s="323">
        <v>0</v>
      </c>
      <c r="F46" s="324"/>
      <c r="G46" s="70" t="str">
        <f t="shared" si="5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613"/>
      <c r="AJ46" s="614"/>
      <c r="AK46" s="827"/>
      <c r="AL46" s="828"/>
      <c r="AM46" s="829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149">
        <f t="shared" si="9"/>
        <v>0</v>
      </c>
      <c r="C48" s="217" t="s">
        <v>78</v>
      </c>
      <c r="D48" s="155">
        <f t="shared" si="10"/>
        <v>0</v>
      </c>
      <c r="E48" s="153">
        <f t="shared" si="11"/>
        <v>0</v>
      </c>
      <c r="F48" s="154"/>
      <c r="G48" s="70" t="str">
        <f t="shared" si="5"/>
        <v/>
      </c>
      <c r="H48" s="63"/>
      <c r="I48" s="64">
        <f t="shared" si="6"/>
        <v>0</v>
      </c>
      <c r="J48" s="504"/>
      <c r="K48" s="504"/>
      <c r="L48" s="504"/>
      <c r="M48" s="504"/>
      <c r="N48" s="504"/>
      <c r="O48" s="504"/>
      <c r="P48" s="504"/>
      <c r="Q48" s="504"/>
      <c r="R48" s="504"/>
      <c r="S48" s="504"/>
      <c r="T48" s="504"/>
      <c r="U48" s="504"/>
      <c r="V48" s="504"/>
      <c r="W48" s="504"/>
      <c r="X48" s="504"/>
      <c r="Y48" s="504"/>
      <c r="Z48" s="504"/>
      <c r="AA48" s="504"/>
      <c r="AB48" s="504"/>
      <c r="AC48" s="504"/>
      <c r="AD48" s="504"/>
      <c r="AE48" s="504"/>
      <c r="AF48" s="504"/>
      <c r="AG48" s="504"/>
      <c r="AH48" s="505"/>
      <c r="AI48" s="438"/>
      <c r="AJ48" s="439"/>
      <c r="AK48" s="74"/>
      <c r="AL48" s="74"/>
      <c r="AM48" s="75"/>
    </row>
    <row r="49" spans="1:39" ht="20.25" customHeight="1">
      <c r="A49" s="363"/>
      <c r="B49" s="351">
        <f t="shared" si="9"/>
        <v>0</v>
      </c>
      <c r="C49" s="217" t="s">
        <v>79</v>
      </c>
      <c r="D49" s="357">
        <f t="shared" si="10"/>
        <v>0</v>
      </c>
      <c r="E49" s="323">
        <f>G21</f>
        <v>0</v>
      </c>
      <c r="F49" s="324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02"/>
      <c r="AJ49" s="614"/>
      <c r="AK49" s="827"/>
      <c r="AL49" s="828"/>
      <c r="AM49" s="829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5"/>
        <v/>
      </c>
      <c r="H54" s="63"/>
      <c r="I54" s="87">
        <f t="shared" si="6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15029</v>
      </c>
      <c r="F55" s="164">
        <f>F43+F54</f>
        <v>13555</v>
      </c>
      <c r="G55" s="165">
        <f t="shared" si="5"/>
        <v>9.807705103466631E-2</v>
      </c>
      <c r="H55" s="95"/>
      <c r="I55" s="96">
        <f>SUM(I43,I54)</f>
        <v>1474</v>
      </c>
      <c r="J55" s="97">
        <f>SUM(J43,J54)</f>
        <v>44</v>
      </c>
      <c r="K55" s="97">
        <f t="shared" ref="K55:AH55" si="13">SUM(K43,K54)</f>
        <v>302</v>
      </c>
      <c r="L55" s="97">
        <f t="shared" si="13"/>
        <v>269</v>
      </c>
      <c r="M55" s="97">
        <f t="shared" si="13"/>
        <v>255</v>
      </c>
      <c r="N55" s="97">
        <f t="shared" si="13"/>
        <v>0</v>
      </c>
      <c r="O55" s="97">
        <f t="shared" si="13"/>
        <v>153</v>
      </c>
      <c r="P55" s="97">
        <f t="shared" si="13"/>
        <v>0</v>
      </c>
      <c r="Q55" s="97">
        <f t="shared" si="13"/>
        <v>20</v>
      </c>
      <c r="R55" s="97">
        <f t="shared" si="13"/>
        <v>3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135</v>
      </c>
      <c r="W55" s="97">
        <f t="shared" si="13"/>
        <v>184</v>
      </c>
      <c r="X55" s="97">
        <f t="shared" si="13"/>
        <v>0</v>
      </c>
      <c r="Y55" s="97">
        <f t="shared" si="13"/>
        <v>3</v>
      </c>
      <c r="Z55" s="97">
        <f t="shared" si="13"/>
        <v>0</v>
      </c>
      <c r="AA55" s="97">
        <f t="shared" si="13"/>
        <v>0</v>
      </c>
      <c r="AB55" s="97">
        <f t="shared" si="13"/>
        <v>4</v>
      </c>
      <c r="AC55" s="97">
        <f t="shared" si="13"/>
        <v>44</v>
      </c>
      <c r="AD55" s="97">
        <f t="shared" si="13"/>
        <v>0</v>
      </c>
      <c r="AE55" s="97">
        <f t="shared" si="13"/>
        <v>0</v>
      </c>
      <c r="AF55" s="97">
        <f t="shared" si="13"/>
        <v>53</v>
      </c>
      <c r="AG55" s="97">
        <f t="shared" si="13"/>
        <v>0</v>
      </c>
      <c r="AH55" s="97">
        <f t="shared" si="13"/>
        <v>5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91">
    <mergeCell ref="AK46:AM46"/>
    <mergeCell ref="AI37:AJ37"/>
    <mergeCell ref="AI33:AJ33"/>
    <mergeCell ref="AK33:AM33"/>
    <mergeCell ref="AI35:AJ35"/>
    <mergeCell ref="AK35:AM35"/>
    <mergeCell ref="AI31:AJ32"/>
    <mergeCell ref="AK31:AM32"/>
    <mergeCell ref="AI44:AJ44"/>
    <mergeCell ref="AI45:AJ45"/>
    <mergeCell ref="AI40:AJ40"/>
    <mergeCell ref="AK40:AM40"/>
    <mergeCell ref="AI38:AJ38"/>
    <mergeCell ref="AI34:AJ34"/>
    <mergeCell ref="A28:D28"/>
    <mergeCell ref="I28:O28"/>
    <mergeCell ref="P28:Q28"/>
    <mergeCell ref="R28:S28"/>
    <mergeCell ref="T28:U28"/>
    <mergeCell ref="V28:W28"/>
    <mergeCell ref="X28:Y28"/>
    <mergeCell ref="I22:O22"/>
    <mergeCell ref="P22:Q22"/>
    <mergeCell ref="P25:Q25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T26:U26"/>
    <mergeCell ref="V26:W26"/>
    <mergeCell ref="X24:Y24"/>
    <mergeCell ref="I26:O26"/>
    <mergeCell ref="P26:Q26"/>
    <mergeCell ref="A15:D15"/>
    <mergeCell ref="A26:D26"/>
    <mergeCell ref="Z29:AA29"/>
    <mergeCell ref="AB29:AC29"/>
    <mergeCell ref="AD29:AE29"/>
    <mergeCell ref="AF29:AG29"/>
    <mergeCell ref="AH29:AI29"/>
    <mergeCell ref="X26:Y26"/>
    <mergeCell ref="Z26:AA26"/>
    <mergeCell ref="AB26:AC26"/>
    <mergeCell ref="Z18:AA18"/>
    <mergeCell ref="AB18:AC18"/>
    <mergeCell ref="AD18:AE18"/>
    <mergeCell ref="I23:O23"/>
    <mergeCell ref="P23:Q23"/>
    <mergeCell ref="I25:O25"/>
    <mergeCell ref="R24:S24"/>
    <mergeCell ref="T24:U24"/>
    <mergeCell ref="V24:W24"/>
    <mergeCell ref="I29:O29"/>
    <mergeCell ref="P29:Q29"/>
    <mergeCell ref="R29:S29"/>
    <mergeCell ref="AF18:AG18"/>
    <mergeCell ref="AH18:AI18"/>
    <mergeCell ref="AJ26:AK26"/>
    <mergeCell ref="I27:O27"/>
    <mergeCell ref="P27:Q27"/>
    <mergeCell ref="R27:S27"/>
    <mergeCell ref="T27:U27"/>
    <mergeCell ref="V27:W27"/>
    <mergeCell ref="X27:Y27"/>
    <mergeCell ref="R26:S26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Z27:AA27"/>
    <mergeCell ref="AB27:AC27"/>
    <mergeCell ref="AJ28:AK28"/>
    <mergeCell ref="AF27:AG27"/>
    <mergeCell ref="AD26:AE26"/>
    <mergeCell ref="AF26:AG26"/>
    <mergeCell ref="AH26:AI26"/>
    <mergeCell ref="AJ18:AK18"/>
    <mergeCell ref="AJ24:AK24"/>
    <mergeCell ref="AF24:AG24"/>
    <mergeCell ref="AH24:AI24"/>
    <mergeCell ref="I18:O18"/>
    <mergeCell ref="P18:Q18"/>
    <mergeCell ref="R18:S18"/>
    <mergeCell ref="T18:U18"/>
    <mergeCell ref="V18:W18"/>
    <mergeCell ref="X18:Y18"/>
    <mergeCell ref="AB24:AC24"/>
    <mergeCell ref="AD24:AE24"/>
    <mergeCell ref="I24:O24"/>
    <mergeCell ref="P24:Q24"/>
    <mergeCell ref="Z24:AA24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X9:Y9"/>
    <mergeCell ref="AB9:AC9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D9:AE9"/>
    <mergeCell ref="AD5:AE5"/>
    <mergeCell ref="Z6:AA6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R9:S9"/>
    <mergeCell ref="T9:U9"/>
    <mergeCell ref="V9:W9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J3:AK3"/>
    <mergeCell ref="AD2:AE2"/>
    <mergeCell ref="AF2:AG2"/>
    <mergeCell ref="Z2:AA2"/>
    <mergeCell ref="AB2:AC2"/>
    <mergeCell ref="AF3:AG3"/>
    <mergeCell ref="AH3:AI3"/>
    <mergeCell ref="I7:O7"/>
    <mergeCell ref="AH4:AI4"/>
    <mergeCell ref="Z4:AA4"/>
    <mergeCell ref="AB4:AC4"/>
    <mergeCell ref="Z8:AA8"/>
    <mergeCell ref="AB8:AC8"/>
    <mergeCell ref="M1:N1"/>
    <mergeCell ref="R1:U1"/>
    <mergeCell ref="E2:H2"/>
    <mergeCell ref="I2:O4"/>
    <mergeCell ref="P2:Q3"/>
    <mergeCell ref="R2:S2"/>
    <mergeCell ref="T2:U2"/>
    <mergeCell ref="P4:Q4"/>
    <mergeCell ref="I6:O6"/>
    <mergeCell ref="P6:Q6"/>
    <mergeCell ref="R6:S6"/>
    <mergeCell ref="T6:U6"/>
    <mergeCell ref="I5:O5"/>
    <mergeCell ref="P5:Q5"/>
    <mergeCell ref="R5:S5"/>
    <mergeCell ref="T5:U5"/>
    <mergeCell ref="AH2:AI2"/>
    <mergeCell ref="AD8:AE8"/>
    <mergeCell ref="T4:U4"/>
    <mergeCell ref="V4:W4"/>
    <mergeCell ref="X4:Y4"/>
    <mergeCell ref="T7:U7"/>
    <mergeCell ref="V7:W7"/>
    <mergeCell ref="X7:Y7"/>
    <mergeCell ref="A43:D43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AI49:AJ49"/>
    <mergeCell ref="AK49:AM49"/>
    <mergeCell ref="P7:Q7"/>
    <mergeCell ref="R7:S7"/>
    <mergeCell ref="Z9:AA9"/>
    <mergeCell ref="V6:W6"/>
    <mergeCell ref="X6:Y6"/>
    <mergeCell ref="V5:W5"/>
    <mergeCell ref="X5:Y5"/>
    <mergeCell ref="AF8:AG8"/>
    <mergeCell ref="AH7:AI7"/>
    <mergeCell ref="AF5:AG5"/>
    <mergeCell ref="AH5:AI5"/>
    <mergeCell ref="Z5:AA5"/>
    <mergeCell ref="AB5:AC5"/>
    <mergeCell ref="AH6:AI6"/>
    <mergeCell ref="Z7:AA7"/>
    <mergeCell ref="AB7:AC7"/>
    <mergeCell ref="AD7:AE7"/>
    <mergeCell ref="AF7:AG7"/>
    <mergeCell ref="AH8:AI8"/>
    <mergeCell ref="AB6:AC6"/>
    <mergeCell ref="AD6:AE6"/>
    <mergeCell ref="AF6:AG6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M59"/>
  <sheetViews>
    <sheetView showGridLines="0" topLeftCell="A31" zoomScale="69" zoomScaleNormal="69" workbookViewId="0">
      <selection activeCell="AB6" sqref="AB6:AC6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18.25" style="9" customWidth="1"/>
    <col min="5" max="7" width="12" style="9" customWidth="1"/>
    <col min="8" max="8" width="11" style="9" customWidth="1"/>
    <col min="9" max="9" width="5.75" style="9" customWidth="1"/>
    <col min="10" max="22" width="4.5" style="9" customWidth="1"/>
    <col min="23" max="32" width="4.5" style="13" customWidth="1"/>
    <col min="33" max="35" width="4.5" style="17" customWidth="1"/>
    <col min="36" max="36" width="26.5" style="17" customWidth="1"/>
    <col min="37" max="38" width="4.5" style="17" customWidth="1"/>
    <col min="39" max="39" width="16.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>
        <v>244576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426" t="s">
        <v>229</v>
      </c>
      <c r="C5" s="129" t="s">
        <v>74</v>
      </c>
      <c r="D5" s="307" t="s">
        <v>194</v>
      </c>
      <c r="E5" s="307">
        <v>1600</v>
      </c>
      <c r="F5" s="307">
        <v>2262</v>
      </c>
      <c r="G5" s="423">
        <v>2067</v>
      </c>
      <c r="H5" s="110">
        <f t="shared" ref="H5:H28" si="0">IF(F5=0,"",(F5-G5)/F5)</f>
        <v>8.6206896551724144E-2</v>
      </c>
      <c r="I5" s="675" t="s">
        <v>33</v>
      </c>
      <c r="J5" s="676"/>
      <c r="K5" s="676"/>
      <c r="L5" s="676"/>
      <c r="M5" s="676"/>
      <c r="N5" s="676"/>
      <c r="O5" s="677"/>
      <c r="P5" s="678">
        <v>2.988</v>
      </c>
      <c r="Q5" s="679"/>
      <c r="R5" s="680">
        <v>9.0220000000000002</v>
      </c>
      <c r="S5" s="679"/>
      <c r="T5" s="681">
        <v>1.0129999999999999</v>
      </c>
      <c r="U5" s="682"/>
      <c r="V5" s="683">
        <v>23.584</v>
      </c>
      <c r="W5" s="684"/>
      <c r="X5" s="685">
        <v>0.59199999999999997</v>
      </c>
      <c r="Y5" s="686"/>
      <c r="Z5" s="687">
        <f>70+200+128</f>
        <v>398</v>
      </c>
      <c r="AA5" s="688"/>
      <c r="AB5" s="674">
        <v>44</v>
      </c>
      <c r="AC5" s="674"/>
      <c r="AD5" s="689">
        <f>SUM(AF5:AK5)*0.025</f>
        <v>2.0750000000000002</v>
      </c>
      <c r="AE5" s="689"/>
      <c r="AF5" s="674">
        <f>14+14+14+8+14+14+5</f>
        <v>83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427"/>
      <c r="C6" s="129" t="s">
        <v>75</v>
      </c>
      <c r="D6" s="318"/>
      <c r="E6" s="317"/>
      <c r="F6" s="317"/>
      <c r="G6" s="424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0.25854460500129789</v>
      </c>
      <c r="Q6" s="673"/>
      <c r="R6" s="673">
        <f>IF($F$15=0,0,R5*1000/$F$15)</f>
        <v>0.78065241844769406</v>
      </c>
      <c r="S6" s="673"/>
      <c r="T6" s="673">
        <f>IF($F$15=0,0,T5*1000/$F$15)</f>
        <v>8.7652504975339607E-2</v>
      </c>
      <c r="U6" s="673"/>
      <c r="V6" s="673">
        <f>IF($F$15=0,0,V5*1000/$F$15)</f>
        <v>2.0406679934238992</v>
      </c>
      <c r="W6" s="673"/>
      <c r="X6" s="673">
        <f>IF($F$15=0,0,X5*1000/$F$15)</f>
        <v>5.1224366184996109E-2</v>
      </c>
      <c r="Y6" s="673"/>
      <c r="Z6" s="673">
        <f>IF($F$15=0,0,Z5*1000/$F$15)</f>
        <v>34.438002941939949</v>
      </c>
      <c r="AA6" s="673"/>
      <c r="AB6" s="632">
        <f>IF($F$15=0,0,AB5*1000/$F$15)</f>
        <v>3.8072164056416025</v>
      </c>
      <c r="AC6" s="632"/>
      <c r="AD6" s="632">
        <f>IF($F$15=0,0,AD5*1000/$F$15)</f>
        <v>0.17954486458423466</v>
      </c>
      <c r="AE6" s="632"/>
      <c r="AF6" s="627">
        <f>IF(AF5=0,0,F15/AF5)</f>
        <v>139.24096385542168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427" t="s">
        <v>230</v>
      </c>
      <c r="C7" s="129" t="s">
        <v>76</v>
      </c>
      <c r="D7" s="318" t="s">
        <v>194</v>
      </c>
      <c r="E7" s="317">
        <v>2800</v>
      </c>
      <c r="F7" s="317">
        <v>6638</v>
      </c>
      <c r="G7" s="424">
        <v>6296</v>
      </c>
      <c r="H7" s="111">
        <f t="shared" si="0"/>
        <v>5.1521542633323293E-2</v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0.27891346961635394</v>
      </c>
      <c r="Q7" s="639"/>
      <c r="R7" s="639">
        <f>IF($G$15=0,0,R5*1000/$G$15)</f>
        <v>0.84215439186035657</v>
      </c>
      <c r="S7" s="639"/>
      <c r="T7" s="639">
        <f>IF($G$15=0,0,T5*1000/$G$15)</f>
        <v>9.4558013628302046E-2</v>
      </c>
      <c r="U7" s="639"/>
      <c r="V7" s="639">
        <f>IF($G$15=0,0,V5*1000/$G$15)</f>
        <v>2.2014375058340336</v>
      </c>
      <c r="W7" s="639"/>
      <c r="X7" s="639">
        <f>IF($G$15=0,0,X5*1000/$G$15)</f>
        <v>5.5259964529076826E-2</v>
      </c>
      <c r="Y7" s="639"/>
      <c r="Z7" s="639">
        <f>IF($G$15=0,0,Z5*1000/$G$15)</f>
        <v>37.151124801642865</v>
      </c>
      <c r="AA7" s="639"/>
      <c r="AB7" s="632">
        <f>IF($G$15=0,0,AB5*1000/$G$15)</f>
        <v>4.107159525809764</v>
      </c>
      <c r="AC7" s="632"/>
      <c r="AD7" s="632">
        <f>IF($G$15=0,0,AD5*1000/$G$15)</f>
        <v>0.19368990945580136</v>
      </c>
      <c r="AE7" s="632"/>
      <c r="AF7" s="627">
        <f>IF(AF5=0,0,G15/AF5)</f>
        <v>129.07228915662651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427" t="s">
        <v>231</v>
      </c>
      <c r="C8" s="129" t="s">
        <v>77</v>
      </c>
      <c r="D8" s="318" t="s">
        <v>194</v>
      </c>
      <c r="E8" s="317">
        <v>800</v>
      </c>
      <c r="F8" s="317">
        <v>846</v>
      </c>
      <c r="G8" s="424">
        <v>794</v>
      </c>
      <c r="H8" s="111">
        <f t="shared" si="0"/>
        <v>6.1465721040189124E-2</v>
      </c>
      <c r="I8" s="691" t="s">
        <v>64</v>
      </c>
      <c r="J8" s="692"/>
      <c r="K8" s="692"/>
      <c r="L8" s="692"/>
      <c r="M8" s="692"/>
      <c r="N8" s="692"/>
      <c r="O8" s="693"/>
      <c r="P8" s="631">
        <f>21+26+14+19+55</f>
        <v>135</v>
      </c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427" t="s">
        <v>232</v>
      </c>
      <c r="C9" s="129" t="s">
        <v>78</v>
      </c>
      <c r="D9" s="318" t="s">
        <v>194</v>
      </c>
      <c r="E9" s="317">
        <v>1600</v>
      </c>
      <c r="F9" s="317">
        <v>1811</v>
      </c>
      <c r="G9" s="424">
        <v>1556</v>
      </c>
      <c r="H9" s="111">
        <f>IF(F9=0,"",(F9-G9)/F9)</f>
        <v>0.14080618442849255</v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309"/>
      <c r="C10" s="129" t="s">
        <v>79</v>
      </c>
      <c r="D10" s="295"/>
      <c r="E10" s="303"/>
      <c r="F10" s="303"/>
      <c r="G10" s="312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309"/>
      <c r="C11" s="129" t="s">
        <v>80</v>
      </c>
      <c r="D11" s="295"/>
      <c r="E11" s="303"/>
      <c r="F11" s="303"/>
      <c r="G11" s="312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309"/>
      <c r="C12" s="129" t="s">
        <v>63</v>
      </c>
      <c r="D12" s="295"/>
      <c r="E12" s="303"/>
      <c r="F12" s="303"/>
      <c r="G12" s="312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>
        <f>4+5+7+5+3+3+3+4+5+3+5</f>
        <v>47</v>
      </c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309"/>
      <c r="C13" s="129" t="s">
        <v>81</v>
      </c>
      <c r="D13" s="295"/>
      <c r="E13" s="303"/>
      <c r="F13" s="303"/>
      <c r="G13" s="312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>
        <f>F15/P12</f>
        <v>245.89361702127658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405"/>
      <c r="F14" s="405"/>
      <c r="G14" s="405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>
        <v>7</v>
      </c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6800</v>
      </c>
      <c r="F15" s="204">
        <f>SUM(F5:F14)</f>
        <v>11557</v>
      </c>
      <c r="G15" s="204">
        <f>SUM(G5:G14)</f>
        <v>10713</v>
      </c>
      <c r="H15" s="188">
        <f>IF(F15=0,"",(F15-G15)/F15)</f>
        <v>7.3029332871852551E-2</v>
      </c>
      <c r="I15" s="719" t="s">
        <v>70</v>
      </c>
      <c r="J15" s="720"/>
      <c r="K15" s="720"/>
      <c r="L15" s="720"/>
      <c r="M15" s="720"/>
      <c r="N15" s="720"/>
      <c r="O15" s="721"/>
      <c r="P15" s="722">
        <f>F15/P14</f>
        <v>1651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224"/>
      <c r="C16" s="130" t="s">
        <v>74</v>
      </c>
      <c r="D16" s="230"/>
      <c r="E16" s="225"/>
      <c r="F16" s="225"/>
      <c r="G16" s="226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120"/>
      <c r="C17" s="131" t="s">
        <v>75</v>
      </c>
      <c r="D17" s="128"/>
      <c r="E17" s="125"/>
      <c r="F17" s="125"/>
      <c r="G17" s="126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742">
        <f>IF($F$26=0,0,AF16*1000/$F$26)</f>
        <v>0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120"/>
      <c r="C18" s="131" t="s">
        <v>76</v>
      </c>
      <c r="D18" s="128"/>
      <c r="E18" s="125"/>
      <c r="F18" s="125"/>
      <c r="G18" s="126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742">
        <f>IF($G$26=0,0,AF16*1000/$G$26)</f>
        <v>0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120"/>
      <c r="C19" s="131" t="s">
        <v>77</v>
      </c>
      <c r="D19" s="128"/>
      <c r="E19" s="125"/>
      <c r="F19" s="125"/>
      <c r="G19" s="126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120"/>
      <c r="C20" s="131" t="s">
        <v>78</v>
      </c>
      <c r="D20" s="128"/>
      <c r="E20" s="125"/>
      <c r="F20" s="125"/>
      <c r="G20" s="126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120"/>
      <c r="C21" s="131" t="s">
        <v>79</v>
      </c>
      <c r="D21" s="128"/>
      <c r="E21" s="125"/>
      <c r="F21" s="125"/>
      <c r="G21" s="126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0</v>
      </c>
      <c r="G26" s="205">
        <f>SUM(G16:G25)</f>
        <v>0</v>
      </c>
      <c r="H26" s="196" t="str">
        <f>IF(F26=0,"",(F26-G26)/F26)</f>
        <v/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2.988</v>
      </c>
      <c r="Q27" s="781"/>
      <c r="R27" s="782">
        <f>SUM(R5,R16)</f>
        <v>9.0220000000000002</v>
      </c>
      <c r="S27" s="781"/>
      <c r="T27" s="782">
        <f>SUM(T5,T16)</f>
        <v>1.0129999999999999</v>
      </c>
      <c r="U27" s="781"/>
      <c r="V27" s="782">
        <f>SUM(V5,V16)</f>
        <v>23.584</v>
      </c>
      <c r="W27" s="781"/>
      <c r="X27" s="782">
        <f>SUM(X5,X16)</f>
        <v>0.59199999999999997</v>
      </c>
      <c r="Y27" s="781"/>
      <c r="Z27" s="783">
        <f>SUM(Z5,Z16)</f>
        <v>398</v>
      </c>
      <c r="AA27" s="784"/>
      <c r="AB27" s="770">
        <f>SUM(AB5,AB16)</f>
        <v>44</v>
      </c>
      <c r="AC27" s="770"/>
      <c r="AD27" s="769">
        <f>SUM(AD5,AD16)</f>
        <v>2.0750000000000002</v>
      </c>
      <c r="AE27" s="769"/>
      <c r="AF27" s="770">
        <f>SUM(AF5,AF16)</f>
        <v>83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6800</v>
      </c>
      <c r="F28" s="140">
        <f>F15+F26</f>
        <v>11557</v>
      </c>
      <c r="G28" s="140">
        <f>G15+G26</f>
        <v>10713</v>
      </c>
      <c r="H28" s="141">
        <f t="shared" si="0"/>
        <v>7.3029332871852551E-2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0.25854460500129789</v>
      </c>
      <c r="Q28" s="745"/>
      <c r="R28" s="746">
        <f t="shared" si="1"/>
        <v>0.78065241844769406</v>
      </c>
      <c r="S28" s="745"/>
      <c r="T28" s="746">
        <f t="shared" si="1"/>
        <v>8.7652504975339607E-2</v>
      </c>
      <c r="U28" s="745"/>
      <c r="V28" s="800">
        <f t="shared" si="1"/>
        <v>2.0406679934238992</v>
      </c>
      <c r="W28" s="801"/>
      <c r="X28" s="800">
        <f t="shared" si="1"/>
        <v>5.1224366184996109E-2</v>
      </c>
      <c r="Y28" s="801"/>
      <c r="Z28" s="746">
        <f t="shared" si="1"/>
        <v>34.438002941939949</v>
      </c>
      <c r="AA28" s="744"/>
      <c r="AB28" s="632">
        <f t="shared" si="1"/>
        <v>3.8072164056416025</v>
      </c>
      <c r="AC28" s="632"/>
      <c r="AD28" s="632">
        <f t="shared" si="1"/>
        <v>0.17954486458423466</v>
      </c>
      <c r="AE28" s="632"/>
      <c r="AF28" s="757">
        <f t="shared" si="1"/>
        <v>7.1817945833693866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0.27891346961635394</v>
      </c>
      <c r="Q29" s="792"/>
      <c r="R29" s="771">
        <f t="shared" si="2"/>
        <v>0.84215439186035657</v>
      </c>
      <c r="S29" s="792"/>
      <c r="T29" s="771">
        <f t="shared" si="2"/>
        <v>9.4558013628302046E-2</v>
      </c>
      <c r="U29" s="792"/>
      <c r="V29" s="793">
        <f t="shared" si="2"/>
        <v>2.2014375058340336</v>
      </c>
      <c r="W29" s="794"/>
      <c r="X29" s="795">
        <f t="shared" si="2"/>
        <v>5.5259964529076826E-2</v>
      </c>
      <c r="Y29" s="796"/>
      <c r="Z29" s="771">
        <f t="shared" si="2"/>
        <v>37.151124801642865</v>
      </c>
      <c r="AA29" s="772"/>
      <c r="AB29" s="773">
        <f t="shared" si="2"/>
        <v>4.107159525809764</v>
      </c>
      <c r="AC29" s="773"/>
      <c r="AD29" s="773">
        <f t="shared" si="2"/>
        <v>0.19368990945580136</v>
      </c>
      <c r="AE29" s="773"/>
      <c r="AF29" s="774">
        <f t="shared" si="2"/>
        <v>7.7475963782320543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306" t="str">
        <f t="shared" ref="B33:B42" si="3">B5</f>
        <v>I11690828</v>
      </c>
      <c r="C33" s="213" t="s">
        <v>74</v>
      </c>
      <c r="D33" s="307" t="str">
        <f t="shared" ref="D33:D42" si="4">D5</f>
        <v>มิดไนท์บลู*N</v>
      </c>
      <c r="E33" s="307">
        <f>G5</f>
        <v>2067</v>
      </c>
      <c r="F33" s="395">
        <f>144*9+69+6</f>
        <v>1371</v>
      </c>
      <c r="G33" s="62">
        <f t="shared" ref="G33:G55" si="5">IF(E33=0,"",(E33-F33)/E33)</f>
        <v>0.3367198838896952</v>
      </c>
      <c r="H33" s="63"/>
      <c r="I33" s="64">
        <f t="shared" ref="I33:I54" si="6">SUM(J33:AH33)</f>
        <v>696</v>
      </c>
      <c r="J33" s="453"/>
      <c r="K33" s="454">
        <f>8+30+14</f>
        <v>52</v>
      </c>
      <c r="L33" s="453">
        <f>20+25+10+1+15</f>
        <v>71</v>
      </c>
      <c r="M33" s="454"/>
      <c r="N33" s="453"/>
      <c r="O33" s="454"/>
      <c r="P33" s="453"/>
      <c r="Q33" s="454">
        <f>15</f>
        <v>15</v>
      </c>
      <c r="R33" s="453"/>
      <c r="S33" s="454"/>
      <c r="T33" s="453"/>
      <c r="U33" s="454"/>
      <c r="V33" s="453">
        <f>15+25+30+34+35+25+35+20+30</f>
        <v>249</v>
      </c>
      <c r="W33" s="454">
        <v>297</v>
      </c>
      <c r="X33" s="453"/>
      <c r="Y33" s="454">
        <f>7+5</f>
        <v>12</v>
      </c>
      <c r="Z33" s="453"/>
      <c r="AA33" s="454"/>
      <c r="AB33" s="453"/>
      <c r="AC33" s="454"/>
      <c r="AD33" s="453"/>
      <c r="AE33" s="454"/>
      <c r="AF33" s="453"/>
      <c r="AG33" s="454"/>
      <c r="AH33" s="453"/>
      <c r="AI33" s="820" t="s">
        <v>248</v>
      </c>
      <c r="AJ33" s="821"/>
      <c r="AK33" s="863" t="s">
        <v>249</v>
      </c>
      <c r="AL33" s="856"/>
      <c r="AM33" s="857"/>
    </row>
    <row r="34" spans="1:39" ht="20.25" customHeight="1">
      <c r="A34" s="370"/>
      <c r="B34" s="160">
        <f t="shared" si="3"/>
        <v>0</v>
      </c>
      <c r="C34" s="214" t="s">
        <v>75</v>
      </c>
      <c r="D34" s="124">
        <f t="shared" si="4"/>
        <v>0</v>
      </c>
      <c r="E34" s="161">
        <f t="shared" ref="E34:E42" si="7">G6</f>
        <v>0</v>
      </c>
      <c r="F34" s="151"/>
      <c r="G34" s="70" t="str">
        <f t="shared" si="5"/>
        <v/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71"/>
      <c r="AJ34" s="402"/>
      <c r="AK34" s="567"/>
      <c r="AL34" s="568"/>
      <c r="AM34" s="574"/>
    </row>
    <row r="35" spans="1:39" ht="20.25" customHeight="1">
      <c r="A35" s="370"/>
      <c r="B35" s="320" t="str">
        <f t="shared" si="3"/>
        <v>I13690828</v>
      </c>
      <c r="C35" s="214" t="s">
        <v>76</v>
      </c>
      <c r="D35" s="318" t="str">
        <f t="shared" si="4"/>
        <v>มิดไนท์บลู*N</v>
      </c>
      <c r="E35" s="318">
        <f>G7</f>
        <v>6296</v>
      </c>
      <c r="F35" s="322">
        <f>210*28+94+6</f>
        <v>5980</v>
      </c>
      <c r="G35" s="70">
        <f t="shared" si="5"/>
        <v>5.0190597204574333E-2</v>
      </c>
      <c r="H35" s="63"/>
      <c r="I35" s="64">
        <f t="shared" si="6"/>
        <v>316</v>
      </c>
      <c r="J35" s="455"/>
      <c r="K35" s="456">
        <f>9+3</f>
        <v>12</v>
      </c>
      <c r="L35" s="456">
        <f>5+2+11+15+22+18+5</f>
        <v>78</v>
      </c>
      <c r="M35" s="456"/>
      <c r="N35" s="456"/>
      <c r="O35" s="456"/>
      <c r="P35" s="456"/>
      <c r="Q35" s="456">
        <f>2+12+1+10</f>
        <v>25</v>
      </c>
      <c r="R35" s="456">
        <f>12+9</f>
        <v>21</v>
      </c>
      <c r="S35" s="456"/>
      <c r="T35" s="456"/>
      <c r="U35" s="456"/>
      <c r="V35" s="456">
        <f>14+25</f>
        <v>39</v>
      </c>
      <c r="W35" s="456">
        <f>25+25+23</f>
        <v>73</v>
      </c>
      <c r="X35" s="456"/>
      <c r="Y35" s="456"/>
      <c r="Z35" s="456"/>
      <c r="AA35" s="456"/>
      <c r="AB35" s="456">
        <f>15+17+18</f>
        <v>50</v>
      </c>
      <c r="AC35" s="456">
        <f>5+5+8</f>
        <v>18</v>
      </c>
      <c r="AD35" s="456"/>
      <c r="AE35" s="456"/>
      <c r="AF35" s="456"/>
      <c r="AG35" s="456"/>
      <c r="AH35" s="457"/>
      <c r="AI35" s="835" t="s">
        <v>247</v>
      </c>
      <c r="AJ35" s="836"/>
      <c r="AK35" s="863" t="s">
        <v>249</v>
      </c>
      <c r="AL35" s="856"/>
      <c r="AM35" s="857"/>
    </row>
    <row r="36" spans="1:39" ht="20.25" customHeight="1">
      <c r="A36" s="371">
        <v>1</v>
      </c>
      <c r="B36" s="320" t="str">
        <f t="shared" si="3"/>
        <v>I14690828</v>
      </c>
      <c r="C36" s="214" t="s">
        <v>77</v>
      </c>
      <c r="D36" s="318" t="str">
        <f t="shared" si="4"/>
        <v>มิดไนท์บลู*N</v>
      </c>
      <c r="E36" s="318">
        <f>G8</f>
        <v>794</v>
      </c>
      <c r="F36" s="322">
        <f>140*5+7+6</f>
        <v>713</v>
      </c>
      <c r="G36" s="70">
        <f t="shared" si="5"/>
        <v>0.10201511335012595</v>
      </c>
      <c r="H36" s="63"/>
      <c r="I36" s="64">
        <f t="shared" si="6"/>
        <v>81</v>
      </c>
      <c r="J36" s="455"/>
      <c r="K36" s="456">
        <f>25+20</f>
        <v>45</v>
      </c>
      <c r="L36" s="456">
        <f>4+25</f>
        <v>29</v>
      </c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>
        <f>2</f>
        <v>2</v>
      </c>
      <c r="AC36" s="456">
        <f>5</f>
        <v>5</v>
      </c>
      <c r="AD36" s="456"/>
      <c r="AE36" s="456"/>
      <c r="AF36" s="456"/>
      <c r="AG36" s="456"/>
      <c r="AH36" s="457"/>
      <c r="AI36" s="833" t="s">
        <v>246</v>
      </c>
      <c r="AJ36" s="834"/>
      <c r="AK36" s="567" t="s">
        <v>249</v>
      </c>
      <c r="AL36" s="568"/>
      <c r="AM36" s="575"/>
    </row>
    <row r="37" spans="1:39" ht="20.25" customHeight="1">
      <c r="A37" s="372"/>
      <c r="B37" s="320" t="str">
        <f t="shared" si="3"/>
        <v>I15690828</v>
      </c>
      <c r="C37" s="214" t="s">
        <v>78</v>
      </c>
      <c r="D37" s="318" t="str">
        <f t="shared" si="4"/>
        <v>มิดไนท์บลู*N</v>
      </c>
      <c r="E37" s="318">
        <f>G9</f>
        <v>1556</v>
      </c>
      <c r="F37" s="322">
        <f>280*4+225+6</f>
        <v>1351</v>
      </c>
      <c r="G37" s="70">
        <f t="shared" si="5"/>
        <v>0.13174807197943444</v>
      </c>
      <c r="H37" s="63"/>
      <c r="I37" s="64">
        <f t="shared" si="6"/>
        <v>205</v>
      </c>
      <c r="J37" s="455"/>
      <c r="K37" s="456">
        <f>12+10+25+4</f>
        <v>51</v>
      </c>
      <c r="L37" s="456">
        <v>143</v>
      </c>
      <c r="M37" s="456"/>
      <c r="N37" s="456"/>
      <c r="O37" s="456"/>
      <c r="P37" s="456"/>
      <c r="Q37" s="456">
        <f>3</f>
        <v>3</v>
      </c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>
        <f>8</f>
        <v>8</v>
      </c>
      <c r="AC37" s="456"/>
      <c r="AD37" s="456"/>
      <c r="AE37" s="456"/>
      <c r="AF37" s="456"/>
      <c r="AG37" s="456"/>
      <c r="AH37" s="457"/>
      <c r="AI37" s="833" t="s">
        <v>245</v>
      </c>
      <c r="AJ37" s="834"/>
      <c r="AK37" s="863" t="s">
        <v>249</v>
      </c>
      <c r="AL37" s="856"/>
      <c r="AM37" s="857"/>
    </row>
    <row r="38" spans="1:39" ht="20.25" customHeight="1">
      <c r="A38" s="372"/>
      <c r="B38" s="162">
        <f t="shared" si="3"/>
        <v>0</v>
      </c>
      <c r="C38" s="214" t="s">
        <v>79</v>
      </c>
      <c r="D38" s="163">
        <f t="shared" si="4"/>
        <v>0</v>
      </c>
      <c r="E38" s="161">
        <f t="shared" si="7"/>
        <v>0</v>
      </c>
      <c r="F38" s="151"/>
      <c r="G38" s="70" t="str">
        <f t="shared" si="5"/>
        <v/>
      </c>
      <c r="H38" s="63"/>
      <c r="I38" s="64">
        <f t="shared" si="6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7"/>
        <v>0</v>
      </c>
      <c r="F39" s="154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86"/>
      <c r="AK39" s="73"/>
      <c r="AL39" s="74"/>
      <c r="AM39" s="75"/>
    </row>
    <row r="40" spans="1:39" ht="20.25" customHeight="1">
      <c r="A40" s="372"/>
      <c r="B40" s="321">
        <f t="shared" si="3"/>
        <v>0</v>
      </c>
      <c r="C40" s="214" t="s">
        <v>63</v>
      </c>
      <c r="D40" s="323">
        <f t="shared" si="4"/>
        <v>0</v>
      </c>
      <c r="E40" s="323">
        <f t="shared" si="7"/>
        <v>0</v>
      </c>
      <c r="F40" s="324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835"/>
      <c r="AJ40" s="836"/>
      <c r="AK40" s="892"/>
      <c r="AL40" s="893"/>
      <c r="AM40" s="894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7"/>
        <v>0</v>
      </c>
      <c r="F41" s="209"/>
      <c r="G41" s="210" t="str">
        <f t="shared" si="5"/>
        <v/>
      </c>
      <c r="H41" s="63"/>
      <c r="I41" s="64">
        <f t="shared" si="6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406">
        <f>SUM(E33:E42)</f>
        <v>10713</v>
      </c>
      <c r="F43" s="406">
        <f>SUM(F33:F42)</f>
        <v>9415</v>
      </c>
      <c r="G43" s="407">
        <f t="shared" si="5"/>
        <v>0.12116120601138804</v>
      </c>
      <c r="H43" s="63"/>
      <c r="I43" s="376">
        <f t="shared" si="6"/>
        <v>1298</v>
      </c>
      <c r="J43" s="77">
        <f>SUM(J33:J42)</f>
        <v>0</v>
      </c>
      <c r="K43" s="78">
        <f t="shared" ref="K43:AH43" si="8">SUM(K33:K42)</f>
        <v>160</v>
      </c>
      <c r="L43" s="78">
        <f t="shared" si="8"/>
        <v>321</v>
      </c>
      <c r="M43" s="78">
        <f t="shared" si="8"/>
        <v>0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43</v>
      </c>
      <c r="R43" s="78">
        <f t="shared" si="8"/>
        <v>21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288</v>
      </c>
      <c r="W43" s="78">
        <f t="shared" si="8"/>
        <v>370</v>
      </c>
      <c r="X43" s="78">
        <f t="shared" si="8"/>
        <v>0</v>
      </c>
      <c r="Y43" s="78">
        <f t="shared" si="8"/>
        <v>12</v>
      </c>
      <c r="Z43" s="78">
        <f t="shared" si="8"/>
        <v>0</v>
      </c>
      <c r="AA43" s="78">
        <f t="shared" si="8"/>
        <v>0</v>
      </c>
      <c r="AB43" s="78">
        <f t="shared" si="8"/>
        <v>60</v>
      </c>
      <c r="AC43" s="78">
        <f t="shared" si="8"/>
        <v>23</v>
      </c>
      <c r="AD43" s="78">
        <f t="shared" si="8"/>
        <v>0</v>
      </c>
      <c r="AE43" s="78">
        <f t="shared" si="8"/>
        <v>0</v>
      </c>
      <c r="AF43" s="78">
        <f t="shared" si="8"/>
        <v>0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92">
        <f t="shared" ref="B44:B53" si="9">B16</f>
        <v>0</v>
      </c>
      <c r="C44" s="382" t="s">
        <v>74</v>
      </c>
      <c r="D44" s="293">
        <f t="shared" ref="D44:D53" si="10">D16</f>
        <v>0</v>
      </c>
      <c r="E44" s="293">
        <f>G16</f>
        <v>0</v>
      </c>
      <c r="F44" s="294"/>
      <c r="G44" s="62" t="str">
        <f t="shared" si="5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2"/>
      <c r="AJ44" s="813"/>
      <c r="AK44" s="892"/>
      <c r="AL44" s="893"/>
      <c r="AM44" s="894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ref="E45:E53" si="11">G17</f>
        <v>0</v>
      </c>
      <c r="F45" s="151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149">
        <f t="shared" si="9"/>
        <v>0</v>
      </c>
      <c r="C46" s="217" t="s">
        <v>76</v>
      </c>
      <c r="D46" s="152">
        <f t="shared" si="10"/>
        <v>0</v>
      </c>
      <c r="E46" s="153">
        <f t="shared" si="11"/>
        <v>0</v>
      </c>
      <c r="F46" s="154"/>
      <c r="G46" s="70" t="str">
        <f t="shared" si="5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814"/>
      <c r="AJ46" s="815"/>
      <c r="AK46" s="74"/>
      <c r="AL46" s="74"/>
      <c r="AM46" s="75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149">
        <f t="shared" si="9"/>
        <v>0</v>
      </c>
      <c r="C48" s="217" t="s">
        <v>78</v>
      </c>
      <c r="D48" s="155">
        <f t="shared" si="10"/>
        <v>0</v>
      </c>
      <c r="E48" s="153">
        <f t="shared" si="11"/>
        <v>0</v>
      </c>
      <c r="F48" s="154"/>
      <c r="G48" s="70" t="str">
        <f t="shared" si="5"/>
        <v/>
      </c>
      <c r="H48" s="63"/>
      <c r="I48" s="64">
        <f t="shared" si="6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75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5"/>
        <v/>
      </c>
      <c r="H54" s="63"/>
      <c r="I54" s="87">
        <f t="shared" si="6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10713</v>
      </c>
      <c r="F55" s="164">
        <f>F43+F54</f>
        <v>9415</v>
      </c>
      <c r="G55" s="165">
        <f t="shared" si="5"/>
        <v>0.12116120601138804</v>
      </c>
      <c r="H55" s="95"/>
      <c r="I55" s="96">
        <f>SUM(I43,I54)</f>
        <v>1298</v>
      </c>
      <c r="J55" s="97">
        <f>SUM(J43,J54)</f>
        <v>0</v>
      </c>
      <c r="K55" s="97">
        <f t="shared" ref="K55:AH55" si="13">SUM(K43,K54)</f>
        <v>160</v>
      </c>
      <c r="L55" s="97">
        <f t="shared" si="13"/>
        <v>321</v>
      </c>
      <c r="M55" s="97">
        <f t="shared" si="13"/>
        <v>0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43</v>
      </c>
      <c r="R55" s="97">
        <f t="shared" si="13"/>
        <v>21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288</v>
      </c>
      <c r="W55" s="97">
        <f t="shared" si="13"/>
        <v>370</v>
      </c>
      <c r="X55" s="97">
        <f t="shared" si="13"/>
        <v>0</v>
      </c>
      <c r="Y55" s="97">
        <f t="shared" si="13"/>
        <v>12</v>
      </c>
      <c r="Z55" s="97">
        <f t="shared" si="13"/>
        <v>0</v>
      </c>
      <c r="AA55" s="97">
        <f t="shared" si="13"/>
        <v>0</v>
      </c>
      <c r="AB55" s="97">
        <f t="shared" si="13"/>
        <v>60</v>
      </c>
      <c r="AC55" s="97">
        <f t="shared" si="13"/>
        <v>23</v>
      </c>
      <c r="AD55" s="97">
        <f t="shared" si="13"/>
        <v>0</v>
      </c>
      <c r="AE55" s="97">
        <f t="shared" si="13"/>
        <v>0</v>
      </c>
      <c r="AF55" s="97">
        <f t="shared" si="13"/>
        <v>0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9">
    <mergeCell ref="AK33:AM33"/>
    <mergeCell ref="AK35:AM35"/>
    <mergeCell ref="AK40:AM40"/>
    <mergeCell ref="AI33:AJ33"/>
    <mergeCell ref="AI35:AJ35"/>
    <mergeCell ref="AI40:AJ40"/>
    <mergeCell ref="AI31:AJ32"/>
    <mergeCell ref="AK31:AM32"/>
    <mergeCell ref="AI44:AJ44"/>
    <mergeCell ref="AI37:AJ37"/>
    <mergeCell ref="AK37:AM37"/>
    <mergeCell ref="AK44:AM44"/>
    <mergeCell ref="AI36:AJ36"/>
    <mergeCell ref="AI45:AJ45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R28:S28"/>
    <mergeCell ref="T28:U28"/>
    <mergeCell ref="V28:W28"/>
    <mergeCell ref="X28:Y28"/>
    <mergeCell ref="I22:O22"/>
    <mergeCell ref="P22:Q22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AJ28:AK28"/>
    <mergeCell ref="AF27:AG27"/>
    <mergeCell ref="I23:O23"/>
    <mergeCell ref="P23:Q23"/>
    <mergeCell ref="Z29:AA29"/>
    <mergeCell ref="AB29:AC29"/>
    <mergeCell ref="AD29:AE29"/>
    <mergeCell ref="AF29:AG29"/>
    <mergeCell ref="AH29:AI29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I25:O25"/>
    <mergeCell ref="R24:S24"/>
    <mergeCell ref="T24:U24"/>
    <mergeCell ref="V24:W24"/>
    <mergeCell ref="X24:Y24"/>
    <mergeCell ref="Z24:AA24"/>
    <mergeCell ref="P25:Q25"/>
    <mergeCell ref="AD24:AE24"/>
    <mergeCell ref="I24:O24"/>
    <mergeCell ref="P24:Q24"/>
    <mergeCell ref="X26:Y26"/>
    <mergeCell ref="Z26:AA26"/>
    <mergeCell ref="AB26:AC26"/>
    <mergeCell ref="Z18:AA18"/>
    <mergeCell ref="AB18:AC18"/>
    <mergeCell ref="AD18:AE18"/>
    <mergeCell ref="AF18:AG18"/>
    <mergeCell ref="AH18:AI18"/>
    <mergeCell ref="AJ18:AK18"/>
    <mergeCell ref="AJ24:AK24"/>
    <mergeCell ref="AF24:AG24"/>
    <mergeCell ref="AH24:AI24"/>
    <mergeCell ref="I18:O18"/>
    <mergeCell ref="P18:Q18"/>
    <mergeCell ref="R18:S18"/>
    <mergeCell ref="T18:U18"/>
    <mergeCell ref="V18:W18"/>
    <mergeCell ref="X18:Y18"/>
    <mergeCell ref="AB24:AC24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H8:AI8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AD2:AE2"/>
    <mergeCell ref="AF2:AG2"/>
    <mergeCell ref="Z7:AA7"/>
    <mergeCell ref="AB7:AC7"/>
    <mergeCell ref="AD7:AE7"/>
    <mergeCell ref="AF7:AG7"/>
    <mergeCell ref="T4:U4"/>
    <mergeCell ref="V4:W4"/>
    <mergeCell ref="X4:Y4"/>
    <mergeCell ref="Z2:AA2"/>
    <mergeCell ref="AB2:AC2"/>
    <mergeCell ref="AB6:AC6"/>
    <mergeCell ref="AD6:AE6"/>
    <mergeCell ref="AF6:AG6"/>
    <mergeCell ref="T7:U7"/>
    <mergeCell ref="AD5:AE5"/>
    <mergeCell ref="Z6:AA6"/>
    <mergeCell ref="V7:W7"/>
    <mergeCell ref="X7:Y7"/>
    <mergeCell ref="Z8:AA8"/>
    <mergeCell ref="AB8:AC8"/>
    <mergeCell ref="AD8:AE8"/>
    <mergeCell ref="AF8:AG8"/>
    <mergeCell ref="AJ3:AK3"/>
    <mergeCell ref="P4:Q4"/>
    <mergeCell ref="AH7:AI7"/>
    <mergeCell ref="I6:O6"/>
    <mergeCell ref="P6:Q6"/>
    <mergeCell ref="R6:S6"/>
    <mergeCell ref="T6:U6"/>
    <mergeCell ref="V6:W6"/>
    <mergeCell ref="X6:Y6"/>
    <mergeCell ref="AF5:AG5"/>
    <mergeCell ref="AH5:AI5"/>
    <mergeCell ref="I5:O5"/>
    <mergeCell ref="P5:Q5"/>
    <mergeCell ref="R5:S5"/>
    <mergeCell ref="T5:U5"/>
    <mergeCell ref="V5:W5"/>
    <mergeCell ref="X5:Y5"/>
    <mergeCell ref="Z5:AA5"/>
    <mergeCell ref="AB5:AC5"/>
    <mergeCell ref="AH6:AI6"/>
    <mergeCell ref="M1:N1"/>
    <mergeCell ref="R1:U1"/>
    <mergeCell ref="E2:H2"/>
    <mergeCell ref="I2:O4"/>
    <mergeCell ref="P2:Q3"/>
    <mergeCell ref="R2:S2"/>
    <mergeCell ref="T2:U2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H4:AI4"/>
    <mergeCell ref="AF3:AG3"/>
    <mergeCell ref="AH3:AI3"/>
    <mergeCell ref="Z4:AA4"/>
    <mergeCell ref="AB4:AC4"/>
    <mergeCell ref="A43:D43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  <mergeCell ref="AB9:AC9"/>
    <mergeCell ref="AD9:AE9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theme="0" tint="-4.9989318521683403E-2"/>
    <pageSetUpPr fitToPage="1"/>
  </sheetPr>
  <dimension ref="A1:AM59"/>
  <sheetViews>
    <sheetView showGridLines="0" zoomScale="64" zoomScaleNormal="64" workbookViewId="0">
      <selection activeCell="X18" sqref="X18:Y18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18.25" style="9" customWidth="1"/>
    <col min="5" max="7" width="12" style="9" customWidth="1"/>
    <col min="8" max="8" width="11" style="9" customWidth="1"/>
    <col min="9" max="22" width="4.5" style="9" customWidth="1"/>
    <col min="23" max="32" width="4.5" style="13" customWidth="1"/>
    <col min="33" max="35" width="4.5" style="17" customWidth="1"/>
    <col min="36" max="36" width="23.5" style="17" customWidth="1"/>
    <col min="37" max="37" width="12.75" style="17" customWidth="1"/>
    <col min="38" max="38" width="4.5" style="17" customWidth="1"/>
    <col min="39" max="39" width="17.832031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 t="s">
        <v>117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236"/>
      <c r="C5" s="129" t="s">
        <v>74</v>
      </c>
      <c r="D5" s="237"/>
      <c r="E5" s="237"/>
      <c r="F5" s="237"/>
      <c r="G5" s="238"/>
      <c r="H5" s="110" t="str">
        <f t="shared" ref="H5:H28" si="0">IF(F5=0,"",(F5-G5)/F5)</f>
        <v/>
      </c>
      <c r="I5" s="675" t="s">
        <v>33</v>
      </c>
      <c r="J5" s="676"/>
      <c r="K5" s="676"/>
      <c r="L5" s="676"/>
      <c r="M5" s="676"/>
      <c r="N5" s="676"/>
      <c r="O5" s="677"/>
      <c r="P5" s="678">
        <v>0</v>
      </c>
      <c r="Q5" s="679"/>
      <c r="R5" s="680">
        <v>0</v>
      </c>
      <c r="S5" s="679"/>
      <c r="T5" s="681">
        <v>0</v>
      </c>
      <c r="U5" s="682"/>
      <c r="V5" s="683">
        <v>0</v>
      </c>
      <c r="W5" s="684"/>
      <c r="X5" s="685">
        <v>0</v>
      </c>
      <c r="Y5" s="686"/>
      <c r="Z5" s="687">
        <v>0</v>
      </c>
      <c r="AA5" s="688"/>
      <c r="AB5" s="674">
        <v>0</v>
      </c>
      <c r="AC5" s="674"/>
      <c r="AD5" s="689">
        <f>SUM(AF5:AK5)*0.025</f>
        <v>0</v>
      </c>
      <c r="AE5" s="689"/>
      <c r="AF5" s="674">
        <v>0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239"/>
      <c r="C6" s="129" t="s">
        <v>75</v>
      </c>
      <c r="D6" s="240"/>
      <c r="E6" s="241"/>
      <c r="F6" s="241"/>
      <c r="G6" s="242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</v>
      </c>
      <c r="Q6" s="673"/>
      <c r="R6" s="673">
        <f>IF($F$15=0,0,R5*1000/$F$15)</f>
        <v>0</v>
      </c>
      <c r="S6" s="673"/>
      <c r="T6" s="673">
        <f>IF($F$15=0,0,T5*1000/$F$15)</f>
        <v>0</v>
      </c>
      <c r="U6" s="673"/>
      <c r="V6" s="673">
        <f>IF($F$15=0,0,V5*1000/$F$15)</f>
        <v>0</v>
      </c>
      <c r="W6" s="673"/>
      <c r="X6" s="673">
        <f>IF($F$15=0,0,X5*1000/$F$15)</f>
        <v>0</v>
      </c>
      <c r="Y6" s="673"/>
      <c r="Z6" s="673">
        <f>IF($F$15=0,0,Z5*1000/$F$15)</f>
        <v>0</v>
      </c>
      <c r="AA6" s="673"/>
      <c r="AB6" s="632">
        <f>IF($F$15=0,0,AB5*1000/$F$15)</f>
        <v>0</v>
      </c>
      <c r="AC6" s="632"/>
      <c r="AD6" s="632">
        <f>IF($F$15=0,0,AD5*1000/$F$15)</f>
        <v>0</v>
      </c>
      <c r="AE6" s="632"/>
      <c r="AF6" s="627">
        <f>IF(AF5=0,0,F15/AF5)</f>
        <v>0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239"/>
      <c r="C7" s="129" t="s">
        <v>76</v>
      </c>
      <c r="D7" s="240"/>
      <c r="E7" s="241"/>
      <c r="F7" s="241"/>
      <c r="G7" s="242"/>
      <c r="H7" s="111" t="str">
        <f t="shared" si="0"/>
        <v/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</v>
      </c>
      <c r="Q7" s="639"/>
      <c r="R7" s="639">
        <f>IF($G$15=0,0,R5*1000/$G$15)</f>
        <v>0</v>
      </c>
      <c r="S7" s="639"/>
      <c r="T7" s="639">
        <f>IF($G$15=0,0,T5*1000/$G$15)</f>
        <v>0</v>
      </c>
      <c r="U7" s="639"/>
      <c r="V7" s="639">
        <f>IF($G$15=0,0,V5*1000/$G$15)</f>
        <v>0</v>
      </c>
      <c r="W7" s="639"/>
      <c r="X7" s="639">
        <f>IF($G$15=0,0,X5*1000/$G$15)</f>
        <v>0</v>
      </c>
      <c r="Y7" s="639"/>
      <c r="Z7" s="639">
        <f>IF($G$15=0,0,Z5*1000/$G$15)</f>
        <v>0</v>
      </c>
      <c r="AA7" s="639"/>
      <c r="AB7" s="632">
        <f>IF($G$15=0,0,AB5*1000/$G$15)</f>
        <v>0</v>
      </c>
      <c r="AC7" s="632"/>
      <c r="AD7" s="632">
        <f>IF($G$15=0,0,AD5*1000/$G$15)</f>
        <v>0</v>
      </c>
      <c r="AE7" s="632"/>
      <c r="AF7" s="627">
        <f>IF(AF5=0,0,G15/AF5)</f>
        <v>0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239"/>
      <c r="C8" s="129" t="s">
        <v>77</v>
      </c>
      <c r="D8" s="240"/>
      <c r="E8" s="241"/>
      <c r="F8" s="241"/>
      <c r="G8" s="242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/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362"/>
      <c r="C9" s="129" t="s">
        <v>78</v>
      </c>
      <c r="D9" s="227"/>
      <c r="E9" s="228"/>
      <c r="F9" s="228"/>
      <c r="G9" s="229"/>
      <c r="H9" s="111" t="str">
        <f>IF(F9=0,"",(F9-G9)/F9)</f>
        <v/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362"/>
      <c r="C10" s="129" t="s">
        <v>79</v>
      </c>
      <c r="D10" s="227"/>
      <c r="E10" s="228"/>
      <c r="F10" s="228"/>
      <c r="G10" s="229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362"/>
      <c r="C11" s="129" t="s">
        <v>80</v>
      </c>
      <c r="D11" s="227"/>
      <c r="E11" s="228"/>
      <c r="F11" s="228"/>
      <c r="G11" s="229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362"/>
      <c r="C12" s="129" t="s">
        <v>63</v>
      </c>
      <c r="D12" s="227"/>
      <c r="E12" s="228"/>
      <c r="F12" s="228"/>
      <c r="G12" s="229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/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 t="e">
        <f>F15/P12</f>
        <v>#DIV/0!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/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0</v>
      </c>
      <c r="F15" s="204">
        <f>SUM(F5:F14)</f>
        <v>0</v>
      </c>
      <c r="G15" s="204">
        <f>SUM(G5:G14)</f>
        <v>0</v>
      </c>
      <c r="H15" s="188" t="str">
        <f>IF(F15=0,"",(F15-G15)/F15)</f>
        <v/>
      </c>
      <c r="I15" s="719" t="s">
        <v>70</v>
      </c>
      <c r="J15" s="720"/>
      <c r="K15" s="720"/>
      <c r="L15" s="720"/>
      <c r="M15" s="720"/>
      <c r="N15" s="720"/>
      <c r="O15" s="721"/>
      <c r="P15" s="722" t="e">
        <f>F15/P14</f>
        <v>#DIV/0!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236"/>
      <c r="C16" s="130" t="s">
        <v>74</v>
      </c>
      <c r="D16" s="250"/>
      <c r="E16" s="237"/>
      <c r="F16" s="237"/>
      <c r="G16" s="238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239"/>
      <c r="C17" s="131" t="s">
        <v>75</v>
      </c>
      <c r="D17" s="241"/>
      <c r="E17" s="241"/>
      <c r="F17" s="241"/>
      <c r="G17" s="242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742">
        <f>IF(AF16=0,0,F26/AF16)</f>
        <v>0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239"/>
      <c r="C18" s="131" t="s">
        <v>76</v>
      </c>
      <c r="D18" s="241"/>
      <c r="E18" s="241"/>
      <c r="F18" s="241"/>
      <c r="G18" s="242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742">
        <f>IF(AF16=0,0,G26/AF16)</f>
        <v>0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239"/>
      <c r="C19" s="131" t="s">
        <v>77</v>
      </c>
      <c r="D19" s="241"/>
      <c r="E19" s="241"/>
      <c r="F19" s="241"/>
      <c r="G19" s="242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239"/>
      <c r="C20" s="131" t="s">
        <v>78</v>
      </c>
      <c r="D20" s="241"/>
      <c r="E20" s="241"/>
      <c r="F20" s="241"/>
      <c r="G20" s="242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120"/>
      <c r="C21" s="131" t="s">
        <v>79</v>
      </c>
      <c r="D21" s="241"/>
      <c r="E21" s="241"/>
      <c r="F21" s="241"/>
      <c r="G21" s="242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0</v>
      </c>
      <c r="G26" s="205">
        <f>SUM(G16:G25)</f>
        <v>0</v>
      </c>
      <c r="H26" s="196" t="str">
        <f>IF(F26=0,"",(F26-G26)/F26)</f>
        <v/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0</v>
      </c>
      <c r="Q27" s="781"/>
      <c r="R27" s="782">
        <f>SUM(R5,R16)</f>
        <v>0</v>
      </c>
      <c r="S27" s="781"/>
      <c r="T27" s="782">
        <f>SUM(T5,T16)</f>
        <v>0</v>
      </c>
      <c r="U27" s="781"/>
      <c r="V27" s="782">
        <f>SUM(V5,V16)</f>
        <v>0</v>
      </c>
      <c r="W27" s="781"/>
      <c r="X27" s="782">
        <f>SUM(X5,X16)</f>
        <v>0</v>
      </c>
      <c r="Y27" s="781"/>
      <c r="Z27" s="783">
        <f>SUM(Z5,Z16)</f>
        <v>0</v>
      </c>
      <c r="AA27" s="784"/>
      <c r="AB27" s="770">
        <f>SUM(AB5,AB16)</f>
        <v>0</v>
      </c>
      <c r="AC27" s="770"/>
      <c r="AD27" s="769">
        <f>SUM(AD5,AD16)</f>
        <v>0</v>
      </c>
      <c r="AE27" s="769"/>
      <c r="AF27" s="770">
        <f>SUM(AF5,AF16)</f>
        <v>0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0</v>
      </c>
      <c r="F28" s="140">
        <f>F15+F26</f>
        <v>0</v>
      </c>
      <c r="G28" s="140">
        <f>G15+G26</f>
        <v>0</v>
      </c>
      <c r="H28" s="141" t="str">
        <f t="shared" si="0"/>
        <v/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</v>
      </c>
      <c r="Q28" s="745"/>
      <c r="R28" s="746">
        <f t="shared" si="1"/>
        <v>0</v>
      </c>
      <c r="S28" s="745"/>
      <c r="T28" s="746">
        <f t="shared" si="1"/>
        <v>0</v>
      </c>
      <c r="U28" s="745"/>
      <c r="V28" s="800">
        <f t="shared" si="1"/>
        <v>0</v>
      </c>
      <c r="W28" s="801"/>
      <c r="X28" s="800">
        <f t="shared" si="1"/>
        <v>0</v>
      </c>
      <c r="Y28" s="801"/>
      <c r="Z28" s="746">
        <f t="shared" si="1"/>
        <v>0</v>
      </c>
      <c r="AA28" s="744"/>
      <c r="AB28" s="632">
        <f t="shared" si="1"/>
        <v>0</v>
      </c>
      <c r="AC28" s="632"/>
      <c r="AD28" s="632">
        <f t="shared" si="1"/>
        <v>0</v>
      </c>
      <c r="AE28" s="632"/>
      <c r="AF28" s="757">
        <f>IF(AF27=0,0,F28/AF27)</f>
        <v>0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</v>
      </c>
      <c r="Q29" s="792"/>
      <c r="R29" s="771">
        <f t="shared" si="2"/>
        <v>0</v>
      </c>
      <c r="S29" s="792"/>
      <c r="T29" s="771">
        <f t="shared" si="2"/>
        <v>0</v>
      </c>
      <c r="U29" s="792"/>
      <c r="V29" s="793">
        <f t="shared" si="2"/>
        <v>0</v>
      </c>
      <c r="W29" s="794"/>
      <c r="X29" s="795">
        <f t="shared" si="2"/>
        <v>0</v>
      </c>
      <c r="Y29" s="796"/>
      <c r="Z29" s="771">
        <f t="shared" si="2"/>
        <v>0</v>
      </c>
      <c r="AA29" s="772"/>
      <c r="AB29" s="773">
        <f t="shared" si="2"/>
        <v>0</v>
      </c>
      <c r="AC29" s="773"/>
      <c r="AD29" s="773">
        <f t="shared" si="2"/>
        <v>0</v>
      </c>
      <c r="AE29" s="773"/>
      <c r="AF29" s="774">
        <f>IF(AF27=0,0,G28/AF27)</f>
        <v>0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306">
        <f t="shared" ref="B33:B42" si="3">B5</f>
        <v>0</v>
      </c>
      <c r="C33" s="213" t="s">
        <v>74</v>
      </c>
      <c r="D33" s="307">
        <f t="shared" ref="D33:D42" si="4">D5</f>
        <v>0</v>
      </c>
      <c r="E33" s="307">
        <f>G5</f>
        <v>0</v>
      </c>
      <c r="F33" s="395"/>
      <c r="G33" s="62" t="str">
        <f t="shared" ref="G33:G55" si="5">IF(E33=0,"",(E33-F33)/E33)</f>
        <v/>
      </c>
      <c r="H33" s="63"/>
      <c r="I33" s="64">
        <f t="shared" ref="I33:I54" si="6">SUM(J33:AH33)</f>
        <v>0</v>
      </c>
      <c r="J33" s="453"/>
      <c r="K33" s="454"/>
      <c r="L33" s="453"/>
      <c r="M33" s="454"/>
      <c r="N33" s="453"/>
      <c r="O33" s="454"/>
      <c r="P33" s="453"/>
      <c r="Q33" s="454"/>
      <c r="R33" s="453"/>
      <c r="S33" s="454"/>
      <c r="T33" s="453"/>
      <c r="U33" s="454"/>
      <c r="V33" s="453"/>
      <c r="W33" s="454"/>
      <c r="X33" s="453"/>
      <c r="Y33" s="454"/>
      <c r="Z33" s="453"/>
      <c r="AA33" s="454"/>
      <c r="AB33" s="453"/>
      <c r="AC33" s="454"/>
      <c r="AD33" s="453"/>
      <c r="AE33" s="454"/>
      <c r="AF33" s="453"/>
      <c r="AG33" s="454"/>
      <c r="AH33" s="453"/>
      <c r="AI33" s="803"/>
      <c r="AJ33" s="804"/>
      <c r="AK33" s="843"/>
      <c r="AL33" s="844"/>
      <c r="AM33" s="845"/>
    </row>
    <row r="34" spans="1:39" ht="20.25" customHeight="1">
      <c r="A34" s="370"/>
      <c r="B34" s="160">
        <f t="shared" si="3"/>
        <v>0</v>
      </c>
      <c r="C34" s="214" t="s">
        <v>75</v>
      </c>
      <c r="D34" s="124">
        <f t="shared" si="4"/>
        <v>0</v>
      </c>
      <c r="E34" s="161">
        <f t="shared" ref="E34:E42" si="7">G6</f>
        <v>0</v>
      </c>
      <c r="F34" s="151"/>
      <c r="G34" s="70" t="str">
        <f t="shared" si="5"/>
        <v/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71"/>
      <c r="AJ34" s="72"/>
      <c r="AK34" s="73"/>
      <c r="AL34" s="74"/>
      <c r="AM34" s="75"/>
    </row>
    <row r="35" spans="1:39" ht="20.25" customHeight="1">
      <c r="A35" s="370"/>
      <c r="B35" s="320">
        <f t="shared" si="3"/>
        <v>0</v>
      </c>
      <c r="C35" s="214" t="s">
        <v>76</v>
      </c>
      <c r="D35" s="318">
        <f t="shared" si="4"/>
        <v>0</v>
      </c>
      <c r="E35" s="318">
        <v>0</v>
      </c>
      <c r="F35" s="322"/>
      <c r="G35" s="70" t="str">
        <f t="shared" si="5"/>
        <v/>
      </c>
      <c r="H35" s="63"/>
      <c r="I35" s="64">
        <f t="shared" si="6"/>
        <v>0</v>
      </c>
      <c r="J35" s="455"/>
      <c r="K35" s="456"/>
      <c r="L35" s="456"/>
      <c r="M35" s="456"/>
      <c r="N35" s="456"/>
      <c r="O35" s="456"/>
      <c r="P35" s="456"/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7"/>
      <c r="AI35" s="833"/>
      <c r="AJ35" s="834"/>
      <c r="AK35" s="442"/>
      <c r="AL35" s="74"/>
      <c r="AM35" s="75"/>
    </row>
    <row r="36" spans="1:39" ht="20.25" customHeight="1">
      <c r="A36" s="371">
        <v>1</v>
      </c>
      <c r="B36" s="160">
        <f t="shared" si="3"/>
        <v>0</v>
      </c>
      <c r="C36" s="214" t="s">
        <v>77</v>
      </c>
      <c r="D36" s="124">
        <f t="shared" si="4"/>
        <v>0</v>
      </c>
      <c r="E36" s="161">
        <f t="shared" si="7"/>
        <v>0</v>
      </c>
      <c r="F36" s="151"/>
      <c r="G36" s="70" t="str">
        <f t="shared" si="5"/>
        <v/>
      </c>
      <c r="H36" s="63"/>
      <c r="I36" s="64">
        <f t="shared" si="6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452"/>
      <c r="AJ36" s="438"/>
      <c r="AK36" s="73"/>
      <c r="AL36" s="74"/>
      <c r="AM36" s="75"/>
    </row>
    <row r="37" spans="1:39" ht="20.25" customHeight="1">
      <c r="A37" s="372"/>
      <c r="B37" s="160">
        <f t="shared" si="3"/>
        <v>0</v>
      </c>
      <c r="C37" s="214" t="s">
        <v>78</v>
      </c>
      <c r="D37" s="124">
        <f t="shared" si="4"/>
        <v>0</v>
      </c>
      <c r="E37" s="161">
        <f t="shared" si="7"/>
        <v>0</v>
      </c>
      <c r="F37" s="151"/>
      <c r="G37" s="70" t="str">
        <f t="shared" si="5"/>
        <v/>
      </c>
      <c r="H37" s="63"/>
      <c r="I37" s="64">
        <f t="shared" si="6"/>
        <v>0</v>
      </c>
      <c r="J37" s="455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71"/>
      <c r="AJ37" s="72"/>
      <c r="AK37" s="73"/>
      <c r="AL37" s="74"/>
      <c r="AM37" s="75"/>
    </row>
    <row r="38" spans="1:39" ht="20.25" customHeight="1">
      <c r="A38" s="372"/>
      <c r="B38" s="162">
        <f t="shared" si="3"/>
        <v>0</v>
      </c>
      <c r="C38" s="214" t="s">
        <v>79</v>
      </c>
      <c r="D38" s="163">
        <f t="shared" si="4"/>
        <v>0</v>
      </c>
      <c r="E38" s="161">
        <f t="shared" si="7"/>
        <v>0</v>
      </c>
      <c r="F38" s="151"/>
      <c r="G38" s="70" t="str">
        <f t="shared" si="5"/>
        <v/>
      </c>
      <c r="H38" s="63"/>
      <c r="I38" s="64">
        <f t="shared" si="6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7"/>
        <v>0</v>
      </c>
      <c r="F39" s="154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86"/>
      <c r="AK39" s="73"/>
      <c r="AL39" s="74"/>
      <c r="AM39" s="75"/>
    </row>
    <row r="40" spans="1:39" ht="20.25" customHeight="1">
      <c r="A40" s="372"/>
      <c r="B40" s="321">
        <f t="shared" si="3"/>
        <v>0</v>
      </c>
      <c r="C40" s="214" t="s">
        <v>63</v>
      </c>
      <c r="D40" s="323">
        <f t="shared" si="4"/>
        <v>0</v>
      </c>
      <c r="E40" s="323">
        <f t="shared" si="7"/>
        <v>0</v>
      </c>
      <c r="F40" s="324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870"/>
      <c r="AJ40" s="813"/>
      <c r="AK40" s="448"/>
      <c r="AL40" s="449"/>
      <c r="AM40" s="410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7"/>
        <v>0</v>
      </c>
      <c r="F41" s="209"/>
      <c r="G41" s="210" t="str">
        <f t="shared" si="5"/>
        <v/>
      </c>
      <c r="H41" s="63"/>
      <c r="I41" s="64">
        <f t="shared" si="6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0</v>
      </c>
      <c r="F43" s="145">
        <f>SUM(F33:F42)</f>
        <v>0</v>
      </c>
      <c r="G43" s="135" t="str">
        <f t="shared" si="5"/>
        <v/>
      </c>
      <c r="H43" s="63"/>
      <c r="I43" s="376">
        <f t="shared" si="6"/>
        <v>0</v>
      </c>
      <c r="J43" s="77">
        <f>SUM(J33:J42)</f>
        <v>0</v>
      </c>
      <c r="K43" s="78">
        <f t="shared" ref="K43:AH43" si="8">SUM(K33:K42)</f>
        <v>0</v>
      </c>
      <c r="L43" s="78">
        <f t="shared" si="8"/>
        <v>0</v>
      </c>
      <c r="M43" s="78">
        <f t="shared" si="8"/>
        <v>0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0</v>
      </c>
      <c r="R43" s="78">
        <f t="shared" si="8"/>
        <v>0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0</v>
      </c>
      <c r="W43" s="78">
        <f t="shared" si="8"/>
        <v>0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0</v>
      </c>
      <c r="AC43" s="78">
        <f t="shared" si="8"/>
        <v>0</v>
      </c>
      <c r="AD43" s="78">
        <f t="shared" si="8"/>
        <v>0</v>
      </c>
      <c r="AE43" s="78">
        <f t="shared" si="8"/>
        <v>0</v>
      </c>
      <c r="AF43" s="78">
        <f t="shared" si="8"/>
        <v>0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92">
        <f t="shared" ref="B44:B53" si="9">B16</f>
        <v>0</v>
      </c>
      <c r="C44" s="382" t="s">
        <v>74</v>
      </c>
      <c r="D44" s="293">
        <f t="shared" ref="D44:D53" si="10">D16</f>
        <v>0</v>
      </c>
      <c r="E44" s="293">
        <f>G16</f>
        <v>0</v>
      </c>
      <c r="F44" s="294"/>
      <c r="G44" s="62" t="str">
        <f t="shared" si="5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2"/>
      <c r="AJ44" s="813"/>
      <c r="AK44" s="440"/>
      <c r="AL44" s="83"/>
      <c r="AM44" s="84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ref="E45:E53" si="11">G17</f>
        <v>0</v>
      </c>
      <c r="F45" s="151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300">
        <f t="shared" si="9"/>
        <v>0</v>
      </c>
      <c r="C46" s="217" t="s">
        <v>76</v>
      </c>
      <c r="D46" s="304">
        <f t="shared" si="10"/>
        <v>0</v>
      </c>
      <c r="E46" s="297">
        <f>G18</f>
        <v>0</v>
      </c>
      <c r="F46" s="319"/>
      <c r="G46" s="70" t="str">
        <f t="shared" si="5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613"/>
      <c r="AJ46" s="614"/>
      <c r="AK46" s="440"/>
      <c r="AL46" s="74"/>
      <c r="AM46" s="75"/>
    </row>
    <row r="47" spans="1:39" ht="20.25" customHeight="1">
      <c r="A47" s="363"/>
      <c r="B47" s="300">
        <f t="shared" si="9"/>
        <v>0</v>
      </c>
      <c r="C47" s="217" t="s">
        <v>77</v>
      </c>
      <c r="D47" s="305">
        <f t="shared" si="10"/>
        <v>0</v>
      </c>
      <c r="E47" s="297">
        <f>G19</f>
        <v>0</v>
      </c>
      <c r="F47" s="319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802"/>
      <c r="AJ47" s="614"/>
      <c r="AK47" s="440"/>
      <c r="AL47" s="74"/>
      <c r="AM47" s="75"/>
    </row>
    <row r="48" spans="1:39" ht="20.25" customHeight="1">
      <c r="A48" s="363"/>
      <c r="B48" s="149">
        <f t="shared" si="9"/>
        <v>0</v>
      </c>
      <c r="C48" s="217" t="s">
        <v>78</v>
      </c>
      <c r="D48" s="155">
        <f t="shared" si="10"/>
        <v>0</v>
      </c>
      <c r="E48" s="153">
        <f t="shared" si="11"/>
        <v>0</v>
      </c>
      <c r="F48" s="154"/>
      <c r="G48" s="70" t="str">
        <f t="shared" si="5"/>
        <v/>
      </c>
      <c r="H48" s="63"/>
      <c r="I48" s="64">
        <f t="shared" si="6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75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5"/>
        <v/>
      </c>
      <c r="H54" s="63"/>
      <c r="I54" s="87">
        <f t="shared" si="6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0</v>
      </c>
      <c r="F55" s="164">
        <f>F43+F54</f>
        <v>0</v>
      </c>
      <c r="G55" s="165" t="str">
        <f t="shared" si="5"/>
        <v/>
      </c>
      <c r="H55" s="95"/>
      <c r="I55" s="96">
        <f>SUM(I43,I54)</f>
        <v>0</v>
      </c>
      <c r="J55" s="97">
        <f>SUM(J43,J54)</f>
        <v>0</v>
      </c>
      <c r="K55" s="97">
        <f t="shared" ref="K55:AH55" si="13">SUM(K43,K54)</f>
        <v>0</v>
      </c>
      <c r="L55" s="97">
        <f t="shared" si="13"/>
        <v>0</v>
      </c>
      <c r="M55" s="97">
        <f t="shared" si="13"/>
        <v>0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0</v>
      </c>
      <c r="R55" s="97">
        <f t="shared" si="13"/>
        <v>0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0</v>
      </c>
      <c r="W55" s="97">
        <f t="shared" si="13"/>
        <v>0</v>
      </c>
      <c r="X55" s="97">
        <f t="shared" si="13"/>
        <v>0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0</v>
      </c>
      <c r="AC55" s="97">
        <f t="shared" si="13"/>
        <v>0</v>
      </c>
      <c r="AD55" s="97">
        <f t="shared" si="13"/>
        <v>0</v>
      </c>
      <c r="AE55" s="97">
        <f t="shared" si="13"/>
        <v>0</v>
      </c>
      <c r="AF55" s="97">
        <f t="shared" si="13"/>
        <v>0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4">
    <mergeCell ref="AI35:AJ35"/>
    <mergeCell ref="AI40:AJ40"/>
    <mergeCell ref="AI33:AJ33"/>
    <mergeCell ref="AK33:AM33"/>
    <mergeCell ref="AI31:AJ32"/>
    <mergeCell ref="AK31:AM32"/>
    <mergeCell ref="AI44:AJ44"/>
    <mergeCell ref="AI45:AJ45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AF27:AG27"/>
    <mergeCell ref="X26:Y26"/>
    <mergeCell ref="Z26:AA26"/>
    <mergeCell ref="AB26:AC26"/>
    <mergeCell ref="AF29:AG29"/>
    <mergeCell ref="AH29:AI29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AJ28:AK28"/>
    <mergeCell ref="Z29:AA29"/>
    <mergeCell ref="AB29:AC29"/>
    <mergeCell ref="AD29:AE29"/>
    <mergeCell ref="I25:O25"/>
    <mergeCell ref="R24:S24"/>
    <mergeCell ref="T24:U24"/>
    <mergeCell ref="V24:W24"/>
    <mergeCell ref="X24:Y24"/>
    <mergeCell ref="Z24:AA24"/>
    <mergeCell ref="AB24:AC24"/>
    <mergeCell ref="P25:Q25"/>
    <mergeCell ref="T28:U28"/>
    <mergeCell ref="V28:W28"/>
    <mergeCell ref="X28:Y28"/>
    <mergeCell ref="P28:Q28"/>
    <mergeCell ref="R28:S28"/>
    <mergeCell ref="AF18:AG18"/>
    <mergeCell ref="AH18:AI18"/>
    <mergeCell ref="AJ18:AK18"/>
    <mergeCell ref="AJ24:AK24"/>
    <mergeCell ref="AF24:AG24"/>
    <mergeCell ref="AH24:AI24"/>
    <mergeCell ref="I18:O18"/>
    <mergeCell ref="P18:Q18"/>
    <mergeCell ref="R18:S18"/>
    <mergeCell ref="T18:U18"/>
    <mergeCell ref="V18:W18"/>
    <mergeCell ref="X18:Y18"/>
    <mergeCell ref="AD24:AE24"/>
    <mergeCell ref="I24:O24"/>
    <mergeCell ref="P24:Q24"/>
    <mergeCell ref="Z18:AA18"/>
    <mergeCell ref="AB18:AC18"/>
    <mergeCell ref="AD18:AE18"/>
    <mergeCell ref="I23:O23"/>
    <mergeCell ref="P23:Q23"/>
    <mergeCell ref="I22:O22"/>
    <mergeCell ref="P22:Q22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H8:AI8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AH6:AI6"/>
    <mergeCell ref="AD2:AE2"/>
    <mergeCell ref="AF2:AG2"/>
    <mergeCell ref="Z7:AA7"/>
    <mergeCell ref="AB7:AC7"/>
    <mergeCell ref="AD7:AE7"/>
    <mergeCell ref="AF7:AG7"/>
    <mergeCell ref="T4:U4"/>
    <mergeCell ref="V4:W4"/>
    <mergeCell ref="X4:Y4"/>
    <mergeCell ref="Z2:AA2"/>
    <mergeCell ref="AB2:AC2"/>
    <mergeCell ref="AB6:AC6"/>
    <mergeCell ref="AD6:AE6"/>
    <mergeCell ref="AF6:AG6"/>
    <mergeCell ref="T7:U7"/>
    <mergeCell ref="AD5:AE5"/>
    <mergeCell ref="Z6:AA6"/>
    <mergeCell ref="V7:W7"/>
    <mergeCell ref="X7:Y7"/>
    <mergeCell ref="AF5:AG5"/>
    <mergeCell ref="AH5:AI5"/>
    <mergeCell ref="I5:O5"/>
    <mergeCell ref="P5:Q5"/>
    <mergeCell ref="R5:S5"/>
    <mergeCell ref="T5:U5"/>
    <mergeCell ref="V5:W5"/>
    <mergeCell ref="X5:Y5"/>
    <mergeCell ref="Z5:AA5"/>
    <mergeCell ref="AB5:AC5"/>
    <mergeCell ref="AJ2:AK2"/>
    <mergeCell ref="AF3:AG3"/>
    <mergeCell ref="AH3:AI3"/>
    <mergeCell ref="AJ3:AK3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D9:AE9"/>
    <mergeCell ref="M1:N1"/>
    <mergeCell ref="R1:U1"/>
    <mergeCell ref="E2:H2"/>
    <mergeCell ref="I2:O4"/>
    <mergeCell ref="P2:Q3"/>
    <mergeCell ref="R2:S2"/>
    <mergeCell ref="T2:U2"/>
    <mergeCell ref="AH2:AI2"/>
    <mergeCell ref="AH4:AI4"/>
    <mergeCell ref="Z4:AA4"/>
    <mergeCell ref="AB4:AC4"/>
    <mergeCell ref="Z8:AA8"/>
    <mergeCell ref="AB8:AC8"/>
    <mergeCell ref="AD8:AE8"/>
    <mergeCell ref="AF8:AG8"/>
    <mergeCell ref="P4:Q4"/>
    <mergeCell ref="AH7:AI7"/>
    <mergeCell ref="I6:O6"/>
    <mergeCell ref="P6:Q6"/>
    <mergeCell ref="R6:S6"/>
    <mergeCell ref="T6:U6"/>
    <mergeCell ref="V6:W6"/>
    <mergeCell ref="X6:Y6"/>
    <mergeCell ref="AI47:AJ47"/>
    <mergeCell ref="A43:D43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  <mergeCell ref="AB9:AC9"/>
  </mergeCells>
  <dataValidations disablePrompts="1"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9" orientation="landscape" blackAndWhite="1" verticalDpi="300" r:id="rId1"/>
  <headerFooter alignWithMargins="0"/>
  <colBreaks count="1" manualBreakCount="1">
    <brk id="31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M59"/>
  <sheetViews>
    <sheetView showGridLines="0" topLeftCell="A31" zoomScale="64" zoomScaleNormal="64" workbookViewId="0">
      <selection activeCell="AI46" sqref="AI46:AJ46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21.75" style="9" customWidth="1"/>
    <col min="5" max="7" width="12" style="9" customWidth="1"/>
    <col min="8" max="8" width="11" style="9" customWidth="1"/>
    <col min="9" max="9" width="5.58203125" style="9" customWidth="1"/>
    <col min="10" max="16" width="4.5" style="9" customWidth="1"/>
    <col min="17" max="17" width="4.75" style="9" customWidth="1"/>
    <col min="18" max="22" width="4.5" style="9" customWidth="1"/>
    <col min="23" max="32" width="4.5" style="13" customWidth="1"/>
    <col min="33" max="35" width="4.5" style="17" customWidth="1"/>
    <col min="36" max="36" width="43.75" style="17" customWidth="1"/>
    <col min="37" max="38" width="4.5" style="17" customWidth="1"/>
    <col min="39" max="39" width="16.332031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>
        <v>244578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236" t="s">
        <v>237</v>
      </c>
      <c r="C5" s="129" t="s">
        <v>74</v>
      </c>
      <c r="D5" s="237" t="s">
        <v>194</v>
      </c>
      <c r="E5" s="237">
        <v>2000</v>
      </c>
      <c r="F5" s="237">
        <v>2430</v>
      </c>
      <c r="G5" s="238">
        <v>2199</v>
      </c>
      <c r="H5" s="110">
        <f t="shared" ref="H5:H28" si="0">IF(F5=0,"",(F5-G5)/F5)</f>
        <v>9.5061728395061731E-2</v>
      </c>
      <c r="I5" s="675" t="s">
        <v>33</v>
      </c>
      <c r="J5" s="676"/>
      <c r="K5" s="676"/>
      <c r="L5" s="676"/>
      <c r="M5" s="676"/>
      <c r="N5" s="676"/>
      <c r="O5" s="677"/>
      <c r="P5" s="678">
        <v>2.2480000000000002</v>
      </c>
      <c r="Q5" s="679"/>
      <c r="R5" s="680">
        <v>6.7969999999999997</v>
      </c>
      <c r="S5" s="679"/>
      <c r="T5" s="681">
        <v>0.65300000000000002</v>
      </c>
      <c r="U5" s="682"/>
      <c r="V5" s="683">
        <v>18.190999999999999</v>
      </c>
      <c r="W5" s="684"/>
      <c r="X5" s="685">
        <v>0.374</v>
      </c>
      <c r="Y5" s="686"/>
      <c r="Z5" s="687">
        <f>72+200</f>
        <v>272</v>
      </c>
      <c r="AA5" s="688"/>
      <c r="AB5" s="674">
        <v>37</v>
      </c>
      <c r="AC5" s="674"/>
      <c r="AD5" s="689">
        <f>SUM(AF5:AK5)*0.025</f>
        <v>1.35</v>
      </c>
      <c r="AE5" s="689"/>
      <c r="AF5" s="674">
        <f>14+14+14+12</f>
        <v>54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239"/>
      <c r="C6" s="129" t="s">
        <v>75</v>
      </c>
      <c r="D6" s="240"/>
      <c r="E6" s="241"/>
      <c r="F6" s="241"/>
      <c r="G6" s="242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0.24914108389670842</v>
      </c>
      <c r="Q6" s="673"/>
      <c r="R6" s="673">
        <f>IF($F$15=0,0,R5*1000/$F$15)</f>
        <v>0.75329712955779671</v>
      </c>
      <c r="S6" s="673"/>
      <c r="T6" s="673">
        <f>IF($F$15=0,0,T5*1000/$F$15)</f>
        <v>7.2370608445084778E-2</v>
      </c>
      <c r="U6" s="673"/>
      <c r="V6" s="673">
        <f>IF($F$15=0,0,V5*1000/$F$15)</f>
        <v>2.0160700432228751</v>
      </c>
      <c r="W6" s="673"/>
      <c r="X6" s="673">
        <f>IF($F$15=0,0,X5*1000/$F$15)</f>
        <v>4.1449628726587612E-2</v>
      </c>
      <c r="Y6" s="673"/>
      <c r="Z6" s="673">
        <f>IF($F$15=0,0,Z5*1000/$F$15)</f>
        <v>30.145184528427354</v>
      </c>
      <c r="AA6" s="673"/>
      <c r="AB6" s="632">
        <f>IF($F$15=0,0,AB5*1000/$F$15)</f>
        <v>4.1006317189404857</v>
      </c>
      <c r="AC6" s="632"/>
      <c r="AD6" s="632">
        <f>IF($F$15=0,0,AD5*1000/$F$15)</f>
        <v>0.14961764379917988</v>
      </c>
      <c r="AE6" s="632"/>
      <c r="AF6" s="627">
        <f>IF(AF5=0,0,F15/AF5)</f>
        <v>167.09259259259258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239" t="s">
        <v>238</v>
      </c>
      <c r="C7" s="129" t="s">
        <v>76</v>
      </c>
      <c r="D7" s="240" t="s">
        <v>194</v>
      </c>
      <c r="E7" s="241">
        <v>3000</v>
      </c>
      <c r="F7" s="241">
        <v>4052</v>
      </c>
      <c r="G7" s="242">
        <v>3788</v>
      </c>
      <c r="H7" s="111">
        <f t="shared" si="0"/>
        <v>6.5153010858835139E-2</v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0.2704848995307424</v>
      </c>
      <c r="Q7" s="639"/>
      <c r="R7" s="639">
        <f>IF($G$15=0,0,R5*1000/$G$15)</f>
        <v>0.81783178919504274</v>
      </c>
      <c r="S7" s="639"/>
      <c r="T7" s="639">
        <f>IF($G$15=0,0,T5*1000/$G$15)</f>
        <v>7.8570569125255688E-2</v>
      </c>
      <c r="U7" s="639"/>
      <c r="V7" s="639">
        <f>IF($G$15=0,0,V5*1000/$G$15)</f>
        <v>2.1887859463361812</v>
      </c>
      <c r="W7" s="639"/>
      <c r="X7" s="639">
        <f>IF($G$15=0,0,X5*1000/$G$15)</f>
        <v>4.5000601612321021E-2</v>
      </c>
      <c r="Y7" s="639"/>
      <c r="Z7" s="639">
        <f>IF($G$15=0,0,Z5*1000/$G$15)</f>
        <v>32.727710263506196</v>
      </c>
      <c r="AA7" s="639"/>
      <c r="AB7" s="632">
        <f>IF($G$15=0,0,AB5*1000/$G$15)</f>
        <v>4.4519311755504756</v>
      </c>
      <c r="AC7" s="632"/>
      <c r="AD7" s="632">
        <f>IF($G$15=0,0,AD5*1000/$G$15)</f>
        <v>0.16243532667549032</v>
      </c>
      <c r="AE7" s="632"/>
      <c r="AF7" s="627">
        <f>IF(AF5=0,0,G15/AF5)</f>
        <v>153.90740740740742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239" t="s">
        <v>239</v>
      </c>
      <c r="C8" s="129" t="s">
        <v>77</v>
      </c>
      <c r="D8" s="240" t="s">
        <v>194</v>
      </c>
      <c r="E8" s="241">
        <v>1000</v>
      </c>
      <c r="F8" s="241">
        <v>1450</v>
      </c>
      <c r="G8" s="242">
        <v>1407</v>
      </c>
      <c r="H8" s="111">
        <f t="shared" si="0"/>
        <v>2.9655172413793104E-2</v>
      </c>
      <c r="I8" s="691" t="s">
        <v>64</v>
      </c>
      <c r="J8" s="692"/>
      <c r="K8" s="692"/>
      <c r="L8" s="692"/>
      <c r="M8" s="692"/>
      <c r="N8" s="692"/>
      <c r="O8" s="693"/>
      <c r="P8" s="631">
        <v>101</v>
      </c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362" t="s">
        <v>240</v>
      </c>
      <c r="C9" s="129" t="s">
        <v>78</v>
      </c>
      <c r="D9" s="227" t="s">
        <v>194</v>
      </c>
      <c r="E9" s="228">
        <v>1000</v>
      </c>
      <c r="F9" s="228">
        <v>1091</v>
      </c>
      <c r="G9" s="229">
        <v>917</v>
      </c>
      <c r="H9" s="111">
        <f>IF(F9=0,"",(F9-G9)/F9)</f>
        <v>0.15948670944087992</v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239"/>
      <c r="C10" s="129" t="s">
        <v>79</v>
      </c>
      <c r="D10" s="124"/>
      <c r="E10" s="125"/>
      <c r="F10" s="125"/>
      <c r="G10" s="126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>
        <f>4+4+7+7+5+4+6</f>
        <v>37</v>
      </c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>
        <f>F15/P12</f>
        <v>243.86486486486487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>
        <v>7</v>
      </c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7000</v>
      </c>
      <c r="F15" s="204">
        <f>SUM(F5:F14)</f>
        <v>9023</v>
      </c>
      <c r="G15" s="204">
        <f>SUM(G5:G14)</f>
        <v>8311</v>
      </c>
      <c r="H15" s="188">
        <f>IF(F15=0,"",(F15-G15)/F15)</f>
        <v>7.8909453618530426E-2</v>
      </c>
      <c r="I15" s="719" t="s">
        <v>70</v>
      </c>
      <c r="J15" s="720"/>
      <c r="K15" s="720"/>
      <c r="L15" s="720"/>
      <c r="M15" s="720"/>
      <c r="N15" s="720"/>
      <c r="O15" s="721"/>
      <c r="P15" s="722">
        <f>F15/P14</f>
        <v>1289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224" t="s">
        <v>241</v>
      </c>
      <c r="C16" s="130" t="s">
        <v>74</v>
      </c>
      <c r="D16" s="230" t="s">
        <v>162</v>
      </c>
      <c r="E16" s="225">
        <v>2000</v>
      </c>
      <c r="F16" s="225">
        <f>1388+1174</f>
        <v>2562</v>
      </c>
      <c r="G16" s="226">
        <v>2336</v>
      </c>
      <c r="H16" s="110">
        <f t="shared" si="0"/>
        <v>8.8212334113973459E-2</v>
      </c>
      <c r="I16" s="727" t="s">
        <v>71</v>
      </c>
      <c r="J16" s="728"/>
      <c r="K16" s="728"/>
      <c r="L16" s="728"/>
      <c r="M16" s="728"/>
      <c r="N16" s="728"/>
      <c r="O16" s="729"/>
      <c r="P16" s="730">
        <v>2.2080000000000002</v>
      </c>
      <c r="Q16" s="731"/>
      <c r="R16" s="732">
        <v>6.6520000000000001</v>
      </c>
      <c r="S16" s="731"/>
      <c r="T16" s="733">
        <v>0.69799999999999995</v>
      </c>
      <c r="U16" s="734"/>
      <c r="V16" s="735">
        <v>16.681000000000001</v>
      </c>
      <c r="W16" s="736"/>
      <c r="X16" s="737">
        <v>0.40200000000000002</v>
      </c>
      <c r="Y16" s="738"/>
      <c r="Z16" s="740">
        <f>200+16</f>
        <v>216</v>
      </c>
      <c r="AA16" s="741"/>
      <c r="AB16" s="739">
        <v>38</v>
      </c>
      <c r="AC16" s="739"/>
      <c r="AD16" s="725">
        <f>SUM(AF16:AK16)*0.025</f>
        <v>1.425</v>
      </c>
      <c r="AE16" s="725"/>
      <c r="AF16" s="726">
        <f>14+14+14+15</f>
        <v>57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362"/>
      <c r="C17" s="131" t="s">
        <v>75</v>
      </c>
      <c r="D17" s="228"/>
      <c r="E17" s="228"/>
      <c r="F17" s="228"/>
      <c r="G17" s="229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0.2518822724161533</v>
      </c>
      <c r="Q17" s="745"/>
      <c r="R17" s="746">
        <f>IF($F$26=0,0,R16*1000/$F$26)</f>
        <v>0.75884097650011406</v>
      </c>
      <c r="S17" s="745"/>
      <c r="T17" s="746">
        <f>IF($F$26=0,0,T16*1000/$F$26)</f>
        <v>7.962582705909195E-2</v>
      </c>
      <c r="U17" s="744"/>
      <c r="V17" s="632">
        <f>IF($F$26=0,0,V16*1000/$F$26)</f>
        <v>1.9029203741729408</v>
      </c>
      <c r="W17" s="632"/>
      <c r="X17" s="632">
        <f>IF($F$26=0,0,X16*1000/$F$26)</f>
        <v>4.5859000684462699E-2</v>
      </c>
      <c r="Y17" s="632"/>
      <c r="Z17" s="744">
        <f>IF($F$26=0,0,Z16*1000/$F$26)</f>
        <v>24.640657084188913</v>
      </c>
      <c r="AA17" s="744"/>
      <c r="AB17" s="632">
        <f>IF($F$26=0,0,AB16*1000/$F$26)</f>
        <v>4.3349304129591602</v>
      </c>
      <c r="AC17" s="632"/>
      <c r="AD17" s="632">
        <f>IF($F$26=0,0,AD16*1000/$F$26)</f>
        <v>0.16255989048596853</v>
      </c>
      <c r="AE17" s="632"/>
      <c r="AF17" s="742">
        <f>IF(AF16=0,0,F26/AF16)</f>
        <v>153.78947368421052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362" t="s">
        <v>242</v>
      </c>
      <c r="C18" s="131" t="s">
        <v>76</v>
      </c>
      <c r="D18" s="228" t="s">
        <v>162</v>
      </c>
      <c r="E18" s="228">
        <v>3000</v>
      </c>
      <c r="F18" s="228">
        <v>3930</v>
      </c>
      <c r="G18" s="229">
        <v>3382</v>
      </c>
      <c r="H18" s="111">
        <f t="shared" si="0"/>
        <v>0.13944020356234096</v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0.2846828261990717</v>
      </c>
      <c r="Q18" s="752"/>
      <c r="R18" s="746">
        <f>IF($G$26=0,0,R16*1000/$G$26)</f>
        <v>0.85765858690046415</v>
      </c>
      <c r="S18" s="745"/>
      <c r="T18" s="746">
        <f>IF($G$26=0,0,T16*1000/$G$26)</f>
        <v>8.999484270242393E-2</v>
      </c>
      <c r="U18" s="745"/>
      <c r="V18" s="753">
        <f>IF($G$26=0,0,V16*1000/$G$26)</f>
        <v>2.1507220216606497</v>
      </c>
      <c r="W18" s="754"/>
      <c r="X18" s="753">
        <f>IF($G$26=0,0,X16*1000/$G$26)</f>
        <v>5.1830840639504897E-2</v>
      </c>
      <c r="Y18" s="754"/>
      <c r="Z18" s="746">
        <f>IF($G$26=0,0,Z16*1000/$G$26)</f>
        <v>27.84940691077875</v>
      </c>
      <c r="AA18" s="744"/>
      <c r="AB18" s="632">
        <f>IF($G$26=0,0,AB16*1000/$G$26)</f>
        <v>4.899432697266632</v>
      </c>
      <c r="AC18" s="632"/>
      <c r="AD18" s="632">
        <f>IF($G$26=0,0,AD16*1000/$G$26)</f>
        <v>0.18372872614749872</v>
      </c>
      <c r="AE18" s="632"/>
      <c r="AF18" s="742">
        <f>IF(AF16=0,0,G26/AF16)</f>
        <v>136.07017543859649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362" t="s">
        <v>243</v>
      </c>
      <c r="C19" s="131" t="s">
        <v>77</v>
      </c>
      <c r="D19" s="228" t="s">
        <v>162</v>
      </c>
      <c r="E19" s="228">
        <v>1000</v>
      </c>
      <c r="F19" s="228">
        <v>1209</v>
      </c>
      <c r="G19" s="229">
        <v>1122</v>
      </c>
      <c r="H19" s="111">
        <f t="shared" si="0"/>
        <v>7.1960297766749379E-2</v>
      </c>
      <c r="I19" s="710" t="s">
        <v>64</v>
      </c>
      <c r="J19" s="711"/>
      <c r="K19" s="711"/>
      <c r="L19" s="711"/>
      <c r="M19" s="711"/>
      <c r="N19" s="711"/>
      <c r="O19" s="712"/>
      <c r="P19" s="755">
        <f>89+6+4</f>
        <v>99</v>
      </c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362" t="s">
        <v>244</v>
      </c>
      <c r="C20" s="131" t="s">
        <v>78</v>
      </c>
      <c r="D20" s="228" t="s">
        <v>162</v>
      </c>
      <c r="E20" s="228">
        <v>1000</v>
      </c>
      <c r="F20" s="228">
        <v>1065</v>
      </c>
      <c r="G20" s="229">
        <v>916</v>
      </c>
      <c r="H20" s="111">
        <f t="shared" si="0"/>
        <v>0.13990610328638498</v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120"/>
      <c r="C21" s="131" t="s">
        <v>79</v>
      </c>
      <c r="D21" s="128"/>
      <c r="E21" s="125"/>
      <c r="F21" s="125"/>
      <c r="G21" s="126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>
        <f>5+4+5+5+5+5+5</f>
        <v>34</v>
      </c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>
        <f>F26/P23</f>
        <v>257.8235294117647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>
        <v>7</v>
      </c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7000</v>
      </c>
      <c r="F26" s="205">
        <f>SUM(F16:F25)</f>
        <v>8766</v>
      </c>
      <c r="G26" s="205">
        <f>SUM(G16:G25)</f>
        <v>7756</v>
      </c>
      <c r="H26" s="196">
        <f>IF(F26=0,"",(F26-G26)/F26)</f>
        <v>0.11521788729180926</v>
      </c>
      <c r="I26" s="719" t="s">
        <v>70</v>
      </c>
      <c r="J26" s="720"/>
      <c r="K26" s="720"/>
      <c r="L26" s="720"/>
      <c r="M26" s="720"/>
      <c r="N26" s="720"/>
      <c r="O26" s="721"/>
      <c r="P26" s="785">
        <f>F26/P25</f>
        <v>1252.2857142857142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4.4560000000000004</v>
      </c>
      <c r="Q27" s="781"/>
      <c r="R27" s="782">
        <f>SUM(R5,R16)</f>
        <v>13.449</v>
      </c>
      <c r="S27" s="781"/>
      <c r="T27" s="782">
        <f>SUM(T5,T16)</f>
        <v>1.351</v>
      </c>
      <c r="U27" s="781"/>
      <c r="V27" s="782">
        <f>SUM(V5,V16)</f>
        <v>34.872</v>
      </c>
      <c r="W27" s="781"/>
      <c r="X27" s="782">
        <f>SUM(X5,X16)</f>
        <v>0.77600000000000002</v>
      </c>
      <c r="Y27" s="781"/>
      <c r="Z27" s="783">
        <f>SUM(Z5,Z16)</f>
        <v>488</v>
      </c>
      <c r="AA27" s="784"/>
      <c r="AB27" s="770">
        <f>SUM(AB5,AB16)</f>
        <v>75</v>
      </c>
      <c r="AC27" s="770"/>
      <c r="AD27" s="769">
        <f>SUM(AD5,AD16)</f>
        <v>2.7750000000000004</v>
      </c>
      <c r="AE27" s="769"/>
      <c r="AF27" s="770">
        <f>SUM(AF5,AF16)</f>
        <v>111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14000</v>
      </c>
      <c r="F28" s="140">
        <f>F15+F26</f>
        <v>17789</v>
      </c>
      <c r="G28" s="140">
        <f>G15+G26</f>
        <v>16067</v>
      </c>
      <c r="H28" s="141">
        <f t="shared" si="0"/>
        <v>9.6801394119961776E-2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0.25049187700264208</v>
      </c>
      <c r="Q28" s="745"/>
      <c r="R28" s="746">
        <f t="shared" si="1"/>
        <v>0.75602900668952722</v>
      </c>
      <c r="S28" s="745"/>
      <c r="T28" s="746">
        <f t="shared" si="1"/>
        <v>7.594580920793749E-2</v>
      </c>
      <c r="U28" s="745"/>
      <c r="V28" s="800">
        <f t="shared" si="1"/>
        <v>1.9603125527011074</v>
      </c>
      <c r="W28" s="801"/>
      <c r="X28" s="800">
        <f t="shared" si="1"/>
        <v>4.3622463320029232E-2</v>
      </c>
      <c r="Y28" s="801"/>
      <c r="Z28" s="746">
        <f t="shared" si="1"/>
        <v>27.43268311878127</v>
      </c>
      <c r="AA28" s="744"/>
      <c r="AB28" s="632">
        <f t="shared" si="1"/>
        <v>4.2160885940749901</v>
      </c>
      <c r="AC28" s="632"/>
      <c r="AD28" s="632">
        <f t="shared" si="1"/>
        <v>0.15599527798077467</v>
      </c>
      <c r="AE28" s="632"/>
      <c r="AF28" s="757">
        <f>IF(AF27=0,0,F28/AF27)</f>
        <v>160.26126126126127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0.27733864442646416</v>
      </c>
      <c r="Q29" s="792"/>
      <c r="R29" s="771">
        <f t="shared" si="2"/>
        <v>0.83705732246218956</v>
      </c>
      <c r="S29" s="792"/>
      <c r="T29" s="771">
        <f t="shared" si="2"/>
        <v>8.4085392419244412E-2</v>
      </c>
      <c r="U29" s="792"/>
      <c r="V29" s="793">
        <f t="shared" si="2"/>
        <v>2.1704114022530652</v>
      </c>
      <c r="W29" s="794"/>
      <c r="X29" s="795">
        <f t="shared" si="2"/>
        <v>4.8297753158648163E-2</v>
      </c>
      <c r="Y29" s="796"/>
      <c r="Z29" s="771">
        <f t="shared" si="2"/>
        <v>30.372813842036471</v>
      </c>
      <c r="AA29" s="772"/>
      <c r="AB29" s="773">
        <f t="shared" si="2"/>
        <v>4.6679529470342942</v>
      </c>
      <c r="AC29" s="773"/>
      <c r="AD29" s="773">
        <f t="shared" si="2"/>
        <v>0.17271425904026891</v>
      </c>
      <c r="AE29" s="773"/>
      <c r="AF29" s="774">
        <f>IF(AF27=0,0,G28/AF27)</f>
        <v>144.74774774774775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413" t="str">
        <f t="shared" ref="B33:B42" si="3">B5</f>
        <v>I11690829</v>
      </c>
      <c r="C33" s="213" t="s">
        <v>74</v>
      </c>
      <c r="D33" s="277" t="str">
        <f t="shared" ref="D33:D42" si="4">D5</f>
        <v>มิดไนท์บลู*N</v>
      </c>
      <c r="E33" s="277">
        <f>G5</f>
        <v>2199</v>
      </c>
      <c r="F33" s="476">
        <f>144*13+86+6</f>
        <v>1964</v>
      </c>
      <c r="G33" s="62">
        <f t="shared" ref="G33:G55" si="5">IF(E33=0,"",(E33-F33)/E33)</f>
        <v>0.10686675761709868</v>
      </c>
      <c r="H33" s="63"/>
      <c r="I33" s="64">
        <f t="shared" ref="I33:I54" si="6">SUM(J33:AH33)</f>
        <v>235</v>
      </c>
      <c r="J33" s="453"/>
      <c r="K33" s="454">
        <f>25+20</f>
        <v>45</v>
      </c>
      <c r="L33" s="453">
        <v>44</v>
      </c>
      <c r="M33" s="454">
        <f>18+17</f>
        <v>35</v>
      </c>
      <c r="N33" s="453"/>
      <c r="O33" s="454"/>
      <c r="P33" s="453"/>
      <c r="Q33" s="454"/>
      <c r="R33" s="453"/>
      <c r="S33" s="454"/>
      <c r="T33" s="453"/>
      <c r="U33" s="454"/>
      <c r="V33" s="453">
        <f>20+10</f>
        <v>30</v>
      </c>
      <c r="W33" s="454">
        <f>15+20</f>
        <v>35</v>
      </c>
      <c r="X33" s="453"/>
      <c r="Y33" s="454"/>
      <c r="Z33" s="453"/>
      <c r="AA33" s="454"/>
      <c r="AB33" s="453">
        <f>10+7+6</f>
        <v>23</v>
      </c>
      <c r="AC33" s="454">
        <v>6</v>
      </c>
      <c r="AD33" s="453"/>
      <c r="AE33" s="454">
        <v>9</v>
      </c>
      <c r="AF33" s="453">
        <v>8</v>
      </c>
      <c r="AG33" s="454"/>
      <c r="AH33" s="453"/>
      <c r="AI33" s="803" t="s">
        <v>250</v>
      </c>
      <c r="AJ33" s="804"/>
      <c r="AK33" s="895" t="s">
        <v>256</v>
      </c>
      <c r="AL33" s="896"/>
      <c r="AM33" s="897"/>
    </row>
    <row r="34" spans="1:39" ht="20.25" customHeight="1">
      <c r="A34" s="370"/>
      <c r="B34" s="160">
        <f t="shared" si="3"/>
        <v>0</v>
      </c>
      <c r="C34" s="214" t="s">
        <v>75</v>
      </c>
      <c r="D34" s="124">
        <f t="shared" si="4"/>
        <v>0</v>
      </c>
      <c r="E34" s="161">
        <f t="shared" ref="E34:E42" si="7">G6</f>
        <v>0</v>
      </c>
      <c r="F34" s="151"/>
      <c r="G34" s="70" t="str">
        <f t="shared" si="5"/>
        <v/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408"/>
      <c r="AJ34" s="409"/>
      <c r="AK34" s="73"/>
      <c r="AL34" s="74"/>
      <c r="AM34" s="388"/>
    </row>
    <row r="35" spans="1:39" ht="20.25" customHeight="1">
      <c r="A35" s="370"/>
      <c r="B35" s="414" t="str">
        <f t="shared" si="3"/>
        <v>I13690829</v>
      </c>
      <c r="C35" s="214" t="s">
        <v>76</v>
      </c>
      <c r="D35" s="278" t="str">
        <f t="shared" si="4"/>
        <v>มิดไนท์บลู*N</v>
      </c>
      <c r="E35" s="278">
        <f>G7</f>
        <v>3788</v>
      </c>
      <c r="F35" s="415">
        <f>210*17+29+6</f>
        <v>3605</v>
      </c>
      <c r="G35" s="70">
        <f t="shared" si="5"/>
        <v>4.8310454065469903E-2</v>
      </c>
      <c r="H35" s="63"/>
      <c r="I35" s="64">
        <f t="shared" si="6"/>
        <v>183</v>
      </c>
      <c r="J35" s="455"/>
      <c r="K35" s="456">
        <f>12+10+10+2</f>
        <v>34</v>
      </c>
      <c r="L35" s="456">
        <f>9+7+20+3</f>
        <v>39</v>
      </c>
      <c r="M35" s="456"/>
      <c r="N35" s="456"/>
      <c r="O35" s="456"/>
      <c r="P35" s="456"/>
      <c r="Q35" s="456"/>
      <c r="R35" s="456">
        <f>3</f>
        <v>3</v>
      </c>
      <c r="S35" s="456"/>
      <c r="T35" s="456"/>
      <c r="U35" s="456"/>
      <c r="V35" s="456">
        <f>17+6</f>
        <v>23</v>
      </c>
      <c r="W35" s="456">
        <f>10</f>
        <v>10</v>
      </c>
      <c r="X35" s="456"/>
      <c r="Y35" s="456"/>
      <c r="Z35" s="456"/>
      <c r="AA35" s="456"/>
      <c r="AB35" s="456">
        <f>16</f>
        <v>16</v>
      </c>
      <c r="AC35" s="456">
        <v>49</v>
      </c>
      <c r="AD35" s="456"/>
      <c r="AE35" s="456"/>
      <c r="AF35" s="456">
        <f>9</f>
        <v>9</v>
      </c>
      <c r="AG35" s="456"/>
      <c r="AH35" s="457"/>
      <c r="AI35" s="870" t="s">
        <v>257</v>
      </c>
      <c r="AJ35" s="813"/>
      <c r="AK35" s="895" t="s">
        <v>256</v>
      </c>
      <c r="AL35" s="896"/>
      <c r="AM35" s="897"/>
    </row>
    <row r="36" spans="1:39" ht="20.25" customHeight="1">
      <c r="A36" s="371">
        <v>1</v>
      </c>
      <c r="B36" s="414" t="str">
        <f t="shared" si="3"/>
        <v>I14690829</v>
      </c>
      <c r="C36" s="214" t="s">
        <v>77</v>
      </c>
      <c r="D36" s="278" t="str">
        <f t="shared" si="4"/>
        <v>มิดไนท์บลู*N</v>
      </c>
      <c r="E36" s="278">
        <f>G8</f>
        <v>1407</v>
      </c>
      <c r="F36" s="415">
        <f>140*7+128+6</f>
        <v>1114</v>
      </c>
      <c r="G36" s="70">
        <f t="shared" si="5"/>
        <v>0.20824449182658139</v>
      </c>
      <c r="H36" s="63"/>
      <c r="I36" s="64">
        <f t="shared" si="6"/>
        <v>293</v>
      </c>
      <c r="J36" s="455">
        <v>105</v>
      </c>
      <c r="K36" s="456">
        <v>20</v>
      </c>
      <c r="L36" s="456">
        <f>25+25</f>
        <v>50</v>
      </c>
      <c r="M36" s="456"/>
      <c r="N36" s="456"/>
      <c r="O36" s="456"/>
      <c r="P36" s="456"/>
      <c r="Q36" s="456">
        <f>15</f>
        <v>15</v>
      </c>
      <c r="R36" s="456"/>
      <c r="S36" s="456"/>
      <c r="T36" s="456"/>
      <c r="U36" s="456"/>
      <c r="V36" s="456"/>
      <c r="W36" s="456">
        <f>30+25</f>
        <v>55</v>
      </c>
      <c r="X36" s="456"/>
      <c r="Y36" s="456">
        <v>6</v>
      </c>
      <c r="Z36" s="456"/>
      <c r="AA36" s="456"/>
      <c r="AB36" s="456">
        <f>6</f>
        <v>6</v>
      </c>
      <c r="AC36" s="456">
        <f>9+5</f>
        <v>14</v>
      </c>
      <c r="AD36" s="456"/>
      <c r="AE36" s="456">
        <v>4</v>
      </c>
      <c r="AF36" s="456">
        <v>18</v>
      </c>
      <c r="AG36" s="456"/>
      <c r="AH36" s="457"/>
      <c r="AI36" s="802" t="s">
        <v>258</v>
      </c>
      <c r="AJ36" s="614"/>
      <c r="AK36" s="551" t="s">
        <v>256</v>
      </c>
      <c r="AL36" s="552"/>
      <c r="AM36" s="578"/>
    </row>
    <row r="37" spans="1:39" ht="20.25" customHeight="1">
      <c r="A37" s="372"/>
      <c r="B37" s="414" t="str">
        <f t="shared" si="3"/>
        <v>I15690829</v>
      </c>
      <c r="C37" s="214" t="s">
        <v>78</v>
      </c>
      <c r="D37" s="278" t="str">
        <f t="shared" si="4"/>
        <v>มิดไนท์บลู*N</v>
      </c>
      <c r="E37" s="278">
        <f>G9</f>
        <v>917</v>
      </c>
      <c r="F37" s="415">
        <f>280*2+259+6</f>
        <v>825</v>
      </c>
      <c r="G37" s="70">
        <f t="shared" si="5"/>
        <v>0.10032715376226826</v>
      </c>
      <c r="H37" s="63"/>
      <c r="I37" s="64">
        <f t="shared" si="6"/>
        <v>92</v>
      </c>
      <c r="J37" s="455"/>
      <c r="K37" s="456">
        <f>28+8</f>
        <v>36</v>
      </c>
      <c r="L37" s="456">
        <f>9</f>
        <v>9</v>
      </c>
      <c r="M37" s="456"/>
      <c r="N37" s="456"/>
      <c r="O37" s="456"/>
      <c r="P37" s="456"/>
      <c r="Q37" s="456"/>
      <c r="R37" s="456"/>
      <c r="S37" s="456"/>
      <c r="T37" s="456">
        <f>12</f>
        <v>12</v>
      </c>
      <c r="U37" s="456"/>
      <c r="V37" s="456"/>
      <c r="W37" s="456">
        <f>17</f>
        <v>17</v>
      </c>
      <c r="X37" s="456"/>
      <c r="Y37" s="456"/>
      <c r="Z37" s="456"/>
      <c r="AA37" s="456"/>
      <c r="AB37" s="456"/>
      <c r="AC37" s="456">
        <f>18</f>
        <v>18</v>
      </c>
      <c r="AD37" s="456"/>
      <c r="AE37" s="456"/>
      <c r="AF37" s="456"/>
      <c r="AG37" s="456"/>
      <c r="AH37" s="457"/>
      <c r="AI37" s="870" t="s">
        <v>259</v>
      </c>
      <c r="AJ37" s="813"/>
      <c r="AK37" s="895" t="s">
        <v>256</v>
      </c>
      <c r="AL37" s="896"/>
      <c r="AM37" s="897"/>
    </row>
    <row r="38" spans="1:39" ht="20.25" customHeight="1">
      <c r="A38" s="372"/>
      <c r="B38" s="162">
        <f t="shared" si="3"/>
        <v>0</v>
      </c>
      <c r="C38" s="214" t="s">
        <v>79</v>
      </c>
      <c r="D38" s="163">
        <f t="shared" si="4"/>
        <v>0</v>
      </c>
      <c r="E38" s="161">
        <f t="shared" si="7"/>
        <v>0</v>
      </c>
      <c r="F38" s="151"/>
      <c r="G38" s="70" t="str">
        <f t="shared" si="5"/>
        <v/>
      </c>
      <c r="H38" s="63"/>
      <c r="I38" s="64">
        <f t="shared" si="6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7"/>
        <v>0</v>
      </c>
      <c r="F39" s="154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162">
        <f t="shared" si="3"/>
        <v>0</v>
      </c>
      <c r="C40" s="214" t="s">
        <v>63</v>
      </c>
      <c r="D40" s="163">
        <f t="shared" si="4"/>
        <v>0</v>
      </c>
      <c r="E40" s="153">
        <f t="shared" si="7"/>
        <v>0</v>
      </c>
      <c r="F40" s="154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7"/>
        <v>0</v>
      </c>
      <c r="F41" s="209"/>
      <c r="G41" s="210" t="str">
        <f t="shared" si="5"/>
        <v/>
      </c>
      <c r="H41" s="63"/>
      <c r="I41" s="64">
        <f t="shared" si="6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8311</v>
      </c>
      <c r="F43" s="145">
        <f>SUM(F33:F42)</f>
        <v>7508</v>
      </c>
      <c r="G43" s="135">
        <f t="shared" si="5"/>
        <v>9.6618938755865719E-2</v>
      </c>
      <c r="H43" s="63"/>
      <c r="I43" s="376">
        <f t="shared" si="6"/>
        <v>803</v>
      </c>
      <c r="J43" s="77">
        <f>SUM(J33:J42)</f>
        <v>105</v>
      </c>
      <c r="K43" s="78">
        <f t="shared" ref="K43:AH43" si="8">SUM(K33:K42)</f>
        <v>135</v>
      </c>
      <c r="L43" s="78">
        <f t="shared" si="8"/>
        <v>142</v>
      </c>
      <c r="M43" s="78">
        <f t="shared" si="8"/>
        <v>35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15</v>
      </c>
      <c r="R43" s="78">
        <f t="shared" si="8"/>
        <v>3</v>
      </c>
      <c r="S43" s="78">
        <f t="shared" si="8"/>
        <v>0</v>
      </c>
      <c r="T43" s="78">
        <f t="shared" si="8"/>
        <v>12</v>
      </c>
      <c r="U43" s="78">
        <f t="shared" si="8"/>
        <v>0</v>
      </c>
      <c r="V43" s="78">
        <f t="shared" si="8"/>
        <v>53</v>
      </c>
      <c r="W43" s="78">
        <f t="shared" si="8"/>
        <v>117</v>
      </c>
      <c r="X43" s="78">
        <f t="shared" si="8"/>
        <v>0</v>
      </c>
      <c r="Y43" s="78">
        <f t="shared" si="8"/>
        <v>6</v>
      </c>
      <c r="Z43" s="78">
        <f t="shared" si="8"/>
        <v>0</v>
      </c>
      <c r="AA43" s="78">
        <f t="shared" si="8"/>
        <v>0</v>
      </c>
      <c r="AB43" s="78">
        <f t="shared" si="8"/>
        <v>45</v>
      </c>
      <c r="AC43" s="78">
        <f t="shared" si="8"/>
        <v>87</v>
      </c>
      <c r="AD43" s="78">
        <f t="shared" si="8"/>
        <v>0</v>
      </c>
      <c r="AE43" s="78">
        <f t="shared" si="8"/>
        <v>13</v>
      </c>
      <c r="AF43" s="78">
        <f t="shared" si="8"/>
        <v>35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569" t="str">
        <f t="shared" ref="B44:B53" si="9">B16</f>
        <v>I11690830</v>
      </c>
      <c r="C44" s="382" t="s">
        <v>74</v>
      </c>
      <c r="D44" s="277" t="str">
        <f t="shared" ref="D44:D53" si="10">D16</f>
        <v>ดาร์กเกรย์*N</v>
      </c>
      <c r="E44" s="277">
        <f>G16</f>
        <v>2336</v>
      </c>
      <c r="F44" s="476">
        <f>144*11+141+6</f>
        <v>1731</v>
      </c>
      <c r="G44" s="62">
        <f t="shared" si="5"/>
        <v>0.25898972602739728</v>
      </c>
      <c r="H44" s="63"/>
      <c r="I44" s="383">
        <f>SUM(J44:AH44)</f>
        <v>605</v>
      </c>
      <c r="J44" s="459"/>
      <c r="K44" s="459">
        <f>22+20+39</f>
        <v>81</v>
      </c>
      <c r="L44" s="459">
        <f>6+21+10+25+35+35</f>
        <v>132</v>
      </c>
      <c r="M44" s="459">
        <f>35+30+10+35</f>
        <v>110</v>
      </c>
      <c r="N44" s="459"/>
      <c r="O44" s="459"/>
      <c r="P44" s="459"/>
      <c r="Q44" s="459"/>
      <c r="R44" s="459">
        <f>9+2</f>
        <v>11</v>
      </c>
      <c r="S44" s="459"/>
      <c r="T44" s="459"/>
      <c r="U44" s="459"/>
      <c r="V44" s="459">
        <f>30+35+35</f>
        <v>100</v>
      </c>
      <c r="W44" s="459">
        <v>97</v>
      </c>
      <c r="X44" s="459"/>
      <c r="Y44" s="459">
        <f>9+7</f>
        <v>16</v>
      </c>
      <c r="Z44" s="459"/>
      <c r="AA44" s="459"/>
      <c r="AB44" s="459">
        <f>9+20+4+25</f>
        <v>58</v>
      </c>
      <c r="AC44" s="459"/>
      <c r="AD44" s="459"/>
      <c r="AE44" s="459"/>
      <c r="AF44" s="459"/>
      <c r="AG44" s="459"/>
      <c r="AH44" s="460"/>
      <c r="AI44" s="812" t="s">
        <v>260</v>
      </c>
      <c r="AJ44" s="813"/>
      <c r="AK44" s="895" t="s">
        <v>256</v>
      </c>
      <c r="AL44" s="896"/>
      <c r="AM44" s="897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ref="E45:E53" si="11">G17</f>
        <v>0</v>
      </c>
      <c r="F45" s="151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570" t="str">
        <f t="shared" si="9"/>
        <v>I13690830</v>
      </c>
      <c r="C46" s="217" t="s">
        <v>76</v>
      </c>
      <c r="D46" s="571" t="str">
        <f t="shared" si="10"/>
        <v>ดาร์กเกรย์*N</v>
      </c>
      <c r="E46" s="572">
        <f>F46+291</f>
        <v>3382</v>
      </c>
      <c r="F46" s="577">
        <f>210*14+6+145</f>
        <v>3091</v>
      </c>
      <c r="G46" s="70">
        <f t="shared" si="5"/>
        <v>8.6043761088113541E-2</v>
      </c>
      <c r="H46" s="63"/>
      <c r="I46" s="64">
        <f>SUM(J46:AH46)</f>
        <v>291</v>
      </c>
      <c r="J46" s="360"/>
      <c r="K46" s="360">
        <f>12</f>
        <v>12</v>
      </c>
      <c r="L46" s="360">
        <f>6+10</f>
        <v>16</v>
      </c>
      <c r="M46" s="360"/>
      <c r="N46" s="360"/>
      <c r="O46" s="360"/>
      <c r="P46" s="360"/>
      <c r="Q46" s="360">
        <f>25</f>
        <v>25</v>
      </c>
      <c r="R46" s="360">
        <f>20+20+25+20</f>
        <v>85</v>
      </c>
      <c r="S46" s="360"/>
      <c r="T46" s="360"/>
      <c r="U46" s="360"/>
      <c r="V46" s="360"/>
      <c r="W46" s="360"/>
      <c r="X46" s="360">
        <f>4</f>
        <v>4</v>
      </c>
      <c r="Y46" s="360"/>
      <c r="Z46" s="360"/>
      <c r="AA46" s="360"/>
      <c r="AB46" s="360">
        <f>15+20+20</f>
        <v>55</v>
      </c>
      <c r="AC46" s="360">
        <f>20+25+25+20</f>
        <v>90</v>
      </c>
      <c r="AD46" s="360"/>
      <c r="AE46" s="360">
        <v>2</v>
      </c>
      <c r="AF46" s="360"/>
      <c r="AG46" s="360"/>
      <c r="AH46" s="361">
        <v>2</v>
      </c>
      <c r="AI46" s="613" t="s">
        <v>284</v>
      </c>
      <c r="AJ46" s="614"/>
      <c r="AK46" s="827" t="s">
        <v>275</v>
      </c>
      <c r="AL46" s="828"/>
      <c r="AM46" s="829"/>
    </row>
    <row r="47" spans="1:39" ht="20.25" customHeight="1">
      <c r="A47" s="363"/>
      <c r="B47" s="570" t="str">
        <f t="shared" si="9"/>
        <v>I14690830</v>
      </c>
      <c r="C47" s="217" t="s">
        <v>77</v>
      </c>
      <c r="D47" s="573" t="str">
        <f t="shared" si="10"/>
        <v>ดาร์กเกรย์*N</v>
      </c>
      <c r="E47" s="572">
        <f>G19</f>
        <v>1122</v>
      </c>
      <c r="F47" s="577">
        <f>140*6+123+6</f>
        <v>969</v>
      </c>
      <c r="G47" s="70">
        <f t="shared" si="5"/>
        <v>0.13636363636363635</v>
      </c>
      <c r="H47" s="63"/>
      <c r="I47" s="64">
        <f t="shared" si="6"/>
        <v>153</v>
      </c>
      <c r="J47" s="360"/>
      <c r="K47" s="360">
        <f>20+20+17+25</f>
        <v>82</v>
      </c>
      <c r="L47" s="360"/>
      <c r="M47" s="360"/>
      <c r="N47" s="360"/>
      <c r="O47" s="360"/>
      <c r="P47" s="360"/>
      <c r="Q47" s="360">
        <f>22</f>
        <v>22</v>
      </c>
      <c r="R47" s="360"/>
      <c r="S47" s="360"/>
      <c r="T47" s="360"/>
      <c r="U47" s="360"/>
      <c r="V47" s="360"/>
      <c r="W47" s="360">
        <f>5+25+11</f>
        <v>41</v>
      </c>
      <c r="X47" s="360"/>
      <c r="Y47" s="360"/>
      <c r="Z47" s="360"/>
      <c r="AA47" s="360"/>
      <c r="AB47" s="360"/>
      <c r="AC47" s="360">
        <f>8</f>
        <v>8</v>
      </c>
      <c r="AD47" s="360"/>
      <c r="AE47" s="360"/>
      <c r="AF47" s="360"/>
      <c r="AG47" s="360"/>
      <c r="AH47" s="361"/>
      <c r="AI47" s="833" t="s">
        <v>261</v>
      </c>
      <c r="AJ47" s="834"/>
      <c r="AK47" s="552" t="s">
        <v>256</v>
      </c>
      <c r="AL47" s="74"/>
      <c r="AM47" s="75"/>
    </row>
    <row r="48" spans="1:39" ht="20.25" customHeight="1">
      <c r="A48" s="363"/>
      <c r="B48" s="570" t="str">
        <f t="shared" si="9"/>
        <v>I15690830</v>
      </c>
      <c r="C48" s="217" t="s">
        <v>78</v>
      </c>
      <c r="D48" s="573" t="str">
        <f t="shared" si="10"/>
        <v>ดาร์กเกรย์*N</v>
      </c>
      <c r="E48" s="572">
        <f>G20</f>
        <v>916</v>
      </c>
      <c r="F48" s="577">
        <f>280*2+230+6</f>
        <v>796</v>
      </c>
      <c r="G48" s="70">
        <f t="shared" si="5"/>
        <v>0.13100436681222707</v>
      </c>
      <c r="H48" s="63"/>
      <c r="I48" s="64">
        <f t="shared" si="6"/>
        <v>120</v>
      </c>
      <c r="J48" s="360"/>
      <c r="K48" s="360">
        <f>15+9</f>
        <v>24</v>
      </c>
      <c r="L48" s="360">
        <f>8+30+25+26</f>
        <v>89</v>
      </c>
      <c r="M48" s="360"/>
      <c r="N48" s="360"/>
      <c r="O48" s="360"/>
      <c r="P48" s="360"/>
      <c r="Q48" s="360">
        <f>4</f>
        <v>4</v>
      </c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>
        <v>3</v>
      </c>
      <c r="AG48" s="360"/>
      <c r="AH48" s="361"/>
      <c r="AI48" s="833" t="s">
        <v>262</v>
      </c>
      <c r="AJ48" s="834"/>
      <c r="AK48" s="552" t="s">
        <v>256</v>
      </c>
      <c r="AL48" s="74"/>
      <c r="AM48" s="75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7756</v>
      </c>
      <c r="F54" s="145">
        <f>SUM(F44:F53)</f>
        <v>6587</v>
      </c>
      <c r="G54" s="135">
        <f t="shared" si="5"/>
        <v>0.15072202166064982</v>
      </c>
      <c r="H54" s="63"/>
      <c r="I54" s="87">
        <f t="shared" si="6"/>
        <v>1169</v>
      </c>
      <c r="J54" s="77">
        <f>SUM(J44:J53)</f>
        <v>0</v>
      </c>
      <c r="K54" s="78">
        <f t="shared" ref="K54:AH54" si="12">SUM(K44:K53)</f>
        <v>199</v>
      </c>
      <c r="L54" s="78">
        <f t="shared" si="12"/>
        <v>237</v>
      </c>
      <c r="M54" s="78">
        <f t="shared" si="12"/>
        <v>110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51</v>
      </c>
      <c r="R54" s="78">
        <f t="shared" si="12"/>
        <v>96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100</v>
      </c>
      <c r="W54" s="78">
        <f t="shared" si="12"/>
        <v>138</v>
      </c>
      <c r="X54" s="78">
        <f t="shared" si="12"/>
        <v>4</v>
      </c>
      <c r="Y54" s="78">
        <f t="shared" si="12"/>
        <v>16</v>
      </c>
      <c r="Z54" s="78">
        <f t="shared" si="12"/>
        <v>0</v>
      </c>
      <c r="AA54" s="78">
        <f t="shared" si="12"/>
        <v>0</v>
      </c>
      <c r="AB54" s="78">
        <f t="shared" si="12"/>
        <v>113</v>
      </c>
      <c r="AC54" s="78">
        <f t="shared" si="12"/>
        <v>98</v>
      </c>
      <c r="AD54" s="78">
        <f t="shared" si="12"/>
        <v>0</v>
      </c>
      <c r="AE54" s="78">
        <f t="shared" si="12"/>
        <v>2</v>
      </c>
      <c r="AF54" s="78">
        <f t="shared" si="12"/>
        <v>3</v>
      </c>
      <c r="AG54" s="78">
        <f t="shared" si="12"/>
        <v>0</v>
      </c>
      <c r="AH54" s="79">
        <f t="shared" si="12"/>
        <v>2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16067</v>
      </c>
      <c r="F55" s="164">
        <f>F43+F54</f>
        <v>14095</v>
      </c>
      <c r="G55" s="165">
        <f t="shared" si="5"/>
        <v>0.12273604282068837</v>
      </c>
      <c r="H55" s="95"/>
      <c r="I55" s="96">
        <f>SUM(I43,I54)</f>
        <v>1972</v>
      </c>
      <c r="J55" s="97">
        <f>SUM(J43,J54)</f>
        <v>105</v>
      </c>
      <c r="K55" s="97">
        <f t="shared" ref="K55:AH55" si="13">SUM(K43,K54)</f>
        <v>334</v>
      </c>
      <c r="L55" s="97">
        <f t="shared" si="13"/>
        <v>379</v>
      </c>
      <c r="M55" s="97">
        <f t="shared" si="13"/>
        <v>145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66</v>
      </c>
      <c r="R55" s="97">
        <f t="shared" si="13"/>
        <v>99</v>
      </c>
      <c r="S55" s="97">
        <f t="shared" si="13"/>
        <v>0</v>
      </c>
      <c r="T55" s="97">
        <f t="shared" si="13"/>
        <v>12</v>
      </c>
      <c r="U55" s="97">
        <f t="shared" si="13"/>
        <v>0</v>
      </c>
      <c r="V55" s="97">
        <f t="shared" si="13"/>
        <v>153</v>
      </c>
      <c r="W55" s="97">
        <f t="shared" si="13"/>
        <v>255</v>
      </c>
      <c r="X55" s="97">
        <f t="shared" si="13"/>
        <v>4</v>
      </c>
      <c r="Y55" s="97">
        <f t="shared" si="13"/>
        <v>22</v>
      </c>
      <c r="Z55" s="97">
        <f t="shared" si="13"/>
        <v>0</v>
      </c>
      <c r="AA55" s="97">
        <f t="shared" si="13"/>
        <v>0</v>
      </c>
      <c r="AB55" s="97">
        <f t="shared" si="13"/>
        <v>158</v>
      </c>
      <c r="AC55" s="97">
        <f t="shared" si="13"/>
        <v>185</v>
      </c>
      <c r="AD55" s="97">
        <f t="shared" si="13"/>
        <v>0</v>
      </c>
      <c r="AE55" s="97">
        <f t="shared" si="13"/>
        <v>15</v>
      </c>
      <c r="AF55" s="97">
        <f t="shared" si="13"/>
        <v>38</v>
      </c>
      <c r="AG55" s="97">
        <f t="shared" si="13"/>
        <v>0</v>
      </c>
      <c r="AH55" s="97">
        <f t="shared" si="13"/>
        <v>2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90">
    <mergeCell ref="AI31:AJ32"/>
    <mergeCell ref="AK31:AM32"/>
    <mergeCell ref="AI44:AJ44"/>
    <mergeCell ref="AI45:AJ45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R28:S28"/>
    <mergeCell ref="T28:U28"/>
    <mergeCell ref="V28:W28"/>
    <mergeCell ref="X28:Y28"/>
    <mergeCell ref="I22:O22"/>
    <mergeCell ref="P22:Q22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AJ28:AK28"/>
    <mergeCell ref="AF27:AG27"/>
    <mergeCell ref="I23:O23"/>
    <mergeCell ref="P23:Q23"/>
    <mergeCell ref="Z29:AA29"/>
    <mergeCell ref="AB29:AC29"/>
    <mergeCell ref="AD29:AE29"/>
    <mergeCell ref="AF29:AG29"/>
    <mergeCell ref="AH29:AI29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I25:O25"/>
    <mergeCell ref="R24:S24"/>
    <mergeCell ref="T24:U24"/>
    <mergeCell ref="V24:W24"/>
    <mergeCell ref="X24:Y24"/>
    <mergeCell ref="Z24:AA24"/>
    <mergeCell ref="AB24:AC24"/>
    <mergeCell ref="P25:Q25"/>
    <mergeCell ref="AD24:AE24"/>
    <mergeCell ref="I24:O24"/>
    <mergeCell ref="P24:Q24"/>
    <mergeCell ref="X26:Y26"/>
    <mergeCell ref="Z26:AA26"/>
    <mergeCell ref="AB26:AC26"/>
    <mergeCell ref="Z18:AA18"/>
    <mergeCell ref="AB18:AC18"/>
    <mergeCell ref="AD18:AE18"/>
    <mergeCell ref="AF18:AG18"/>
    <mergeCell ref="AH18:AI18"/>
    <mergeCell ref="AJ18:AK18"/>
    <mergeCell ref="AJ24:AK24"/>
    <mergeCell ref="AF24:AG24"/>
    <mergeCell ref="AH24:AI24"/>
    <mergeCell ref="I18:O18"/>
    <mergeCell ref="P18:Q18"/>
    <mergeCell ref="R18:S18"/>
    <mergeCell ref="T18:U18"/>
    <mergeCell ref="V18:W18"/>
    <mergeCell ref="X18:Y18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H8:AI8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X4:Y4"/>
    <mergeCell ref="Z2:AA2"/>
    <mergeCell ref="AB2:AC2"/>
    <mergeCell ref="AB6:AC6"/>
    <mergeCell ref="AD6:AE6"/>
    <mergeCell ref="AF6:AG6"/>
    <mergeCell ref="T7:U7"/>
    <mergeCell ref="AD5:AE5"/>
    <mergeCell ref="Z6:AA6"/>
    <mergeCell ref="V7:W7"/>
    <mergeCell ref="X7:Y7"/>
    <mergeCell ref="I5:O5"/>
    <mergeCell ref="P5:Q5"/>
    <mergeCell ref="R5:S5"/>
    <mergeCell ref="T5:U5"/>
    <mergeCell ref="V5:W5"/>
    <mergeCell ref="X5:Y5"/>
    <mergeCell ref="Z5:AA5"/>
    <mergeCell ref="AB5:AC5"/>
    <mergeCell ref="AH6:AI6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F3:AG3"/>
    <mergeCell ref="AH3:AI3"/>
    <mergeCell ref="AJ3:AK3"/>
    <mergeCell ref="AD2:AE2"/>
    <mergeCell ref="AF2:AG2"/>
    <mergeCell ref="I7:O7"/>
    <mergeCell ref="P7:Q7"/>
    <mergeCell ref="R7:S7"/>
    <mergeCell ref="Z9:AA9"/>
    <mergeCell ref="AB9:AC9"/>
    <mergeCell ref="AD9:AE9"/>
    <mergeCell ref="M1:N1"/>
    <mergeCell ref="R1:U1"/>
    <mergeCell ref="E2:H2"/>
    <mergeCell ref="I2:O4"/>
    <mergeCell ref="P2:Q3"/>
    <mergeCell ref="R2:S2"/>
    <mergeCell ref="T2:U2"/>
    <mergeCell ref="Z4:AA4"/>
    <mergeCell ref="AB4:AC4"/>
    <mergeCell ref="Z8:AA8"/>
    <mergeCell ref="AB8:AC8"/>
    <mergeCell ref="AD8:AE8"/>
    <mergeCell ref="P4:Q4"/>
    <mergeCell ref="I6:O6"/>
    <mergeCell ref="P6:Q6"/>
    <mergeCell ref="R6:S6"/>
    <mergeCell ref="T6:U6"/>
    <mergeCell ref="V6:W6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AH4:AI4"/>
    <mergeCell ref="AF8:AG8"/>
    <mergeCell ref="AH7:AI7"/>
    <mergeCell ref="X6:Y6"/>
    <mergeCell ref="AF5:AG5"/>
    <mergeCell ref="AH5:AI5"/>
    <mergeCell ref="Z7:AA7"/>
    <mergeCell ref="AB7:AC7"/>
    <mergeCell ref="AD7:AE7"/>
    <mergeCell ref="AF7:AG7"/>
    <mergeCell ref="T4:U4"/>
    <mergeCell ref="V4:W4"/>
    <mergeCell ref="AK33:AM33"/>
    <mergeCell ref="AK35:AM35"/>
    <mergeCell ref="AK37:AM37"/>
    <mergeCell ref="AI33:AJ33"/>
    <mergeCell ref="AI35:AJ35"/>
    <mergeCell ref="AI37:AJ37"/>
    <mergeCell ref="A43:D43"/>
    <mergeCell ref="AI46:AJ46"/>
    <mergeCell ref="I57:O57"/>
    <mergeCell ref="P57:V57"/>
    <mergeCell ref="W57:AE57"/>
    <mergeCell ref="AF57:AM57"/>
    <mergeCell ref="AK44:AM44"/>
    <mergeCell ref="AK46:AM46"/>
    <mergeCell ref="AI36:AJ36"/>
    <mergeCell ref="AI47:AJ47"/>
    <mergeCell ref="AI48:AJ48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M59"/>
  <sheetViews>
    <sheetView showGridLines="0" topLeftCell="A31" zoomScale="70" zoomScaleNormal="70" workbookViewId="0">
      <selection activeCell="F34" sqref="F34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18.25" style="9" customWidth="1"/>
    <col min="5" max="7" width="12" style="9" customWidth="1"/>
    <col min="8" max="8" width="11" style="9" customWidth="1"/>
    <col min="9" max="22" width="4.5" style="9" customWidth="1"/>
    <col min="23" max="32" width="4.5" style="13" customWidth="1"/>
    <col min="33" max="35" width="4.5" style="17" customWidth="1"/>
    <col min="36" max="36" width="42.33203125" style="17" customWidth="1"/>
    <col min="37" max="38" width="4.5" style="17" customWidth="1"/>
    <col min="39" max="39" width="16.582031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>
        <v>244579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236" t="s">
        <v>251</v>
      </c>
      <c r="C5" s="129" t="s">
        <v>74</v>
      </c>
      <c r="D5" s="237" t="s">
        <v>162</v>
      </c>
      <c r="E5" s="237">
        <v>4000</v>
      </c>
      <c r="F5" s="237">
        <v>3108</v>
      </c>
      <c r="G5" s="238">
        <v>2801</v>
      </c>
      <c r="H5" s="110">
        <f t="shared" ref="H5:H28" si="0">IF(F5=0,"",(F5-G5)/F5)</f>
        <v>9.8777348777348783E-2</v>
      </c>
      <c r="I5" s="675" t="s">
        <v>33</v>
      </c>
      <c r="J5" s="676"/>
      <c r="K5" s="676"/>
      <c r="L5" s="676"/>
      <c r="M5" s="676"/>
      <c r="N5" s="676"/>
      <c r="O5" s="677"/>
      <c r="P5" s="678">
        <v>3.9279999999999999</v>
      </c>
      <c r="Q5" s="679"/>
      <c r="R5" s="680">
        <v>11.849</v>
      </c>
      <c r="S5" s="679"/>
      <c r="T5" s="681">
        <v>1.3049999999999999</v>
      </c>
      <c r="U5" s="682"/>
      <c r="V5" s="683">
        <v>30.742000000000001</v>
      </c>
      <c r="W5" s="684"/>
      <c r="X5" s="685">
        <v>0.73499999999999999</v>
      </c>
      <c r="Y5" s="686"/>
      <c r="Z5" s="687">
        <f>184+127+200+15</f>
        <v>526</v>
      </c>
      <c r="AA5" s="688"/>
      <c r="AB5" s="674">
        <f>32+41</f>
        <v>73</v>
      </c>
      <c r="AC5" s="674"/>
      <c r="AD5" s="689">
        <f>SUM(AF5:AK5)*0.025</f>
        <v>2.6750000000000003</v>
      </c>
      <c r="AE5" s="689"/>
      <c r="AF5" s="674">
        <f>14+14+14+15+14+14+14+8</f>
        <v>107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239" t="s">
        <v>272</v>
      </c>
      <c r="C6" s="129" t="s">
        <v>75</v>
      </c>
      <c r="D6" s="240" t="s">
        <v>162</v>
      </c>
      <c r="E6" s="241">
        <v>0</v>
      </c>
      <c r="F6" s="241">
        <v>200</v>
      </c>
      <c r="G6" s="242">
        <v>200</v>
      </c>
      <c r="H6" s="111">
        <f t="shared" si="0"/>
        <v>0</v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0.24458281444582813</v>
      </c>
      <c r="Q6" s="673"/>
      <c r="R6" s="673">
        <f>IF($F$15=0,0,R5*1000/$F$15)</f>
        <v>0.7377957658779577</v>
      </c>
      <c r="S6" s="673"/>
      <c r="T6" s="673">
        <f>IF($F$15=0,0,T5*1000/$F$15)</f>
        <v>8.1257783312577839E-2</v>
      </c>
      <c r="U6" s="673"/>
      <c r="V6" s="673">
        <f>IF($F$15=0,0,V5*1000/$F$15)</f>
        <v>1.9141967621419675</v>
      </c>
      <c r="W6" s="673"/>
      <c r="X6" s="673">
        <f>IF($F$15=0,0,X5*1000/$F$15)</f>
        <v>4.5765877957658782E-2</v>
      </c>
      <c r="Y6" s="673"/>
      <c r="Z6" s="673">
        <f>IF($F$15=0,0,Z5*1000/$F$15)</f>
        <v>32.752179327521795</v>
      </c>
      <c r="AA6" s="673"/>
      <c r="AB6" s="632">
        <f>IF($F$15=0,0,AB5*1000/$F$15)</f>
        <v>4.5454545454545459</v>
      </c>
      <c r="AC6" s="632"/>
      <c r="AD6" s="632">
        <f>IF($F$15=0,0,AD5*1000/$F$15)</f>
        <v>0.16656288916562892</v>
      </c>
      <c r="AE6" s="632"/>
      <c r="AF6" s="627">
        <f>IF(AF5=0,0,F15/AF5)</f>
        <v>150.09345794392524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239" t="s">
        <v>252</v>
      </c>
      <c r="C7" s="129" t="s">
        <v>76</v>
      </c>
      <c r="D7" s="240" t="s">
        <v>162</v>
      </c>
      <c r="E7" s="241">
        <v>6000</v>
      </c>
      <c r="F7" s="241">
        <v>7691</v>
      </c>
      <c r="G7" s="242">
        <v>6858</v>
      </c>
      <c r="H7" s="111">
        <f t="shared" si="0"/>
        <v>0.10830841243011312</v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0.27003987350474357</v>
      </c>
      <c r="Q7" s="639"/>
      <c r="R7" s="639">
        <f>IF($G$15=0,0,R5*1000/$G$15)</f>
        <v>0.81458820294238965</v>
      </c>
      <c r="S7" s="639"/>
      <c r="T7" s="639">
        <f>IF($G$15=0,0,T5*1000/$G$15)</f>
        <v>8.971538567303726E-2</v>
      </c>
      <c r="U7" s="639"/>
      <c r="V7" s="639">
        <f>IF($G$15=0,0,V5*1000/$G$15)</f>
        <v>2.1134332462532655</v>
      </c>
      <c r="W7" s="639"/>
      <c r="X7" s="639">
        <f>IF($G$15=0,0,X5*1000/$G$15)</f>
        <v>5.0529355149181908E-2</v>
      </c>
      <c r="Y7" s="639"/>
      <c r="Z7" s="639">
        <f>IF($G$15=0,0,Z5*1000/$G$15)</f>
        <v>36.161143957101608</v>
      </c>
      <c r="AA7" s="639"/>
      <c r="AB7" s="632">
        <f>IF($G$15=0,0,AB5*1000/$G$15)</f>
        <v>5.0185618039323527</v>
      </c>
      <c r="AC7" s="632"/>
      <c r="AD7" s="632">
        <f>IF($G$15=0,0,AD5*1000/$G$15)</f>
        <v>0.1838993537742335</v>
      </c>
      <c r="AE7" s="632"/>
      <c r="AF7" s="627">
        <f>IF(AF5=0,0,G15/AF5)</f>
        <v>135.94392523364485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239" t="s">
        <v>253</v>
      </c>
      <c r="C8" s="129" t="s">
        <v>77</v>
      </c>
      <c r="D8" s="240" t="s">
        <v>162</v>
      </c>
      <c r="E8" s="241">
        <v>2000</v>
      </c>
      <c r="F8" s="241">
        <v>2745</v>
      </c>
      <c r="G8" s="242">
        <v>2653</v>
      </c>
      <c r="H8" s="111">
        <f t="shared" si="0"/>
        <v>3.3515482695810568E-2</v>
      </c>
      <c r="I8" s="691" t="s">
        <v>64</v>
      </c>
      <c r="J8" s="692"/>
      <c r="K8" s="692"/>
      <c r="L8" s="692"/>
      <c r="M8" s="692"/>
      <c r="N8" s="692"/>
      <c r="O8" s="693"/>
      <c r="P8" s="631">
        <v>179</v>
      </c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239" t="s">
        <v>254</v>
      </c>
      <c r="C9" s="129" t="s">
        <v>78</v>
      </c>
      <c r="D9" s="240" t="s">
        <v>162</v>
      </c>
      <c r="E9" s="241">
        <v>2000</v>
      </c>
      <c r="F9" s="241">
        <v>2316</v>
      </c>
      <c r="G9" s="242">
        <v>2034</v>
      </c>
      <c r="H9" s="111">
        <f>IF(F9=0,"",(F9-G9)/F9)</f>
        <v>0.12176165803108809</v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120"/>
      <c r="C10" s="129" t="s">
        <v>79</v>
      </c>
      <c r="D10" s="240"/>
      <c r="E10" s="241"/>
      <c r="F10" s="241"/>
      <c r="G10" s="242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>
        <f>6+4+6+4+7+5+4+5+4+5+4+6+6</f>
        <v>66</v>
      </c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>
        <f>F15/P12</f>
        <v>243.33333333333334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>
        <v>7</v>
      </c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14000</v>
      </c>
      <c r="F15" s="204">
        <f>SUM(F5:F14)</f>
        <v>16060</v>
      </c>
      <c r="G15" s="204">
        <f>SUM(G5:G14)</f>
        <v>14546</v>
      </c>
      <c r="H15" s="188">
        <f>IF(F15=0,"",(F15-G15)/F15)</f>
        <v>9.4271481942714813E-2</v>
      </c>
      <c r="I15" s="719" t="s">
        <v>70</v>
      </c>
      <c r="J15" s="720"/>
      <c r="K15" s="720"/>
      <c r="L15" s="720"/>
      <c r="M15" s="720"/>
      <c r="N15" s="720"/>
      <c r="O15" s="721"/>
      <c r="P15" s="722">
        <f>F15/P14</f>
        <v>2294.2857142857142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236"/>
      <c r="C16" s="130" t="s">
        <v>74</v>
      </c>
      <c r="D16" s="250"/>
      <c r="E16" s="237"/>
      <c r="F16" s="237"/>
      <c r="G16" s="238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239"/>
      <c r="C17" s="131" t="s">
        <v>75</v>
      </c>
      <c r="D17" s="241"/>
      <c r="E17" s="241"/>
      <c r="F17" s="241"/>
      <c r="G17" s="242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742">
        <f>IF(AF16=0,0,F26/AF16)</f>
        <v>0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239"/>
      <c r="C18" s="131" t="s">
        <v>76</v>
      </c>
      <c r="D18" s="241"/>
      <c r="E18" s="241"/>
      <c r="F18" s="241"/>
      <c r="G18" s="242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742">
        <f>IF(AF16=0,0,G26/AF16)</f>
        <v>0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120"/>
      <c r="C19" s="131" t="s">
        <v>77</v>
      </c>
      <c r="D19" s="128"/>
      <c r="E19" s="125"/>
      <c r="F19" s="125"/>
      <c r="G19" s="126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239"/>
      <c r="C20" s="131" t="s">
        <v>78</v>
      </c>
      <c r="D20" s="241"/>
      <c r="E20" s="241"/>
      <c r="F20" s="241"/>
      <c r="G20" s="242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120"/>
      <c r="C21" s="131" t="s">
        <v>79</v>
      </c>
      <c r="D21" s="128"/>
      <c r="E21" s="125"/>
      <c r="F21" s="125"/>
      <c r="G21" s="126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0</v>
      </c>
      <c r="G26" s="205">
        <f>SUM(G16:G25)</f>
        <v>0</v>
      </c>
      <c r="H26" s="196" t="str">
        <f>IF(F26=0,"",(F26-G26)/F26)</f>
        <v/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3.9279999999999999</v>
      </c>
      <c r="Q27" s="781"/>
      <c r="R27" s="782">
        <f>SUM(R5,R16)</f>
        <v>11.849</v>
      </c>
      <c r="S27" s="781"/>
      <c r="T27" s="782">
        <f>SUM(T5,T16)</f>
        <v>1.3049999999999999</v>
      </c>
      <c r="U27" s="781"/>
      <c r="V27" s="782">
        <f>SUM(V5,V16)</f>
        <v>30.742000000000001</v>
      </c>
      <c r="W27" s="781"/>
      <c r="X27" s="782">
        <f>SUM(X5,X16)</f>
        <v>0.73499999999999999</v>
      </c>
      <c r="Y27" s="781"/>
      <c r="Z27" s="783">
        <f>SUM(Z5,Z16)</f>
        <v>526</v>
      </c>
      <c r="AA27" s="784"/>
      <c r="AB27" s="770">
        <f>SUM(AB5,AB16)</f>
        <v>73</v>
      </c>
      <c r="AC27" s="770"/>
      <c r="AD27" s="769">
        <f>SUM(AD5,AD16)</f>
        <v>2.6750000000000003</v>
      </c>
      <c r="AE27" s="769"/>
      <c r="AF27" s="770">
        <f>SUM(AF5,AF16)</f>
        <v>107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14000</v>
      </c>
      <c r="F28" s="140">
        <f>F15+F26</f>
        <v>16060</v>
      </c>
      <c r="G28" s="140">
        <f>G15+G26</f>
        <v>14546</v>
      </c>
      <c r="H28" s="141">
        <f t="shared" si="0"/>
        <v>9.4271481942714813E-2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0.24458281444582813</v>
      </c>
      <c r="Q28" s="745"/>
      <c r="R28" s="746">
        <f t="shared" si="1"/>
        <v>0.7377957658779577</v>
      </c>
      <c r="S28" s="745"/>
      <c r="T28" s="746">
        <f t="shared" si="1"/>
        <v>8.1257783312577839E-2</v>
      </c>
      <c r="U28" s="745"/>
      <c r="V28" s="800">
        <f t="shared" si="1"/>
        <v>1.9141967621419675</v>
      </c>
      <c r="W28" s="801"/>
      <c r="X28" s="800">
        <f t="shared" si="1"/>
        <v>4.5765877957658782E-2</v>
      </c>
      <c r="Y28" s="801"/>
      <c r="Z28" s="746">
        <f t="shared" si="1"/>
        <v>32.752179327521795</v>
      </c>
      <c r="AA28" s="744"/>
      <c r="AB28" s="632">
        <f t="shared" si="1"/>
        <v>4.5454545454545459</v>
      </c>
      <c r="AC28" s="632"/>
      <c r="AD28" s="632">
        <f t="shared" si="1"/>
        <v>0.16656288916562892</v>
      </c>
      <c r="AE28" s="632"/>
      <c r="AF28" s="757">
        <f t="shared" si="1"/>
        <v>6.6625155666251556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0.27003987350474357</v>
      </c>
      <c r="Q29" s="792"/>
      <c r="R29" s="771">
        <f t="shared" si="2"/>
        <v>0.81458820294238965</v>
      </c>
      <c r="S29" s="792"/>
      <c r="T29" s="771">
        <f t="shared" si="2"/>
        <v>8.971538567303726E-2</v>
      </c>
      <c r="U29" s="792"/>
      <c r="V29" s="793">
        <f t="shared" si="2"/>
        <v>2.1134332462532655</v>
      </c>
      <c r="W29" s="794"/>
      <c r="X29" s="795">
        <f t="shared" si="2"/>
        <v>5.0529355149181908E-2</v>
      </c>
      <c r="Y29" s="796"/>
      <c r="Z29" s="771">
        <f t="shared" si="2"/>
        <v>36.161143957101608</v>
      </c>
      <c r="AA29" s="772"/>
      <c r="AB29" s="773">
        <f t="shared" si="2"/>
        <v>5.0185618039323527</v>
      </c>
      <c r="AC29" s="773"/>
      <c r="AD29" s="773">
        <f t="shared" si="2"/>
        <v>0.1838993537742335</v>
      </c>
      <c r="AE29" s="773"/>
      <c r="AF29" s="774">
        <f t="shared" si="2"/>
        <v>7.355974150969339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289" t="str">
        <f t="shared" ref="B33:B42" si="3">B5</f>
        <v>I11690832</v>
      </c>
      <c r="C33" s="213" t="s">
        <v>74</v>
      </c>
      <c r="D33" s="293" t="str">
        <f t="shared" ref="D33:D42" si="4">D5</f>
        <v>ดาร์กเกรย์*N</v>
      </c>
      <c r="E33" s="293">
        <f>G5</f>
        <v>2801</v>
      </c>
      <c r="F33" s="294">
        <f>144*15+135+6</f>
        <v>2301</v>
      </c>
      <c r="G33" s="62">
        <f>IF(E33=0,"",(E33-F33)/E33)</f>
        <v>0.17850767583006069</v>
      </c>
      <c r="H33" s="63"/>
      <c r="I33" s="64">
        <f t="shared" ref="I33:I54" si="5">SUM(J33:AH33)</f>
        <v>500</v>
      </c>
      <c r="J33" s="453"/>
      <c r="K33" s="454">
        <f>10+30+10+18</f>
        <v>68</v>
      </c>
      <c r="L33" s="453">
        <f>30+30+15</f>
        <v>75</v>
      </c>
      <c r="M33" s="454">
        <f>19+20+10+25</f>
        <v>74</v>
      </c>
      <c r="N33" s="453"/>
      <c r="O33" s="454"/>
      <c r="P33" s="453"/>
      <c r="Q33" s="454">
        <f>10</f>
        <v>10</v>
      </c>
      <c r="R33" s="453">
        <f>12</f>
        <v>12</v>
      </c>
      <c r="S33" s="454"/>
      <c r="T33" s="453"/>
      <c r="U33" s="454"/>
      <c r="V33" s="453">
        <f>25+20+25+30+35+30+30+8</f>
        <v>203</v>
      </c>
      <c r="W33" s="454">
        <f>15+30</f>
        <v>45</v>
      </c>
      <c r="X33" s="453"/>
      <c r="Y33" s="454"/>
      <c r="Z33" s="453"/>
      <c r="AA33" s="454"/>
      <c r="AB33" s="453"/>
      <c r="AC33" s="454"/>
      <c r="AD33" s="453"/>
      <c r="AE33" s="454"/>
      <c r="AF33" s="453"/>
      <c r="AG33" s="454"/>
      <c r="AH33" s="453">
        <v>13</v>
      </c>
      <c r="AI33" s="803" t="s">
        <v>265</v>
      </c>
      <c r="AJ33" s="804"/>
      <c r="AK33" s="860" t="s">
        <v>266</v>
      </c>
      <c r="AL33" s="861"/>
      <c r="AM33" s="862"/>
    </row>
    <row r="34" spans="1:39" ht="20.25" customHeight="1">
      <c r="A34" s="370"/>
      <c r="B34" s="290" t="str">
        <f t="shared" si="3"/>
        <v>I12690832</v>
      </c>
      <c r="C34" s="214" t="s">
        <v>75</v>
      </c>
      <c r="D34" s="295" t="str">
        <f t="shared" si="4"/>
        <v>ดาร์กเกรย์*N</v>
      </c>
      <c r="E34" s="295">
        <f>G6</f>
        <v>200</v>
      </c>
      <c r="F34" s="296">
        <f>40*5</f>
        <v>200</v>
      </c>
      <c r="G34" s="70">
        <f t="shared" ref="G34:G55" si="6">IF(E34=0,"",(E34-F34)/E34)</f>
        <v>0</v>
      </c>
      <c r="H34" s="63"/>
      <c r="I34" s="64">
        <f t="shared" si="5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802" t="s">
        <v>298</v>
      </c>
      <c r="AJ34" s="614"/>
      <c r="AK34" s="605" t="s">
        <v>299</v>
      </c>
      <c r="AL34" s="580"/>
      <c r="AM34" s="487"/>
    </row>
    <row r="35" spans="1:39" ht="20.25" customHeight="1">
      <c r="A35" s="370"/>
      <c r="B35" s="290" t="str">
        <f t="shared" si="3"/>
        <v>I13690832</v>
      </c>
      <c r="C35" s="214" t="s">
        <v>76</v>
      </c>
      <c r="D35" s="295" t="str">
        <f t="shared" si="4"/>
        <v>ดาร์กเกรย์*N</v>
      </c>
      <c r="E35" s="295">
        <f>F35+479</f>
        <v>6858</v>
      </c>
      <c r="F35" s="296">
        <f>210*28+6+493</f>
        <v>6379</v>
      </c>
      <c r="G35" s="70">
        <f t="shared" si="6"/>
        <v>6.9845435987168275E-2</v>
      </c>
      <c r="H35" s="63"/>
      <c r="I35" s="64">
        <f t="shared" si="5"/>
        <v>479</v>
      </c>
      <c r="J35" s="455"/>
      <c r="K35" s="456">
        <f>2+4+25+8+5</f>
        <v>44</v>
      </c>
      <c r="L35" s="456">
        <f>2+4+8+15</f>
        <v>29</v>
      </c>
      <c r="M35" s="456">
        <f>15</f>
        <v>15</v>
      </c>
      <c r="N35" s="456"/>
      <c r="O35" s="456"/>
      <c r="P35" s="456"/>
      <c r="Q35" s="456"/>
      <c r="R35" s="456">
        <f>12+20+25+5+25</f>
        <v>87</v>
      </c>
      <c r="S35" s="456"/>
      <c r="T35" s="456"/>
      <c r="U35" s="456"/>
      <c r="V35" s="456">
        <f>10+10+30</f>
        <v>50</v>
      </c>
      <c r="W35" s="456"/>
      <c r="X35" s="456"/>
      <c r="Y35" s="456"/>
      <c r="Z35" s="456"/>
      <c r="AA35" s="456"/>
      <c r="AB35" s="456">
        <f>20+12+20+10+10+15</f>
        <v>87</v>
      </c>
      <c r="AC35" s="456">
        <v>150</v>
      </c>
      <c r="AD35" s="456">
        <f>8+3</f>
        <v>11</v>
      </c>
      <c r="AE35" s="456"/>
      <c r="AF35" s="456">
        <f>3+3</f>
        <v>6</v>
      </c>
      <c r="AG35" s="456"/>
      <c r="AH35" s="457"/>
      <c r="AI35" s="613" t="s">
        <v>285</v>
      </c>
      <c r="AJ35" s="614"/>
      <c r="AK35" s="827" t="s">
        <v>275</v>
      </c>
      <c r="AL35" s="828"/>
      <c r="AM35" s="829"/>
    </row>
    <row r="36" spans="1:39" ht="20.25" customHeight="1">
      <c r="A36" s="371">
        <v>1</v>
      </c>
      <c r="B36" s="290" t="str">
        <f t="shared" si="3"/>
        <v>I14690832</v>
      </c>
      <c r="C36" s="214" t="s">
        <v>77</v>
      </c>
      <c r="D36" s="295" t="str">
        <f t="shared" si="4"/>
        <v>ดาร์กเกรย์*N</v>
      </c>
      <c r="E36" s="295">
        <f>G8</f>
        <v>2653</v>
      </c>
      <c r="F36" s="296">
        <f>140*16+121+6</f>
        <v>2367</v>
      </c>
      <c r="G36" s="70">
        <f t="shared" si="6"/>
        <v>0.1078024877497173</v>
      </c>
      <c r="H36" s="63"/>
      <c r="I36" s="64">
        <f t="shared" si="5"/>
        <v>286</v>
      </c>
      <c r="J36" s="455"/>
      <c r="K36" s="456">
        <f>19+25+30+6</f>
        <v>80</v>
      </c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>
        <f>5+25+35+35+15</f>
        <v>115</v>
      </c>
      <c r="X36" s="456">
        <f>15+30</f>
        <v>45</v>
      </c>
      <c r="Y36" s="456"/>
      <c r="Z36" s="456"/>
      <c r="AA36" s="456"/>
      <c r="AB36" s="456">
        <v>6</v>
      </c>
      <c r="AC36" s="456">
        <f>11+3+2</f>
        <v>16</v>
      </c>
      <c r="AD36" s="456"/>
      <c r="AE36" s="456"/>
      <c r="AF36" s="456">
        <f>12</f>
        <v>12</v>
      </c>
      <c r="AG36" s="456"/>
      <c r="AH36" s="457">
        <v>12</v>
      </c>
      <c r="AI36" s="802" t="s">
        <v>264</v>
      </c>
      <c r="AJ36" s="614"/>
      <c r="AK36" s="581" t="s">
        <v>266</v>
      </c>
      <c r="AL36" s="582"/>
      <c r="AM36" s="575"/>
    </row>
    <row r="37" spans="1:39" ht="20.25" customHeight="1">
      <c r="A37" s="372"/>
      <c r="B37" s="290" t="str">
        <f t="shared" si="3"/>
        <v>I15690832</v>
      </c>
      <c r="C37" s="214" t="s">
        <v>78</v>
      </c>
      <c r="D37" s="295" t="str">
        <f t="shared" si="4"/>
        <v>ดาร์กเกรย์*N</v>
      </c>
      <c r="E37" s="295">
        <f>G9</f>
        <v>2034</v>
      </c>
      <c r="F37" s="296">
        <f>280*6+184+6</f>
        <v>1870</v>
      </c>
      <c r="G37" s="70">
        <f t="shared" si="6"/>
        <v>8.0629301868239925E-2</v>
      </c>
      <c r="H37" s="63"/>
      <c r="I37" s="64">
        <f t="shared" si="5"/>
        <v>164</v>
      </c>
      <c r="J37" s="455"/>
      <c r="K37" s="456">
        <f>5+21</f>
        <v>26</v>
      </c>
      <c r="L37" s="456">
        <f>10+20+5</f>
        <v>35</v>
      </c>
      <c r="M37" s="456"/>
      <c r="N37" s="456"/>
      <c r="O37" s="456"/>
      <c r="P37" s="456"/>
      <c r="Q37" s="456"/>
      <c r="R37" s="456">
        <f>20</f>
        <v>20</v>
      </c>
      <c r="S37" s="456"/>
      <c r="T37" s="456"/>
      <c r="U37" s="456"/>
      <c r="V37" s="456"/>
      <c r="W37" s="456">
        <v>40</v>
      </c>
      <c r="X37" s="456"/>
      <c r="Y37" s="456"/>
      <c r="Z37" s="456"/>
      <c r="AA37" s="456"/>
      <c r="AB37" s="456">
        <v>4</v>
      </c>
      <c r="AC37" s="456">
        <f>10+4+11</f>
        <v>25</v>
      </c>
      <c r="AD37" s="456"/>
      <c r="AE37" s="456"/>
      <c r="AF37" s="456">
        <f>9+5</f>
        <v>14</v>
      </c>
      <c r="AG37" s="456"/>
      <c r="AH37" s="457"/>
      <c r="AI37" s="802" t="s">
        <v>263</v>
      </c>
      <c r="AJ37" s="614"/>
      <c r="AK37" s="901" t="s">
        <v>266</v>
      </c>
      <c r="AL37" s="902"/>
      <c r="AM37" s="903"/>
    </row>
    <row r="38" spans="1:39" ht="20.25" customHeight="1">
      <c r="A38" s="372"/>
      <c r="B38" s="162">
        <f t="shared" si="3"/>
        <v>0</v>
      </c>
      <c r="C38" s="214" t="s">
        <v>79</v>
      </c>
      <c r="D38" s="163">
        <f t="shared" si="4"/>
        <v>0</v>
      </c>
      <c r="E38" s="161">
        <f t="shared" ref="E38:E42" si="7">G10</f>
        <v>0</v>
      </c>
      <c r="F38" s="151"/>
      <c r="G38" s="70" t="str">
        <f t="shared" si="6"/>
        <v/>
      </c>
      <c r="H38" s="63"/>
      <c r="I38" s="64">
        <f t="shared" si="5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7"/>
        <v>0</v>
      </c>
      <c r="F39" s="154"/>
      <c r="G39" s="70" t="str">
        <f>IF(E39=0,"",(E39-F39)/E39)</f>
        <v/>
      </c>
      <c r="H39" s="63"/>
      <c r="I39" s="64">
        <f t="shared" si="5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162">
        <f t="shared" si="3"/>
        <v>0</v>
      </c>
      <c r="C40" s="214" t="s">
        <v>63</v>
      </c>
      <c r="D40" s="163">
        <f t="shared" si="4"/>
        <v>0</v>
      </c>
      <c r="E40" s="153">
        <f t="shared" si="7"/>
        <v>0</v>
      </c>
      <c r="F40" s="154"/>
      <c r="G40" s="70" t="str">
        <f t="shared" si="6"/>
        <v/>
      </c>
      <c r="H40" s="63"/>
      <c r="I40" s="64">
        <f t="shared" si="5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7"/>
        <v>0</v>
      </c>
      <c r="F41" s="209"/>
      <c r="G41" s="210" t="str">
        <f t="shared" si="6"/>
        <v/>
      </c>
      <c r="H41" s="63"/>
      <c r="I41" s="64">
        <f t="shared" si="5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6"/>
        <v/>
      </c>
      <c r="H42" s="63"/>
      <c r="I42" s="64">
        <f t="shared" si="5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14546</v>
      </c>
      <c r="F43" s="145">
        <f>SUM(F33:F42)</f>
        <v>13117</v>
      </c>
      <c r="G43" s="135">
        <f t="shared" si="6"/>
        <v>9.8240065997525092E-2</v>
      </c>
      <c r="H43" s="63"/>
      <c r="I43" s="376">
        <f t="shared" si="5"/>
        <v>1429</v>
      </c>
      <c r="J43" s="77">
        <f>SUM(J33:J42)</f>
        <v>0</v>
      </c>
      <c r="K43" s="78">
        <f t="shared" ref="K43:AH43" si="8">SUM(K33:K42)</f>
        <v>218</v>
      </c>
      <c r="L43" s="78">
        <f t="shared" si="8"/>
        <v>139</v>
      </c>
      <c r="M43" s="78">
        <f t="shared" si="8"/>
        <v>89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10</v>
      </c>
      <c r="R43" s="78">
        <f t="shared" si="8"/>
        <v>119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253</v>
      </c>
      <c r="W43" s="78">
        <f t="shared" si="8"/>
        <v>200</v>
      </c>
      <c r="X43" s="78">
        <f t="shared" si="8"/>
        <v>45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97</v>
      </c>
      <c r="AC43" s="78">
        <f t="shared" si="8"/>
        <v>191</v>
      </c>
      <c r="AD43" s="78">
        <f t="shared" si="8"/>
        <v>11</v>
      </c>
      <c r="AE43" s="78">
        <f t="shared" si="8"/>
        <v>0</v>
      </c>
      <c r="AF43" s="78">
        <f t="shared" si="8"/>
        <v>32</v>
      </c>
      <c r="AG43" s="78">
        <f t="shared" si="8"/>
        <v>0</v>
      </c>
      <c r="AH43" s="79">
        <f t="shared" si="8"/>
        <v>25</v>
      </c>
      <c r="AI43" s="80"/>
      <c r="AJ43" s="377"/>
      <c r="AK43" s="378"/>
      <c r="AL43" s="379"/>
      <c r="AM43" s="81"/>
    </row>
    <row r="44" spans="1:39" ht="20.25" customHeight="1">
      <c r="A44" s="380"/>
      <c r="B44" s="392">
        <f t="shared" ref="B44:B53" si="9">B16</f>
        <v>0</v>
      </c>
      <c r="C44" s="382" t="s">
        <v>74</v>
      </c>
      <c r="D44" s="293">
        <f t="shared" ref="D44:D53" si="10">D16</f>
        <v>0</v>
      </c>
      <c r="E44" s="293">
        <f>G16</f>
        <v>0</v>
      </c>
      <c r="F44" s="294"/>
      <c r="G44" s="62" t="str">
        <f t="shared" si="6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2"/>
      <c r="AJ44" s="813"/>
      <c r="AK44" s="444"/>
      <c r="AL44" s="445"/>
      <c r="AM44" s="431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ref="E45:E53" si="11">G17</f>
        <v>0</v>
      </c>
      <c r="F45" s="151"/>
      <c r="G45" s="70" t="str">
        <f t="shared" si="6"/>
        <v/>
      </c>
      <c r="H45" s="63"/>
      <c r="I45" s="64">
        <f t="shared" si="5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300">
        <f t="shared" si="9"/>
        <v>0</v>
      </c>
      <c r="C46" s="217" t="s">
        <v>76</v>
      </c>
      <c r="D46" s="304">
        <f t="shared" si="10"/>
        <v>0</v>
      </c>
      <c r="E46" s="297">
        <f>G18</f>
        <v>0</v>
      </c>
      <c r="F46" s="319"/>
      <c r="G46" s="70" t="str">
        <f t="shared" si="6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613"/>
      <c r="AJ46" s="614"/>
      <c r="AK46" s="448"/>
      <c r="AL46" s="74"/>
      <c r="AM46" s="75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6"/>
        <v/>
      </c>
      <c r="H47" s="63"/>
      <c r="I47" s="64">
        <f t="shared" si="5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300">
        <f t="shared" si="9"/>
        <v>0</v>
      </c>
      <c r="C48" s="217" t="s">
        <v>78</v>
      </c>
      <c r="D48" s="305">
        <f t="shared" si="10"/>
        <v>0</v>
      </c>
      <c r="E48" s="297">
        <f t="shared" si="11"/>
        <v>0</v>
      </c>
      <c r="F48" s="319"/>
      <c r="G48" s="70" t="str">
        <f t="shared" si="6"/>
        <v/>
      </c>
      <c r="H48" s="63"/>
      <c r="I48" s="64">
        <f t="shared" si="5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802"/>
      <c r="AJ48" s="614"/>
      <c r="AK48" s="898"/>
      <c r="AL48" s="899"/>
      <c r="AM48" s="900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6"/>
        <v/>
      </c>
      <c r="H49" s="63"/>
      <c r="I49" s="64">
        <f t="shared" si="5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6"/>
        <v/>
      </c>
      <c r="H50" s="63"/>
      <c r="I50" s="64">
        <f t="shared" si="5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6"/>
        <v/>
      </c>
      <c r="H51" s="63"/>
      <c r="I51" s="64">
        <f t="shared" si="5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6"/>
        <v/>
      </c>
      <c r="H52" s="63"/>
      <c r="I52" s="64">
        <f t="shared" si="5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6"/>
        <v/>
      </c>
      <c r="H53" s="63"/>
      <c r="I53" s="64">
        <f t="shared" si="5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6"/>
        <v/>
      </c>
      <c r="H54" s="63"/>
      <c r="I54" s="87">
        <f t="shared" si="5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14546</v>
      </c>
      <c r="F55" s="164">
        <f>F43+F54</f>
        <v>13117</v>
      </c>
      <c r="G55" s="165">
        <f t="shared" si="6"/>
        <v>9.8240065997525092E-2</v>
      </c>
      <c r="H55" s="95"/>
      <c r="I55" s="96">
        <f>SUM(I43,I54)</f>
        <v>1429</v>
      </c>
      <c r="J55" s="97">
        <f>SUM(J43,J54)</f>
        <v>0</v>
      </c>
      <c r="K55" s="97">
        <f t="shared" ref="K55:AH55" si="13">SUM(K43,K54)</f>
        <v>218</v>
      </c>
      <c r="L55" s="97">
        <f t="shared" si="13"/>
        <v>139</v>
      </c>
      <c r="M55" s="97">
        <f t="shared" si="13"/>
        <v>89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10</v>
      </c>
      <c r="R55" s="97">
        <f t="shared" si="13"/>
        <v>119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253</v>
      </c>
      <c r="W55" s="97">
        <f t="shared" si="13"/>
        <v>200</v>
      </c>
      <c r="X55" s="97">
        <f t="shared" si="13"/>
        <v>45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97</v>
      </c>
      <c r="AC55" s="97">
        <f t="shared" si="13"/>
        <v>191</v>
      </c>
      <c r="AD55" s="97">
        <f t="shared" si="13"/>
        <v>11</v>
      </c>
      <c r="AE55" s="97">
        <f t="shared" si="13"/>
        <v>0</v>
      </c>
      <c r="AF55" s="97">
        <f t="shared" si="13"/>
        <v>32</v>
      </c>
      <c r="AG55" s="97">
        <f t="shared" si="13"/>
        <v>0</v>
      </c>
      <c r="AH55" s="97">
        <f t="shared" si="13"/>
        <v>25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9">
    <mergeCell ref="AI33:AJ33"/>
    <mergeCell ref="AI35:AJ35"/>
    <mergeCell ref="AI37:AJ37"/>
    <mergeCell ref="AI48:AJ48"/>
    <mergeCell ref="AK48:AM48"/>
    <mergeCell ref="AI31:AJ32"/>
    <mergeCell ref="AK31:AM32"/>
    <mergeCell ref="AI44:AJ44"/>
    <mergeCell ref="AI45:AJ45"/>
    <mergeCell ref="AK33:AM33"/>
    <mergeCell ref="AK35:AM35"/>
    <mergeCell ref="AK37:AM37"/>
    <mergeCell ref="AI34:AJ34"/>
    <mergeCell ref="AI36:AJ36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R28:S28"/>
    <mergeCell ref="I25:O25"/>
    <mergeCell ref="R24:S24"/>
    <mergeCell ref="T24:U24"/>
    <mergeCell ref="V24:W24"/>
    <mergeCell ref="X24:Y24"/>
    <mergeCell ref="I18:O18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I26:O26"/>
    <mergeCell ref="P26:Q26"/>
    <mergeCell ref="X26:Y26"/>
    <mergeCell ref="Z26:AA26"/>
    <mergeCell ref="AB26:AC26"/>
    <mergeCell ref="AF29:AG29"/>
    <mergeCell ref="AH29:AI29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AJ28:AK28"/>
    <mergeCell ref="Z29:AA29"/>
    <mergeCell ref="AB29:AC29"/>
    <mergeCell ref="AD29:AE29"/>
    <mergeCell ref="AF27:AG27"/>
    <mergeCell ref="P25:Q25"/>
    <mergeCell ref="T28:U28"/>
    <mergeCell ref="V28:W28"/>
    <mergeCell ref="X28:Y28"/>
    <mergeCell ref="AF18:AG18"/>
    <mergeCell ref="AH18:AI18"/>
    <mergeCell ref="AJ18:AK18"/>
    <mergeCell ref="AJ24:AK24"/>
    <mergeCell ref="AF24:AG24"/>
    <mergeCell ref="AH24:AI24"/>
    <mergeCell ref="P18:Q18"/>
    <mergeCell ref="R18:S18"/>
    <mergeCell ref="T18:U18"/>
    <mergeCell ref="V18:W18"/>
    <mergeCell ref="X18:Y18"/>
    <mergeCell ref="AD24:AE24"/>
    <mergeCell ref="AJ26:AK26"/>
    <mergeCell ref="AD26:AE26"/>
    <mergeCell ref="AF26:AG26"/>
    <mergeCell ref="AH26:AI26"/>
    <mergeCell ref="I24:O24"/>
    <mergeCell ref="P24:Q24"/>
    <mergeCell ref="Z18:AA18"/>
    <mergeCell ref="AB18:AC18"/>
    <mergeCell ref="AD18:AE18"/>
    <mergeCell ref="I23:O23"/>
    <mergeCell ref="P23:Q23"/>
    <mergeCell ref="I22:O22"/>
    <mergeCell ref="P22:Q22"/>
    <mergeCell ref="Z24:AA24"/>
    <mergeCell ref="AB24:AC24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H8:AI8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AD2:AE2"/>
    <mergeCell ref="AF2:AG2"/>
    <mergeCell ref="Z7:AA7"/>
    <mergeCell ref="AB7:AC7"/>
    <mergeCell ref="AD7:AE7"/>
    <mergeCell ref="AF7:AG7"/>
    <mergeCell ref="T4:U4"/>
    <mergeCell ref="V4:W4"/>
    <mergeCell ref="X4:Y4"/>
    <mergeCell ref="Z2:AA2"/>
    <mergeCell ref="AB2:AC2"/>
    <mergeCell ref="AB6:AC6"/>
    <mergeCell ref="AD6:AE6"/>
    <mergeCell ref="AF6:AG6"/>
    <mergeCell ref="T7:U7"/>
    <mergeCell ref="AD5:AE5"/>
    <mergeCell ref="Z6:AA6"/>
    <mergeCell ref="V7:W7"/>
    <mergeCell ref="X7:Y7"/>
    <mergeCell ref="Z8:AA8"/>
    <mergeCell ref="AB8:AC8"/>
    <mergeCell ref="AD8:AE8"/>
    <mergeCell ref="AF8:AG8"/>
    <mergeCell ref="AJ3:AK3"/>
    <mergeCell ref="P4:Q4"/>
    <mergeCell ref="AH7:AI7"/>
    <mergeCell ref="I6:O6"/>
    <mergeCell ref="P6:Q6"/>
    <mergeCell ref="R6:S6"/>
    <mergeCell ref="T6:U6"/>
    <mergeCell ref="V6:W6"/>
    <mergeCell ref="X6:Y6"/>
    <mergeCell ref="AF5:AG5"/>
    <mergeCell ref="AH5:AI5"/>
    <mergeCell ref="I5:O5"/>
    <mergeCell ref="P5:Q5"/>
    <mergeCell ref="R5:S5"/>
    <mergeCell ref="T5:U5"/>
    <mergeCell ref="V5:W5"/>
    <mergeCell ref="X5:Y5"/>
    <mergeCell ref="Z5:AA5"/>
    <mergeCell ref="AB5:AC5"/>
    <mergeCell ref="AH6:AI6"/>
    <mergeCell ref="M1:N1"/>
    <mergeCell ref="R1:U1"/>
    <mergeCell ref="E2:H2"/>
    <mergeCell ref="I2:O4"/>
    <mergeCell ref="P2:Q3"/>
    <mergeCell ref="R2:S2"/>
    <mergeCell ref="T2:U2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H4:AI4"/>
    <mergeCell ref="AF3:AG3"/>
    <mergeCell ref="AH3:AI3"/>
    <mergeCell ref="Z4:AA4"/>
    <mergeCell ref="AB4:AC4"/>
    <mergeCell ref="A43:D43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  <mergeCell ref="AB9:AC9"/>
    <mergeCell ref="AD9:AE9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M59"/>
  <sheetViews>
    <sheetView showGridLines="0" topLeftCell="A31" zoomScale="66" zoomScaleNormal="66" workbookViewId="0">
      <selection activeCell="T38" sqref="T38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24.58203125" style="9" customWidth="1"/>
    <col min="5" max="7" width="12" style="9" customWidth="1"/>
    <col min="8" max="8" width="11" style="9" customWidth="1"/>
    <col min="9" max="9" width="7.08203125" style="9" customWidth="1"/>
    <col min="10" max="22" width="4.5" style="9" customWidth="1"/>
    <col min="23" max="32" width="4.5" style="13" customWidth="1"/>
    <col min="33" max="35" width="4.5" style="17" customWidth="1"/>
    <col min="36" max="36" width="24.08203125" style="17" customWidth="1"/>
    <col min="37" max="37" width="17" style="17" customWidth="1"/>
    <col min="38" max="38" width="3.58203125" style="17" customWidth="1"/>
    <col min="39" max="39" width="2.332031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>
        <v>244580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583" t="s">
        <v>267</v>
      </c>
      <c r="C5" s="129" t="s">
        <v>74</v>
      </c>
      <c r="D5" s="585" t="s">
        <v>124</v>
      </c>
      <c r="E5" s="585">
        <v>4000</v>
      </c>
      <c r="F5" s="585">
        <v>4204</v>
      </c>
      <c r="G5" s="586">
        <v>3790</v>
      </c>
      <c r="H5" s="110">
        <f t="shared" ref="H5:H28" si="0">IF(F5=0,"",(F5-G5)/F5)</f>
        <v>9.8477640342530925E-2</v>
      </c>
      <c r="I5" s="675" t="s">
        <v>33</v>
      </c>
      <c r="J5" s="676"/>
      <c r="K5" s="676"/>
      <c r="L5" s="676"/>
      <c r="M5" s="676"/>
      <c r="N5" s="676"/>
      <c r="O5" s="677"/>
      <c r="P5" s="678">
        <v>4.1740000000000004</v>
      </c>
      <c r="Q5" s="679"/>
      <c r="R5" s="680">
        <v>13.135</v>
      </c>
      <c r="S5" s="679"/>
      <c r="T5" s="681">
        <v>1.56</v>
      </c>
      <c r="U5" s="682"/>
      <c r="V5" s="683">
        <v>32.323999999999998</v>
      </c>
      <c r="W5" s="684"/>
      <c r="X5" s="685">
        <v>0.80500000000000005</v>
      </c>
      <c r="Y5" s="686"/>
      <c r="Z5" s="687">
        <f>200+200+108</f>
        <v>508</v>
      </c>
      <c r="AA5" s="688"/>
      <c r="AB5" s="674">
        <f>40+39</f>
        <v>79</v>
      </c>
      <c r="AC5" s="674"/>
      <c r="AD5" s="689">
        <f>SUM(AF5:AK5)*0.025</f>
        <v>2.9000000000000004</v>
      </c>
      <c r="AE5" s="689"/>
      <c r="AF5" s="674">
        <f>14+14+14+14+7+14+14+14+11</f>
        <v>116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584" t="s">
        <v>271</v>
      </c>
      <c r="C6" s="129" t="s">
        <v>75</v>
      </c>
      <c r="D6" s="587" t="s">
        <v>124</v>
      </c>
      <c r="E6" s="588">
        <v>0</v>
      </c>
      <c r="F6" s="588">
        <v>100</v>
      </c>
      <c r="G6" s="589">
        <v>100</v>
      </c>
      <c r="H6" s="111">
        <f t="shared" si="0"/>
        <v>0</v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0.23457345172530067</v>
      </c>
      <c r="Q6" s="673"/>
      <c r="R6" s="673">
        <f>IF($F$15=0,0,R5*1000/$F$15)</f>
        <v>0.73817016972013039</v>
      </c>
      <c r="S6" s="673"/>
      <c r="T6" s="673">
        <f>IF($F$15=0,0,T5*1000/$F$15)</f>
        <v>8.767000112397437E-2</v>
      </c>
      <c r="U6" s="673"/>
      <c r="V6" s="673">
        <f>IF($F$15=0,0,V5*1000/$F$15)</f>
        <v>1.8165673822636841</v>
      </c>
      <c r="W6" s="673"/>
      <c r="X6" s="673">
        <f>IF($F$15=0,0,X5*1000/$F$15)</f>
        <v>4.5239968528717547E-2</v>
      </c>
      <c r="Y6" s="673"/>
      <c r="Z6" s="673">
        <f>IF($F$15=0,0,Z5*1000/$F$15)</f>
        <v>28.548949083960885</v>
      </c>
      <c r="AA6" s="673"/>
      <c r="AB6" s="632">
        <f>IF($F$15=0,0,AB5*1000/$F$15)</f>
        <v>4.4396987748679333</v>
      </c>
      <c r="AC6" s="632"/>
      <c r="AD6" s="632">
        <f>IF($F$15=0,0,AD5*1000/$F$15)</f>
        <v>0.16297628414072163</v>
      </c>
      <c r="AE6" s="632"/>
      <c r="AF6" s="627">
        <f>IF(AF5=0,0,F15/AF5)</f>
        <v>153.39655172413794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584" t="s">
        <v>268</v>
      </c>
      <c r="C7" s="129" t="s">
        <v>76</v>
      </c>
      <c r="D7" s="587" t="s">
        <v>124</v>
      </c>
      <c r="E7" s="588">
        <v>6000</v>
      </c>
      <c r="F7" s="588">
        <v>8317</v>
      </c>
      <c r="G7" s="589">
        <v>7556</v>
      </c>
      <c r="H7" s="111">
        <f t="shared" si="0"/>
        <v>9.1499338703859567E-2</v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0.25725731895223419</v>
      </c>
      <c r="Q7" s="639"/>
      <c r="R7" s="639">
        <f>IF($G$15=0,0,R5*1000/$G$15)</f>
        <v>0.8095531587057011</v>
      </c>
      <c r="S7" s="639"/>
      <c r="T7" s="639">
        <f>IF($G$15=0,0,T5*1000/$G$15)</f>
        <v>9.6147919876733434E-2</v>
      </c>
      <c r="U7" s="639"/>
      <c r="V7" s="639">
        <f>IF($G$15=0,0,V5*1000/$G$15)</f>
        <v>1.9922342064714944</v>
      </c>
      <c r="W7" s="639"/>
      <c r="X7" s="639">
        <f>IF($G$15=0,0,X5*1000/$G$15)</f>
        <v>4.9614791987673344E-2</v>
      </c>
      <c r="Y7" s="639"/>
      <c r="Z7" s="639">
        <f>IF($G$15=0,0,Z5*1000/$G$15)</f>
        <v>31.309707241910633</v>
      </c>
      <c r="AA7" s="639"/>
      <c r="AB7" s="632">
        <f>IF($G$15=0,0,AB5*1000/$G$15)</f>
        <v>4.8690292758089369</v>
      </c>
      <c r="AC7" s="632"/>
      <c r="AD7" s="632">
        <f>IF($G$15=0,0,AD5*1000/$G$15)</f>
        <v>0.17873651771956858</v>
      </c>
      <c r="AE7" s="632"/>
      <c r="AF7" s="627">
        <f>IF(AF5=0,0,G15/AF5)</f>
        <v>139.87068965517241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584" t="s">
        <v>269</v>
      </c>
      <c r="C8" s="129" t="s">
        <v>77</v>
      </c>
      <c r="D8" s="587" t="s">
        <v>124</v>
      </c>
      <c r="E8" s="588">
        <v>2000</v>
      </c>
      <c r="F8" s="588">
        <v>3059</v>
      </c>
      <c r="G8" s="589">
        <v>2778</v>
      </c>
      <c r="H8" s="111">
        <f t="shared" si="0"/>
        <v>9.186008499509643E-2</v>
      </c>
      <c r="I8" s="691" t="s">
        <v>64</v>
      </c>
      <c r="J8" s="692"/>
      <c r="K8" s="692"/>
      <c r="L8" s="692"/>
      <c r="M8" s="692"/>
      <c r="N8" s="692"/>
      <c r="O8" s="693"/>
      <c r="P8" s="631">
        <v>183</v>
      </c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584" t="s">
        <v>270</v>
      </c>
      <c r="C9" s="129" t="s">
        <v>78</v>
      </c>
      <c r="D9" s="587" t="s">
        <v>124</v>
      </c>
      <c r="E9" s="588">
        <v>2000</v>
      </c>
      <c r="F9" s="588">
        <v>2114</v>
      </c>
      <c r="G9" s="589">
        <v>2001</v>
      </c>
      <c r="H9" s="111">
        <f>IF(F9=0,"",(F9-G9)/F9)</f>
        <v>5.3453169347209083E-2</v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239"/>
      <c r="C10" s="129" t="s">
        <v>79</v>
      </c>
      <c r="D10" s="240"/>
      <c r="E10" s="241"/>
      <c r="F10" s="241"/>
      <c r="G10" s="242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239"/>
      <c r="C11" s="129" t="s">
        <v>80</v>
      </c>
      <c r="D11" s="240"/>
      <c r="E11" s="241"/>
      <c r="F11" s="241"/>
      <c r="G11" s="242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>
        <f>6+5+7+4+8+4+8+4+7+5+3+4+7+5</f>
        <v>77</v>
      </c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>
        <f>F15/P12</f>
        <v>231.09090909090909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>
        <v>7</v>
      </c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14000</v>
      </c>
      <c r="F15" s="204">
        <f>SUM(F5:F14)</f>
        <v>17794</v>
      </c>
      <c r="G15" s="204">
        <f>SUM(G5:G14)</f>
        <v>16225</v>
      </c>
      <c r="H15" s="188">
        <f>IF(F15=0,"",(F15-G15)/F15)</f>
        <v>8.8175789591997303E-2</v>
      </c>
      <c r="I15" s="719" t="s">
        <v>70</v>
      </c>
      <c r="J15" s="720"/>
      <c r="K15" s="720"/>
      <c r="L15" s="720"/>
      <c r="M15" s="720"/>
      <c r="N15" s="720"/>
      <c r="O15" s="721"/>
      <c r="P15" s="722">
        <f>F15/P14</f>
        <v>2542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236"/>
      <c r="C16" s="130" t="s">
        <v>74</v>
      </c>
      <c r="D16" s="250"/>
      <c r="E16" s="237"/>
      <c r="F16" s="237"/>
      <c r="G16" s="238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239"/>
      <c r="C17" s="131" t="s">
        <v>75</v>
      </c>
      <c r="D17" s="241"/>
      <c r="E17" s="241"/>
      <c r="F17" s="241"/>
      <c r="G17" s="242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742">
        <f>IF(AF16=0,0,F26/AF16)</f>
        <v>0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239"/>
      <c r="C18" s="131" t="s">
        <v>76</v>
      </c>
      <c r="D18" s="241"/>
      <c r="E18" s="241"/>
      <c r="F18" s="241"/>
      <c r="G18" s="242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742">
        <f>IF(AF16=0,0,G26/AF16)</f>
        <v>0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239"/>
      <c r="C19" s="131" t="s">
        <v>77</v>
      </c>
      <c r="D19" s="241"/>
      <c r="E19" s="241"/>
      <c r="F19" s="241"/>
      <c r="G19" s="242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239"/>
      <c r="C20" s="131" t="s">
        <v>78</v>
      </c>
      <c r="D20" s="241"/>
      <c r="E20" s="241"/>
      <c r="F20" s="241"/>
      <c r="G20" s="242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239"/>
      <c r="C21" s="131" t="s">
        <v>79</v>
      </c>
      <c r="D21" s="241"/>
      <c r="E21" s="241"/>
      <c r="F21" s="241"/>
      <c r="G21" s="242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0</v>
      </c>
      <c r="G26" s="205">
        <f>SUM(G16:G25)</f>
        <v>0</v>
      </c>
      <c r="H26" s="196" t="str">
        <f>IF(F26=0,"",(F26-G26)/F26)</f>
        <v/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4.1740000000000004</v>
      </c>
      <c r="Q27" s="781"/>
      <c r="R27" s="782">
        <f>SUM(R5,R16)</f>
        <v>13.135</v>
      </c>
      <c r="S27" s="781"/>
      <c r="T27" s="782">
        <f>SUM(T5,T16)</f>
        <v>1.56</v>
      </c>
      <c r="U27" s="781"/>
      <c r="V27" s="782">
        <f>SUM(V5,V16)</f>
        <v>32.323999999999998</v>
      </c>
      <c r="W27" s="781"/>
      <c r="X27" s="782">
        <f>SUM(X5,X16)</f>
        <v>0.80500000000000005</v>
      </c>
      <c r="Y27" s="781"/>
      <c r="Z27" s="783">
        <f>SUM(Z5,Z16)</f>
        <v>508</v>
      </c>
      <c r="AA27" s="784"/>
      <c r="AB27" s="770">
        <f>SUM(AB5,AB16)</f>
        <v>79</v>
      </c>
      <c r="AC27" s="770"/>
      <c r="AD27" s="769">
        <f>SUM(AD5,AD16)</f>
        <v>2.9000000000000004</v>
      </c>
      <c r="AE27" s="769"/>
      <c r="AF27" s="770">
        <f>SUM(AF5,AF16)</f>
        <v>116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14000</v>
      </c>
      <c r="F28" s="140">
        <f>F15+F26</f>
        <v>17794</v>
      </c>
      <c r="G28" s="140">
        <f>G15+G26</f>
        <v>16225</v>
      </c>
      <c r="H28" s="141">
        <f t="shared" si="0"/>
        <v>8.8175789591997303E-2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0.23457345172530067</v>
      </c>
      <c r="Q28" s="745"/>
      <c r="R28" s="746">
        <f t="shared" si="1"/>
        <v>0.73817016972013039</v>
      </c>
      <c r="S28" s="745"/>
      <c r="T28" s="746">
        <f t="shared" si="1"/>
        <v>8.767000112397437E-2</v>
      </c>
      <c r="U28" s="745"/>
      <c r="V28" s="800">
        <f t="shared" si="1"/>
        <v>1.8165673822636841</v>
      </c>
      <c r="W28" s="801"/>
      <c r="X28" s="800">
        <f t="shared" si="1"/>
        <v>4.5239968528717547E-2</v>
      </c>
      <c r="Y28" s="801"/>
      <c r="Z28" s="746">
        <f t="shared" si="1"/>
        <v>28.548949083960885</v>
      </c>
      <c r="AA28" s="744"/>
      <c r="AB28" s="632">
        <f t="shared" si="1"/>
        <v>4.4396987748679333</v>
      </c>
      <c r="AC28" s="632"/>
      <c r="AD28" s="632">
        <f t="shared" si="1"/>
        <v>0.16297628414072163</v>
      </c>
      <c r="AE28" s="632"/>
      <c r="AF28" s="757">
        <f t="shared" si="1"/>
        <v>6.5190513656288633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0.25725731895223419</v>
      </c>
      <c r="Q29" s="792"/>
      <c r="R29" s="771">
        <f t="shared" si="2"/>
        <v>0.8095531587057011</v>
      </c>
      <c r="S29" s="792"/>
      <c r="T29" s="771">
        <f t="shared" si="2"/>
        <v>9.6147919876733434E-2</v>
      </c>
      <c r="U29" s="792"/>
      <c r="V29" s="793">
        <f t="shared" si="2"/>
        <v>1.9922342064714944</v>
      </c>
      <c r="W29" s="794"/>
      <c r="X29" s="795">
        <f t="shared" si="2"/>
        <v>4.9614791987673344E-2</v>
      </c>
      <c r="Y29" s="796"/>
      <c r="Z29" s="771">
        <f t="shared" si="2"/>
        <v>31.309707241910633</v>
      </c>
      <c r="AA29" s="772"/>
      <c r="AB29" s="773">
        <f t="shared" si="2"/>
        <v>4.8690292758089369</v>
      </c>
      <c r="AC29" s="773"/>
      <c r="AD29" s="773">
        <f t="shared" si="2"/>
        <v>0.17873651771956858</v>
      </c>
      <c r="AE29" s="773"/>
      <c r="AF29" s="774">
        <f t="shared" si="2"/>
        <v>7.1494607087827431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908"/>
      <c r="AJ32" s="909"/>
      <c r="AK32" s="809"/>
      <c r="AL32" s="810"/>
      <c r="AM32" s="811"/>
    </row>
    <row r="33" spans="1:39" ht="20.25" customHeight="1">
      <c r="A33" s="369"/>
      <c r="B33" s="413" t="str">
        <f t="shared" ref="B33:B42" si="3">B5</f>
        <v>I11690833</v>
      </c>
      <c r="C33" s="213" t="s">
        <v>74</v>
      </c>
      <c r="D33" s="277" t="str">
        <f t="shared" ref="D33:D42" si="4">D5</f>
        <v>มิดไนท์เกรย์*N</v>
      </c>
      <c r="E33" s="277">
        <f>G5</f>
        <v>3790</v>
      </c>
      <c r="F33" s="476">
        <f>144*17+26+6</f>
        <v>2480</v>
      </c>
      <c r="G33" s="62">
        <f t="shared" ref="G33:G55" si="5">IF(E33=0,"",(E33-F33)/E33)</f>
        <v>0.34564643799472294</v>
      </c>
      <c r="H33" s="63"/>
      <c r="I33" s="64">
        <f t="shared" ref="I33:I54" si="6">SUM(J33:AH33)</f>
        <v>1310</v>
      </c>
      <c r="J33" s="453"/>
      <c r="K33" s="454">
        <f>25+35+35+30+8</f>
        <v>133</v>
      </c>
      <c r="L33" s="453">
        <f>25+25+25+25+25+25+25+25+25+25+25+25+35+35+22+25</f>
        <v>417</v>
      </c>
      <c r="M33" s="454"/>
      <c r="N33" s="453"/>
      <c r="O33" s="454"/>
      <c r="P33" s="453"/>
      <c r="Q33" s="454"/>
      <c r="R33" s="453">
        <f>6</f>
        <v>6</v>
      </c>
      <c r="S33" s="454"/>
      <c r="T33" s="453"/>
      <c r="U33" s="454"/>
      <c r="V33" s="453">
        <f>15+25+5+25+25+25+25+25+25+25+168+40+40+40+40+40+35+35+35</f>
        <v>693</v>
      </c>
      <c r="W33" s="454">
        <f>9</f>
        <v>9</v>
      </c>
      <c r="X33" s="453"/>
      <c r="Y33" s="454"/>
      <c r="Z33" s="453"/>
      <c r="AA33" s="454"/>
      <c r="AB33" s="453"/>
      <c r="AC33" s="454">
        <f>6+15</f>
        <v>21</v>
      </c>
      <c r="AD33" s="453"/>
      <c r="AE33" s="454"/>
      <c r="AF33" s="453">
        <f>16+15</f>
        <v>31</v>
      </c>
      <c r="AG33" s="454"/>
      <c r="AH33" s="453"/>
      <c r="AI33" s="907" t="s">
        <v>283</v>
      </c>
      <c r="AJ33" s="882"/>
      <c r="AK33" s="827" t="s">
        <v>275</v>
      </c>
      <c r="AL33" s="828"/>
      <c r="AM33" s="829"/>
    </row>
    <row r="34" spans="1:39" ht="20.25" customHeight="1">
      <c r="A34" s="370"/>
      <c r="B34" s="414" t="str">
        <f t="shared" si="3"/>
        <v>I12690833</v>
      </c>
      <c r="C34" s="214" t="s">
        <v>75</v>
      </c>
      <c r="D34" s="278" t="str">
        <f t="shared" si="4"/>
        <v>มิดไนท์เกรย์*N</v>
      </c>
      <c r="E34" s="278">
        <f>G6</f>
        <v>100</v>
      </c>
      <c r="F34" s="415">
        <f>40*2+14</f>
        <v>94</v>
      </c>
      <c r="G34" s="70">
        <f t="shared" si="5"/>
        <v>0.06</v>
      </c>
      <c r="H34" s="63"/>
      <c r="I34" s="64">
        <f t="shared" si="6"/>
        <v>6</v>
      </c>
      <c r="J34" s="455"/>
      <c r="K34" s="456"/>
      <c r="L34" s="456"/>
      <c r="M34" s="456"/>
      <c r="N34" s="456"/>
      <c r="O34" s="456"/>
      <c r="P34" s="456"/>
      <c r="Q34" s="456">
        <v>6</v>
      </c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833" t="s">
        <v>300</v>
      </c>
      <c r="AJ34" s="834"/>
      <c r="AK34" s="604" t="s">
        <v>299</v>
      </c>
      <c r="AL34" s="74"/>
      <c r="AM34" s="75"/>
    </row>
    <row r="35" spans="1:39" ht="20.25" customHeight="1">
      <c r="A35" s="370"/>
      <c r="B35" s="414" t="str">
        <f t="shared" si="3"/>
        <v>I13690833</v>
      </c>
      <c r="C35" s="214" t="s">
        <v>76</v>
      </c>
      <c r="D35" s="278" t="str">
        <f t="shared" si="4"/>
        <v>มิดไนท์เกรย์*N</v>
      </c>
      <c r="E35" s="278">
        <f>G7</f>
        <v>7556</v>
      </c>
      <c r="F35" s="415">
        <f>210*34+145+6</f>
        <v>7291</v>
      </c>
      <c r="G35" s="70">
        <f t="shared" si="5"/>
        <v>3.5071466384330334E-2</v>
      </c>
      <c r="H35" s="63"/>
      <c r="I35" s="64">
        <f t="shared" si="6"/>
        <v>265</v>
      </c>
      <c r="J35" s="455"/>
      <c r="K35" s="456">
        <f>1+3+18+15+20</f>
        <v>57</v>
      </c>
      <c r="L35" s="456">
        <f>2+12+6+10</f>
        <v>30</v>
      </c>
      <c r="M35" s="456">
        <f>3</f>
        <v>3</v>
      </c>
      <c r="N35" s="456"/>
      <c r="O35" s="456">
        <f>1</f>
        <v>1</v>
      </c>
      <c r="P35" s="456"/>
      <c r="Q35" s="456">
        <v>5</v>
      </c>
      <c r="R35" s="456">
        <f>3+1+12+20</f>
        <v>36</v>
      </c>
      <c r="S35" s="456"/>
      <c r="T35" s="456"/>
      <c r="U35" s="456"/>
      <c r="V35" s="456">
        <f>12+25</f>
        <v>37</v>
      </c>
      <c r="W35" s="456">
        <v>7</v>
      </c>
      <c r="X35" s="456"/>
      <c r="Y35" s="456"/>
      <c r="Z35" s="456"/>
      <c r="AA35" s="456"/>
      <c r="AB35" s="456"/>
      <c r="AC35" s="456">
        <f>15+25+30+15</f>
        <v>85</v>
      </c>
      <c r="AD35" s="456"/>
      <c r="AE35" s="456"/>
      <c r="AF35" s="456"/>
      <c r="AG35" s="456"/>
      <c r="AH35" s="457">
        <f>4</f>
        <v>4</v>
      </c>
      <c r="AI35" s="835" t="s">
        <v>274</v>
      </c>
      <c r="AJ35" s="836"/>
      <c r="AK35" s="827" t="s">
        <v>275</v>
      </c>
      <c r="AL35" s="828"/>
      <c r="AM35" s="829"/>
    </row>
    <row r="36" spans="1:39" ht="20.25" customHeight="1">
      <c r="A36" s="371">
        <v>1</v>
      </c>
      <c r="B36" s="414" t="str">
        <f t="shared" si="3"/>
        <v>I14690833</v>
      </c>
      <c r="C36" s="214" t="s">
        <v>77</v>
      </c>
      <c r="D36" s="278" t="str">
        <f t="shared" si="4"/>
        <v>มิดไนท์เกรย์*N</v>
      </c>
      <c r="E36" s="278">
        <f>G8</f>
        <v>2778</v>
      </c>
      <c r="F36" s="415">
        <f>140*18+114+6</f>
        <v>2640</v>
      </c>
      <c r="G36" s="70">
        <f t="shared" si="5"/>
        <v>4.9676025917926567E-2</v>
      </c>
      <c r="H36" s="63"/>
      <c r="I36" s="64">
        <f t="shared" si="6"/>
        <v>138</v>
      </c>
      <c r="J36" s="455"/>
      <c r="K36" s="456">
        <f>18+25</f>
        <v>43</v>
      </c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>
        <f>8</f>
        <v>8</v>
      </c>
      <c r="X36" s="456"/>
      <c r="Y36" s="456"/>
      <c r="Z36" s="456"/>
      <c r="AA36" s="456"/>
      <c r="AB36" s="456"/>
      <c r="AC36" s="456">
        <v>8</v>
      </c>
      <c r="AD36" s="456"/>
      <c r="AE36" s="456"/>
      <c r="AF36" s="456"/>
      <c r="AG36" s="456"/>
      <c r="AH36" s="457">
        <f>138-59</f>
        <v>79</v>
      </c>
      <c r="AI36" s="833" t="s">
        <v>296</v>
      </c>
      <c r="AJ36" s="834"/>
      <c r="AK36" s="602" t="s">
        <v>297</v>
      </c>
      <c r="AL36" s="74"/>
      <c r="AM36" s="75"/>
    </row>
    <row r="37" spans="1:39" ht="20.25" customHeight="1">
      <c r="A37" s="372"/>
      <c r="B37" s="414" t="str">
        <f t="shared" si="3"/>
        <v>I15690833</v>
      </c>
      <c r="C37" s="214" t="s">
        <v>78</v>
      </c>
      <c r="D37" s="278" t="str">
        <f t="shared" si="4"/>
        <v>มิดไนท์เกรย์*N</v>
      </c>
      <c r="E37" s="278">
        <f>G9</f>
        <v>2001</v>
      </c>
      <c r="F37" s="415">
        <f>280*6+93+6</f>
        <v>1779</v>
      </c>
      <c r="G37" s="70">
        <f t="shared" si="5"/>
        <v>0.11094452773613193</v>
      </c>
      <c r="H37" s="63"/>
      <c r="I37" s="64">
        <f t="shared" si="6"/>
        <v>222</v>
      </c>
      <c r="J37" s="455"/>
      <c r="K37" s="456">
        <f>27+26+30+30</f>
        <v>113</v>
      </c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>
        <f>30+35</f>
        <v>65</v>
      </c>
      <c r="X37" s="456"/>
      <c r="Y37" s="456"/>
      <c r="Z37" s="456"/>
      <c r="AA37" s="456"/>
      <c r="AB37" s="456"/>
      <c r="AC37" s="456">
        <v>4</v>
      </c>
      <c r="AD37" s="456"/>
      <c r="AE37" s="456"/>
      <c r="AF37" s="456">
        <v>40</v>
      </c>
      <c r="AG37" s="456"/>
      <c r="AH37" s="457"/>
      <c r="AI37" s="802" t="s">
        <v>273</v>
      </c>
      <c r="AJ37" s="614"/>
      <c r="AK37" s="827" t="s">
        <v>275</v>
      </c>
      <c r="AL37" s="841"/>
      <c r="AM37" s="842"/>
    </row>
    <row r="38" spans="1:39" ht="20.25" customHeight="1">
      <c r="A38" s="372"/>
      <c r="B38" s="162">
        <f t="shared" si="3"/>
        <v>0</v>
      </c>
      <c r="C38" s="214" t="s">
        <v>79</v>
      </c>
      <c r="D38" s="163">
        <f t="shared" si="4"/>
        <v>0</v>
      </c>
      <c r="E38" s="161">
        <f t="shared" ref="E38:E42" si="7">G10</f>
        <v>0</v>
      </c>
      <c r="F38" s="151"/>
      <c r="G38" s="70" t="str">
        <f t="shared" si="5"/>
        <v/>
      </c>
      <c r="H38" s="63"/>
      <c r="I38" s="64">
        <f t="shared" si="6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7"/>
        <v>0</v>
      </c>
      <c r="F39" s="154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162">
        <f t="shared" si="3"/>
        <v>0</v>
      </c>
      <c r="C40" s="214" t="s">
        <v>63</v>
      </c>
      <c r="D40" s="163">
        <f t="shared" si="4"/>
        <v>0</v>
      </c>
      <c r="E40" s="153">
        <f t="shared" si="7"/>
        <v>0</v>
      </c>
      <c r="F40" s="154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7"/>
        <v>0</v>
      </c>
      <c r="F41" s="209"/>
      <c r="G41" s="210" t="str">
        <f t="shared" si="5"/>
        <v/>
      </c>
      <c r="H41" s="63"/>
      <c r="I41" s="64">
        <f t="shared" si="6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16225</v>
      </c>
      <c r="F43" s="145">
        <f>SUM(F33:F42)</f>
        <v>14284</v>
      </c>
      <c r="G43" s="135">
        <f t="shared" si="5"/>
        <v>0.11963020030816642</v>
      </c>
      <c r="H43" s="63"/>
      <c r="I43" s="376">
        <f t="shared" si="6"/>
        <v>1941</v>
      </c>
      <c r="J43" s="77">
        <f>SUM(J33:J42)</f>
        <v>0</v>
      </c>
      <c r="K43" s="78">
        <f t="shared" ref="K43:AH43" si="8">SUM(K33:K42)</f>
        <v>346</v>
      </c>
      <c r="L43" s="78">
        <f t="shared" si="8"/>
        <v>447</v>
      </c>
      <c r="M43" s="78">
        <f t="shared" si="8"/>
        <v>3</v>
      </c>
      <c r="N43" s="78">
        <f t="shared" si="8"/>
        <v>0</v>
      </c>
      <c r="O43" s="78">
        <f t="shared" si="8"/>
        <v>1</v>
      </c>
      <c r="P43" s="78">
        <f t="shared" si="8"/>
        <v>0</v>
      </c>
      <c r="Q43" s="78">
        <f t="shared" si="8"/>
        <v>11</v>
      </c>
      <c r="R43" s="78">
        <f t="shared" si="8"/>
        <v>42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730</v>
      </c>
      <c r="W43" s="78">
        <f t="shared" si="8"/>
        <v>89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0</v>
      </c>
      <c r="AC43" s="78">
        <f t="shared" si="8"/>
        <v>118</v>
      </c>
      <c r="AD43" s="78">
        <f t="shared" si="8"/>
        <v>0</v>
      </c>
      <c r="AE43" s="78">
        <f t="shared" si="8"/>
        <v>0</v>
      </c>
      <c r="AF43" s="78">
        <f t="shared" si="8"/>
        <v>71</v>
      </c>
      <c r="AG43" s="78">
        <f t="shared" si="8"/>
        <v>0</v>
      </c>
      <c r="AH43" s="79">
        <f t="shared" si="8"/>
        <v>83</v>
      </c>
      <c r="AI43" s="80"/>
      <c r="AJ43" s="377"/>
      <c r="AK43" s="378"/>
      <c r="AL43" s="379"/>
      <c r="AM43" s="81"/>
    </row>
    <row r="44" spans="1:39" ht="20.25" customHeight="1">
      <c r="A44" s="380"/>
      <c r="B44" s="392">
        <f t="shared" ref="B44:B53" si="9">B16</f>
        <v>0</v>
      </c>
      <c r="C44" s="382" t="s">
        <v>74</v>
      </c>
      <c r="D44" s="293">
        <f t="shared" ref="D44:D53" si="10">D16</f>
        <v>0</v>
      </c>
      <c r="E44" s="293">
        <f t="shared" ref="E44:E53" si="11">G16</f>
        <v>0</v>
      </c>
      <c r="F44" s="294"/>
      <c r="G44" s="62" t="str">
        <f t="shared" si="5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81"/>
      <c r="AJ44" s="882"/>
      <c r="AK44" s="904"/>
      <c r="AL44" s="905"/>
      <c r="AM44" s="906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si="11"/>
        <v>0</v>
      </c>
      <c r="F45" s="151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300">
        <f t="shared" si="9"/>
        <v>0</v>
      </c>
      <c r="C46" s="217" t="s">
        <v>76</v>
      </c>
      <c r="D46" s="304">
        <f t="shared" si="10"/>
        <v>0</v>
      </c>
      <c r="E46" s="297">
        <f t="shared" si="11"/>
        <v>0</v>
      </c>
      <c r="F46" s="319"/>
      <c r="G46" s="70" t="str">
        <f t="shared" si="5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879"/>
      <c r="AJ46" s="817"/>
      <c r="AK46" s="898"/>
      <c r="AL46" s="899"/>
      <c r="AM46" s="900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300">
        <f t="shared" si="9"/>
        <v>0</v>
      </c>
      <c r="C48" s="217" t="s">
        <v>78</v>
      </c>
      <c r="D48" s="305">
        <f t="shared" si="10"/>
        <v>0</v>
      </c>
      <c r="E48" s="297">
        <f t="shared" si="11"/>
        <v>0</v>
      </c>
      <c r="F48" s="319"/>
      <c r="G48" s="70" t="str">
        <f t="shared" si="5"/>
        <v/>
      </c>
      <c r="H48" s="63"/>
      <c r="I48" s="64">
        <f t="shared" si="6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75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5"/>
        <v/>
      </c>
      <c r="H54" s="63"/>
      <c r="I54" s="87">
        <f t="shared" si="6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16225</v>
      </c>
      <c r="F55" s="164">
        <f>F43+F54</f>
        <v>14284</v>
      </c>
      <c r="G55" s="165">
        <f t="shared" si="5"/>
        <v>0.11963020030816642</v>
      </c>
      <c r="H55" s="95"/>
      <c r="I55" s="96">
        <f>SUM(I43,I54)</f>
        <v>1941</v>
      </c>
      <c r="J55" s="97">
        <f>SUM(J43,J54)</f>
        <v>0</v>
      </c>
      <c r="K55" s="97">
        <f t="shared" ref="K55:AH55" si="13">SUM(K43,K54)</f>
        <v>346</v>
      </c>
      <c r="L55" s="97">
        <f t="shared" si="13"/>
        <v>447</v>
      </c>
      <c r="M55" s="97">
        <f t="shared" si="13"/>
        <v>3</v>
      </c>
      <c r="N55" s="97">
        <f t="shared" si="13"/>
        <v>0</v>
      </c>
      <c r="O55" s="97">
        <f t="shared" si="13"/>
        <v>1</v>
      </c>
      <c r="P55" s="97">
        <f t="shared" si="13"/>
        <v>0</v>
      </c>
      <c r="Q55" s="97">
        <f t="shared" si="13"/>
        <v>11</v>
      </c>
      <c r="R55" s="97">
        <f t="shared" si="13"/>
        <v>42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730</v>
      </c>
      <c r="W55" s="97">
        <f t="shared" si="13"/>
        <v>89</v>
      </c>
      <c r="X55" s="97">
        <f t="shared" si="13"/>
        <v>0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0</v>
      </c>
      <c r="AC55" s="97">
        <f t="shared" si="13"/>
        <v>118</v>
      </c>
      <c r="AD55" s="97">
        <f t="shared" si="13"/>
        <v>0</v>
      </c>
      <c r="AE55" s="97">
        <f t="shared" si="13"/>
        <v>0</v>
      </c>
      <c r="AF55" s="97">
        <f t="shared" si="13"/>
        <v>71</v>
      </c>
      <c r="AG55" s="97">
        <f t="shared" si="13"/>
        <v>0</v>
      </c>
      <c r="AH55" s="97">
        <f t="shared" si="13"/>
        <v>83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9">
    <mergeCell ref="AI33:AJ33"/>
    <mergeCell ref="AK33:AM33"/>
    <mergeCell ref="AI31:AJ32"/>
    <mergeCell ref="AK31:AM32"/>
    <mergeCell ref="AI44:AJ44"/>
    <mergeCell ref="AI45:AJ45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AJ26:AK26"/>
    <mergeCell ref="I27:O27"/>
    <mergeCell ref="AD26:AE26"/>
    <mergeCell ref="AF26:AG26"/>
    <mergeCell ref="AH26:AI26"/>
    <mergeCell ref="I26:O26"/>
    <mergeCell ref="P26:Q26"/>
    <mergeCell ref="AF27:AG27"/>
    <mergeCell ref="X26:Y26"/>
    <mergeCell ref="Z26:AA26"/>
    <mergeCell ref="AB26:AC26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F29:AG29"/>
    <mergeCell ref="AH29:AI29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AJ28:AK28"/>
    <mergeCell ref="Z29:AA29"/>
    <mergeCell ref="AB29:AC29"/>
    <mergeCell ref="AD29:AE29"/>
    <mergeCell ref="I25:O25"/>
    <mergeCell ref="R24:S24"/>
    <mergeCell ref="T24:U24"/>
    <mergeCell ref="V24:W24"/>
    <mergeCell ref="X24:Y24"/>
    <mergeCell ref="Z24:AA24"/>
    <mergeCell ref="AB24:AC24"/>
    <mergeCell ref="P25:Q25"/>
    <mergeCell ref="T28:U28"/>
    <mergeCell ref="V28:W28"/>
    <mergeCell ref="X28:Y28"/>
    <mergeCell ref="P28:Q28"/>
    <mergeCell ref="R28:S28"/>
    <mergeCell ref="AF18:AG18"/>
    <mergeCell ref="AH18:AI18"/>
    <mergeCell ref="AJ18:AK18"/>
    <mergeCell ref="AJ24:AK24"/>
    <mergeCell ref="AF24:AG24"/>
    <mergeCell ref="AH24:AI24"/>
    <mergeCell ref="I18:O18"/>
    <mergeCell ref="P18:Q18"/>
    <mergeCell ref="R18:S18"/>
    <mergeCell ref="T18:U18"/>
    <mergeCell ref="V18:W18"/>
    <mergeCell ref="X18:Y18"/>
    <mergeCell ref="AD24:AE24"/>
    <mergeCell ref="I24:O24"/>
    <mergeCell ref="P24:Q24"/>
    <mergeCell ref="Z18:AA18"/>
    <mergeCell ref="AB18:AC18"/>
    <mergeCell ref="AD18:AE18"/>
    <mergeCell ref="I23:O23"/>
    <mergeCell ref="P23:Q23"/>
    <mergeCell ref="I22:O22"/>
    <mergeCell ref="P22:Q22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AD9:AE9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AB9:AC9"/>
    <mergeCell ref="AB5:AC5"/>
    <mergeCell ref="AH6:AI6"/>
    <mergeCell ref="Z7:AA7"/>
    <mergeCell ref="AB7:AC7"/>
    <mergeCell ref="AD7:AE7"/>
    <mergeCell ref="AF7:AG7"/>
    <mergeCell ref="AH8:AI8"/>
    <mergeCell ref="AB6:AC6"/>
    <mergeCell ref="AD6:AE6"/>
    <mergeCell ref="AF6:AG6"/>
    <mergeCell ref="AD5:AE5"/>
    <mergeCell ref="Z6:AA6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J3:AK3"/>
    <mergeCell ref="AD2:AE2"/>
    <mergeCell ref="AF2:AG2"/>
    <mergeCell ref="Z2:AA2"/>
    <mergeCell ref="AB2:AC2"/>
    <mergeCell ref="AF3:AG3"/>
    <mergeCell ref="AH3:AI3"/>
    <mergeCell ref="M1:N1"/>
    <mergeCell ref="R1:U1"/>
    <mergeCell ref="E2:H2"/>
    <mergeCell ref="I2:O4"/>
    <mergeCell ref="P2:Q3"/>
    <mergeCell ref="R2:S2"/>
    <mergeCell ref="T2:U2"/>
    <mergeCell ref="P4:Q4"/>
    <mergeCell ref="I6:O6"/>
    <mergeCell ref="P6:Q6"/>
    <mergeCell ref="R6:S6"/>
    <mergeCell ref="T6:U6"/>
    <mergeCell ref="I7:O7"/>
    <mergeCell ref="P7:Q7"/>
    <mergeCell ref="R7:S7"/>
    <mergeCell ref="Z9:AA9"/>
    <mergeCell ref="V6:W6"/>
    <mergeCell ref="X6:Y6"/>
    <mergeCell ref="I5:O5"/>
    <mergeCell ref="P5:Q5"/>
    <mergeCell ref="R5:S5"/>
    <mergeCell ref="T5:U5"/>
    <mergeCell ref="V5:W5"/>
    <mergeCell ref="X5:Y5"/>
    <mergeCell ref="Z8:AA8"/>
    <mergeCell ref="Z5:AA5"/>
    <mergeCell ref="T7:U7"/>
    <mergeCell ref="V7:W7"/>
    <mergeCell ref="X7:Y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T4:U4"/>
    <mergeCell ref="V4:W4"/>
    <mergeCell ref="X4:Y4"/>
    <mergeCell ref="AH4:AI4"/>
    <mergeCell ref="Z4:AA4"/>
    <mergeCell ref="AB4:AC4"/>
    <mergeCell ref="AB8:AC8"/>
    <mergeCell ref="AD8:AE8"/>
    <mergeCell ref="AF8:AG8"/>
    <mergeCell ref="AH7:AI7"/>
    <mergeCell ref="AF5:AG5"/>
    <mergeCell ref="AH5:AI5"/>
    <mergeCell ref="AI34:AJ34"/>
    <mergeCell ref="AK44:AM44"/>
    <mergeCell ref="AK46:AM46"/>
    <mergeCell ref="AI35:AJ35"/>
    <mergeCell ref="AK35:AM35"/>
    <mergeCell ref="A43:D43"/>
    <mergeCell ref="AI46:AJ46"/>
    <mergeCell ref="I57:O57"/>
    <mergeCell ref="P57:V57"/>
    <mergeCell ref="W57:AE57"/>
    <mergeCell ref="AF57:AM57"/>
    <mergeCell ref="AI37:AJ37"/>
    <mergeCell ref="AK37:AM37"/>
    <mergeCell ref="AI36:AJ36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A1:AM59"/>
  <sheetViews>
    <sheetView showGridLines="0" topLeftCell="A31" zoomScale="66" zoomScaleNormal="66" workbookViewId="0">
      <selection activeCell="AK37" activeCellId="1" sqref="AK33 AK37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25.83203125" style="9" customWidth="1"/>
    <col min="5" max="7" width="12" style="9" customWidth="1"/>
    <col min="8" max="8" width="11" style="9" customWidth="1"/>
    <col min="9" max="22" width="4.5" style="9" customWidth="1"/>
    <col min="23" max="32" width="4.5" style="13" customWidth="1"/>
    <col min="33" max="35" width="4.5" style="17" customWidth="1"/>
    <col min="36" max="36" width="42.75" style="17" customWidth="1"/>
    <col min="37" max="38" width="4.5" style="17" customWidth="1"/>
    <col min="39" max="39" width="17.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>
        <v>244581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224" t="s">
        <v>276</v>
      </c>
      <c r="C5" s="129" t="s">
        <v>74</v>
      </c>
      <c r="D5" s="225" t="s">
        <v>124</v>
      </c>
      <c r="E5" s="225">
        <v>4000</v>
      </c>
      <c r="F5" s="225">
        <v>5363</v>
      </c>
      <c r="G5" s="226">
        <v>4857</v>
      </c>
      <c r="H5" s="110">
        <f t="shared" ref="H5:H28" si="0">IF(F5=0,"",(F5-G5)/F5)</f>
        <v>9.4350177139660638E-2</v>
      </c>
      <c r="I5" s="675" t="s">
        <v>33</v>
      </c>
      <c r="J5" s="676"/>
      <c r="K5" s="676"/>
      <c r="L5" s="676"/>
      <c r="M5" s="676"/>
      <c r="N5" s="676"/>
      <c r="O5" s="677"/>
      <c r="P5" s="678">
        <v>3.6459999999999999</v>
      </c>
      <c r="Q5" s="679"/>
      <c r="R5" s="680">
        <v>16.221</v>
      </c>
      <c r="S5" s="679"/>
      <c r="T5" s="681">
        <v>1.4810000000000001</v>
      </c>
      <c r="U5" s="682"/>
      <c r="V5" s="683">
        <v>37.987000000000002</v>
      </c>
      <c r="W5" s="684"/>
      <c r="X5" s="685">
        <v>0.78</v>
      </c>
      <c r="Y5" s="686"/>
      <c r="Z5" s="687">
        <f>92+200+166+90</f>
        <v>548</v>
      </c>
      <c r="AA5" s="688"/>
      <c r="AB5" s="674">
        <f>36+37</f>
        <v>73</v>
      </c>
      <c r="AC5" s="674"/>
      <c r="AD5" s="689">
        <f>SUM(AF5:AK5)*0.025</f>
        <v>2.8000000000000003</v>
      </c>
      <c r="AE5" s="689"/>
      <c r="AF5" s="674">
        <f>14+14+14+14+7+14+14+14+7</f>
        <v>112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362"/>
      <c r="C6" s="129" t="s">
        <v>75</v>
      </c>
      <c r="D6" s="227"/>
      <c r="E6" s="228"/>
      <c r="F6" s="228"/>
      <c r="G6" s="229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0.19882211800632565</v>
      </c>
      <c r="Q6" s="673"/>
      <c r="R6" s="673">
        <f>IF($F$15=0,0,R5*1000/$F$15)</f>
        <v>0.88455665830515873</v>
      </c>
      <c r="S6" s="673"/>
      <c r="T6" s="673">
        <f>IF($F$15=0,0,T5*1000/$F$15)</f>
        <v>8.0761260769985826E-2</v>
      </c>
      <c r="U6" s="673"/>
      <c r="V6" s="673">
        <f>IF($F$15=0,0,V5*1000/$F$15)</f>
        <v>2.0714908932271787</v>
      </c>
      <c r="W6" s="673"/>
      <c r="X6" s="673">
        <f>IF($F$15=0,0,X5*1000/$F$15)</f>
        <v>4.2534627549351077E-2</v>
      </c>
      <c r="Y6" s="673"/>
      <c r="Z6" s="673">
        <f>IF($F$15=0,0,Z5*1000/$F$15)</f>
        <v>29.883302432108191</v>
      </c>
      <c r="AA6" s="673"/>
      <c r="AB6" s="632">
        <f>IF($F$15=0,0,AB5*1000/$F$15)</f>
        <v>3.9808048860290106</v>
      </c>
      <c r="AC6" s="632"/>
      <c r="AD6" s="632">
        <f>IF($F$15=0,0,AD5*1000/$F$15)</f>
        <v>0.15268840658741414</v>
      </c>
      <c r="AE6" s="632"/>
      <c r="AF6" s="627">
        <f>IF(AF5=0,0,F15/AF5)</f>
        <v>163.73214285714286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362" t="s">
        <v>277</v>
      </c>
      <c r="C7" s="129" t="s">
        <v>76</v>
      </c>
      <c r="D7" s="227" t="s">
        <v>124</v>
      </c>
      <c r="E7" s="228">
        <v>6000</v>
      </c>
      <c r="F7" s="228">
        <v>10759</v>
      </c>
      <c r="G7" s="229">
        <v>9838</v>
      </c>
      <c r="H7" s="111">
        <f t="shared" si="0"/>
        <v>8.5602751185054379E-2</v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0.21876875075002999</v>
      </c>
      <c r="Q7" s="639"/>
      <c r="R7" s="639">
        <f>IF($G$15=0,0,R5*1000/$G$15)</f>
        <v>0.97329893195727835</v>
      </c>
      <c r="S7" s="639"/>
      <c r="T7" s="639">
        <f>IF($G$15=0,0,T5*1000/$G$15)</f>
        <v>8.8863554542181686E-2</v>
      </c>
      <c r="U7" s="639"/>
      <c r="V7" s="639">
        <f>IF($G$15=0,0,V5*1000/$G$15)</f>
        <v>2.279311172446898</v>
      </c>
      <c r="W7" s="639"/>
      <c r="X7" s="639">
        <f>IF($G$15=0,0,X5*1000/$G$15)</f>
        <v>4.6801872074882997E-2</v>
      </c>
      <c r="Y7" s="639"/>
      <c r="Z7" s="639">
        <f>IF($G$15=0,0,Z5*1000/$G$15)</f>
        <v>32.881315252610108</v>
      </c>
      <c r="AA7" s="639"/>
      <c r="AB7" s="632">
        <f>IF($G$15=0,0,AB5*1000/$G$15)</f>
        <v>4.3801752070082802</v>
      </c>
      <c r="AC7" s="632"/>
      <c r="AD7" s="632">
        <f>IF($G$15=0,0,AD5*1000/$G$15)</f>
        <v>0.16800672026881078</v>
      </c>
      <c r="AE7" s="632"/>
      <c r="AF7" s="627">
        <f>IF(AF5=0,0,G15/AF5)</f>
        <v>148.80357142857142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362"/>
      <c r="C8" s="129" t="s">
        <v>77</v>
      </c>
      <c r="D8" s="227"/>
      <c r="E8" s="228"/>
      <c r="F8" s="228"/>
      <c r="G8" s="229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>
        <f>92+22+16+47+15+10+3+15+2+1</f>
        <v>223</v>
      </c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362" t="s">
        <v>278</v>
      </c>
      <c r="C9" s="129" t="s">
        <v>78</v>
      </c>
      <c r="D9" s="227" t="s">
        <v>124</v>
      </c>
      <c r="E9" s="228">
        <v>2000</v>
      </c>
      <c r="F9" s="228">
        <v>2216</v>
      </c>
      <c r="G9" s="229">
        <v>1971</v>
      </c>
      <c r="H9" s="111">
        <f>IF(F9=0,"",(F9-G9)/F9)</f>
        <v>0.11055956678700361</v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120"/>
      <c r="C10" s="129" t="s">
        <v>79</v>
      </c>
      <c r="D10" s="124"/>
      <c r="E10" s="125"/>
      <c r="F10" s="125"/>
      <c r="G10" s="126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>
        <f>6+4+6+4+8+5+5+5+4+5+3+4+6+5</f>
        <v>70</v>
      </c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>
        <f>F15/P12</f>
        <v>261.97142857142859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>
        <v>7</v>
      </c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12000</v>
      </c>
      <c r="F15" s="204">
        <f>SUM(F5:F14)</f>
        <v>18338</v>
      </c>
      <c r="G15" s="204">
        <f>SUM(G5:G14)</f>
        <v>16666</v>
      </c>
      <c r="H15" s="188">
        <f>IF(F15=0,"",(F15-G15)/F15)</f>
        <v>9.1176791362198709E-2</v>
      </c>
      <c r="I15" s="719" t="s">
        <v>70</v>
      </c>
      <c r="J15" s="720"/>
      <c r="K15" s="720"/>
      <c r="L15" s="720"/>
      <c r="M15" s="720"/>
      <c r="N15" s="720"/>
      <c r="O15" s="721"/>
      <c r="P15" s="722">
        <f>F15/P14</f>
        <v>2619.7142857142858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119"/>
      <c r="C16" s="130" t="s">
        <v>74</v>
      </c>
      <c r="D16" s="127"/>
      <c r="E16" s="122"/>
      <c r="F16" s="122"/>
      <c r="G16" s="123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120"/>
      <c r="C17" s="131" t="s">
        <v>75</v>
      </c>
      <c r="D17" s="128"/>
      <c r="E17" s="125"/>
      <c r="F17" s="125"/>
      <c r="G17" s="126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742">
        <f>IF($F$26=0,0,AF16*1000/$F$26)</f>
        <v>0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120"/>
      <c r="C18" s="131" t="s">
        <v>76</v>
      </c>
      <c r="D18" s="128"/>
      <c r="E18" s="125"/>
      <c r="F18" s="125"/>
      <c r="G18" s="126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742">
        <f>IF($G$26=0,0,AF16*1000/$G$26)</f>
        <v>0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120"/>
      <c r="C19" s="131" t="s">
        <v>77</v>
      </c>
      <c r="D19" s="128"/>
      <c r="E19" s="125"/>
      <c r="F19" s="125"/>
      <c r="G19" s="126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120"/>
      <c r="C20" s="131" t="s">
        <v>78</v>
      </c>
      <c r="D20" s="128"/>
      <c r="E20" s="125"/>
      <c r="F20" s="125"/>
      <c r="G20" s="126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120"/>
      <c r="C21" s="131" t="s">
        <v>79</v>
      </c>
      <c r="D21" s="128"/>
      <c r="E21" s="125"/>
      <c r="F21" s="125"/>
      <c r="G21" s="126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0</v>
      </c>
      <c r="G26" s="205">
        <f>SUM(G16:G25)</f>
        <v>0</v>
      </c>
      <c r="H26" s="196" t="str">
        <f>IF(F26=0,"",(F26-G26)/F26)</f>
        <v/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3.6459999999999999</v>
      </c>
      <c r="Q27" s="781"/>
      <c r="R27" s="782">
        <f>SUM(R5,R16)</f>
        <v>16.221</v>
      </c>
      <c r="S27" s="781"/>
      <c r="T27" s="782">
        <f>SUM(T5,T16)</f>
        <v>1.4810000000000001</v>
      </c>
      <c r="U27" s="781"/>
      <c r="V27" s="782">
        <f>SUM(V5,V16)</f>
        <v>37.987000000000002</v>
      </c>
      <c r="W27" s="781"/>
      <c r="X27" s="782">
        <f>SUM(X5,X16)</f>
        <v>0.78</v>
      </c>
      <c r="Y27" s="781"/>
      <c r="Z27" s="783">
        <f>SUM(Z5,Z16)</f>
        <v>548</v>
      </c>
      <c r="AA27" s="784"/>
      <c r="AB27" s="770">
        <f>SUM(AB5,AB16)</f>
        <v>73</v>
      </c>
      <c r="AC27" s="770"/>
      <c r="AD27" s="769">
        <f>SUM(AD5,AD16)</f>
        <v>2.8000000000000003</v>
      </c>
      <c r="AE27" s="769"/>
      <c r="AF27" s="770">
        <f>SUM(AF5,AF16)</f>
        <v>112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12000</v>
      </c>
      <c r="F28" s="140">
        <f>F15+F26</f>
        <v>18338</v>
      </c>
      <c r="G28" s="140">
        <f>G15+G26</f>
        <v>16666</v>
      </c>
      <c r="H28" s="141">
        <f t="shared" si="0"/>
        <v>9.1176791362198709E-2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0.19882211800632565</v>
      </c>
      <c r="Q28" s="745"/>
      <c r="R28" s="746">
        <f t="shared" si="1"/>
        <v>0.88455665830515873</v>
      </c>
      <c r="S28" s="745"/>
      <c r="T28" s="746">
        <f t="shared" si="1"/>
        <v>8.0761260769985826E-2</v>
      </c>
      <c r="U28" s="745"/>
      <c r="V28" s="800">
        <f t="shared" si="1"/>
        <v>2.0714908932271787</v>
      </c>
      <c r="W28" s="801"/>
      <c r="X28" s="800">
        <f t="shared" si="1"/>
        <v>4.2534627549351077E-2</v>
      </c>
      <c r="Y28" s="801"/>
      <c r="Z28" s="746">
        <f t="shared" si="1"/>
        <v>29.883302432108191</v>
      </c>
      <c r="AA28" s="744"/>
      <c r="AB28" s="632">
        <f t="shared" si="1"/>
        <v>3.9808048860290106</v>
      </c>
      <c r="AC28" s="632"/>
      <c r="AD28" s="632">
        <f t="shared" si="1"/>
        <v>0.15268840658741414</v>
      </c>
      <c r="AE28" s="632"/>
      <c r="AF28" s="757">
        <f t="shared" si="1"/>
        <v>6.1075362634965646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0.21876875075002999</v>
      </c>
      <c r="Q29" s="792"/>
      <c r="R29" s="771">
        <f t="shared" si="2"/>
        <v>0.97329893195727835</v>
      </c>
      <c r="S29" s="792"/>
      <c r="T29" s="771">
        <f t="shared" si="2"/>
        <v>8.8863554542181686E-2</v>
      </c>
      <c r="U29" s="792"/>
      <c r="V29" s="793">
        <f t="shared" si="2"/>
        <v>2.279311172446898</v>
      </c>
      <c r="W29" s="794"/>
      <c r="X29" s="795">
        <f t="shared" si="2"/>
        <v>4.6801872074882997E-2</v>
      </c>
      <c r="Y29" s="796"/>
      <c r="Z29" s="771">
        <f t="shared" si="2"/>
        <v>32.881315252610108</v>
      </c>
      <c r="AA29" s="772"/>
      <c r="AB29" s="773">
        <f t="shared" si="2"/>
        <v>4.3801752070082802</v>
      </c>
      <c r="AC29" s="773"/>
      <c r="AD29" s="773">
        <f t="shared" si="2"/>
        <v>0.16800672026881078</v>
      </c>
      <c r="AE29" s="773"/>
      <c r="AF29" s="774">
        <f t="shared" si="2"/>
        <v>6.7202688107524304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289" t="str">
        <f t="shared" ref="B33:B42" si="3">B5</f>
        <v>I11690834</v>
      </c>
      <c r="C33" s="213" t="s">
        <v>74</v>
      </c>
      <c r="D33" s="293" t="str">
        <f t="shared" ref="D33:D42" si="4">D5</f>
        <v>มิดไนท์เกรย์*N</v>
      </c>
      <c r="E33" s="293">
        <f>F33+274</f>
        <v>2584</v>
      </c>
      <c r="F33" s="594">
        <f>144*16+6</f>
        <v>2310</v>
      </c>
      <c r="G33" s="62">
        <f t="shared" ref="G33:G55" si="5">IF(E33=0,"",(E33-F33)/E33)</f>
        <v>0.10603715170278638</v>
      </c>
      <c r="H33" s="63"/>
      <c r="I33" s="64">
        <f t="shared" ref="I33:I54" si="6">SUM(J33:AH33)</f>
        <v>274</v>
      </c>
      <c r="J33" s="453"/>
      <c r="K33" s="454">
        <f>25+8</f>
        <v>33</v>
      </c>
      <c r="L33" s="453">
        <v>5</v>
      </c>
      <c r="M33" s="454">
        <f>10+15+25</f>
        <v>50</v>
      </c>
      <c r="N33" s="453"/>
      <c r="O33" s="454"/>
      <c r="P33" s="453"/>
      <c r="Q33" s="454"/>
      <c r="R33" s="453"/>
      <c r="S33" s="454"/>
      <c r="T33" s="453"/>
      <c r="U33" s="454">
        <f>20+30</f>
        <v>50</v>
      </c>
      <c r="V33" s="453">
        <v>90</v>
      </c>
      <c r="W33" s="454">
        <v>24</v>
      </c>
      <c r="X33" s="453"/>
      <c r="Y33" s="454"/>
      <c r="Z33" s="453"/>
      <c r="AA33" s="454"/>
      <c r="AB33" s="453"/>
      <c r="AC33" s="454">
        <f>4</f>
        <v>4</v>
      </c>
      <c r="AD33" s="453"/>
      <c r="AE33" s="454"/>
      <c r="AF33" s="453">
        <f>10+8</f>
        <v>18</v>
      </c>
      <c r="AG33" s="454"/>
      <c r="AH33" s="453"/>
      <c r="AI33" s="803" t="s">
        <v>279</v>
      </c>
      <c r="AJ33" s="804"/>
      <c r="AK33" s="595" t="s">
        <v>281</v>
      </c>
      <c r="AL33" s="596"/>
      <c r="AM33" s="597"/>
    </row>
    <row r="34" spans="1:39" ht="20.25" customHeight="1">
      <c r="A34" s="370"/>
      <c r="B34" s="160">
        <f t="shared" si="3"/>
        <v>0</v>
      </c>
      <c r="C34" s="214" t="s">
        <v>75</v>
      </c>
      <c r="D34" s="124">
        <f t="shared" si="4"/>
        <v>0</v>
      </c>
      <c r="E34" s="161">
        <f t="shared" ref="E34:E42" si="7">G6</f>
        <v>0</v>
      </c>
      <c r="F34" s="151"/>
      <c r="G34" s="70" t="str">
        <f t="shared" si="5"/>
        <v/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408"/>
      <c r="AJ34" s="541"/>
      <c r="AK34" s="592"/>
      <c r="AL34" s="593"/>
      <c r="AM34" s="481"/>
    </row>
    <row r="35" spans="1:39" ht="20.25" customHeight="1">
      <c r="A35" s="370"/>
      <c r="B35" s="290" t="str">
        <f t="shared" si="3"/>
        <v>I13690834</v>
      </c>
      <c r="C35" s="214" t="s">
        <v>76</v>
      </c>
      <c r="D35" s="295" t="str">
        <f t="shared" si="4"/>
        <v>มิดไนท์เกรย์*N</v>
      </c>
      <c r="E35" s="295">
        <f>F35+129+463</f>
        <v>9838</v>
      </c>
      <c r="F35" s="296">
        <f>210*20+6+5040</f>
        <v>9246</v>
      </c>
      <c r="G35" s="70">
        <f t="shared" si="5"/>
        <v>6.0174832282984349E-2</v>
      </c>
      <c r="H35" s="63"/>
      <c r="I35" s="64">
        <f t="shared" si="6"/>
        <v>592</v>
      </c>
      <c r="J35" s="455">
        <v>1</v>
      </c>
      <c r="K35" s="456">
        <f>7+32</f>
        <v>39</v>
      </c>
      <c r="L35" s="456">
        <v>13</v>
      </c>
      <c r="M35" s="456">
        <v>14</v>
      </c>
      <c r="N35" s="456"/>
      <c r="O35" s="456"/>
      <c r="P35" s="456"/>
      <c r="Q35" s="456"/>
      <c r="R35" s="456">
        <f>85+190</f>
        <v>275</v>
      </c>
      <c r="S35" s="456"/>
      <c r="T35" s="456"/>
      <c r="U35" s="456"/>
      <c r="V35" s="456"/>
      <c r="W35" s="456">
        <v>3</v>
      </c>
      <c r="X35" s="456"/>
      <c r="Y35" s="456"/>
      <c r="Z35" s="456"/>
      <c r="AA35" s="456"/>
      <c r="AB35" s="456">
        <v>165</v>
      </c>
      <c r="AC35" s="456">
        <f>8+46</f>
        <v>54</v>
      </c>
      <c r="AD35" s="456"/>
      <c r="AE35" s="456"/>
      <c r="AF35" s="456">
        <v>12</v>
      </c>
      <c r="AG35" s="456">
        <f>129-113</f>
        <v>16</v>
      </c>
      <c r="AH35" s="457"/>
      <c r="AI35" s="802" t="s">
        <v>286</v>
      </c>
      <c r="AJ35" s="614"/>
      <c r="AK35" s="901" t="s">
        <v>287</v>
      </c>
      <c r="AL35" s="902"/>
      <c r="AM35" s="903"/>
    </row>
    <row r="36" spans="1:39" ht="20.25" customHeight="1">
      <c r="A36" s="371">
        <v>1</v>
      </c>
      <c r="B36" s="160">
        <f t="shared" si="3"/>
        <v>0</v>
      </c>
      <c r="C36" s="214" t="s">
        <v>77</v>
      </c>
      <c r="D36" s="124">
        <f t="shared" si="4"/>
        <v>0</v>
      </c>
      <c r="E36" s="161">
        <f t="shared" si="7"/>
        <v>0</v>
      </c>
      <c r="F36" s="151"/>
      <c r="G36" s="70" t="str">
        <f t="shared" si="5"/>
        <v/>
      </c>
      <c r="H36" s="63"/>
      <c r="I36" s="64">
        <f t="shared" si="6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590"/>
      <c r="AJ36" s="591"/>
      <c r="AK36" s="592"/>
      <c r="AL36" s="593"/>
      <c r="AM36" s="481"/>
    </row>
    <row r="37" spans="1:39" ht="20.25" customHeight="1">
      <c r="A37" s="372"/>
      <c r="B37" s="290" t="str">
        <f t="shared" si="3"/>
        <v>I15690834</v>
      </c>
      <c r="C37" s="214" t="s">
        <v>78</v>
      </c>
      <c r="D37" s="295" t="str">
        <f t="shared" si="4"/>
        <v>มิดไนท์เกรย์*N</v>
      </c>
      <c r="E37" s="295">
        <f>F37+15</f>
        <v>581</v>
      </c>
      <c r="F37" s="579">
        <f>280*2+6</f>
        <v>566</v>
      </c>
      <c r="G37" s="70">
        <f t="shared" si="5"/>
        <v>2.5817555938037865E-2</v>
      </c>
      <c r="H37" s="63"/>
      <c r="I37" s="64">
        <f t="shared" si="6"/>
        <v>15</v>
      </c>
      <c r="J37" s="455"/>
      <c r="K37" s="456">
        <v>7</v>
      </c>
      <c r="L37" s="456">
        <v>5</v>
      </c>
      <c r="M37" s="456"/>
      <c r="N37" s="456"/>
      <c r="O37" s="456"/>
      <c r="P37" s="456"/>
      <c r="Q37" s="456"/>
      <c r="R37" s="456">
        <v>3</v>
      </c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802" t="s">
        <v>280</v>
      </c>
      <c r="AJ37" s="614"/>
      <c r="AK37" s="598" t="s">
        <v>282</v>
      </c>
      <c r="AL37" s="599"/>
      <c r="AM37" s="600"/>
    </row>
    <row r="38" spans="1:39" ht="20.25" customHeight="1">
      <c r="A38" s="372"/>
      <c r="B38" s="162">
        <f t="shared" si="3"/>
        <v>0</v>
      </c>
      <c r="C38" s="214" t="s">
        <v>79</v>
      </c>
      <c r="D38" s="163">
        <f t="shared" si="4"/>
        <v>0</v>
      </c>
      <c r="E38" s="161">
        <f t="shared" si="7"/>
        <v>0</v>
      </c>
      <c r="F38" s="151"/>
      <c r="G38" s="70" t="str">
        <f t="shared" si="5"/>
        <v/>
      </c>
      <c r="H38" s="63"/>
      <c r="I38" s="64">
        <f t="shared" si="6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7"/>
        <v>0</v>
      </c>
      <c r="F39" s="154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162">
        <f t="shared" si="3"/>
        <v>0</v>
      </c>
      <c r="C40" s="214" t="s">
        <v>63</v>
      </c>
      <c r="D40" s="163">
        <f t="shared" si="4"/>
        <v>0</v>
      </c>
      <c r="E40" s="153">
        <f t="shared" si="7"/>
        <v>0</v>
      </c>
      <c r="F40" s="154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7"/>
        <v>0</v>
      </c>
      <c r="F41" s="209"/>
      <c r="G41" s="210" t="str">
        <f t="shared" si="5"/>
        <v/>
      </c>
      <c r="H41" s="63"/>
      <c r="I41" s="64">
        <f t="shared" si="6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13003</v>
      </c>
      <c r="F43" s="145">
        <f>SUM(F33:F42)</f>
        <v>12122</v>
      </c>
      <c r="G43" s="135">
        <f t="shared" si="5"/>
        <v>6.7753595324155966E-2</v>
      </c>
      <c r="H43" s="63"/>
      <c r="I43" s="376">
        <f t="shared" si="6"/>
        <v>881</v>
      </c>
      <c r="J43" s="77">
        <f>SUM(J33:J42)</f>
        <v>1</v>
      </c>
      <c r="K43" s="78">
        <f t="shared" ref="K43:AH43" si="8">SUM(K33:K42)</f>
        <v>79</v>
      </c>
      <c r="L43" s="78">
        <f t="shared" si="8"/>
        <v>23</v>
      </c>
      <c r="M43" s="78">
        <f t="shared" si="8"/>
        <v>64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0</v>
      </c>
      <c r="R43" s="78">
        <f t="shared" si="8"/>
        <v>278</v>
      </c>
      <c r="S43" s="78">
        <f t="shared" si="8"/>
        <v>0</v>
      </c>
      <c r="T43" s="78">
        <f t="shared" si="8"/>
        <v>0</v>
      </c>
      <c r="U43" s="78">
        <f t="shared" si="8"/>
        <v>50</v>
      </c>
      <c r="V43" s="78">
        <f t="shared" si="8"/>
        <v>90</v>
      </c>
      <c r="W43" s="78">
        <f t="shared" si="8"/>
        <v>27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165</v>
      </c>
      <c r="AC43" s="78">
        <f t="shared" si="8"/>
        <v>58</v>
      </c>
      <c r="AD43" s="78">
        <f t="shared" si="8"/>
        <v>0</v>
      </c>
      <c r="AE43" s="78">
        <f t="shared" si="8"/>
        <v>0</v>
      </c>
      <c r="AF43" s="78">
        <f t="shared" si="8"/>
        <v>30</v>
      </c>
      <c r="AG43" s="78">
        <f t="shared" si="8"/>
        <v>16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81">
        <f t="shared" ref="B44:B53" si="9">B16</f>
        <v>0</v>
      </c>
      <c r="C44" s="382" t="s">
        <v>74</v>
      </c>
      <c r="D44" s="121">
        <f t="shared" ref="D44:D53" si="10">D16</f>
        <v>0</v>
      </c>
      <c r="E44" s="122">
        <f t="shared" ref="E44:E53" si="11">G16</f>
        <v>0</v>
      </c>
      <c r="F44" s="148"/>
      <c r="G44" s="62" t="str">
        <f t="shared" si="5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8"/>
      <c r="AJ44" s="819"/>
      <c r="AK44" s="82"/>
      <c r="AL44" s="83"/>
      <c r="AM44" s="84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si="11"/>
        <v>0</v>
      </c>
      <c r="F45" s="151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149">
        <f t="shared" si="9"/>
        <v>0</v>
      </c>
      <c r="C46" s="217" t="s">
        <v>76</v>
      </c>
      <c r="D46" s="152">
        <f t="shared" si="10"/>
        <v>0</v>
      </c>
      <c r="E46" s="153">
        <f t="shared" si="11"/>
        <v>0</v>
      </c>
      <c r="F46" s="154"/>
      <c r="G46" s="70" t="str">
        <f t="shared" si="5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814"/>
      <c r="AJ46" s="815"/>
      <c r="AK46" s="74"/>
      <c r="AL46" s="74"/>
      <c r="AM46" s="75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149">
        <f t="shared" si="9"/>
        <v>0</v>
      </c>
      <c r="C48" s="217" t="s">
        <v>78</v>
      </c>
      <c r="D48" s="155">
        <f t="shared" si="10"/>
        <v>0</v>
      </c>
      <c r="E48" s="153">
        <f t="shared" si="11"/>
        <v>0</v>
      </c>
      <c r="F48" s="154"/>
      <c r="G48" s="70" t="str">
        <f t="shared" si="5"/>
        <v/>
      </c>
      <c r="H48" s="63"/>
      <c r="I48" s="64">
        <f t="shared" si="6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75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5"/>
        <v/>
      </c>
      <c r="H54" s="63"/>
      <c r="I54" s="87">
        <f t="shared" si="6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13003</v>
      </c>
      <c r="F55" s="164">
        <f>F43+F54</f>
        <v>12122</v>
      </c>
      <c r="G55" s="165">
        <f t="shared" si="5"/>
        <v>6.7753595324155966E-2</v>
      </c>
      <c r="H55" s="95"/>
      <c r="I55" s="96">
        <f>SUM(I43,I54)</f>
        <v>881</v>
      </c>
      <c r="J55" s="97">
        <f>SUM(J43,J54)</f>
        <v>1</v>
      </c>
      <c r="K55" s="97">
        <f t="shared" ref="K55:AH55" si="13">SUM(K43,K54)</f>
        <v>79</v>
      </c>
      <c r="L55" s="97">
        <f t="shared" si="13"/>
        <v>23</v>
      </c>
      <c r="M55" s="97">
        <f t="shared" si="13"/>
        <v>64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0</v>
      </c>
      <c r="R55" s="97">
        <f t="shared" si="13"/>
        <v>278</v>
      </c>
      <c r="S55" s="97">
        <f t="shared" si="13"/>
        <v>0</v>
      </c>
      <c r="T55" s="97">
        <f t="shared" si="13"/>
        <v>0</v>
      </c>
      <c r="U55" s="97">
        <f t="shared" si="13"/>
        <v>50</v>
      </c>
      <c r="V55" s="97">
        <f t="shared" si="13"/>
        <v>90</v>
      </c>
      <c r="W55" s="97">
        <f t="shared" si="13"/>
        <v>27</v>
      </c>
      <c r="X55" s="97">
        <f t="shared" si="13"/>
        <v>0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165</v>
      </c>
      <c r="AC55" s="97">
        <f t="shared" si="13"/>
        <v>58</v>
      </c>
      <c r="AD55" s="97">
        <f t="shared" si="13"/>
        <v>0</v>
      </c>
      <c r="AE55" s="97">
        <f t="shared" si="13"/>
        <v>0</v>
      </c>
      <c r="AF55" s="97">
        <f t="shared" si="13"/>
        <v>30</v>
      </c>
      <c r="AG55" s="97">
        <f t="shared" si="13"/>
        <v>16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3">
    <mergeCell ref="AI33:AJ33"/>
    <mergeCell ref="AI37:AJ37"/>
    <mergeCell ref="AI31:AJ32"/>
    <mergeCell ref="AK31:AM32"/>
    <mergeCell ref="AI44:AJ44"/>
    <mergeCell ref="AI45:AJ45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R28:S28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AF27:AG27"/>
    <mergeCell ref="X26:Y26"/>
    <mergeCell ref="Z26:AA26"/>
    <mergeCell ref="AB26:AC26"/>
    <mergeCell ref="AF29:AG29"/>
    <mergeCell ref="AH29:AI29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AJ28:AK28"/>
    <mergeCell ref="Z29:AA29"/>
    <mergeCell ref="AB29:AC29"/>
    <mergeCell ref="AD29:AE29"/>
    <mergeCell ref="I25:O25"/>
    <mergeCell ref="R24:S24"/>
    <mergeCell ref="T24:U24"/>
    <mergeCell ref="V24:W24"/>
    <mergeCell ref="X24:Y24"/>
    <mergeCell ref="Z24:AA24"/>
    <mergeCell ref="AB24:AC24"/>
    <mergeCell ref="P25:Q25"/>
    <mergeCell ref="T28:U28"/>
    <mergeCell ref="V28:W28"/>
    <mergeCell ref="X28:Y28"/>
    <mergeCell ref="AF18:AG18"/>
    <mergeCell ref="AH18:AI18"/>
    <mergeCell ref="AJ18:AK18"/>
    <mergeCell ref="AJ24:AK24"/>
    <mergeCell ref="AF24:AG24"/>
    <mergeCell ref="AH24:AI24"/>
    <mergeCell ref="I18:O18"/>
    <mergeCell ref="P18:Q18"/>
    <mergeCell ref="R18:S18"/>
    <mergeCell ref="T18:U18"/>
    <mergeCell ref="V18:W18"/>
    <mergeCell ref="X18:Y18"/>
    <mergeCell ref="AD24:AE24"/>
    <mergeCell ref="I24:O24"/>
    <mergeCell ref="P24:Q24"/>
    <mergeCell ref="Z18:AA18"/>
    <mergeCell ref="AB18:AC18"/>
    <mergeCell ref="AD18:AE18"/>
    <mergeCell ref="I23:O23"/>
    <mergeCell ref="P23:Q23"/>
    <mergeCell ref="I22:O22"/>
    <mergeCell ref="P22:Q22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R9:S9"/>
    <mergeCell ref="T9:U9"/>
    <mergeCell ref="V9:W9"/>
    <mergeCell ref="X9:Y9"/>
    <mergeCell ref="AB9:AC9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D9:AE9"/>
    <mergeCell ref="T7:U7"/>
    <mergeCell ref="AD5:AE5"/>
    <mergeCell ref="Z6:AA6"/>
    <mergeCell ref="V7:W7"/>
    <mergeCell ref="X7:Y7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AH4:AI4"/>
    <mergeCell ref="AF3:AG3"/>
    <mergeCell ref="AH3:AI3"/>
    <mergeCell ref="Z4:AA4"/>
    <mergeCell ref="AB4:AC4"/>
    <mergeCell ref="Z8:AA8"/>
    <mergeCell ref="AB8:AC8"/>
    <mergeCell ref="AD8:AE8"/>
    <mergeCell ref="AF8:AG8"/>
    <mergeCell ref="AH7:AI7"/>
    <mergeCell ref="AF5:AG5"/>
    <mergeCell ref="AH5:AI5"/>
    <mergeCell ref="Z5:AA5"/>
    <mergeCell ref="AB5:AC5"/>
    <mergeCell ref="AH6:AI6"/>
    <mergeCell ref="Z7:AA7"/>
    <mergeCell ref="AB7:AC7"/>
    <mergeCell ref="AD7:AE7"/>
    <mergeCell ref="AF7:AG7"/>
    <mergeCell ref="AH8:AI8"/>
    <mergeCell ref="AB6:AC6"/>
    <mergeCell ref="AD6:AE6"/>
    <mergeCell ref="AF6:AG6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J3:AK3"/>
    <mergeCell ref="AD2:AE2"/>
    <mergeCell ref="AF2:AG2"/>
    <mergeCell ref="Z2:AA2"/>
    <mergeCell ref="AB2:AC2"/>
    <mergeCell ref="M1:N1"/>
    <mergeCell ref="R1:U1"/>
    <mergeCell ref="E2:H2"/>
    <mergeCell ref="I2:O4"/>
    <mergeCell ref="P2:Q3"/>
    <mergeCell ref="R2:S2"/>
    <mergeCell ref="T2:U2"/>
    <mergeCell ref="P4:Q4"/>
    <mergeCell ref="I6:O6"/>
    <mergeCell ref="P6:Q6"/>
    <mergeCell ref="R6:S6"/>
    <mergeCell ref="T6:U6"/>
    <mergeCell ref="V6:W6"/>
    <mergeCell ref="X6:Y6"/>
    <mergeCell ref="I5:O5"/>
    <mergeCell ref="P5:Q5"/>
    <mergeCell ref="R5:S5"/>
    <mergeCell ref="T5:U5"/>
    <mergeCell ref="V5:W5"/>
    <mergeCell ref="X5:Y5"/>
    <mergeCell ref="T4:U4"/>
    <mergeCell ref="V4:W4"/>
    <mergeCell ref="X4:Y4"/>
    <mergeCell ref="AK35:AM35"/>
    <mergeCell ref="AI35:AJ35"/>
    <mergeCell ref="A43:D43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A1:AM59"/>
  <sheetViews>
    <sheetView showGridLines="0" topLeftCell="A31" zoomScale="64" zoomScaleNormal="64" workbookViewId="0">
      <selection activeCell="AB18" sqref="AB18:AC18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26" style="9" customWidth="1"/>
    <col min="5" max="7" width="12" style="9" customWidth="1"/>
    <col min="8" max="8" width="11" style="9" customWidth="1"/>
    <col min="9" max="16" width="4.5" style="9" customWidth="1"/>
    <col min="17" max="17" width="5.5" style="9" customWidth="1"/>
    <col min="18" max="22" width="4.5" style="9" customWidth="1"/>
    <col min="23" max="32" width="4.5" style="13" customWidth="1"/>
    <col min="33" max="35" width="4.5" style="17" customWidth="1"/>
    <col min="36" max="36" width="31.5" style="17" customWidth="1"/>
    <col min="37" max="38" width="4.5" style="17" customWidth="1"/>
    <col min="39" max="39" width="17.582031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>
        <v>244582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119"/>
      <c r="C5" s="129" t="s">
        <v>74</v>
      </c>
      <c r="D5" s="121"/>
      <c r="E5" s="122"/>
      <c r="F5" s="122"/>
      <c r="G5" s="123"/>
      <c r="H5" s="110" t="str">
        <f t="shared" ref="H5:H28" si="0">IF(F5=0,"",(F5-G5)/F5)</f>
        <v/>
      </c>
      <c r="I5" s="675" t="s">
        <v>33</v>
      </c>
      <c r="J5" s="676"/>
      <c r="K5" s="676"/>
      <c r="L5" s="676"/>
      <c r="M5" s="676"/>
      <c r="N5" s="676"/>
      <c r="O5" s="677"/>
      <c r="P5" s="678">
        <v>0</v>
      </c>
      <c r="Q5" s="679"/>
      <c r="R5" s="680">
        <v>0</v>
      </c>
      <c r="S5" s="679"/>
      <c r="T5" s="681">
        <v>0</v>
      </c>
      <c r="U5" s="682"/>
      <c r="V5" s="683">
        <v>0</v>
      </c>
      <c r="W5" s="684"/>
      <c r="X5" s="685">
        <v>0</v>
      </c>
      <c r="Y5" s="686"/>
      <c r="Z5" s="687">
        <v>0</v>
      </c>
      <c r="AA5" s="688"/>
      <c r="AB5" s="674">
        <v>0</v>
      </c>
      <c r="AC5" s="674"/>
      <c r="AD5" s="689">
        <f>SUM(AF5:AK5)*0.025</f>
        <v>0</v>
      </c>
      <c r="AE5" s="689"/>
      <c r="AF5" s="674">
        <v>0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120"/>
      <c r="C6" s="129" t="s">
        <v>75</v>
      </c>
      <c r="D6" s="124"/>
      <c r="E6" s="125"/>
      <c r="F6" s="125"/>
      <c r="G6" s="126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</v>
      </c>
      <c r="Q6" s="673"/>
      <c r="R6" s="673">
        <f>IF($F$15=0,0,R5*1000/$F$15)</f>
        <v>0</v>
      </c>
      <c r="S6" s="673"/>
      <c r="T6" s="673">
        <f>IF($F$15=0,0,T5*1000/$F$15)</f>
        <v>0</v>
      </c>
      <c r="U6" s="673"/>
      <c r="V6" s="673">
        <f>IF($F$15=0,0,V5*1000/$F$15)</f>
        <v>0</v>
      </c>
      <c r="W6" s="673"/>
      <c r="X6" s="673">
        <f>IF($F$15=0,0,X5*1000/$F$15)</f>
        <v>0</v>
      </c>
      <c r="Y6" s="673"/>
      <c r="Z6" s="673">
        <f>IF($F$15=0,0,Z5*1000/$F$15)</f>
        <v>0</v>
      </c>
      <c r="AA6" s="673"/>
      <c r="AB6" s="632">
        <f>IF($F$15=0,0,AB5*1000/$F$15)</f>
        <v>0</v>
      </c>
      <c r="AC6" s="632"/>
      <c r="AD6" s="632">
        <f>IF($F$15=0,0,AD5*1000/$F$15)</f>
        <v>0</v>
      </c>
      <c r="AE6" s="632"/>
      <c r="AF6" s="627">
        <f>IF(AF5=0,0,F15/AF5)</f>
        <v>0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239"/>
      <c r="C7" s="129" t="s">
        <v>76</v>
      </c>
      <c r="D7" s="240"/>
      <c r="E7" s="241"/>
      <c r="F7" s="241"/>
      <c r="G7" s="242"/>
      <c r="H7" s="111" t="str">
        <f t="shared" si="0"/>
        <v/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</v>
      </c>
      <c r="Q7" s="639"/>
      <c r="R7" s="639">
        <f>IF($G$15=0,0,R5*1000/$G$15)</f>
        <v>0</v>
      </c>
      <c r="S7" s="639"/>
      <c r="T7" s="639">
        <f>IF($G$15=0,0,T5*1000/$G$15)</f>
        <v>0</v>
      </c>
      <c r="U7" s="639"/>
      <c r="V7" s="639">
        <f>IF($G$15=0,0,V5*1000/$G$15)</f>
        <v>0</v>
      </c>
      <c r="W7" s="639"/>
      <c r="X7" s="639">
        <f>IF($G$15=0,0,X5*1000/$G$15)</f>
        <v>0</v>
      </c>
      <c r="Y7" s="639"/>
      <c r="Z7" s="639">
        <f>IF($G$15=0,0,Z5*1000/$G$15)</f>
        <v>0</v>
      </c>
      <c r="AA7" s="639"/>
      <c r="AB7" s="632">
        <f>IF($G$15=0,0,AB5*1000/$G$15)</f>
        <v>0</v>
      </c>
      <c r="AC7" s="632"/>
      <c r="AD7" s="632">
        <f>IF($G$15=0,0,AD5*1000/$G$15)</f>
        <v>0</v>
      </c>
      <c r="AE7" s="632"/>
      <c r="AF7" s="627">
        <f>IF(AF5=0,0,G15/AF5)</f>
        <v>0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120"/>
      <c r="C8" s="129" t="s">
        <v>77</v>
      </c>
      <c r="D8" s="124"/>
      <c r="E8" s="125"/>
      <c r="F8" s="125"/>
      <c r="G8" s="126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/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120"/>
      <c r="C9" s="129" t="s">
        <v>78</v>
      </c>
      <c r="D9" s="124"/>
      <c r="E9" s="125"/>
      <c r="F9" s="125"/>
      <c r="G9" s="126"/>
      <c r="H9" s="111" t="str">
        <f>IF(F9=0,"",(F9-G9)/F9)</f>
        <v/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120"/>
      <c r="C10" s="129" t="s">
        <v>79</v>
      </c>
      <c r="D10" s="124"/>
      <c r="E10" s="125"/>
      <c r="F10" s="125"/>
      <c r="G10" s="126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/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 t="e">
        <f>F15/P12</f>
        <v>#DIV/0!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/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0</v>
      </c>
      <c r="F15" s="204">
        <f>SUM(F5:F14)</f>
        <v>0</v>
      </c>
      <c r="G15" s="204">
        <f>SUM(G5:G14)</f>
        <v>0</v>
      </c>
      <c r="H15" s="188" t="str">
        <f>IF(F15=0,"",(F15-G15)/F15)</f>
        <v/>
      </c>
      <c r="I15" s="719" t="s">
        <v>70</v>
      </c>
      <c r="J15" s="720"/>
      <c r="K15" s="720"/>
      <c r="L15" s="720"/>
      <c r="M15" s="720"/>
      <c r="N15" s="720"/>
      <c r="O15" s="721"/>
      <c r="P15" s="722" t="e">
        <f>F15/P14</f>
        <v>#DIV/0!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119"/>
      <c r="C16" s="130" t="s">
        <v>74</v>
      </c>
      <c r="D16" s="127"/>
      <c r="E16" s="122"/>
      <c r="F16" s="122"/>
      <c r="G16" s="123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0.94599999999999995</v>
      </c>
      <c r="Q16" s="731"/>
      <c r="R16" s="732">
        <v>6.35</v>
      </c>
      <c r="S16" s="731"/>
      <c r="T16" s="733">
        <v>0.67600000000000005</v>
      </c>
      <c r="U16" s="734"/>
      <c r="V16" s="735">
        <v>15.38</v>
      </c>
      <c r="W16" s="736"/>
      <c r="X16" s="737">
        <v>0.34899999999999998</v>
      </c>
      <c r="Y16" s="738"/>
      <c r="Z16" s="740">
        <f>34+200</f>
        <v>234</v>
      </c>
      <c r="AA16" s="741"/>
      <c r="AB16" s="739">
        <v>36</v>
      </c>
      <c r="AC16" s="739"/>
      <c r="AD16" s="725">
        <f>SUM(AF16:AK16)*0.025</f>
        <v>1.3250000000000002</v>
      </c>
      <c r="AE16" s="725"/>
      <c r="AF16" s="726">
        <v>53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120"/>
      <c r="C17" s="131" t="s">
        <v>75</v>
      </c>
      <c r="D17" s="128"/>
      <c r="E17" s="125"/>
      <c r="F17" s="125"/>
      <c r="G17" s="126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0.12031031412946712</v>
      </c>
      <c r="Q17" s="745"/>
      <c r="R17" s="746">
        <f>IF($F$26=0,0,R16*1000/$F$26)</f>
        <v>0.80757980414600028</v>
      </c>
      <c r="S17" s="745"/>
      <c r="T17" s="746">
        <f>IF($F$26=0,0,T16*1000/$F$26)</f>
        <v>8.5972275213023017E-2</v>
      </c>
      <c r="U17" s="744"/>
      <c r="V17" s="632">
        <f>IF($F$26=0,0,V16*1000/$F$26)</f>
        <v>1.9559964390181865</v>
      </c>
      <c r="W17" s="632"/>
      <c r="X17" s="632">
        <f>IF($F$26=0,0,X16*1000/$F$26)</f>
        <v>4.4385094747551826E-2</v>
      </c>
      <c r="Y17" s="632"/>
      <c r="Z17" s="744">
        <f>IF($F$26=0,0,Z16*1000/$F$26)</f>
        <v>29.759633727584891</v>
      </c>
      <c r="AA17" s="744"/>
      <c r="AB17" s="632">
        <f>IF($F$26=0,0,AB16*1000/$F$26)</f>
        <v>4.5784051888592137</v>
      </c>
      <c r="AC17" s="632"/>
      <c r="AD17" s="632">
        <f>IF($F$26=0,0,AD16*1000/$F$26)</f>
        <v>0.16851074653440165</v>
      </c>
      <c r="AE17" s="632"/>
      <c r="AF17" s="742">
        <f>IF(AF16=0,0,F26/AF16)</f>
        <v>148.35849056603774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362" t="s">
        <v>288</v>
      </c>
      <c r="C18" s="131" t="s">
        <v>76</v>
      </c>
      <c r="D18" s="228" t="s">
        <v>124</v>
      </c>
      <c r="E18" s="228">
        <v>6000</v>
      </c>
      <c r="F18" s="228">
        <v>6793</v>
      </c>
      <c r="G18" s="229">
        <v>6201</v>
      </c>
      <c r="H18" s="111">
        <f t="shared" si="0"/>
        <v>8.7148535256882084E-2</v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0.13337092908501338</v>
      </c>
      <c r="Q18" s="752"/>
      <c r="R18" s="746">
        <f>IF($G$26=0,0,R16*1000/$G$26)</f>
        <v>0.89524883688143242</v>
      </c>
      <c r="S18" s="745"/>
      <c r="T18" s="746">
        <f>IF($G$26=0,0,T16*1000/$G$26)</f>
        <v>9.5305230508952482E-2</v>
      </c>
      <c r="U18" s="745"/>
      <c r="V18" s="753">
        <f>IF($G$26=0,0,V16*1000/$G$26)</f>
        <v>2.1683349781474694</v>
      </c>
      <c r="W18" s="754"/>
      <c r="X18" s="753">
        <f>IF($G$26=0,0,X16*1000/$G$26)</f>
        <v>4.9203440011278722E-2</v>
      </c>
      <c r="Y18" s="754"/>
      <c r="Z18" s="746">
        <f>IF($G$26=0,0,Z16*1000/$G$26)</f>
        <v>32.990272099252785</v>
      </c>
      <c r="AA18" s="744"/>
      <c r="AB18" s="632">
        <f>IF($G$26=0,0,AB16*1000/$G$26)</f>
        <v>5.0754264768081203</v>
      </c>
      <c r="AC18" s="632"/>
      <c r="AD18" s="632">
        <f>IF($G$26=0,0,AD16*1000/$G$26)</f>
        <v>0.18680389116029891</v>
      </c>
      <c r="AE18" s="632"/>
      <c r="AF18" s="742">
        <f>IF(AF16=0,0,G26/AF16)</f>
        <v>133.83018867924528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362"/>
      <c r="C19" s="131" t="s">
        <v>77</v>
      </c>
      <c r="D19" s="228"/>
      <c r="E19" s="228"/>
      <c r="F19" s="228"/>
      <c r="G19" s="229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>
        <f>73+12</f>
        <v>85</v>
      </c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362" t="s">
        <v>289</v>
      </c>
      <c r="C20" s="131" t="s">
        <v>78</v>
      </c>
      <c r="D20" s="228" t="s">
        <v>124</v>
      </c>
      <c r="E20" s="228">
        <v>0</v>
      </c>
      <c r="F20" s="228">
        <v>1070</v>
      </c>
      <c r="G20" s="229">
        <v>892</v>
      </c>
      <c r="H20" s="111">
        <f t="shared" si="0"/>
        <v>0.16635514018691588</v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120"/>
      <c r="C21" s="131" t="s">
        <v>79</v>
      </c>
      <c r="D21" s="128"/>
      <c r="E21" s="125"/>
      <c r="F21" s="125"/>
      <c r="G21" s="126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>
        <v>28</v>
      </c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>
        <f>F26/P23</f>
        <v>280.82142857142856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>
        <v>7</v>
      </c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6000</v>
      </c>
      <c r="F26" s="205">
        <f>SUM(F16:F25)</f>
        <v>7863</v>
      </c>
      <c r="G26" s="205">
        <f>SUM(G16:G25)</f>
        <v>7093</v>
      </c>
      <c r="H26" s="196">
        <f>IF(F26=0,"",(F26-G26)/F26)</f>
        <v>9.7926999872822079E-2</v>
      </c>
      <c r="I26" s="719" t="s">
        <v>70</v>
      </c>
      <c r="J26" s="720"/>
      <c r="K26" s="720"/>
      <c r="L26" s="720"/>
      <c r="M26" s="720"/>
      <c r="N26" s="720"/>
      <c r="O26" s="721"/>
      <c r="P26" s="785">
        <f>F26/P25</f>
        <v>1123.2857142857142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0.94599999999999995</v>
      </c>
      <c r="Q27" s="781"/>
      <c r="R27" s="782">
        <f>SUM(R5,R16)</f>
        <v>6.35</v>
      </c>
      <c r="S27" s="781"/>
      <c r="T27" s="782">
        <f>SUM(T5,T16)</f>
        <v>0.67600000000000005</v>
      </c>
      <c r="U27" s="781"/>
      <c r="V27" s="782">
        <f>SUM(V5,V16)</f>
        <v>15.38</v>
      </c>
      <c r="W27" s="781"/>
      <c r="X27" s="782">
        <f>SUM(X5,X16)</f>
        <v>0.34899999999999998</v>
      </c>
      <c r="Y27" s="781"/>
      <c r="Z27" s="783">
        <f>SUM(Z5,Z16)</f>
        <v>234</v>
      </c>
      <c r="AA27" s="784"/>
      <c r="AB27" s="770">
        <f>SUM(AB5,AB16)</f>
        <v>36</v>
      </c>
      <c r="AC27" s="770"/>
      <c r="AD27" s="769">
        <f>SUM(AD5,AD16)</f>
        <v>1.3250000000000002</v>
      </c>
      <c r="AE27" s="769"/>
      <c r="AF27" s="770">
        <f>SUM(AF5,AF16)</f>
        <v>53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6000</v>
      </c>
      <c r="F28" s="140">
        <f>F15+F26</f>
        <v>7863</v>
      </c>
      <c r="G28" s="140">
        <f>G15+G26</f>
        <v>7093</v>
      </c>
      <c r="H28" s="141">
        <f t="shared" si="0"/>
        <v>9.7926999872822079E-2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0.12031031412946712</v>
      </c>
      <c r="Q28" s="745"/>
      <c r="R28" s="746">
        <f t="shared" si="1"/>
        <v>0.80757980414600028</v>
      </c>
      <c r="S28" s="745"/>
      <c r="T28" s="746">
        <f t="shared" si="1"/>
        <v>8.5972275213023017E-2</v>
      </c>
      <c r="U28" s="745"/>
      <c r="V28" s="800">
        <f t="shared" si="1"/>
        <v>1.9559964390181865</v>
      </c>
      <c r="W28" s="801"/>
      <c r="X28" s="800">
        <f t="shared" si="1"/>
        <v>4.4385094747551826E-2</v>
      </c>
      <c r="Y28" s="801"/>
      <c r="Z28" s="746">
        <f t="shared" si="1"/>
        <v>29.759633727584891</v>
      </c>
      <c r="AA28" s="744"/>
      <c r="AB28" s="632">
        <f t="shared" si="1"/>
        <v>4.5784051888592137</v>
      </c>
      <c r="AC28" s="632"/>
      <c r="AD28" s="632">
        <f t="shared" si="1"/>
        <v>0.16851074653440165</v>
      </c>
      <c r="AE28" s="632"/>
      <c r="AF28" s="757">
        <f t="shared" si="1"/>
        <v>6.7404298613760654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0.13337092908501338</v>
      </c>
      <c r="Q29" s="792"/>
      <c r="R29" s="771">
        <f t="shared" si="2"/>
        <v>0.89524883688143242</v>
      </c>
      <c r="S29" s="792"/>
      <c r="T29" s="771">
        <f t="shared" si="2"/>
        <v>9.5305230508952482E-2</v>
      </c>
      <c r="U29" s="792"/>
      <c r="V29" s="793">
        <f t="shared" si="2"/>
        <v>2.1683349781474694</v>
      </c>
      <c r="W29" s="794"/>
      <c r="X29" s="795">
        <f t="shared" si="2"/>
        <v>4.9203440011278722E-2</v>
      </c>
      <c r="Y29" s="796"/>
      <c r="Z29" s="771">
        <f t="shared" si="2"/>
        <v>32.990272099252785</v>
      </c>
      <c r="AA29" s="772"/>
      <c r="AB29" s="773">
        <f t="shared" si="2"/>
        <v>5.0754264768081203</v>
      </c>
      <c r="AC29" s="773"/>
      <c r="AD29" s="773">
        <f t="shared" si="2"/>
        <v>0.18680389116029891</v>
      </c>
      <c r="AE29" s="773"/>
      <c r="AF29" s="774">
        <f t="shared" si="2"/>
        <v>7.4721556464119558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159">
        <f t="shared" ref="B33:B42" si="3">B5</f>
        <v>0</v>
      </c>
      <c r="C33" s="213" t="s">
        <v>74</v>
      </c>
      <c r="D33" s="121">
        <f t="shared" ref="D33:D42" si="4">D5</f>
        <v>0</v>
      </c>
      <c r="E33" s="122">
        <f t="shared" ref="E33:E42" si="5">G5</f>
        <v>0</v>
      </c>
      <c r="F33" s="148"/>
      <c r="G33" s="62" t="str">
        <f t="shared" ref="G33:G55" si="6">IF(E33=0,"",(E33-F33)/E33)</f>
        <v/>
      </c>
      <c r="H33" s="63"/>
      <c r="I33" s="64">
        <f t="shared" ref="I33:I54" si="7">SUM(J33:AH33)</f>
        <v>0</v>
      </c>
      <c r="J33" s="453"/>
      <c r="K33" s="454"/>
      <c r="L33" s="453"/>
      <c r="M33" s="454"/>
      <c r="N33" s="453"/>
      <c r="O33" s="454"/>
      <c r="P33" s="453"/>
      <c r="Q33" s="454"/>
      <c r="R33" s="453"/>
      <c r="S33" s="454"/>
      <c r="T33" s="453"/>
      <c r="U33" s="454"/>
      <c r="V33" s="453"/>
      <c r="W33" s="454"/>
      <c r="X33" s="453"/>
      <c r="Y33" s="454"/>
      <c r="Z33" s="453"/>
      <c r="AA33" s="454"/>
      <c r="AB33" s="453"/>
      <c r="AC33" s="454"/>
      <c r="AD33" s="453"/>
      <c r="AE33" s="454"/>
      <c r="AF33" s="453"/>
      <c r="AG33" s="454"/>
      <c r="AH33" s="453"/>
      <c r="AI33" s="65"/>
      <c r="AJ33" s="66"/>
      <c r="AK33" s="67"/>
      <c r="AL33" s="68"/>
      <c r="AM33" s="69"/>
    </row>
    <row r="34" spans="1:39" ht="20.25" customHeight="1">
      <c r="A34" s="370"/>
      <c r="B34" s="160">
        <f t="shared" si="3"/>
        <v>0</v>
      </c>
      <c r="C34" s="214" t="s">
        <v>75</v>
      </c>
      <c r="D34" s="124">
        <f t="shared" si="4"/>
        <v>0</v>
      </c>
      <c r="E34" s="161">
        <f t="shared" si="5"/>
        <v>0</v>
      </c>
      <c r="F34" s="151"/>
      <c r="G34" s="70" t="str">
        <f t="shared" si="6"/>
        <v/>
      </c>
      <c r="H34" s="63"/>
      <c r="I34" s="64">
        <f t="shared" si="7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71"/>
      <c r="AJ34" s="72"/>
      <c r="AK34" s="73"/>
      <c r="AL34" s="74"/>
      <c r="AM34" s="75"/>
    </row>
    <row r="35" spans="1:39" ht="20.25" customHeight="1">
      <c r="A35" s="370"/>
      <c r="B35" s="290">
        <f t="shared" si="3"/>
        <v>0</v>
      </c>
      <c r="C35" s="214" t="s">
        <v>76</v>
      </c>
      <c r="D35" s="295">
        <f t="shared" si="4"/>
        <v>0</v>
      </c>
      <c r="E35" s="295">
        <v>0</v>
      </c>
      <c r="F35" s="296"/>
      <c r="G35" s="70" t="str">
        <f t="shared" si="6"/>
        <v/>
      </c>
      <c r="H35" s="63"/>
      <c r="I35" s="64">
        <f t="shared" si="7"/>
        <v>0</v>
      </c>
      <c r="J35" s="455"/>
      <c r="K35" s="456"/>
      <c r="L35" s="456"/>
      <c r="M35" s="456"/>
      <c r="N35" s="456"/>
      <c r="O35" s="456"/>
      <c r="P35" s="456"/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7"/>
      <c r="AI35" s="802"/>
      <c r="AJ35" s="614"/>
      <c r="AK35" s="871"/>
      <c r="AL35" s="872"/>
      <c r="AM35" s="873"/>
    </row>
    <row r="36" spans="1:39" ht="20.25" customHeight="1">
      <c r="A36" s="371">
        <v>1</v>
      </c>
      <c r="B36" s="160">
        <f t="shared" si="3"/>
        <v>0</v>
      </c>
      <c r="C36" s="214" t="s">
        <v>77</v>
      </c>
      <c r="D36" s="124">
        <f t="shared" si="4"/>
        <v>0</v>
      </c>
      <c r="E36" s="161">
        <f t="shared" si="5"/>
        <v>0</v>
      </c>
      <c r="F36" s="151"/>
      <c r="G36" s="70" t="str">
        <f t="shared" si="6"/>
        <v/>
      </c>
      <c r="H36" s="63"/>
      <c r="I36" s="64">
        <f t="shared" si="7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452"/>
      <c r="AJ36" s="438"/>
      <c r="AK36" s="73"/>
      <c r="AL36" s="74"/>
      <c r="AM36" s="75"/>
    </row>
    <row r="37" spans="1:39" ht="20.25" customHeight="1">
      <c r="A37" s="372"/>
      <c r="B37" s="160">
        <f t="shared" si="3"/>
        <v>0</v>
      </c>
      <c r="C37" s="214" t="s">
        <v>78</v>
      </c>
      <c r="D37" s="124">
        <f t="shared" si="4"/>
        <v>0</v>
      </c>
      <c r="E37" s="161">
        <f t="shared" si="5"/>
        <v>0</v>
      </c>
      <c r="F37" s="151"/>
      <c r="G37" s="70" t="str">
        <f t="shared" si="6"/>
        <v/>
      </c>
      <c r="H37" s="63"/>
      <c r="I37" s="64">
        <f t="shared" si="7"/>
        <v>0</v>
      </c>
      <c r="J37" s="455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71"/>
      <c r="AJ37" s="72"/>
      <c r="AK37" s="73"/>
      <c r="AL37" s="74"/>
      <c r="AM37" s="75"/>
    </row>
    <row r="38" spans="1:39" ht="20.25" customHeight="1">
      <c r="A38" s="372"/>
      <c r="B38" s="162">
        <f t="shared" si="3"/>
        <v>0</v>
      </c>
      <c r="C38" s="214" t="s">
        <v>79</v>
      </c>
      <c r="D38" s="163">
        <f t="shared" si="4"/>
        <v>0</v>
      </c>
      <c r="E38" s="161">
        <f t="shared" si="5"/>
        <v>0</v>
      </c>
      <c r="F38" s="151"/>
      <c r="G38" s="70" t="str">
        <f t="shared" si="6"/>
        <v/>
      </c>
      <c r="H38" s="63"/>
      <c r="I38" s="64">
        <f t="shared" si="7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299"/>
      <c r="AJ38" s="72"/>
      <c r="AK38" s="73"/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5"/>
        <v>0</v>
      </c>
      <c r="F39" s="154"/>
      <c r="G39" s="70" t="str">
        <f t="shared" si="6"/>
        <v/>
      </c>
      <c r="H39" s="63"/>
      <c r="I39" s="64">
        <f t="shared" si="7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162">
        <f t="shared" si="3"/>
        <v>0</v>
      </c>
      <c r="C40" s="214" t="s">
        <v>63</v>
      </c>
      <c r="D40" s="163">
        <f t="shared" si="4"/>
        <v>0</v>
      </c>
      <c r="E40" s="153">
        <f t="shared" si="5"/>
        <v>0</v>
      </c>
      <c r="F40" s="154"/>
      <c r="G40" s="70" t="str">
        <f t="shared" si="6"/>
        <v/>
      </c>
      <c r="H40" s="63"/>
      <c r="I40" s="64">
        <f t="shared" si="7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5"/>
        <v>0</v>
      </c>
      <c r="F41" s="209"/>
      <c r="G41" s="210" t="str">
        <f t="shared" si="6"/>
        <v/>
      </c>
      <c r="H41" s="63"/>
      <c r="I41" s="64">
        <f t="shared" si="7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5"/>
        <v>0</v>
      </c>
      <c r="F42" s="158"/>
      <c r="G42" s="144" t="str">
        <f t="shared" si="6"/>
        <v/>
      </c>
      <c r="H42" s="63"/>
      <c r="I42" s="64">
        <f t="shared" si="7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0</v>
      </c>
      <c r="F43" s="145">
        <f>SUM(F33:F42)</f>
        <v>0</v>
      </c>
      <c r="G43" s="135" t="str">
        <f t="shared" si="6"/>
        <v/>
      </c>
      <c r="H43" s="63"/>
      <c r="I43" s="376">
        <f t="shared" si="7"/>
        <v>0</v>
      </c>
      <c r="J43" s="77">
        <f>SUM(J33:J42)</f>
        <v>0</v>
      </c>
      <c r="K43" s="78">
        <f t="shared" ref="K43:AH43" si="8">SUM(K33:K42)</f>
        <v>0</v>
      </c>
      <c r="L43" s="78">
        <f t="shared" si="8"/>
        <v>0</v>
      </c>
      <c r="M43" s="78">
        <f t="shared" si="8"/>
        <v>0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0</v>
      </c>
      <c r="R43" s="78">
        <f t="shared" si="8"/>
        <v>0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0</v>
      </c>
      <c r="W43" s="78">
        <f t="shared" si="8"/>
        <v>0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0</v>
      </c>
      <c r="AC43" s="78">
        <f t="shared" si="8"/>
        <v>0</v>
      </c>
      <c r="AD43" s="78">
        <f t="shared" si="8"/>
        <v>0</v>
      </c>
      <c r="AE43" s="78">
        <f t="shared" si="8"/>
        <v>0</v>
      </c>
      <c r="AF43" s="78">
        <f t="shared" si="8"/>
        <v>0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81">
        <f t="shared" ref="B44:B53" si="9">B16</f>
        <v>0</v>
      </c>
      <c r="C44" s="382" t="s">
        <v>74</v>
      </c>
      <c r="D44" s="121">
        <f t="shared" ref="D44:D53" si="10">D16</f>
        <v>0</v>
      </c>
      <c r="E44" s="122">
        <f t="shared" ref="E44:E53" si="11">G16</f>
        <v>0</v>
      </c>
      <c r="F44" s="148"/>
      <c r="G44" s="62" t="str">
        <f t="shared" si="6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8"/>
      <c r="AJ44" s="819"/>
      <c r="AK44" s="82"/>
      <c r="AL44" s="83"/>
      <c r="AM44" s="84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si="11"/>
        <v>0</v>
      </c>
      <c r="F45" s="151"/>
      <c r="G45" s="70" t="str">
        <f t="shared" si="6"/>
        <v/>
      </c>
      <c r="H45" s="63"/>
      <c r="I45" s="64">
        <f t="shared" si="7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351" t="str">
        <f t="shared" si="9"/>
        <v>I13690835</v>
      </c>
      <c r="C46" s="217" t="s">
        <v>76</v>
      </c>
      <c r="D46" s="356" t="str">
        <f t="shared" si="10"/>
        <v>มิดไนท์เกรย์*N</v>
      </c>
      <c r="E46" s="323">
        <f>F46+280</f>
        <v>6121</v>
      </c>
      <c r="F46" s="601">
        <f>210*27+165+6</f>
        <v>5841</v>
      </c>
      <c r="G46" s="70">
        <f t="shared" si="6"/>
        <v>4.5744159451070084E-2</v>
      </c>
      <c r="H46" s="63"/>
      <c r="I46" s="64">
        <f>SUM(J46:AH46)</f>
        <v>280</v>
      </c>
      <c r="J46" s="360">
        <f>20+20+2+5</f>
        <v>47</v>
      </c>
      <c r="K46" s="360">
        <f>14+7+10+3+2+2</f>
        <v>38</v>
      </c>
      <c r="L46" s="360">
        <v>30</v>
      </c>
      <c r="M46" s="360">
        <f>20</f>
        <v>20</v>
      </c>
      <c r="N46" s="360"/>
      <c r="O46" s="360">
        <f>2</f>
        <v>2</v>
      </c>
      <c r="P46" s="360">
        <f>5</f>
        <v>5</v>
      </c>
      <c r="Q46" s="360">
        <f>5+7</f>
        <v>12</v>
      </c>
      <c r="R46" s="360">
        <f>2+2+3+3+2+2</f>
        <v>14</v>
      </c>
      <c r="S46" s="360"/>
      <c r="T46" s="360"/>
      <c r="U46" s="360"/>
      <c r="V46" s="360">
        <f>35</f>
        <v>35</v>
      </c>
      <c r="W46" s="360">
        <f>2+6</f>
        <v>8</v>
      </c>
      <c r="X46" s="360"/>
      <c r="Y46" s="360">
        <f>6+2</f>
        <v>8</v>
      </c>
      <c r="Z46" s="360"/>
      <c r="AA46" s="360"/>
      <c r="AB46" s="360"/>
      <c r="AC46" s="360">
        <f>5+3+5+20+5</f>
        <v>38</v>
      </c>
      <c r="AD46" s="360">
        <f>4+9</f>
        <v>13</v>
      </c>
      <c r="AE46" s="360"/>
      <c r="AF46" s="360">
        <f>5+3+2</f>
        <v>10</v>
      </c>
      <c r="AG46" s="360"/>
      <c r="AH46" s="361"/>
      <c r="AI46" s="613" t="s">
        <v>295</v>
      </c>
      <c r="AJ46" s="614"/>
      <c r="AK46" s="606" t="s">
        <v>294</v>
      </c>
      <c r="AL46" s="607"/>
      <c r="AM46" s="608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6"/>
        <v/>
      </c>
      <c r="H47" s="63"/>
      <c r="I47" s="64">
        <f t="shared" si="7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351" t="str">
        <f t="shared" si="9"/>
        <v>I15690835</v>
      </c>
      <c r="C48" s="217" t="s">
        <v>78</v>
      </c>
      <c r="D48" s="357" t="str">
        <f t="shared" si="10"/>
        <v>มิดไนท์เกรย์*N</v>
      </c>
      <c r="E48" s="323">
        <v>0</v>
      </c>
      <c r="F48" s="601"/>
      <c r="G48" s="70" t="str">
        <f t="shared" si="6"/>
        <v/>
      </c>
      <c r="H48" s="63"/>
      <c r="I48" s="64">
        <f t="shared" si="7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75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6"/>
        <v/>
      </c>
      <c r="H49" s="63"/>
      <c r="I49" s="64">
        <f t="shared" si="7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6"/>
        <v/>
      </c>
      <c r="H50" s="63"/>
      <c r="I50" s="64">
        <f t="shared" si="7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6"/>
        <v/>
      </c>
      <c r="H51" s="63"/>
      <c r="I51" s="64">
        <f t="shared" si="7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6"/>
        <v/>
      </c>
      <c r="H52" s="63"/>
      <c r="I52" s="64">
        <f t="shared" si="7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6"/>
        <v/>
      </c>
      <c r="H53" s="63"/>
      <c r="I53" s="64">
        <f t="shared" si="7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6121</v>
      </c>
      <c r="F54" s="145">
        <f>SUM(F44:F53)</f>
        <v>5841</v>
      </c>
      <c r="G54" s="135">
        <f t="shared" si="6"/>
        <v>4.5744159451070084E-2</v>
      </c>
      <c r="H54" s="63"/>
      <c r="I54" s="87">
        <f t="shared" si="7"/>
        <v>280</v>
      </c>
      <c r="J54" s="77">
        <f>SUM(J44:J53)</f>
        <v>47</v>
      </c>
      <c r="K54" s="78">
        <f t="shared" ref="K54:AH54" si="12">SUM(K44:K53)</f>
        <v>38</v>
      </c>
      <c r="L54" s="78">
        <f t="shared" si="12"/>
        <v>30</v>
      </c>
      <c r="M54" s="78">
        <f t="shared" si="12"/>
        <v>20</v>
      </c>
      <c r="N54" s="78">
        <f t="shared" si="12"/>
        <v>0</v>
      </c>
      <c r="O54" s="78">
        <f t="shared" si="12"/>
        <v>2</v>
      </c>
      <c r="P54" s="78">
        <f t="shared" si="12"/>
        <v>5</v>
      </c>
      <c r="Q54" s="78">
        <f t="shared" si="12"/>
        <v>12</v>
      </c>
      <c r="R54" s="78">
        <f t="shared" si="12"/>
        <v>14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35</v>
      </c>
      <c r="W54" s="78">
        <f t="shared" si="12"/>
        <v>8</v>
      </c>
      <c r="X54" s="78">
        <f t="shared" si="12"/>
        <v>0</v>
      </c>
      <c r="Y54" s="78">
        <f t="shared" si="12"/>
        <v>8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38</v>
      </c>
      <c r="AD54" s="78">
        <f t="shared" si="12"/>
        <v>13</v>
      </c>
      <c r="AE54" s="78">
        <f t="shared" si="12"/>
        <v>0</v>
      </c>
      <c r="AF54" s="78">
        <f t="shared" si="12"/>
        <v>10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6121</v>
      </c>
      <c r="F55" s="164">
        <f>F43+F54</f>
        <v>5841</v>
      </c>
      <c r="G55" s="165">
        <f t="shared" si="6"/>
        <v>4.5744159451070084E-2</v>
      </c>
      <c r="H55" s="95"/>
      <c r="I55" s="96">
        <f>SUM(I43,I54)</f>
        <v>280</v>
      </c>
      <c r="J55" s="97">
        <f>SUM(J43,J54)</f>
        <v>47</v>
      </c>
      <c r="K55" s="97">
        <f t="shared" ref="K55:AH55" si="13">SUM(K43,K54)</f>
        <v>38</v>
      </c>
      <c r="L55" s="97">
        <f t="shared" si="13"/>
        <v>30</v>
      </c>
      <c r="M55" s="97">
        <f t="shared" si="13"/>
        <v>20</v>
      </c>
      <c r="N55" s="97">
        <f t="shared" si="13"/>
        <v>0</v>
      </c>
      <c r="O55" s="97">
        <f t="shared" si="13"/>
        <v>2</v>
      </c>
      <c r="P55" s="97">
        <f t="shared" si="13"/>
        <v>5</v>
      </c>
      <c r="Q55" s="97">
        <f t="shared" si="13"/>
        <v>12</v>
      </c>
      <c r="R55" s="97">
        <f t="shared" si="13"/>
        <v>14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35</v>
      </c>
      <c r="W55" s="97">
        <f t="shared" si="13"/>
        <v>8</v>
      </c>
      <c r="X55" s="97">
        <f t="shared" si="13"/>
        <v>0</v>
      </c>
      <c r="Y55" s="97">
        <f t="shared" si="13"/>
        <v>8</v>
      </c>
      <c r="Z55" s="97">
        <f t="shared" si="13"/>
        <v>0</v>
      </c>
      <c r="AA55" s="97">
        <f t="shared" si="13"/>
        <v>0</v>
      </c>
      <c r="AB55" s="97">
        <f t="shared" si="13"/>
        <v>0</v>
      </c>
      <c r="AC55" s="97">
        <f t="shared" si="13"/>
        <v>38</v>
      </c>
      <c r="AD55" s="97">
        <f t="shared" si="13"/>
        <v>13</v>
      </c>
      <c r="AE55" s="97">
        <f t="shared" si="13"/>
        <v>0</v>
      </c>
      <c r="AF55" s="97">
        <f t="shared" si="13"/>
        <v>10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1">
    <mergeCell ref="AI31:AJ32"/>
    <mergeCell ref="AK31:AM32"/>
    <mergeCell ref="AI44:AJ44"/>
    <mergeCell ref="AI45:AJ45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R28:S28"/>
    <mergeCell ref="T28:U28"/>
    <mergeCell ref="V28:W28"/>
    <mergeCell ref="X28:Y28"/>
    <mergeCell ref="I22:O22"/>
    <mergeCell ref="P22:Q22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AJ28:AK28"/>
    <mergeCell ref="AF27:AG27"/>
    <mergeCell ref="I23:O23"/>
    <mergeCell ref="P23:Q23"/>
    <mergeCell ref="Z29:AA29"/>
    <mergeCell ref="AB29:AC29"/>
    <mergeCell ref="AD29:AE29"/>
    <mergeCell ref="AF29:AG29"/>
    <mergeCell ref="AH29:AI29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I25:O25"/>
    <mergeCell ref="R24:S24"/>
    <mergeCell ref="T24:U24"/>
    <mergeCell ref="V24:W24"/>
    <mergeCell ref="X24:Y24"/>
    <mergeCell ref="Z24:AA24"/>
    <mergeCell ref="AB24:AC24"/>
    <mergeCell ref="P25:Q25"/>
    <mergeCell ref="AD24:AE24"/>
    <mergeCell ref="I24:O24"/>
    <mergeCell ref="P24:Q24"/>
    <mergeCell ref="X26:Y26"/>
    <mergeCell ref="Z26:AA26"/>
    <mergeCell ref="AB26:AC26"/>
    <mergeCell ref="Z18:AA18"/>
    <mergeCell ref="AB18:AC18"/>
    <mergeCell ref="AD18:AE18"/>
    <mergeCell ref="AF18:AG18"/>
    <mergeCell ref="AH18:AI18"/>
    <mergeCell ref="AJ18:AK18"/>
    <mergeCell ref="AJ24:AK24"/>
    <mergeCell ref="AF24:AG24"/>
    <mergeCell ref="AH24:AI24"/>
    <mergeCell ref="I18:O18"/>
    <mergeCell ref="P18:Q18"/>
    <mergeCell ref="R18:S18"/>
    <mergeCell ref="T18:U18"/>
    <mergeCell ref="V18:W18"/>
    <mergeCell ref="X18:Y18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R9:S9"/>
    <mergeCell ref="T9:U9"/>
    <mergeCell ref="V9:W9"/>
    <mergeCell ref="X9:Y9"/>
    <mergeCell ref="AB9:AC9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D9:AE9"/>
    <mergeCell ref="T7:U7"/>
    <mergeCell ref="AD5:AE5"/>
    <mergeCell ref="Z6:AA6"/>
    <mergeCell ref="V7:W7"/>
    <mergeCell ref="X7:Y7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AH4:AI4"/>
    <mergeCell ref="AF3:AG3"/>
    <mergeCell ref="AH3:AI3"/>
    <mergeCell ref="Z4:AA4"/>
    <mergeCell ref="AB4:AC4"/>
    <mergeCell ref="Z8:AA8"/>
    <mergeCell ref="AB8:AC8"/>
    <mergeCell ref="AD8:AE8"/>
    <mergeCell ref="AF8:AG8"/>
    <mergeCell ref="AH7:AI7"/>
    <mergeCell ref="AF5:AG5"/>
    <mergeCell ref="AH5:AI5"/>
    <mergeCell ref="Z5:AA5"/>
    <mergeCell ref="AB5:AC5"/>
    <mergeCell ref="AH6:AI6"/>
    <mergeCell ref="Z7:AA7"/>
    <mergeCell ref="AB7:AC7"/>
    <mergeCell ref="AD7:AE7"/>
    <mergeCell ref="AF7:AG7"/>
    <mergeCell ref="AH8:AI8"/>
    <mergeCell ref="AB6:AC6"/>
    <mergeCell ref="AD6:AE6"/>
    <mergeCell ref="AF6:AG6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J3:AK3"/>
    <mergeCell ref="AD2:AE2"/>
    <mergeCell ref="AF2:AG2"/>
    <mergeCell ref="Z2:AA2"/>
    <mergeCell ref="AB2:AC2"/>
    <mergeCell ref="M1:N1"/>
    <mergeCell ref="R1:U1"/>
    <mergeCell ref="E2:H2"/>
    <mergeCell ref="I2:O4"/>
    <mergeCell ref="P2:Q3"/>
    <mergeCell ref="R2:S2"/>
    <mergeCell ref="T2:U2"/>
    <mergeCell ref="P4:Q4"/>
    <mergeCell ref="I6:O6"/>
    <mergeCell ref="P6:Q6"/>
    <mergeCell ref="R6:S6"/>
    <mergeCell ref="T6:U6"/>
    <mergeCell ref="V6:W6"/>
    <mergeCell ref="X6:Y6"/>
    <mergeCell ref="I5:O5"/>
    <mergeCell ref="P5:Q5"/>
    <mergeCell ref="R5:S5"/>
    <mergeCell ref="T5:U5"/>
    <mergeCell ref="V5:W5"/>
    <mergeCell ref="X5:Y5"/>
    <mergeCell ref="T4:U4"/>
    <mergeCell ref="V4:W4"/>
    <mergeCell ref="X4:Y4"/>
    <mergeCell ref="AI35:AJ35"/>
    <mergeCell ref="AK35:AM35"/>
    <mergeCell ref="A43:D43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92D050"/>
    <pageSetUpPr fitToPage="1"/>
  </sheetPr>
  <dimension ref="A1:AM59"/>
  <sheetViews>
    <sheetView showGridLines="0" topLeftCell="A31" zoomScale="64" zoomScaleNormal="64" workbookViewId="0">
      <selection activeCell="AB27" sqref="AB27:AC27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25.75" style="9" customWidth="1"/>
    <col min="5" max="7" width="12" style="9" customWidth="1"/>
    <col min="8" max="8" width="11" style="9" customWidth="1"/>
    <col min="9" max="16" width="4.5" style="9" customWidth="1"/>
    <col min="17" max="17" width="4.75" style="9" customWidth="1"/>
    <col min="18" max="22" width="4.5" style="9" customWidth="1"/>
    <col min="23" max="32" width="4.5" style="13" customWidth="1"/>
    <col min="33" max="35" width="4.5" style="17" customWidth="1"/>
    <col min="36" max="36" width="27.58203125" style="17" customWidth="1"/>
    <col min="37" max="38" width="4.5" style="17" customWidth="1"/>
    <col min="39" max="39" width="20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>
        <v>244583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119"/>
      <c r="C5" s="129" t="s">
        <v>74</v>
      </c>
      <c r="D5" s="121"/>
      <c r="E5" s="122"/>
      <c r="F5" s="122"/>
      <c r="G5" s="123"/>
      <c r="H5" s="110" t="str">
        <f t="shared" ref="H5:H28" si="0">IF(F5=0,"",(F5-G5)/F5)</f>
        <v/>
      </c>
      <c r="I5" s="675" t="s">
        <v>33</v>
      </c>
      <c r="J5" s="676"/>
      <c r="K5" s="676"/>
      <c r="L5" s="676"/>
      <c r="M5" s="676"/>
      <c r="N5" s="676"/>
      <c r="O5" s="677"/>
      <c r="P5" s="678">
        <v>0</v>
      </c>
      <c r="Q5" s="679"/>
      <c r="R5" s="680">
        <v>0.72</v>
      </c>
      <c r="S5" s="679"/>
      <c r="T5" s="681">
        <v>0.106</v>
      </c>
      <c r="U5" s="682"/>
      <c r="V5" s="683">
        <v>1.4570000000000001</v>
      </c>
      <c r="W5" s="684"/>
      <c r="X5" s="685">
        <v>5.6000000000000001E-2</v>
      </c>
      <c r="Y5" s="686"/>
      <c r="Z5" s="687">
        <v>48</v>
      </c>
      <c r="AA5" s="688"/>
      <c r="AB5" s="674">
        <v>3</v>
      </c>
      <c r="AC5" s="674"/>
      <c r="AD5" s="689">
        <f>SUM(AF5:AK5)*0.025</f>
        <v>0.2</v>
      </c>
      <c r="AE5" s="689"/>
      <c r="AF5" s="674">
        <v>8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120"/>
      <c r="C6" s="129" t="s">
        <v>75</v>
      </c>
      <c r="D6" s="124"/>
      <c r="E6" s="125"/>
      <c r="F6" s="125"/>
      <c r="G6" s="126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</v>
      </c>
      <c r="Q6" s="673"/>
      <c r="R6" s="673">
        <f>IF($F$15=0,0,R5*1000/$F$15)</f>
        <v>0.68181818181818177</v>
      </c>
      <c r="S6" s="673"/>
      <c r="T6" s="673">
        <f>IF($F$15=0,0,T5*1000/$F$15)</f>
        <v>0.10037878787878787</v>
      </c>
      <c r="U6" s="673"/>
      <c r="V6" s="673">
        <f>IF($F$15=0,0,V5*1000/$F$15)</f>
        <v>1.3797348484848484</v>
      </c>
      <c r="W6" s="673"/>
      <c r="X6" s="673">
        <f>IF($F$15=0,0,X5*1000/$F$15)</f>
        <v>5.3030303030303032E-2</v>
      </c>
      <c r="Y6" s="673"/>
      <c r="Z6" s="673">
        <f>IF($F$15=0,0,Z5*1000/$F$15)</f>
        <v>45.454545454545453</v>
      </c>
      <c r="AA6" s="673"/>
      <c r="AB6" s="632">
        <f>IF($F$15=0,0,AB5*1000/$F$15)</f>
        <v>2.8409090909090908</v>
      </c>
      <c r="AC6" s="632"/>
      <c r="AD6" s="632">
        <f>IF($F$15=0,0,AD5*1000/$F$15)</f>
        <v>0.18939393939393939</v>
      </c>
      <c r="AE6" s="632"/>
      <c r="AF6" s="627">
        <f>IF(AF5=0,0,F15/AF5)</f>
        <v>132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239" t="s">
        <v>290</v>
      </c>
      <c r="C7" s="129" t="s">
        <v>76</v>
      </c>
      <c r="D7" s="240" t="s">
        <v>291</v>
      </c>
      <c r="E7" s="241">
        <v>1000</v>
      </c>
      <c r="F7" s="241">
        <v>1056</v>
      </c>
      <c r="G7" s="242">
        <v>991</v>
      </c>
      <c r="H7" s="111">
        <f t="shared" si="0"/>
        <v>6.1553030303030304E-2</v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</v>
      </c>
      <c r="Q7" s="639"/>
      <c r="R7" s="639">
        <f>IF($G$15=0,0,R5*1000/$G$15)</f>
        <v>0.72653884964682136</v>
      </c>
      <c r="S7" s="639"/>
      <c r="T7" s="639">
        <f>IF($G$15=0,0,T5*1000/$G$15)</f>
        <v>0.10696266397578204</v>
      </c>
      <c r="U7" s="639"/>
      <c r="V7" s="639">
        <f>IF($G$15=0,0,V5*1000/$G$15)</f>
        <v>1.4702320887991926</v>
      </c>
      <c r="W7" s="639"/>
      <c r="X7" s="639">
        <f>IF($G$15=0,0,X5*1000/$G$15)</f>
        <v>5.6508577194752774E-2</v>
      </c>
      <c r="Y7" s="639"/>
      <c r="Z7" s="639">
        <f>IF($G$15=0,0,Z5*1000/$G$15)</f>
        <v>48.435923309788095</v>
      </c>
      <c r="AA7" s="639"/>
      <c r="AB7" s="632">
        <f>IF($G$15=0,0,AB5*1000/$G$15)</f>
        <v>3.0272452068617559</v>
      </c>
      <c r="AC7" s="632"/>
      <c r="AD7" s="632">
        <f>IF($G$15=0,0,AD5*1000/$G$15)</f>
        <v>0.20181634712411706</v>
      </c>
      <c r="AE7" s="632"/>
      <c r="AF7" s="627">
        <f>IF(AF5=0,0,G15/AF5)</f>
        <v>123.875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120"/>
      <c r="C8" s="129" t="s">
        <v>77</v>
      </c>
      <c r="D8" s="124"/>
      <c r="E8" s="125"/>
      <c r="F8" s="125"/>
      <c r="G8" s="126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>
        <v>9</v>
      </c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120"/>
      <c r="C9" s="129" t="s">
        <v>78</v>
      </c>
      <c r="D9" s="124"/>
      <c r="E9" s="125"/>
      <c r="F9" s="125"/>
      <c r="G9" s="126"/>
      <c r="H9" s="111" t="str">
        <f>IF(F9=0,"",(F9-G9)/F9)</f>
        <v/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120"/>
      <c r="C10" s="129" t="s">
        <v>79</v>
      </c>
      <c r="D10" s="124"/>
      <c r="E10" s="125"/>
      <c r="F10" s="125"/>
      <c r="G10" s="126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>
        <f>1+1+2+1+1+2</f>
        <v>8</v>
      </c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>
        <f>F15/P12</f>
        <v>132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>
        <v>6</v>
      </c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1000</v>
      </c>
      <c r="F15" s="204">
        <f>SUM(F5:F14)</f>
        <v>1056</v>
      </c>
      <c r="G15" s="204">
        <f>SUM(G5:G14)</f>
        <v>991</v>
      </c>
      <c r="H15" s="188">
        <f>IF(F15=0,"",(F15-G15)/F15)</f>
        <v>6.1553030303030304E-2</v>
      </c>
      <c r="I15" s="719" t="s">
        <v>70</v>
      </c>
      <c r="J15" s="720"/>
      <c r="K15" s="720"/>
      <c r="L15" s="720"/>
      <c r="M15" s="720"/>
      <c r="N15" s="720"/>
      <c r="O15" s="721"/>
      <c r="P15" s="722">
        <f>F15/P14</f>
        <v>176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119"/>
      <c r="C16" s="130" t="s">
        <v>74</v>
      </c>
      <c r="D16" s="127"/>
      <c r="E16" s="122"/>
      <c r="F16" s="122"/>
      <c r="G16" s="123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0.221</v>
      </c>
      <c r="Q16" s="731"/>
      <c r="R16" s="732">
        <v>13.406000000000001</v>
      </c>
      <c r="S16" s="731"/>
      <c r="T16" s="733">
        <v>1.0449999999999999</v>
      </c>
      <c r="U16" s="734"/>
      <c r="V16" s="735">
        <v>30.683</v>
      </c>
      <c r="W16" s="736"/>
      <c r="X16" s="737">
        <v>0.51500000000000001</v>
      </c>
      <c r="Y16" s="738"/>
      <c r="Z16" s="740">
        <f>200+200</f>
        <v>400</v>
      </c>
      <c r="AA16" s="741"/>
      <c r="AB16" s="739">
        <v>70</v>
      </c>
      <c r="AC16" s="739"/>
      <c r="AD16" s="725">
        <f>SUM(AF16:AK16)*0.025</f>
        <v>1.9500000000000002</v>
      </c>
      <c r="AE16" s="725"/>
      <c r="AF16" s="726">
        <f>14+14+15+14+14+7</f>
        <v>78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120"/>
      <c r="C17" s="131" t="s">
        <v>75</v>
      </c>
      <c r="D17" s="128"/>
      <c r="E17" s="125"/>
      <c r="F17" s="125"/>
      <c r="G17" s="126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1.7503564074132741E-2</v>
      </c>
      <c r="Q17" s="745"/>
      <c r="R17" s="746">
        <f>IF($F$26=0,0,R16*1000/$F$26)</f>
        <v>1.0617772849675273</v>
      </c>
      <c r="S17" s="745"/>
      <c r="T17" s="746">
        <f>IF($F$26=0,0,T16*1000/$F$26)</f>
        <v>8.2765721527007757E-2</v>
      </c>
      <c r="U17" s="744"/>
      <c r="V17" s="632">
        <f>IF($F$26=0,0,V16*1000/$F$26)</f>
        <v>2.4301441469982574</v>
      </c>
      <c r="W17" s="632"/>
      <c r="X17" s="632">
        <f>IF($F$26=0,0,X16*1000/$F$26)</f>
        <v>4.078884840804689E-2</v>
      </c>
      <c r="Y17" s="632"/>
      <c r="Z17" s="744">
        <f>IF($F$26=0,0,Z16*1000/$F$26)</f>
        <v>31.680658957706321</v>
      </c>
      <c r="AA17" s="744"/>
      <c r="AB17" s="632">
        <f>IF($F$26=0,0,AB16*1000/$F$26)</f>
        <v>5.5441153175986058</v>
      </c>
      <c r="AC17" s="632"/>
      <c r="AD17" s="632">
        <f>IF($F$26=0,0,AD16*1000/$F$26)</f>
        <v>0.15444321241881834</v>
      </c>
      <c r="AE17" s="632"/>
      <c r="AF17" s="742">
        <f>IF(AF16=0,0,F26/AF16)</f>
        <v>161.87179487179486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239" t="s">
        <v>292</v>
      </c>
      <c r="C18" s="131" t="s">
        <v>76</v>
      </c>
      <c r="D18" s="241" t="s">
        <v>293</v>
      </c>
      <c r="E18" s="241">
        <v>10080</v>
      </c>
      <c r="F18" s="241">
        <v>12626</v>
      </c>
      <c r="G18" s="242">
        <v>11004</v>
      </c>
      <c r="H18" s="111">
        <f t="shared" si="0"/>
        <v>0.12846507207349914</v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2.0083605961468558E-2</v>
      </c>
      <c r="Q18" s="752"/>
      <c r="R18" s="746">
        <f>IF($G$26=0,0,R16*1000/$G$26)</f>
        <v>1.2182842602689932</v>
      </c>
      <c r="S18" s="745"/>
      <c r="T18" s="746">
        <f>IF($G$26=0,0,T16*1000/$G$26)</f>
        <v>9.4965467102871681E-2</v>
      </c>
      <c r="U18" s="745"/>
      <c r="V18" s="753">
        <f>IF($G$26=0,0,V16*1000/$G$26)</f>
        <v>2.7883496910214469</v>
      </c>
      <c r="W18" s="754"/>
      <c r="X18" s="753">
        <f>IF($G$26=0,0,X16*1000/$G$26)</f>
        <v>4.6801163213376955E-2</v>
      </c>
      <c r="Y18" s="754"/>
      <c r="Z18" s="746">
        <f>IF($G$26=0,0,Z16*1000/$G$26)</f>
        <v>36.350418029807344</v>
      </c>
      <c r="AA18" s="744"/>
      <c r="AB18" s="632">
        <f>IF($G$26=0,0,AB16*1000/$G$26)</f>
        <v>6.3613231552162848</v>
      </c>
      <c r="AC18" s="632"/>
      <c r="AD18" s="632">
        <f>IF($G$26=0,0,AD16*1000/$G$26)</f>
        <v>0.17720828789531082</v>
      </c>
      <c r="AE18" s="632"/>
      <c r="AF18" s="742">
        <f>IF(AF16=0,0,G26/AF16)</f>
        <v>141.07692307692307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120"/>
      <c r="C19" s="131" t="s">
        <v>77</v>
      </c>
      <c r="D19" s="128"/>
      <c r="E19" s="125"/>
      <c r="F19" s="125"/>
      <c r="G19" s="126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>
        <f>82+76+10</f>
        <v>168</v>
      </c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120"/>
      <c r="C20" s="131" t="s">
        <v>78</v>
      </c>
      <c r="D20" s="128"/>
      <c r="E20" s="125"/>
      <c r="F20" s="125"/>
      <c r="G20" s="126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120"/>
      <c r="C21" s="131" t="s">
        <v>79</v>
      </c>
      <c r="D21" s="128"/>
      <c r="E21" s="125"/>
      <c r="F21" s="125"/>
      <c r="G21" s="126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>
        <f>5+3+4+3+2+4+5+4+3+3+3+6+3</f>
        <v>48</v>
      </c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>
        <f>F26/P23</f>
        <v>263.04166666666669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>
        <v>7</v>
      </c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10080</v>
      </c>
      <c r="F26" s="205">
        <f>SUM(F16:F25)</f>
        <v>12626</v>
      </c>
      <c r="G26" s="205">
        <f>SUM(G16:G25)</f>
        <v>11004</v>
      </c>
      <c r="H26" s="196">
        <f>IF(F26=0,"",(F26-G26)/F26)</f>
        <v>0.12846507207349914</v>
      </c>
      <c r="I26" s="719" t="s">
        <v>70</v>
      </c>
      <c r="J26" s="720"/>
      <c r="K26" s="720"/>
      <c r="L26" s="720"/>
      <c r="M26" s="720"/>
      <c r="N26" s="720"/>
      <c r="O26" s="721"/>
      <c r="P26" s="785">
        <f>F26/P25</f>
        <v>1803.7142857142858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0.221</v>
      </c>
      <c r="Q27" s="781"/>
      <c r="R27" s="782">
        <f>SUM(R5,R16)</f>
        <v>14.126000000000001</v>
      </c>
      <c r="S27" s="781"/>
      <c r="T27" s="782">
        <f>SUM(T5,T16)</f>
        <v>1.151</v>
      </c>
      <c r="U27" s="781"/>
      <c r="V27" s="782">
        <f>SUM(V5,V16)</f>
        <v>32.14</v>
      </c>
      <c r="W27" s="781"/>
      <c r="X27" s="782">
        <f>SUM(X5,X16)</f>
        <v>0.57100000000000006</v>
      </c>
      <c r="Y27" s="781"/>
      <c r="Z27" s="783">
        <f>SUM(Z5,Z16)</f>
        <v>448</v>
      </c>
      <c r="AA27" s="784"/>
      <c r="AB27" s="770">
        <f>SUM(AB5,AB16)</f>
        <v>73</v>
      </c>
      <c r="AC27" s="770"/>
      <c r="AD27" s="769">
        <f>SUM(AD5,AD16)</f>
        <v>2.1500000000000004</v>
      </c>
      <c r="AE27" s="769"/>
      <c r="AF27" s="770">
        <f>SUM(AF5,AF16)</f>
        <v>86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11080</v>
      </c>
      <c r="F28" s="140">
        <f>F15+F26</f>
        <v>13682</v>
      </c>
      <c r="G28" s="140">
        <f>G15+G26</f>
        <v>11995</v>
      </c>
      <c r="H28" s="141">
        <f t="shared" si="0"/>
        <v>0.12330068703405934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1.6152609267650928E-2</v>
      </c>
      <c r="Q28" s="745"/>
      <c r="R28" s="746">
        <f t="shared" si="1"/>
        <v>1.0324513959947377</v>
      </c>
      <c r="S28" s="745"/>
      <c r="T28" s="746">
        <f t="shared" si="1"/>
        <v>8.4125127905277E-2</v>
      </c>
      <c r="U28" s="745"/>
      <c r="V28" s="800">
        <f t="shared" si="1"/>
        <v>2.3490717731325828</v>
      </c>
      <c r="W28" s="801"/>
      <c r="X28" s="800">
        <f t="shared" si="1"/>
        <v>4.1733664668908065E-2</v>
      </c>
      <c r="Y28" s="801"/>
      <c r="Z28" s="746">
        <f t="shared" si="1"/>
        <v>32.743750913609119</v>
      </c>
      <c r="AA28" s="744"/>
      <c r="AB28" s="632">
        <f t="shared" si="1"/>
        <v>5.3354772694050574</v>
      </c>
      <c r="AC28" s="632"/>
      <c r="AD28" s="632">
        <f t="shared" si="1"/>
        <v>0.15714076889343667</v>
      </c>
      <c r="AE28" s="632"/>
      <c r="AF28" s="757">
        <f t="shared" si="1"/>
        <v>6.2856307557374649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1.8424343476448519E-2</v>
      </c>
      <c r="Q29" s="792"/>
      <c r="R29" s="771">
        <f t="shared" si="2"/>
        <v>1.1776573572321802</v>
      </c>
      <c r="S29" s="792"/>
      <c r="T29" s="771">
        <f t="shared" si="2"/>
        <v>9.5956648603584827E-2</v>
      </c>
      <c r="U29" s="792"/>
      <c r="V29" s="793">
        <f t="shared" si="2"/>
        <v>2.6794497707378073</v>
      </c>
      <c r="W29" s="794"/>
      <c r="X29" s="795">
        <f t="shared" si="2"/>
        <v>4.7603167986661116E-2</v>
      </c>
      <c r="Y29" s="796"/>
      <c r="Z29" s="771">
        <f t="shared" si="2"/>
        <v>37.348895373072111</v>
      </c>
      <c r="AA29" s="772"/>
      <c r="AB29" s="773">
        <f t="shared" si="2"/>
        <v>6.0858691121300543</v>
      </c>
      <c r="AC29" s="773"/>
      <c r="AD29" s="773">
        <f t="shared" si="2"/>
        <v>0.17924135056273452</v>
      </c>
      <c r="AE29" s="773"/>
      <c r="AF29" s="774">
        <f t="shared" si="2"/>
        <v>7.1696540225093788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159">
        <f t="shared" ref="B33:B42" si="3">B5</f>
        <v>0</v>
      </c>
      <c r="C33" s="213" t="s">
        <v>74</v>
      </c>
      <c r="D33" s="121">
        <f t="shared" ref="D33:D42" si="4">D5</f>
        <v>0</v>
      </c>
      <c r="E33" s="122">
        <f t="shared" ref="E33:E42" si="5">G5</f>
        <v>0</v>
      </c>
      <c r="F33" s="148"/>
      <c r="G33" s="62" t="str">
        <f t="shared" ref="G33:G55" si="6">IF(E33=0,"",(E33-F33)/E33)</f>
        <v/>
      </c>
      <c r="H33" s="63"/>
      <c r="I33" s="64">
        <f t="shared" ref="I33:I54" si="7">SUM(J33:AH33)</f>
        <v>0</v>
      </c>
      <c r="J33" s="453"/>
      <c r="K33" s="454"/>
      <c r="L33" s="453"/>
      <c r="M33" s="454"/>
      <c r="N33" s="453"/>
      <c r="O33" s="454"/>
      <c r="P33" s="453"/>
      <c r="Q33" s="454"/>
      <c r="R33" s="453"/>
      <c r="S33" s="454"/>
      <c r="T33" s="453"/>
      <c r="U33" s="454"/>
      <c r="V33" s="453"/>
      <c r="W33" s="454"/>
      <c r="X33" s="453"/>
      <c r="Y33" s="454"/>
      <c r="Z33" s="453"/>
      <c r="AA33" s="454"/>
      <c r="AB33" s="453"/>
      <c r="AC33" s="454"/>
      <c r="AD33" s="453"/>
      <c r="AE33" s="454"/>
      <c r="AF33" s="453"/>
      <c r="AG33" s="454"/>
      <c r="AH33" s="453"/>
      <c r="AI33" s="65"/>
      <c r="AJ33" s="66"/>
      <c r="AK33" s="67"/>
      <c r="AL33" s="68"/>
      <c r="AM33" s="69"/>
    </row>
    <row r="34" spans="1:39" ht="20.25" customHeight="1">
      <c r="A34" s="370"/>
      <c r="B34" s="160">
        <f t="shared" si="3"/>
        <v>0</v>
      </c>
      <c r="C34" s="214" t="s">
        <v>75</v>
      </c>
      <c r="D34" s="124">
        <f t="shared" si="4"/>
        <v>0</v>
      </c>
      <c r="E34" s="161">
        <f t="shared" si="5"/>
        <v>0</v>
      </c>
      <c r="F34" s="151"/>
      <c r="G34" s="70" t="str">
        <f t="shared" si="6"/>
        <v/>
      </c>
      <c r="H34" s="63"/>
      <c r="I34" s="64">
        <f t="shared" si="7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71"/>
      <c r="AJ34" s="72"/>
      <c r="AK34" s="73"/>
      <c r="AL34" s="74"/>
      <c r="AM34" s="75"/>
    </row>
    <row r="35" spans="1:39" ht="20.25" customHeight="1">
      <c r="A35" s="370"/>
      <c r="B35" s="290" t="str">
        <f t="shared" si="3"/>
        <v>I13690836</v>
      </c>
      <c r="C35" s="214" t="s">
        <v>76</v>
      </c>
      <c r="D35" s="295" t="str">
        <f t="shared" si="4"/>
        <v>ขาวปุยนุ่น (ไม่มีรู)*N</v>
      </c>
      <c r="E35" s="295">
        <v>0</v>
      </c>
      <c r="F35" s="579"/>
      <c r="G35" s="70" t="str">
        <f t="shared" si="6"/>
        <v/>
      </c>
      <c r="H35" s="63"/>
      <c r="I35" s="64">
        <f t="shared" si="7"/>
        <v>0</v>
      </c>
      <c r="J35" s="455"/>
      <c r="K35" s="456"/>
      <c r="L35" s="456"/>
      <c r="M35" s="456"/>
      <c r="N35" s="456"/>
      <c r="O35" s="456"/>
      <c r="P35" s="456"/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7"/>
      <c r="AI35" s="802"/>
      <c r="AJ35" s="614"/>
      <c r="AK35" s="871"/>
      <c r="AL35" s="872"/>
      <c r="AM35" s="873"/>
    </row>
    <row r="36" spans="1:39" ht="20.25" customHeight="1">
      <c r="A36" s="371">
        <v>1</v>
      </c>
      <c r="B36" s="160">
        <f t="shared" si="3"/>
        <v>0</v>
      </c>
      <c r="C36" s="214" t="s">
        <v>77</v>
      </c>
      <c r="D36" s="124">
        <f t="shared" si="4"/>
        <v>0</v>
      </c>
      <c r="E36" s="161">
        <f t="shared" si="5"/>
        <v>0</v>
      </c>
      <c r="F36" s="151"/>
      <c r="G36" s="70" t="str">
        <f t="shared" si="6"/>
        <v/>
      </c>
      <c r="H36" s="63"/>
      <c r="I36" s="64">
        <f t="shared" si="7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452"/>
      <c r="AJ36" s="438"/>
      <c r="AK36" s="73"/>
      <c r="AL36" s="74"/>
      <c r="AM36" s="75"/>
    </row>
    <row r="37" spans="1:39" ht="20.25" customHeight="1">
      <c r="A37" s="372"/>
      <c r="B37" s="160">
        <f t="shared" si="3"/>
        <v>0</v>
      </c>
      <c r="C37" s="214" t="s">
        <v>78</v>
      </c>
      <c r="D37" s="124">
        <f t="shared" si="4"/>
        <v>0</v>
      </c>
      <c r="E37" s="161">
        <f t="shared" si="5"/>
        <v>0</v>
      </c>
      <c r="F37" s="151"/>
      <c r="G37" s="70" t="str">
        <f t="shared" si="6"/>
        <v/>
      </c>
      <c r="H37" s="63"/>
      <c r="I37" s="64">
        <f t="shared" si="7"/>
        <v>0</v>
      </c>
      <c r="J37" s="455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299"/>
      <c r="AJ37" s="72"/>
      <c r="AK37" s="73"/>
      <c r="AL37" s="74"/>
      <c r="AM37" s="75"/>
    </row>
    <row r="38" spans="1:39" ht="20.25" customHeight="1">
      <c r="A38" s="372"/>
      <c r="B38" s="162">
        <f t="shared" si="3"/>
        <v>0</v>
      </c>
      <c r="C38" s="214" t="s">
        <v>79</v>
      </c>
      <c r="D38" s="163">
        <f t="shared" si="4"/>
        <v>0</v>
      </c>
      <c r="E38" s="161">
        <f t="shared" si="5"/>
        <v>0</v>
      </c>
      <c r="F38" s="151"/>
      <c r="G38" s="70" t="str">
        <f t="shared" si="6"/>
        <v/>
      </c>
      <c r="H38" s="63"/>
      <c r="I38" s="64">
        <f t="shared" si="7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5"/>
        <v>0</v>
      </c>
      <c r="F39" s="154"/>
      <c r="G39" s="70" t="str">
        <f t="shared" si="6"/>
        <v/>
      </c>
      <c r="H39" s="63"/>
      <c r="I39" s="64">
        <f t="shared" si="7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162">
        <f t="shared" si="3"/>
        <v>0</v>
      </c>
      <c r="C40" s="214" t="s">
        <v>63</v>
      </c>
      <c r="D40" s="163">
        <f t="shared" si="4"/>
        <v>0</v>
      </c>
      <c r="E40" s="153">
        <f t="shared" si="5"/>
        <v>0</v>
      </c>
      <c r="F40" s="154"/>
      <c r="G40" s="70" t="str">
        <f t="shared" si="6"/>
        <v/>
      </c>
      <c r="H40" s="63"/>
      <c r="I40" s="64">
        <f t="shared" si="7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5"/>
        <v>0</v>
      </c>
      <c r="F41" s="209"/>
      <c r="G41" s="210" t="str">
        <f t="shared" si="6"/>
        <v/>
      </c>
      <c r="H41" s="63"/>
      <c r="I41" s="64">
        <f t="shared" si="7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5"/>
        <v>0</v>
      </c>
      <c r="F42" s="158"/>
      <c r="G42" s="144" t="str">
        <f t="shared" si="6"/>
        <v/>
      </c>
      <c r="H42" s="63"/>
      <c r="I42" s="64">
        <f t="shared" si="7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0</v>
      </c>
      <c r="F43" s="145">
        <f>SUM(F33:F42)</f>
        <v>0</v>
      </c>
      <c r="G43" s="135" t="str">
        <f t="shared" si="6"/>
        <v/>
      </c>
      <c r="H43" s="63"/>
      <c r="I43" s="376">
        <f t="shared" si="7"/>
        <v>0</v>
      </c>
      <c r="J43" s="77">
        <f>SUM(J33:J42)</f>
        <v>0</v>
      </c>
      <c r="K43" s="78">
        <f t="shared" ref="K43:AH43" si="8">SUM(K33:K42)</f>
        <v>0</v>
      </c>
      <c r="L43" s="78">
        <f t="shared" si="8"/>
        <v>0</v>
      </c>
      <c r="M43" s="78">
        <f t="shared" si="8"/>
        <v>0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0</v>
      </c>
      <c r="R43" s="78">
        <f t="shared" si="8"/>
        <v>0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0</v>
      </c>
      <c r="W43" s="78">
        <f t="shared" si="8"/>
        <v>0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0</v>
      </c>
      <c r="AC43" s="78">
        <f t="shared" si="8"/>
        <v>0</v>
      </c>
      <c r="AD43" s="78">
        <f t="shared" si="8"/>
        <v>0</v>
      </c>
      <c r="AE43" s="78">
        <f t="shared" si="8"/>
        <v>0</v>
      </c>
      <c r="AF43" s="78">
        <f t="shared" si="8"/>
        <v>0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81">
        <f t="shared" ref="B44:B53" si="9">B16</f>
        <v>0</v>
      </c>
      <c r="C44" s="382" t="s">
        <v>74</v>
      </c>
      <c r="D44" s="121">
        <f t="shared" ref="D44:D53" si="10">D16</f>
        <v>0</v>
      </c>
      <c r="E44" s="122">
        <f t="shared" ref="E44:E53" si="11">G16</f>
        <v>0</v>
      </c>
      <c r="F44" s="148"/>
      <c r="G44" s="62" t="str">
        <f t="shared" si="6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8"/>
      <c r="AJ44" s="819"/>
      <c r="AK44" s="82"/>
      <c r="AL44" s="83"/>
      <c r="AM44" s="84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si="11"/>
        <v>0</v>
      </c>
      <c r="F45" s="151"/>
      <c r="G45" s="70" t="str">
        <f t="shared" si="6"/>
        <v/>
      </c>
      <c r="H45" s="63"/>
      <c r="I45" s="64">
        <f t="shared" si="7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300" t="str">
        <f t="shared" si="9"/>
        <v>I13690837</v>
      </c>
      <c r="C46" s="217" t="s">
        <v>76</v>
      </c>
      <c r="D46" s="304" t="str">
        <f t="shared" si="10"/>
        <v>ลิกไนท์เกรย์ (ไม่มีรู)*N</v>
      </c>
      <c r="E46" s="297">
        <v>0</v>
      </c>
      <c r="F46" s="603"/>
      <c r="G46" s="70" t="str">
        <f t="shared" si="6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814"/>
      <c r="AJ46" s="815"/>
      <c r="AK46" s="74"/>
      <c r="AL46" s="74"/>
      <c r="AM46" s="75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6"/>
        <v/>
      </c>
      <c r="H47" s="63"/>
      <c r="I47" s="64">
        <f t="shared" si="7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149">
        <f t="shared" si="9"/>
        <v>0</v>
      </c>
      <c r="C48" s="217" t="s">
        <v>78</v>
      </c>
      <c r="D48" s="155">
        <f t="shared" si="10"/>
        <v>0</v>
      </c>
      <c r="E48" s="153">
        <f t="shared" si="11"/>
        <v>0</v>
      </c>
      <c r="F48" s="154"/>
      <c r="G48" s="70" t="str">
        <f t="shared" si="6"/>
        <v/>
      </c>
      <c r="H48" s="63"/>
      <c r="I48" s="64">
        <f t="shared" si="7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75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6"/>
        <v/>
      </c>
      <c r="H49" s="63"/>
      <c r="I49" s="64">
        <f t="shared" si="7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6"/>
        <v/>
      </c>
      <c r="H50" s="63"/>
      <c r="I50" s="64">
        <f t="shared" si="7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6"/>
        <v/>
      </c>
      <c r="H51" s="63"/>
      <c r="I51" s="64">
        <f t="shared" si="7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6"/>
        <v/>
      </c>
      <c r="H52" s="63"/>
      <c r="I52" s="64">
        <f t="shared" si="7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6"/>
        <v/>
      </c>
      <c r="H53" s="63"/>
      <c r="I53" s="64">
        <f t="shared" si="7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6"/>
        <v/>
      </c>
      <c r="H54" s="63"/>
      <c r="I54" s="87">
        <f t="shared" si="7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0</v>
      </c>
      <c r="F55" s="164">
        <f>F43+F54</f>
        <v>0</v>
      </c>
      <c r="G55" s="165" t="str">
        <f t="shared" si="6"/>
        <v/>
      </c>
      <c r="H55" s="95"/>
      <c r="I55" s="96">
        <f>SUM(I43,I54)</f>
        <v>0</v>
      </c>
      <c r="J55" s="97">
        <f>SUM(J43,J54)</f>
        <v>0</v>
      </c>
      <c r="K55" s="97">
        <f t="shared" ref="K55:AH55" si="13">SUM(K43,K54)</f>
        <v>0</v>
      </c>
      <c r="L55" s="97">
        <f t="shared" si="13"/>
        <v>0</v>
      </c>
      <c r="M55" s="97">
        <f t="shared" si="13"/>
        <v>0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0</v>
      </c>
      <c r="R55" s="97">
        <f t="shared" si="13"/>
        <v>0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0</v>
      </c>
      <c r="W55" s="97">
        <f t="shared" si="13"/>
        <v>0</v>
      </c>
      <c r="X55" s="97">
        <f t="shared" si="13"/>
        <v>0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0</v>
      </c>
      <c r="AC55" s="97">
        <f t="shared" si="13"/>
        <v>0</v>
      </c>
      <c r="AD55" s="97">
        <f t="shared" si="13"/>
        <v>0</v>
      </c>
      <c r="AE55" s="97">
        <f t="shared" si="13"/>
        <v>0</v>
      </c>
      <c r="AF55" s="97">
        <f t="shared" si="13"/>
        <v>0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1">
    <mergeCell ref="AI31:AJ32"/>
    <mergeCell ref="AK31:AM32"/>
    <mergeCell ref="AI44:AJ44"/>
    <mergeCell ref="AI45:AJ45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R28:S28"/>
    <mergeCell ref="T28:U28"/>
    <mergeCell ref="V28:W28"/>
    <mergeCell ref="X28:Y28"/>
    <mergeCell ref="I22:O22"/>
    <mergeCell ref="P22:Q22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AJ28:AK28"/>
    <mergeCell ref="AF27:AG27"/>
    <mergeCell ref="I23:O23"/>
    <mergeCell ref="P23:Q23"/>
    <mergeCell ref="Z29:AA29"/>
    <mergeCell ref="AB29:AC29"/>
    <mergeCell ref="AD29:AE29"/>
    <mergeCell ref="AF29:AG29"/>
    <mergeCell ref="AH29:AI29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I25:O25"/>
    <mergeCell ref="R24:S24"/>
    <mergeCell ref="T24:U24"/>
    <mergeCell ref="V24:W24"/>
    <mergeCell ref="X24:Y24"/>
    <mergeCell ref="Z24:AA24"/>
    <mergeCell ref="AB24:AC24"/>
    <mergeCell ref="P25:Q25"/>
    <mergeCell ref="AD24:AE24"/>
    <mergeCell ref="I24:O24"/>
    <mergeCell ref="P24:Q24"/>
    <mergeCell ref="X26:Y26"/>
    <mergeCell ref="Z26:AA26"/>
    <mergeCell ref="AB26:AC26"/>
    <mergeCell ref="Z18:AA18"/>
    <mergeCell ref="AB18:AC18"/>
    <mergeCell ref="AD18:AE18"/>
    <mergeCell ref="AF18:AG18"/>
    <mergeCell ref="AH18:AI18"/>
    <mergeCell ref="AJ18:AK18"/>
    <mergeCell ref="AJ24:AK24"/>
    <mergeCell ref="AF24:AG24"/>
    <mergeCell ref="AH24:AI24"/>
    <mergeCell ref="I18:O18"/>
    <mergeCell ref="P18:Q18"/>
    <mergeCell ref="R18:S18"/>
    <mergeCell ref="T18:U18"/>
    <mergeCell ref="V18:W18"/>
    <mergeCell ref="X18:Y18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R9:S9"/>
    <mergeCell ref="T9:U9"/>
    <mergeCell ref="V9:W9"/>
    <mergeCell ref="X9:Y9"/>
    <mergeCell ref="AB9:AC9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D9:AE9"/>
    <mergeCell ref="T7:U7"/>
    <mergeCell ref="AD5:AE5"/>
    <mergeCell ref="Z6:AA6"/>
    <mergeCell ref="V7:W7"/>
    <mergeCell ref="X7:Y7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AH4:AI4"/>
    <mergeCell ref="AF3:AG3"/>
    <mergeCell ref="AH3:AI3"/>
    <mergeCell ref="Z4:AA4"/>
    <mergeCell ref="AB4:AC4"/>
    <mergeCell ref="Z8:AA8"/>
    <mergeCell ref="AB8:AC8"/>
    <mergeCell ref="AD8:AE8"/>
    <mergeCell ref="AF8:AG8"/>
    <mergeCell ref="AH7:AI7"/>
    <mergeCell ref="AF5:AG5"/>
    <mergeCell ref="AH5:AI5"/>
    <mergeCell ref="Z5:AA5"/>
    <mergeCell ref="AB5:AC5"/>
    <mergeCell ref="AH6:AI6"/>
    <mergeCell ref="Z7:AA7"/>
    <mergeCell ref="AB7:AC7"/>
    <mergeCell ref="AD7:AE7"/>
    <mergeCell ref="AF7:AG7"/>
    <mergeCell ref="AH8:AI8"/>
    <mergeCell ref="AB6:AC6"/>
    <mergeCell ref="AD6:AE6"/>
    <mergeCell ref="AF6:AG6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J3:AK3"/>
    <mergeCell ref="AD2:AE2"/>
    <mergeCell ref="AF2:AG2"/>
    <mergeCell ref="Z2:AA2"/>
    <mergeCell ref="AB2:AC2"/>
    <mergeCell ref="M1:N1"/>
    <mergeCell ref="R1:U1"/>
    <mergeCell ref="E2:H2"/>
    <mergeCell ref="I2:O4"/>
    <mergeCell ref="P2:Q3"/>
    <mergeCell ref="R2:S2"/>
    <mergeCell ref="T2:U2"/>
    <mergeCell ref="P4:Q4"/>
    <mergeCell ref="I6:O6"/>
    <mergeCell ref="P6:Q6"/>
    <mergeCell ref="R6:S6"/>
    <mergeCell ref="T6:U6"/>
    <mergeCell ref="V6:W6"/>
    <mergeCell ref="X6:Y6"/>
    <mergeCell ref="I5:O5"/>
    <mergeCell ref="P5:Q5"/>
    <mergeCell ref="R5:S5"/>
    <mergeCell ref="T5:U5"/>
    <mergeCell ref="V5:W5"/>
    <mergeCell ref="X5:Y5"/>
    <mergeCell ref="T4:U4"/>
    <mergeCell ref="V4:W4"/>
    <mergeCell ref="X4:Y4"/>
    <mergeCell ref="AI35:AJ35"/>
    <mergeCell ref="AK35:AM35"/>
    <mergeCell ref="A43:D43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AM59"/>
  <sheetViews>
    <sheetView showGridLines="0" topLeftCell="A31" zoomScale="66" zoomScaleNormal="66" workbookViewId="0">
      <selection activeCell="AB5" sqref="AB5:AC5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18.25" style="9" customWidth="1"/>
    <col min="5" max="7" width="12" style="9" customWidth="1"/>
    <col min="8" max="8" width="11" style="9" customWidth="1"/>
    <col min="9" max="22" width="4.5" style="9" customWidth="1"/>
    <col min="23" max="32" width="4.5" style="13" customWidth="1"/>
    <col min="33" max="35" width="4.5" style="17" customWidth="1"/>
    <col min="36" max="36" width="22.83203125" style="17" customWidth="1"/>
    <col min="37" max="38" width="4.5" style="17" customWidth="1"/>
    <col min="39" max="39" width="15.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>
        <v>244584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224"/>
      <c r="C5" s="129" t="s">
        <v>74</v>
      </c>
      <c r="D5" s="225"/>
      <c r="E5" s="225"/>
      <c r="F5" s="225"/>
      <c r="G5" s="226"/>
      <c r="H5" s="110" t="str">
        <f t="shared" ref="H5:H28" si="0">IF(F5=0,"",(F5-G5)/F5)</f>
        <v/>
      </c>
      <c r="I5" s="675" t="s">
        <v>33</v>
      </c>
      <c r="J5" s="676"/>
      <c r="K5" s="676"/>
      <c r="L5" s="676"/>
      <c r="M5" s="676"/>
      <c r="N5" s="676"/>
      <c r="O5" s="677"/>
      <c r="P5" s="678">
        <v>0</v>
      </c>
      <c r="Q5" s="679"/>
      <c r="R5" s="680">
        <v>0</v>
      </c>
      <c r="S5" s="679"/>
      <c r="T5" s="681">
        <v>0</v>
      </c>
      <c r="U5" s="682"/>
      <c r="V5" s="683">
        <v>0</v>
      </c>
      <c r="W5" s="684"/>
      <c r="X5" s="685">
        <v>0</v>
      </c>
      <c r="Y5" s="686"/>
      <c r="Z5" s="687">
        <f>58-37</f>
        <v>21</v>
      </c>
      <c r="AA5" s="688"/>
      <c r="AB5" s="674">
        <v>2</v>
      </c>
      <c r="AC5" s="674"/>
      <c r="AD5" s="689">
        <f>SUM(AF5:AK5)*0.025</f>
        <v>0.05</v>
      </c>
      <c r="AE5" s="689"/>
      <c r="AF5" s="674">
        <v>2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362" t="s">
        <v>301</v>
      </c>
      <c r="C6" s="129" t="s">
        <v>75</v>
      </c>
      <c r="D6" s="227" t="s">
        <v>302</v>
      </c>
      <c r="E6" s="228">
        <v>0</v>
      </c>
      <c r="F6" s="228">
        <v>106</v>
      </c>
      <c r="G6" s="229">
        <v>106</v>
      </c>
      <c r="H6" s="111">
        <f t="shared" si="0"/>
        <v>0</v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</v>
      </c>
      <c r="Q6" s="673"/>
      <c r="R6" s="673">
        <f>IF($F$15=0,0,R5*1000/$F$15)</f>
        <v>0</v>
      </c>
      <c r="S6" s="673"/>
      <c r="T6" s="673">
        <f>IF($F$15=0,0,T5*1000/$F$15)</f>
        <v>0</v>
      </c>
      <c r="U6" s="673"/>
      <c r="V6" s="673">
        <f>IF($F$15=0,0,V5*1000/$F$15)</f>
        <v>0</v>
      </c>
      <c r="W6" s="673"/>
      <c r="X6" s="673">
        <f>IF($F$15=0,0,X5*1000/$F$15)</f>
        <v>0</v>
      </c>
      <c r="Y6" s="673"/>
      <c r="Z6" s="673">
        <f>IF($F$15=0,0,Z5*1000/$F$15)</f>
        <v>198.11320754716982</v>
      </c>
      <c r="AA6" s="673"/>
      <c r="AB6" s="632">
        <f>IF($F$15=0,0,AB5*1000/$F$15)</f>
        <v>18.867924528301888</v>
      </c>
      <c r="AC6" s="632"/>
      <c r="AD6" s="632">
        <f>IF($F$15=0,0,AD5*1000/$F$15)</f>
        <v>0.47169811320754718</v>
      </c>
      <c r="AE6" s="632"/>
      <c r="AF6" s="627">
        <f>IF(AF5=0,0,F15/AF5)</f>
        <v>53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362"/>
      <c r="C7" s="129" t="s">
        <v>76</v>
      </c>
      <c r="D7" s="227"/>
      <c r="E7" s="228"/>
      <c r="F7" s="228"/>
      <c r="G7" s="229"/>
      <c r="H7" s="111" t="str">
        <f t="shared" si="0"/>
        <v/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</v>
      </c>
      <c r="Q7" s="639"/>
      <c r="R7" s="639">
        <f>IF($G$15=0,0,R5*1000/$G$15)</f>
        <v>0</v>
      </c>
      <c r="S7" s="639"/>
      <c r="T7" s="639">
        <f>IF($G$15=0,0,T5*1000/$G$15)</f>
        <v>0</v>
      </c>
      <c r="U7" s="639"/>
      <c r="V7" s="639">
        <f>IF($G$15=0,0,V5*1000/$G$15)</f>
        <v>0</v>
      </c>
      <c r="W7" s="639"/>
      <c r="X7" s="639">
        <f>IF($G$15=0,0,X5*1000/$G$15)</f>
        <v>0</v>
      </c>
      <c r="Y7" s="639"/>
      <c r="Z7" s="639">
        <f>IF($G$15=0,0,Z5*1000/$G$15)</f>
        <v>198.11320754716982</v>
      </c>
      <c r="AA7" s="639"/>
      <c r="AB7" s="632">
        <f>IF($G$15=0,0,AB5*1000/$G$15)</f>
        <v>18.867924528301888</v>
      </c>
      <c r="AC7" s="632"/>
      <c r="AD7" s="632">
        <f>IF($G$15=0,0,AD5*1000/$G$15)</f>
        <v>0.47169811320754718</v>
      </c>
      <c r="AE7" s="632"/>
      <c r="AF7" s="627">
        <f>IF(AF5=0,0,G15/AF5)</f>
        <v>53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362"/>
      <c r="C8" s="129" t="s">
        <v>77</v>
      </c>
      <c r="D8" s="227"/>
      <c r="E8" s="228"/>
      <c r="F8" s="228"/>
      <c r="G8" s="229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/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120"/>
      <c r="C9" s="129" t="s">
        <v>78</v>
      </c>
      <c r="D9" s="124"/>
      <c r="E9" s="125"/>
      <c r="F9" s="125"/>
      <c r="G9" s="126"/>
      <c r="H9" s="111" t="str">
        <f>IF(F9=0,"",(F9-G9)/F9)</f>
        <v/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120"/>
      <c r="C10" s="129" t="s">
        <v>79</v>
      </c>
      <c r="D10" s="124"/>
      <c r="E10" s="125"/>
      <c r="F10" s="125"/>
      <c r="G10" s="126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/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 t="e">
        <f>F15/P12</f>
        <v>#DIV/0!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/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0</v>
      </c>
      <c r="F15" s="204">
        <f>SUM(F5:F14)</f>
        <v>106</v>
      </c>
      <c r="G15" s="204">
        <f>SUM(G5:G14)</f>
        <v>106</v>
      </c>
      <c r="H15" s="188">
        <f>IF(F15=0,"",(F15-G15)/F15)</f>
        <v>0</v>
      </c>
      <c r="I15" s="719" t="s">
        <v>70</v>
      </c>
      <c r="J15" s="720"/>
      <c r="K15" s="720"/>
      <c r="L15" s="720"/>
      <c r="M15" s="720"/>
      <c r="N15" s="720"/>
      <c r="O15" s="721"/>
      <c r="P15" s="722" t="e">
        <f>F15/P14</f>
        <v>#DIV/0!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119"/>
      <c r="C16" s="130" t="s">
        <v>74</v>
      </c>
      <c r="D16" s="127"/>
      <c r="E16" s="122"/>
      <c r="F16" s="122"/>
      <c r="G16" s="123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120"/>
      <c r="C17" s="131" t="s">
        <v>75</v>
      </c>
      <c r="D17" s="128"/>
      <c r="E17" s="125"/>
      <c r="F17" s="125"/>
      <c r="G17" s="126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742">
        <f>IF(AF16=0,0,F26/AF16)</f>
        <v>0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362"/>
      <c r="C18" s="131" t="s">
        <v>76</v>
      </c>
      <c r="D18" s="228"/>
      <c r="E18" s="228"/>
      <c r="F18" s="228"/>
      <c r="G18" s="229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742">
        <f>IF(AF16=0,0,G26/AF16)</f>
        <v>0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362"/>
      <c r="C19" s="131" t="s">
        <v>77</v>
      </c>
      <c r="D19" s="228"/>
      <c r="E19" s="228"/>
      <c r="F19" s="228"/>
      <c r="G19" s="229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362"/>
      <c r="C20" s="131" t="s">
        <v>78</v>
      </c>
      <c r="D20" s="228"/>
      <c r="E20" s="228"/>
      <c r="F20" s="228"/>
      <c r="G20" s="229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362"/>
      <c r="C21" s="131" t="s">
        <v>79</v>
      </c>
      <c r="D21" s="228"/>
      <c r="E21" s="228"/>
      <c r="F21" s="228"/>
      <c r="G21" s="229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0</v>
      </c>
      <c r="G26" s="205">
        <f>SUM(G16:G25)</f>
        <v>0</v>
      </c>
      <c r="H26" s="196" t="str">
        <f>IF(F26=0,"",(F26-G26)/F26)</f>
        <v/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0</v>
      </c>
      <c r="Q27" s="781"/>
      <c r="R27" s="782">
        <f>SUM(R5,R16)</f>
        <v>0</v>
      </c>
      <c r="S27" s="781"/>
      <c r="T27" s="782">
        <f>SUM(T5,T16)</f>
        <v>0</v>
      </c>
      <c r="U27" s="781"/>
      <c r="V27" s="782">
        <f>SUM(V5,V16)</f>
        <v>0</v>
      </c>
      <c r="W27" s="781"/>
      <c r="X27" s="782">
        <f>SUM(X5,X16)</f>
        <v>0</v>
      </c>
      <c r="Y27" s="781"/>
      <c r="Z27" s="783">
        <f>SUM(Z5,Z16)</f>
        <v>21</v>
      </c>
      <c r="AA27" s="784"/>
      <c r="AB27" s="770">
        <f>SUM(AB5,AB16)</f>
        <v>2</v>
      </c>
      <c r="AC27" s="770"/>
      <c r="AD27" s="769">
        <f>SUM(AD5,AD16)</f>
        <v>0.05</v>
      </c>
      <c r="AE27" s="769"/>
      <c r="AF27" s="770">
        <f>SUM(AF5,AF16)</f>
        <v>2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0</v>
      </c>
      <c r="F28" s="140">
        <f>F15+F26</f>
        <v>106</v>
      </c>
      <c r="G28" s="140">
        <f>G15+G26</f>
        <v>106</v>
      </c>
      <c r="H28" s="141">
        <f t="shared" si="0"/>
        <v>0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</v>
      </c>
      <c r="Q28" s="745"/>
      <c r="R28" s="746">
        <f t="shared" si="1"/>
        <v>0</v>
      </c>
      <c r="S28" s="745"/>
      <c r="T28" s="746">
        <f t="shared" si="1"/>
        <v>0</v>
      </c>
      <c r="U28" s="745"/>
      <c r="V28" s="800">
        <f t="shared" si="1"/>
        <v>0</v>
      </c>
      <c r="W28" s="801"/>
      <c r="X28" s="800">
        <f t="shared" si="1"/>
        <v>0</v>
      </c>
      <c r="Y28" s="801"/>
      <c r="Z28" s="746">
        <f t="shared" si="1"/>
        <v>198.11320754716982</v>
      </c>
      <c r="AA28" s="744"/>
      <c r="AB28" s="632">
        <f t="shared" si="1"/>
        <v>18.867924528301888</v>
      </c>
      <c r="AC28" s="632"/>
      <c r="AD28" s="632">
        <f t="shared" si="1"/>
        <v>0.47169811320754718</v>
      </c>
      <c r="AE28" s="632"/>
      <c r="AF28" s="757">
        <f t="shared" si="1"/>
        <v>18.867924528301888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</v>
      </c>
      <c r="Q29" s="792"/>
      <c r="R29" s="771">
        <f t="shared" si="2"/>
        <v>0</v>
      </c>
      <c r="S29" s="792"/>
      <c r="T29" s="771">
        <f t="shared" si="2"/>
        <v>0</v>
      </c>
      <c r="U29" s="792"/>
      <c r="V29" s="793">
        <f t="shared" si="2"/>
        <v>0</v>
      </c>
      <c r="W29" s="794"/>
      <c r="X29" s="795">
        <f t="shared" si="2"/>
        <v>0</v>
      </c>
      <c r="Y29" s="796"/>
      <c r="Z29" s="771">
        <f t="shared" si="2"/>
        <v>198.11320754716982</v>
      </c>
      <c r="AA29" s="772"/>
      <c r="AB29" s="773">
        <f t="shared" si="2"/>
        <v>18.867924528301888</v>
      </c>
      <c r="AC29" s="773"/>
      <c r="AD29" s="773">
        <f t="shared" si="2"/>
        <v>0.47169811320754718</v>
      </c>
      <c r="AE29" s="773"/>
      <c r="AF29" s="774">
        <f t="shared" si="2"/>
        <v>18.867924528301888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289">
        <f t="shared" ref="B33:B42" si="3">B5</f>
        <v>0</v>
      </c>
      <c r="C33" s="213" t="s">
        <v>74</v>
      </c>
      <c r="D33" s="293">
        <f t="shared" ref="D33:D42" si="4">D5</f>
        <v>0</v>
      </c>
      <c r="E33" s="293">
        <f t="shared" ref="E33:E42" si="5">G5</f>
        <v>0</v>
      </c>
      <c r="F33" s="294"/>
      <c r="G33" s="62" t="str">
        <f t="shared" ref="G33:G55" si="6">IF(E33=0,"",(E33-F33)/E33)</f>
        <v/>
      </c>
      <c r="H33" s="63"/>
      <c r="I33" s="64">
        <f t="shared" ref="I33:I54" si="7">SUM(J33:AH33)</f>
        <v>0</v>
      </c>
      <c r="J33" s="453"/>
      <c r="K33" s="454"/>
      <c r="L33" s="453"/>
      <c r="M33" s="454"/>
      <c r="N33" s="453"/>
      <c r="O33" s="454"/>
      <c r="P33" s="453"/>
      <c r="Q33" s="454"/>
      <c r="R33" s="453"/>
      <c r="S33" s="454"/>
      <c r="T33" s="453"/>
      <c r="U33" s="454"/>
      <c r="V33" s="453"/>
      <c r="W33" s="454"/>
      <c r="X33" s="453"/>
      <c r="Y33" s="454"/>
      <c r="Z33" s="453"/>
      <c r="AA33" s="454"/>
      <c r="AB33" s="453"/>
      <c r="AC33" s="454"/>
      <c r="AD33" s="453"/>
      <c r="AE33" s="454"/>
      <c r="AF33" s="453"/>
      <c r="AG33" s="454"/>
      <c r="AH33" s="453"/>
      <c r="AI33" s="910"/>
      <c r="AJ33" s="911"/>
      <c r="AK33" s="446"/>
      <c r="AL33" s="447"/>
      <c r="AM33" s="461"/>
    </row>
    <row r="34" spans="1:39" ht="20.25" customHeight="1">
      <c r="A34" s="370"/>
      <c r="B34" s="320" t="str">
        <f t="shared" si="3"/>
        <v>I12690838</v>
      </c>
      <c r="C34" s="214" t="s">
        <v>75</v>
      </c>
      <c r="D34" s="318" t="str">
        <f t="shared" si="4"/>
        <v>ช็อกโก้บราวน์*N</v>
      </c>
      <c r="E34" s="318">
        <f>G6</f>
        <v>106</v>
      </c>
      <c r="F34" s="322">
        <f>40*2+26</f>
        <v>106</v>
      </c>
      <c r="G34" s="70">
        <f t="shared" si="6"/>
        <v>0</v>
      </c>
      <c r="H34" s="63"/>
      <c r="I34" s="64">
        <f t="shared" si="7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833" t="s">
        <v>303</v>
      </c>
      <c r="AJ34" s="834"/>
      <c r="AK34" s="604" t="s">
        <v>299</v>
      </c>
      <c r="AL34" s="74"/>
      <c r="AM34" s="75"/>
    </row>
    <row r="35" spans="1:39" ht="20.25" customHeight="1">
      <c r="A35" s="370"/>
      <c r="B35" s="320">
        <f t="shared" si="3"/>
        <v>0</v>
      </c>
      <c r="C35" s="214" t="s">
        <v>76</v>
      </c>
      <c r="D35" s="318">
        <f t="shared" si="4"/>
        <v>0</v>
      </c>
      <c r="E35" s="318">
        <v>0</v>
      </c>
      <c r="F35" s="322"/>
      <c r="G35" s="70" t="str">
        <f t="shared" si="6"/>
        <v/>
      </c>
      <c r="H35" s="63"/>
      <c r="I35" s="64">
        <f t="shared" si="7"/>
        <v>0</v>
      </c>
      <c r="J35" s="455"/>
      <c r="K35" s="456"/>
      <c r="L35" s="456"/>
      <c r="M35" s="456"/>
      <c r="N35" s="456"/>
      <c r="O35" s="456"/>
      <c r="P35" s="456"/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7"/>
      <c r="AI35" s="802"/>
      <c r="AJ35" s="614"/>
      <c r="AK35" s="519"/>
      <c r="AL35" s="518"/>
      <c r="AM35" s="410"/>
    </row>
    <row r="36" spans="1:39" ht="20.25" customHeight="1">
      <c r="A36" s="371">
        <v>1</v>
      </c>
      <c r="B36" s="320">
        <f t="shared" si="3"/>
        <v>0</v>
      </c>
      <c r="C36" s="214" t="s">
        <v>77</v>
      </c>
      <c r="D36" s="318">
        <f t="shared" si="4"/>
        <v>0</v>
      </c>
      <c r="E36" s="318">
        <v>0</v>
      </c>
      <c r="F36" s="322"/>
      <c r="G36" s="70" t="str">
        <f t="shared" si="6"/>
        <v/>
      </c>
      <c r="H36" s="63"/>
      <c r="I36" s="64">
        <f t="shared" si="7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833"/>
      <c r="AJ36" s="834"/>
      <c r="AK36" s="512"/>
      <c r="AL36" s="74"/>
      <c r="AM36" s="75"/>
    </row>
    <row r="37" spans="1:39" ht="20.25" customHeight="1">
      <c r="A37" s="372"/>
      <c r="B37" s="160">
        <f t="shared" si="3"/>
        <v>0</v>
      </c>
      <c r="C37" s="214" t="s">
        <v>78</v>
      </c>
      <c r="D37" s="124">
        <f t="shared" si="4"/>
        <v>0</v>
      </c>
      <c r="E37" s="161">
        <f t="shared" si="5"/>
        <v>0</v>
      </c>
      <c r="F37" s="151"/>
      <c r="G37" s="70" t="str">
        <f t="shared" si="6"/>
        <v/>
      </c>
      <c r="H37" s="63"/>
      <c r="I37" s="64">
        <f t="shared" si="7"/>
        <v>0</v>
      </c>
      <c r="J37" s="455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71"/>
      <c r="AJ37" s="72"/>
      <c r="AK37" s="73"/>
      <c r="AL37" s="74"/>
      <c r="AM37" s="75"/>
    </row>
    <row r="38" spans="1:39" ht="20.25" customHeight="1">
      <c r="A38" s="372"/>
      <c r="B38" s="162">
        <f t="shared" si="3"/>
        <v>0</v>
      </c>
      <c r="C38" s="214" t="s">
        <v>79</v>
      </c>
      <c r="D38" s="163">
        <f t="shared" si="4"/>
        <v>0</v>
      </c>
      <c r="E38" s="161">
        <f t="shared" si="5"/>
        <v>0</v>
      </c>
      <c r="F38" s="151"/>
      <c r="G38" s="70" t="str">
        <f t="shared" si="6"/>
        <v/>
      </c>
      <c r="H38" s="63"/>
      <c r="I38" s="64">
        <f t="shared" si="7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5"/>
        <v>0</v>
      </c>
      <c r="F39" s="154"/>
      <c r="G39" s="70" t="str">
        <f t="shared" si="6"/>
        <v/>
      </c>
      <c r="H39" s="63"/>
      <c r="I39" s="64">
        <f t="shared" si="7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162">
        <f t="shared" si="3"/>
        <v>0</v>
      </c>
      <c r="C40" s="214" t="s">
        <v>63</v>
      </c>
      <c r="D40" s="163">
        <f t="shared" si="4"/>
        <v>0</v>
      </c>
      <c r="E40" s="153">
        <f t="shared" si="5"/>
        <v>0</v>
      </c>
      <c r="F40" s="154"/>
      <c r="G40" s="70" t="str">
        <f t="shared" si="6"/>
        <v/>
      </c>
      <c r="H40" s="63"/>
      <c r="I40" s="64">
        <f t="shared" si="7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5"/>
        <v>0</v>
      </c>
      <c r="F41" s="209"/>
      <c r="G41" s="210" t="str">
        <f t="shared" si="6"/>
        <v/>
      </c>
      <c r="H41" s="63"/>
      <c r="I41" s="64">
        <f t="shared" si="7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5"/>
        <v>0</v>
      </c>
      <c r="F42" s="158"/>
      <c r="G42" s="144" t="str">
        <f t="shared" si="6"/>
        <v/>
      </c>
      <c r="H42" s="63"/>
      <c r="I42" s="64">
        <f t="shared" si="7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106</v>
      </c>
      <c r="F43" s="145">
        <f>SUM(F33:F42)</f>
        <v>106</v>
      </c>
      <c r="G43" s="135">
        <f t="shared" si="6"/>
        <v>0</v>
      </c>
      <c r="H43" s="63"/>
      <c r="I43" s="376">
        <f t="shared" si="7"/>
        <v>0</v>
      </c>
      <c r="J43" s="77">
        <f>SUM(J33:J42)</f>
        <v>0</v>
      </c>
      <c r="K43" s="78">
        <f t="shared" ref="K43:AH43" si="8">SUM(K33:K42)</f>
        <v>0</v>
      </c>
      <c r="L43" s="78">
        <f t="shared" si="8"/>
        <v>0</v>
      </c>
      <c r="M43" s="78">
        <f t="shared" si="8"/>
        <v>0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0</v>
      </c>
      <c r="R43" s="78">
        <f t="shared" si="8"/>
        <v>0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0</v>
      </c>
      <c r="W43" s="78">
        <f t="shared" si="8"/>
        <v>0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0</v>
      </c>
      <c r="AC43" s="78">
        <f t="shared" si="8"/>
        <v>0</v>
      </c>
      <c r="AD43" s="78">
        <f t="shared" si="8"/>
        <v>0</v>
      </c>
      <c r="AE43" s="78">
        <f t="shared" si="8"/>
        <v>0</v>
      </c>
      <c r="AF43" s="78">
        <f t="shared" si="8"/>
        <v>0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81">
        <f t="shared" ref="B44:B53" si="9">B16</f>
        <v>0</v>
      </c>
      <c r="C44" s="382" t="s">
        <v>74</v>
      </c>
      <c r="D44" s="121">
        <f t="shared" ref="D44:D53" si="10">D16</f>
        <v>0</v>
      </c>
      <c r="E44" s="122">
        <f t="shared" ref="E44:E53" si="11">G16</f>
        <v>0</v>
      </c>
      <c r="F44" s="148"/>
      <c r="G44" s="62" t="str">
        <f t="shared" si="6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8"/>
      <c r="AJ44" s="819"/>
      <c r="AK44" s="82"/>
      <c r="AL44" s="83"/>
      <c r="AM44" s="84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si="11"/>
        <v>0</v>
      </c>
      <c r="F45" s="151"/>
      <c r="G45" s="70" t="str">
        <f t="shared" si="6"/>
        <v/>
      </c>
      <c r="H45" s="63"/>
      <c r="I45" s="64">
        <f t="shared" si="7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351">
        <f t="shared" si="9"/>
        <v>0</v>
      </c>
      <c r="C46" s="217" t="s">
        <v>76</v>
      </c>
      <c r="D46" s="356">
        <f t="shared" si="10"/>
        <v>0</v>
      </c>
      <c r="E46" s="323">
        <f>G18</f>
        <v>0</v>
      </c>
      <c r="F46" s="324"/>
      <c r="G46" s="70" t="str">
        <f t="shared" si="6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613"/>
      <c r="AJ46" s="614"/>
      <c r="AK46" s="495"/>
      <c r="AL46" s="74"/>
      <c r="AM46" s="75"/>
    </row>
    <row r="47" spans="1:39" ht="20.25" customHeight="1">
      <c r="A47" s="363"/>
      <c r="B47" s="351">
        <f t="shared" si="9"/>
        <v>0</v>
      </c>
      <c r="C47" s="217" t="s">
        <v>77</v>
      </c>
      <c r="D47" s="357">
        <f t="shared" si="10"/>
        <v>0</v>
      </c>
      <c r="E47" s="323">
        <v>0</v>
      </c>
      <c r="F47" s="324"/>
      <c r="G47" s="70" t="str">
        <f t="shared" si="6"/>
        <v/>
      </c>
      <c r="H47" s="63"/>
      <c r="I47" s="64">
        <f t="shared" si="7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351">
        <f t="shared" si="9"/>
        <v>0</v>
      </c>
      <c r="C48" s="217" t="s">
        <v>78</v>
      </c>
      <c r="D48" s="357">
        <f t="shared" si="10"/>
        <v>0</v>
      </c>
      <c r="E48" s="323">
        <f>G20</f>
        <v>0</v>
      </c>
      <c r="F48" s="324"/>
      <c r="G48" s="70" t="str">
        <f t="shared" si="6"/>
        <v/>
      </c>
      <c r="H48" s="63"/>
      <c r="I48" s="64">
        <f t="shared" si="7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802"/>
      <c r="AJ48" s="614"/>
      <c r="AK48" s="494"/>
      <c r="AL48" s="494"/>
      <c r="AM48" s="417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6"/>
        <v/>
      </c>
      <c r="H49" s="63"/>
      <c r="I49" s="64">
        <f t="shared" si="7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6"/>
        <v/>
      </c>
      <c r="H50" s="63"/>
      <c r="I50" s="64">
        <f t="shared" si="7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6"/>
        <v/>
      </c>
      <c r="H51" s="63"/>
      <c r="I51" s="64">
        <f t="shared" si="7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6"/>
        <v/>
      </c>
      <c r="H52" s="63"/>
      <c r="I52" s="64">
        <f t="shared" si="7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6"/>
        <v/>
      </c>
      <c r="H53" s="63"/>
      <c r="I53" s="64">
        <f t="shared" si="7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6"/>
        <v/>
      </c>
      <c r="H54" s="63"/>
      <c r="I54" s="87">
        <f t="shared" si="7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106</v>
      </c>
      <c r="F55" s="164">
        <f>F43+F54</f>
        <v>106</v>
      </c>
      <c r="G55" s="165">
        <f t="shared" si="6"/>
        <v>0</v>
      </c>
      <c r="H55" s="95"/>
      <c r="I55" s="96">
        <f>SUM(I43,I54)</f>
        <v>0</v>
      </c>
      <c r="J55" s="97">
        <f>SUM(J43,J54)</f>
        <v>0</v>
      </c>
      <c r="K55" s="97">
        <f t="shared" ref="K55:AH55" si="13">SUM(K43,K54)</f>
        <v>0</v>
      </c>
      <c r="L55" s="97">
        <f t="shared" si="13"/>
        <v>0</v>
      </c>
      <c r="M55" s="97">
        <f t="shared" si="13"/>
        <v>0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0</v>
      </c>
      <c r="R55" s="97">
        <f t="shared" si="13"/>
        <v>0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0</v>
      </c>
      <c r="W55" s="97">
        <f t="shared" si="13"/>
        <v>0</v>
      </c>
      <c r="X55" s="97">
        <f t="shared" si="13"/>
        <v>0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0</v>
      </c>
      <c r="AC55" s="97">
        <f t="shared" si="13"/>
        <v>0</v>
      </c>
      <c r="AD55" s="97">
        <f t="shared" si="13"/>
        <v>0</v>
      </c>
      <c r="AE55" s="97">
        <f t="shared" si="13"/>
        <v>0</v>
      </c>
      <c r="AF55" s="97">
        <f t="shared" si="13"/>
        <v>0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4">
    <mergeCell ref="AI36:AJ36"/>
    <mergeCell ref="AI48:AJ48"/>
    <mergeCell ref="AI35:AJ35"/>
    <mergeCell ref="AI33:AJ33"/>
    <mergeCell ref="AI31:AJ32"/>
    <mergeCell ref="AK31:AM32"/>
    <mergeCell ref="AI44:AJ44"/>
    <mergeCell ref="AI45:AJ45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AF27:AG27"/>
    <mergeCell ref="X26:Y26"/>
    <mergeCell ref="Z26:AA26"/>
    <mergeCell ref="AB26:AC26"/>
    <mergeCell ref="AF29:AG29"/>
    <mergeCell ref="AH29:AI29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AJ28:AK28"/>
    <mergeCell ref="Z29:AA29"/>
    <mergeCell ref="AB29:AC29"/>
    <mergeCell ref="AD29:AE29"/>
    <mergeCell ref="I25:O25"/>
    <mergeCell ref="R24:S24"/>
    <mergeCell ref="T24:U24"/>
    <mergeCell ref="V24:W24"/>
    <mergeCell ref="X24:Y24"/>
    <mergeCell ref="Z24:AA24"/>
    <mergeCell ref="AB24:AC24"/>
    <mergeCell ref="P25:Q25"/>
    <mergeCell ref="T28:U28"/>
    <mergeCell ref="V28:W28"/>
    <mergeCell ref="X28:Y28"/>
    <mergeCell ref="R28:S28"/>
    <mergeCell ref="P28:Q28"/>
    <mergeCell ref="AF18:AG18"/>
    <mergeCell ref="AH18:AI18"/>
    <mergeCell ref="AJ18:AK18"/>
    <mergeCell ref="AJ24:AK24"/>
    <mergeCell ref="AF24:AG24"/>
    <mergeCell ref="AH24:AI24"/>
    <mergeCell ref="I18:O18"/>
    <mergeCell ref="P18:Q18"/>
    <mergeCell ref="R18:S18"/>
    <mergeCell ref="T18:U18"/>
    <mergeCell ref="V18:W18"/>
    <mergeCell ref="X18:Y18"/>
    <mergeCell ref="AD24:AE24"/>
    <mergeCell ref="I24:O24"/>
    <mergeCell ref="P24:Q24"/>
    <mergeCell ref="Z18:AA18"/>
    <mergeCell ref="AB18:AC18"/>
    <mergeCell ref="AD18:AE18"/>
    <mergeCell ref="I23:O23"/>
    <mergeCell ref="P23:Q23"/>
    <mergeCell ref="I22:O22"/>
    <mergeCell ref="P22:Q22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H8:AI8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AH6:AI6"/>
    <mergeCell ref="AD2:AE2"/>
    <mergeCell ref="AF2:AG2"/>
    <mergeCell ref="Z7:AA7"/>
    <mergeCell ref="AB7:AC7"/>
    <mergeCell ref="AD7:AE7"/>
    <mergeCell ref="AF7:AG7"/>
    <mergeCell ref="T4:U4"/>
    <mergeCell ref="V4:W4"/>
    <mergeCell ref="X4:Y4"/>
    <mergeCell ref="Z2:AA2"/>
    <mergeCell ref="AB2:AC2"/>
    <mergeCell ref="AB6:AC6"/>
    <mergeCell ref="AD6:AE6"/>
    <mergeCell ref="AF6:AG6"/>
    <mergeCell ref="T7:U7"/>
    <mergeCell ref="AD5:AE5"/>
    <mergeCell ref="Z6:AA6"/>
    <mergeCell ref="V7:W7"/>
    <mergeCell ref="X7:Y7"/>
    <mergeCell ref="AF5:AG5"/>
    <mergeCell ref="AH5:AI5"/>
    <mergeCell ref="I5:O5"/>
    <mergeCell ref="P5:Q5"/>
    <mergeCell ref="R5:S5"/>
    <mergeCell ref="T5:U5"/>
    <mergeCell ref="V5:W5"/>
    <mergeCell ref="X5:Y5"/>
    <mergeCell ref="Z5:AA5"/>
    <mergeCell ref="AB5:AC5"/>
    <mergeCell ref="AJ2:AK2"/>
    <mergeCell ref="AF3:AG3"/>
    <mergeCell ref="AH3:AI3"/>
    <mergeCell ref="AJ3:AK3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D9:AE9"/>
    <mergeCell ref="M1:N1"/>
    <mergeCell ref="R1:U1"/>
    <mergeCell ref="E2:H2"/>
    <mergeCell ref="I2:O4"/>
    <mergeCell ref="P2:Q3"/>
    <mergeCell ref="R2:S2"/>
    <mergeCell ref="T2:U2"/>
    <mergeCell ref="AH2:AI2"/>
    <mergeCell ref="AH4:AI4"/>
    <mergeCell ref="Z4:AA4"/>
    <mergeCell ref="AB4:AC4"/>
    <mergeCell ref="Z8:AA8"/>
    <mergeCell ref="AB8:AC8"/>
    <mergeCell ref="AD8:AE8"/>
    <mergeCell ref="AF8:AG8"/>
    <mergeCell ref="P4:Q4"/>
    <mergeCell ref="AH7:AI7"/>
    <mergeCell ref="I6:O6"/>
    <mergeCell ref="P6:Q6"/>
    <mergeCell ref="R6:S6"/>
    <mergeCell ref="T6:U6"/>
    <mergeCell ref="V6:W6"/>
    <mergeCell ref="X6:Y6"/>
    <mergeCell ref="AI34:AJ34"/>
    <mergeCell ref="A43:D43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  <mergeCell ref="AB9:AC9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theme="0" tint="-4.9989318521683403E-2"/>
    <pageSetUpPr fitToPage="1"/>
  </sheetPr>
  <dimension ref="A1:AM59"/>
  <sheetViews>
    <sheetView showGridLines="0" zoomScale="70" zoomScaleNormal="70" workbookViewId="0">
      <selection activeCell="X18" sqref="X18:Y18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18.25" style="9" customWidth="1"/>
    <col min="5" max="7" width="12" style="9" customWidth="1"/>
    <col min="8" max="8" width="11" style="9" customWidth="1"/>
    <col min="9" max="22" width="4.5" style="9" customWidth="1"/>
    <col min="23" max="32" width="4.5" style="13" customWidth="1"/>
    <col min="33" max="35" width="4.5" style="17" customWidth="1"/>
    <col min="36" max="36" width="40.5" style="17" customWidth="1"/>
    <col min="37" max="38" width="4.5" style="17" customWidth="1"/>
    <col min="39" max="39" width="15.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 t="s">
        <v>117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119"/>
      <c r="C5" s="129" t="s">
        <v>74</v>
      </c>
      <c r="D5" s="121"/>
      <c r="E5" s="122"/>
      <c r="F5" s="122"/>
      <c r="G5" s="123"/>
      <c r="H5" s="110" t="str">
        <f t="shared" ref="H5:H28" si="0">IF(F5=0,"",(F5-G5)/F5)</f>
        <v/>
      </c>
      <c r="I5" s="675" t="s">
        <v>33</v>
      </c>
      <c r="J5" s="676"/>
      <c r="K5" s="676"/>
      <c r="L5" s="676"/>
      <c r="M5" s="676"/>
      <c r="N5" s="676"/>
      <c r="O5" s="677"/>
      <c r="P5" s="678">
        <v>0</v>
      </c>
      <c r="Q5" s="679"/>
      <c r="R5" s="680">
        <v>0</v>
      </c>
      <c r="S5" s="679"/>
      <c r="T5" s="681">
        <v>0</v>
      </c>
      <c r="U5" s="682"/>
      <c r="V5" s="683">
        <v>0</v>
      </c>
      <c r="W5" s="684"/>
      <c r="X5" s="685">
        <v>0</v>
      </c>
      <c r="Y5" s="686"/>
      <c r="Z5" s="687">
        <v>0</v>
      </c>
      <c r="AA5" s="688"/>
      <c r="AB5" s="674">
        <v>0</v>
      </c>
      <c r="AC5" s="674"/>
      <c r="AD5" s="689">
        <f>SUM(AF5:AK5)*0.025</f>
        <v>0</v>
      </c>
      <c r="AE5" s="689"/>
      <c r="AF5" s="674">
        <v>0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120"/>
      <c r="C6" s="129" t="s">
        <v>75</v>
      </c>
      <c r="D6" s="124"/>
      <c r="E6" s="125"/>
      <c r="F6" s="125"/>
      <c r="G6" s="126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</v>
      </c>
      <c r="Q6" s="673"/>
      <c r="R6" s="673">
        <f>IF($F$15=0,0,R5*1000/$F$15)</f>
        <v>0</v>
      </c>
      <c r="S6" s="673"/>
      <c r="T6" s="673">
        <f>IF($F$15=0,0,T5*1000/$F$15)</f>
        <v>0</v>
      </c>
      <c r="U6" s="673"/>
      <c r="V6" s="673">
        <f>IF($F$15=0,0,V5*1000/$F$15)</f>
        <v>0</v>
      </c>
      <c r="W6" s="673"/>
      <c r="X6" s="673">
        <f>IF($F$15=0,0,X5*1000/$F$15)</f>
        <v>0</v>
      </c>
      <c r="Y6" s="673"/>
      <c r="Z6" s="673">
        <f>IF($F$15=0,0,Z5*1000/$F$15)</f>
        <v>0</v>
      </c>
      <c r="AA6" s="673"/>
      <c r="AB6" s="632">
        <f>IF($F$15=0,0,AB5*1000/$F$15)</f>
        <v>0</v>
      </c>
      <c r="AC6" s="632"/>
      <c r="AD6" s="632">
        <f>IF($F$15=0,0,AD5*1000/$F$15)</f>
        <v>0</v>
      </c>
      <c r="AE6" s="632"/>
      <c r="AF6" s="627">
        <f>IF(AF5=0,0,F15/AF5)</f>
        <v>0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362"/>
      <c r="C7" s="129" t="s">
        <v>76</v>
      </c>
      <c r="D7" s="227"/>
      <c r="E7" s="228"/>
      <c r="F7" s="228"/>
      <c r="G7" s="229"/>
      <c r="H7" s="111" t="str">
        <f t="shared" si="0"/>
        <v/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</v>
      </c>
      <c r="Q7" s="639"/>
      <c r="R7" s="639">
        <f>IF($G$15=0,0,R5*1000/$G$15)</f>
        <v>0</v>
      </c>
      <c r="S7" s="639"/>
      <c r="T7" s="639">
        <f>IF($G$15=0,0,T5*1000/$G$15)</f>
        <v>0</v>
      </c>
      <c r="U7" s="639"/>
      <c r="V7" s="639">
        <f>IF($G$15=0,0,V5*1000/$G$15)</f>
        <v>0</v>
      </c>
      <c r="W7" s="639"/>
      <c r="X7" s="639">
        <f>IF($G$15=0,0,X5*1000/$G$15)</f>
        <v>0</v>
      </c>
      <c r="Y7" s="639"/>
      <c r="Z7" s="639">
        <f>IF($G$15=0,0,Z5*1000/$G$15)</f>
        <v>0</v>
      </c>
      <c r="AA7" s="639"/>
      <c r="AB7" s="632">
        <f>IF($G$15=0,0,AB5*1000/$G$15)</f>
        <v>0</v>
      </c>
      <c r="AC7" s="632"/>
      <c r="AD7" s="632">
        <f>IF($G$15=0,0,AD5*1000/$G$15)</f>
        <v>0</v>
      </c>
      <c r="AE7" s="632"/>
      <c r="AF7" s="627">
        <f>IF(AF5=0,0,G15/AF5)</f>
        <v>0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362"/>
      <c r="C8" s="129" t="s">
        <v>77</v>
      </c>
      <c r="D8" s="227"/>
      <c r="E8" s="228"/>
      <c r="F8" s="228"/>
      <c r="G8" s="229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/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362"/>
      <c r="C9" s="129" t="s">
        <v>78</v>
      </c>
      <c r="D9" s="227"/>
      <c r="E9" s="228"/>
      <c r="F9" s="228"/>
      <c r="G9" s="229"/>
      <c r="H9" s="111" t="str">
        <f>IF(F9=0,"",(F9-G9)/F9)</f>
        <v/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120"/>
      <c r="C10" s="129" t="s">
        <v>79</v>
      </c>
      <c r="D10" s="124"/>
      <c r="E10" s="125"/>
      <c r="F10" s="125"/>
      <c r="G10" s="126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/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 t="e">
        <f>F15/P12</f>
        <v>#DIV/0!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/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0</v>
      </c>
      <c r="F15" s="204">
        <f>SUM(F5:F14)</f>
        <v>0</v>
      </c>
      <c r="G15" s="204">
        <f>SUM(G5:G14)</f>
        <v>0</v>
      </c>
      <c r="H15" s="188" t="str">
        <f>IF(F15=0,"",(F15-G15)/F15)</f>
        <v/>
      </c>
      <c r="I15" s="719" t="s">
        <v>70</v>
      </c>
      <c r="J15" s="720"/>
      <c r="K15" s="720"/>
      <c r="L15" s="720"/>
      <c r="M15" s="720"/>
      <c r="N15" s="720"/>
      <c r="O15" s="721"/>
      <c r="P15" s="722" t="e">
        <f>F15/P14</f>
        <v>#DIV/0!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119"/>
      <c r="C16" s="130" t="s">
        <v>74</v>
      </c>
      <c r="D16" s="127"/>
      <c r="E16" s="122"/>
      <c r="F16" s="122"/>
      <c r="G16" s="123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120"/>
      <c r="C17" s="131" t="s">
        <v>75</v>
      </c>
      <c r="D17" s="128"/>
      <c r="E17" s="125"/>
      <c r="F17" s="125"/>
      <c r="G17" s="126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742">
        <f>IF($F$26=0,0,AF16*1000/$F$26)</f>
        <v>0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120"/>
      <c r="C18" s="131" t="s">
        <v>76</v>
      </c>
      <c r="D18" s="128"/>
      <c r="E18" s="125"/>
      <c r="F18" s="125"/>
      <c r="G18" s="126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742">
        <f>IF($G$26=0,0,AF16*1000/$G$26)</f>
        <v>0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120"/>
      <c r="C19" s="131" t="s">
        <v>77</v>
      </c>
      <c r="D19" s="128"/>
      <c r="E19" s="125"/>
      <c r="F19" s="125"/>
      <c r="G19" s="126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120"/>
      <c r="C20" s="131" t="s">
        <v>78</v>
      </c>
      <c r="D20" s="128"/>
      <c r="E20" s="125"/>
      <c r="F20" s="125"/>
      <c r="G20" s="126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120"/>
      <c r="C21" s="131" t="s">
        <v>79</v>
      </c>
      <c r="D21" s="128"/>
      <c r="E21" s="125"/>
      <c r="F21" s="125"/>
      <c r="G21" s="126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0</v>
      </c>
      <c r="G26" s="205">
        <f>SUM(G16:G25)</f>
        <v>0</v>
      </c>
      <c r="H26" s="196" t="str">
        <f>IF(F26=0,"",(F26-G26)/F26)</f>
        <v/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0</v>
      </c>
      <c r="Q27" s="781"/>
      <c r="R27" s="782">
        <f>SUM(R5,R16)</f>
        <v>0</v>
      </c>
      <c r="S27" s="781"/>
      <c r="T27" s="782">
        <f>SUM(T5,T16)</f>
        <v>0</v>
      </c>
      <c r="U27" s="781"/>
      <c r="V27" s="782">
        <f>SUM(V5,V16)</f>
        <v>0</v>
      </c>
      <c r="W27" s="781"/>
      <c r="X27" s="782">
        <f>SUM(X5,X16)</f>
        <v>0</v>
      </c>
      <c r="Y27" s="781"/>
      <c r="Z27" s="783">
        <f>SUM(Z5,Z16)</f>
        <v>0</v>
      </c>
      <c r="AA27" s="784"/>
      <c r="AB27" s="770">
        <f>SUM(AB5,AB16)</f>
        <v>0</v>
      </c>
      <c r="AC27" s="770"/>
      <c r="AD27" s="769">
        <f>SUM(AD5,AD16)</f>
        <v>0</v>
      </c>
      <c r="AE27" s="769"/>
      <c r="AF27" s="770">
        <f>SUM(AF5,AF16)</f>
        <v>0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0</v>
      </c>
      <c r="F28" s="140">
        <f>F15+F26</f>
        <v>0</v>
      </c>
      <c r="G28" s="140">
        <f>G15+G26</f>
        <v>0</v>
      </c>
      <c r="H28" s="141" t="str">
        <f t="shared" si="0"/>
        <v/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</v>
      </c>
      <c r="Q28" s="745"/>
      <c r="R28" s="746">
        <f t="shared" si="1"/>
        <v>0</v>
      </c>
      <c r="S28" s="745"/>
      <c r="T28" s="746">
        <f t="shared" si="1"/>
        <v>0</v>
      </c>
      <c r="U28" s="745"/>
      <c r="V28" s="800">
        <f t="shared" si="1"/>
        <v>0</v>
      </c>
      <c r="W28" s="801"/>
      <c r="X28" s="800">
        <f t="shared" si="1"/>
        <v>0</v>
      </c>
      <c r="Y28" s="801"/>
      <c r="Z28" s="746">
        <f t="shared" si="1"/>
        <v>0</v>
      </c>
      <c r="AA28" s="744"/>
      <c r="AB28" s="632">
        <f t="shared" si="1"/>
        <v>0</v>
      </c>
      <c r="AC28" s="632"/>
      <c r="AD28" s="632">
        <f t="shared" si="1"/>
        <v>0</v>
      </c>
      <c r="AE28" s="632"/>
      <c r="AF28" s="757">
        <f t="shared" si="1"/>
        <v>0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</v>
      </c>
      <c r="Q29" s="792"/>
      <c r="R29" s="771">
        <f t="shared" si="2"/>
        <v>0</v>
      </c>
      <c r="S29" s="792"/>
      <c r="T29" s="771">
        <f t="shared" si="2"/>
        <v>0</v>
      </c>
      <c r="U29" s="792"/>
      <c r="V29" s="793">
        <f t="shared" si="2"/>
        <v>0</v>
      </c>
      <c r="W29" s="794"/>
      <c r="X29" s="795">
        <f t="shared" si="2"/>
        <v>0</v>
      </c>
      <c r="Y29" s="796"/>
      <c r="Z29" s="771">
        <f t="shared" si="2"/>
        <v>0</v>
      </c>
      <c r="AA29" s="772"/>
      <c r="AB29" s="773">
        <f t="shared" si="2"/>
        <v>0</v>
      </c>
      <c r="AC29" s="773"/>
      <c r="AD29" s="773">
        <f t="shared" si="2"/>
        <v>0</v>
      </c>
      <c r="AE29" s="773"/>
      <c r="AF29" s="774">
        <f t="shared" si="2"/>
        <v>0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159">
        <f t="shared" ref="B33:B42" si="3">B5</f>
        <v>0</v>
      </c>
      <c r="C33" s="213" t="s">
        <v>74</v>
      </c>
      <c r="D33" s="121">
        <f t="shared" ref="D33:D42" si="4">D5</f>
        <v>0</v>
      </c>
      <c r="E33" s="122">
        <f t="shared" ref="E33:E42" si="5">G5</f>
        <v>0</v>
      </c>
      <c r="F33" s="148"/>
      <c r="G33" s="62" t="str">
        <f t="shared" ref="G33:G55" si="6">IF(E33=0,"",(E33-F33)/E33)</f>
        <v/>
      </c>
      <c r="H33" s="63"/>
      <c r="I33" s="64">
        <f t="shared" ref="I33:I54" si="7">SUM(J33:AH33)</f>
        <v>0</v>
      </c>
      <c r="J33" s="453"/>
      <c r="K33" s="454"/>
      <c r="L33" s="453"/>
      <c r="M33" s="454"/>
      <c r="N33" s="453"/>
      <c r="O33" s="454"/>
      <c r="P33" s="453"/>
      <c r="Q33" s="454"/>
      <c r="R33" s="453"/>
      <c r="S33" s="454"/>
      <c r="T33" s="453"/>
      <c r="U33" s="454"/>
      <c r="V33" s="453"/>
      <c r="W33" s="454"/>
      <c r="X33" s="453"/>
      <c r="Y33" s="454"/>
      <c r="Z33" s="453"/>
      <c r="AA33" s="454"/>
      <c r="AB33" s="453"/>
      <c r="AC33" s="454"/>
      <c r="AD33" s="453"/>
      <c r="AE33" s="454"/>
      <c r="AF33" s="453"/>
      <c r="AG33" s="454"/>
      <c r="AH33" s="453"/>
      <c r="AI33" s="65"/>
      <c r="AJ33" s="66"/>
      <c r="AK33" s="67"/>
      <c r="AL33" s="68"/>
      <c r="AM33" s="69"/>
    </row>
    <row r="34" spans="1:39" ht="20.25" customHeight="1">
      <c r="A34" s="370"/>
      <c r="B34" s="160">
        <f t="shared" si="3"/>
        <v>0</v>
      </c>
      <c r="C34" s="214" t="s">
        <v>75</v>
      </c>
      <c r="D34" s="124">
        <f t="shared" si="4"/>
        <v>0</v>
      </c>
      <c r="E34" s="161">
        <f t="shared" si="5"/>
        <v>0</v>
      </c>
      <c r="F34" s="151"/>
      <c r="G34" s="70" t="str">
        <f t="shared" si="6"/>
        <v/>
      </c>
      <c r="H34" s="63"/>
      <c r="I34" s="64">
        <f t="shared" si="7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71"/>
      <c r="AJ34" s="72"/>
      <c r="AK34" s="73"/>
      <c r="AL34" s="74"/>
      <c r="AM34" s="75"/>
    </row>
    <row r="35" spans="1:39" ht="20.25" customHeight="1">
      <c r="A35" s="370"/>
      <c r="B35" s="320">
        <f t="shared" si="3"/>
        <v>0</v>
      </c>
      <c r="C35" s="214" t="s">
        <v>76</v>
      </c>
      <c r="D35" s="318">
        <f t="shared" si="4"/>
        <v>0</v>
      </c>
      <c r="E35" s="318">
        <v>0</v>
      </c>
      <c r="F35" s="322"/>
      <c r="G35" s="70" t="str">
        <f t="shared" si="6"/>
        <v/>
      </c>
      <c r="H35" s="63"/>
      <c r="I35" s="64">
        <f t="shared" si="7"/>
        <v>0</v>
      </c>
      <c r="J35" s="455"/>
      <c r="K35" s="456"/>
      <c r="L35" s="456"/>
      <c r="M35" s="456"/>
      <c r="N35" s="456"/>
      <c r="O35" s="456"/>
      <c r="P35" s="456"/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7"/>
      <c r="AI35" s="816"/>
      <c r="AJ35" s="817"/>
      <c r="AK35" s="500"/>
      <c r="AL35" s="501"/>
      <c r="AM35" s="410"/>
    </row>
    <row r="36" spans="1:39" ht="20.25" customHeight="1">
      <c r="A36" s="371">
        <v>1</v>
      </c>
      <c r="B36" s="160">
        <f t="shared" si="3"/>
        <v>0</v>
      </c>
      <c r="C36" s="214" t="s">
        <v>77</v>
      </c>
      <c r="D36" s="124">
        <f t="shared" si="4"/>
        <v>0</v>
      </c>
      <c r="E36" s="161">
        <f t="shared" si="5"/>
        <v>0</v>
      </c>
      <c r="F36" s="151"/>
      <c r="G36" s="70" t="str">
        <f t="shared" si="6"/>
        <v/>
      </c>
      <c r="H36" s="63"/>
      <c r="I36" s="64">
        <f t="shared" si="7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496"/>
      <c r="AJ36" s="497"/>
      <c r="AK36" s="73"/>
      <c r="AL36" s="74"/>
      <c r="AM36" s="75"/>
    </row>
    <row r="37" spans="1:39" ht="20.25" customHeight="1">
      <c r="A37" s="372"/>
      <c r="B37" s="320">
        <f t="shared" si="3"/>
        <v>0</v>
      </c>
      <c r="C37" s="214" t="s">
        <v>78</v>
      </c>
      <c r="D37" s="318">
        <f t="shared" si="4"/>
        <v>0</v>
      </c>
      <c r="E37" s="318">
        <f>G9</f>
        <v>0</v>
      </c>
      <c r="F37" s="322"/>
      <c r="G37" s="70" t="str">
        <f t="shared" si="6"/>
        <v/>
      </c>
      <c r="H37" s="63"/>
      <c r="I37" s="64">
        <f t="shared" si="7"/>
        <v>0</v>
      </c>
      <c r="J37" s="455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816"/>
      <c r="AJ37" s="817"/>
      <c r="AK37" s="73"/>
      <c r="AL37" s="74"/>
      <c r="AM37" s="75"/>
    </row>
    <row r="38" spans="1:39" ht="20.25" customHeight="1">
      <c r="A38" s="372"/>
      <c r="B38" s="162">
        <f t="shared" si="3"/>
        <v>0</v>
      </c>
      <c r="C38" s="214" t="s">
        <v>79</v>
      </c>
      <c r="D38" s="163">
        <f t="shared" si="4"/>
        <v>0</v>
      </c>
      <c r="E38" s="161">
        <f t="shared" si="5"/>
        <v>0</v>
      </c>
      <c r="F38" s="151"/>
      <c r="G38" s="70" t="str">
        <f t="shared" si="6"/>
        <v/>
      </c>
      <c r="H38" s="63"/>
      <c r="I38" s="64">
        <f t="shared" si="7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5"/>
        <v>0</v>
      </c>
      <c r="F39" s="154"/>
      <c r="G39" s="70" t="str">
        <f t="shared" si="6"/>
        <v/>
      </c>
      <c r="H39" s="63"/>
      <c r="I39" s="64">
        <f t="shared" si="7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162">
        <f t="shared" si="3"/>
        <v>0</v>
      </c>
      <c r="C40" s="214" t="s">
        <v>63</v>
      </c>
      <c r="D40" s="163">
        <f t="shared" si="4"/>
        <v>0</v>
      </c>
      <c r="E40" s="153">
        <f t="shared" si="5"/>
        <v>0</v>
      </c>
      <c r="F40" s="154"/>
      <c r="G40" s="70" t="str">
        <f t="shared" si="6"/>
        <v/>
      </c>
      <c r="H40" s="63"/>
      <c r="I40" s="64">
        <f t="shared" si="7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5"/>
        <v>0</v>
      </c>
      <c r="F41" s="209"/>
      <c r="G41" s="210" t="str">
        <f t="shared" si="6"/>
        <v/>
      </c>
      <c r="H41" s="63"/>
      <c r="I41" s="64">
        <f t="shared" si="7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5"/>
        <v>0</v>
      </c>
      <c r="F42" s="158"/>
      <c r="G42" s="144" t="str">
        <f t="shared" si="6"/>
        <v/>
      </c>
      <c r="H42" s="63"/>
      <c r="I42" s="64">
        <f t="shared" si="7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0</v>
      </c>
      <c r="F43" s="145">
        <f>SUM(F33:F42)</f>
        <v>0</v>
      </c>
      <c r="G43" s="135" t="str">
        <f t="shared" si="6"/>
        <v/>
      </c>
      <c r="H43" s="63"/>
      <c r="I43" s="376">
        <f t="shared" si="7"/>
        <v>0</v>
      </c>
      <c r="J43" s="77">
        <f>SUM(J33:J42)</f>
        <v>0</v>
      </c>
      <c r="K43" s="78">
        <f t="shared" ref="K43:AH43" si="8">SUM(K33:K42)</f>
        <v>0</v>
      </c>
      <c r="L43" s="78">
        <f t="shared" si="8"/>
        <v>0</v>
      </c>
      <c r="M43" s="78">
        <f t="shared" si="8"/>
        <v>0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0</v>
      </c>
      <c r="R43" s="78">
        <f t="shared" si="8"/>
        <v>0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0</v>
      </c>
      <c r="W43" s="78">
        <f t="shared" si="8"/>
        <v>0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0</v>
      </c>
      <c r="AC43" s="78">
        <f t="shared" si="8"/>
        <v>0</v>
      </c>
      <c r="AD43" s="78">
        <f t="shared" si="8"/>
        <v>0</v>
      </c>
      <c r="AE43" s="78">
        <f t="shared" si="8"/>
        <v>0</v>
      </c>
      <c r="AF43" s="78">
        <f t="shared" si="8"/>
        <v>0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81">
        <f t="shared" ref="B44:B53" si="9">B16</f>
        <v>0</v>
      </c>
      <c r="C44" s="382" t="s">
        <v>74</v>
      </c>
      <c r="D44" s="121">
        <f t="shared" ref="D44:D53" si="10">D16</f>
        <v>0</v>
      </c>
      <c r="E44" s="122">
        <f t="shared" ref="E44:E53" si="11">G16</f>
        <v>0</v>
      </c>
      <c r="F44" s="148"/>
      <c r="G44" s="62" t="str">
        <f t="shared" si="6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8"/>
      <c r="AJ44" s="819"/>
      <c r="AK44" s="82"/>
      <c r="AL44" s="83"/>
      <c r="AM44" s="84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si="11"/>
        <v>0</v>
      </c>
      <c r="F45" s="151"/>
      <c r="G45" s="70" t="str">
        <f t="shared" si="6"/>
        <v/>
      </c>
      <c r="H45" s="63"/>
      <c r="I45" s="64">
        <f t="shared" si="7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149">
        <f t="shared" si="9"/>
        <v>0</v>
      </c>
      <c r="C46" s="217" t="s">
        <v>76</v>
      </c>
      <c r="D46" s="152">
        <f t="shared" si="10"/>
        <v>0</v>
      </c>
      <c r="E46" s="153">
        <f t="shared" si="11"/>
        <v>0</v>
      </c>
      <c r="F46" s="154"/>
      <c r="G46" s="70" t="str">
        <f t="shared" si="6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814"/>
      <c r="AJ46" s="815"/>
      <c r="AK46" s="74"/>
      <c r="AL46" s="74"/>
      <c r="AM46" s="75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6"/>
        <v/>
      </c>
      <c r="H47" s="63"/>
      <c r="I47" s="64">
        <f t="shared" si="7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149">
        <f t="shared" si="9"/>
        <v>0</v>
      </c>
      <c r="C48" s="217" t="s">
        <v>78</v>
      </c>
      <c r="D48" s="155">
        <f t="shared" si="10"/>
        <v>0</v>
      </c>
      <c r="E48" s="153">
        <f t="shared" si="11"/>
        <v>0</v>
      </c>
      <c r="F48" s="154"/>
      <c r="G48" s="70" t="str">
        <f t="shared" si="6"/>
        <v/>
      </c>
      <c r="H48" s="63"/>
      <c r="I48" s="64">
        <f t="shared" si="7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75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6"/>
        <v/>
      </c>
      <c r="H49" s="63"/>
      <c r="I49" s="64">
        <f t="shared" si="7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6"/>
        <v/>
      </c>
      <c r="H50" s="63"/>
      <c r="I50" s="64">
        <f t="shared" si="7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6"/>
        <v/>
      </c>
      <c r="H51" s="63"/>
      <c r="I51" s="64">
        <f t="shared" si="7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6"/>
        <v/>
      </c>
      <c r="H52" s="63"/>
      <c r="I52" s="64">
        <f t="shared" si="7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6"/>
        <v/>
      </c>
      <c r="H53" s="63"/>
      <c r="I53" s="64">
        <f t="shared" si="7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6"/>
        <v/>
      </c>
      <c r="H54" s="63"/>
      <c r="I54" s="87">
        <f t="shared" si="7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0</v>
      </c>
      <c r="F55" s="164">
        <f>F43+F54</f>
        <v>0</v>
      </c>
      <c r="G55" s="165" t="str">
        <f t="shared" si="6"/>
        <v/>
      </c>
      <c r="H55" s="95"/>
      <c r="I55" s="96">
        <f>SUM(I43,I54)</f>
        <v>0</v>
      </c>
      <c r="J55" s="97">
        <f>SUM(J43,J54)</f>
        <v>0</v>
      </c>
      <c r="K55" s="97">
        <f t="shared" ref="K55:AH55" si="13">SUM(K43,K54)</f>
        <v>0</v>
      </c>
      <c r="L55" s="97">
        <f t="shared" si="13"/>
        <v>0</v>
      </c>
      <c r="M55" s="97">
        <f t="shared" si="13"/>
        <v>0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0</v>
      </c>
      <c r="R55" s="97">
        <f t="shared" si="13"/>
        <v>0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0</v>
      </c>
      <c r="W55" s="97">
        <f t="shared" si="13"/>
        <v>0</v>
      </c>
      <c r="X55" s="97">
        <f t="shared" si="13"/>
        <v>0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0</v>
      </c>
      <c r="AC55" s="97">
        <f t="shared" si="13"/>
        <v>0</v>
      </c>
      <c r="AD55" s="97">
        <f t="shared" si="13"/>
        <v>0</v>
      </c>
      <c r="AE55" s="97">
        <f t="shared" si="13"/>
        <v>0</v>
      </c>
      <c r="AF55" s="97">
        <f t="shared" si="13"/>
        <v>0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1">
    <mergeCell ref="AI35:AJ35"/>
    <mergeCell ref="AI37:AJ37"/>
    <mergeCell ref="AI31:AJ32"/>
    <mergeCell ref="AK31:AM32"/>
    <mergeCell ref="AI44:AJ44"/>
    <mergeCell ref="AI45:AJ45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R28:S28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AF27:AG27"/>
    <mergeCell ref="X26:Y26"/>
    <mergeCell ref="Z26:AA26"/>
    <mergeCell ref="AB26:AC26"/>
    <mergeCell ref="AF29:AG29"/>
    <mergeCell ref="AH29:AI29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AJ28:AK28"/>
    <mergeCell ref="Z29:AA29"/>
    <mergeCell ref="AB29:AC29"/>
    <mergeCell ref="AD29:AE29"/>
    <mergeCell ref="I25:O25"/>
    <mergeCell ref="R24:S24"/>
    <mergeCell ref="T24:U24"/>
    <mergeCell ref="V24:W24"/>
    <mergeCell ref="X24:Y24"/>
    <mergeCell ref="Z24:AA24"/>
    <mergeCell ref="AB24:AC24"/>
    <mergeCell ref="P25:Q25"/>
    <mergeCell ref="T28:U28"/>
    <mergeCell ref="V28:W28"/>
    <mergeCell ref="X28:Y28"/>
    <mergeCell ref="AF18:AG18"/>
    <mergeCell ref="AH18:AI18"/>
    <mergeCell ref="AJ18:AK18"/>
    <mergeCell ref="AJ24:AK24"/>
    <mergeCell ref="AF24:AG24"/>
    <mergeCell ref="AH24:AI24"/>
    <mergeCell ref="I18:O18"/>
    <mergeCell ref="P18:Q18"/>
    <mergeCell ref="R18:S18"/>
    <mergeCell ref="T18:U18"/>
    <mergeCell ref="V18:W18"/>
    <mergeCell ref="X18:Y18"/>
    <mergeCell ref="AD24:AE24"/>
    <mergeCell ref="I24:O24"/>
    <mergeCell ref="P24:Q24"/>
    <mergeCell ref="Z18:AA18"/>
    <mergeCell ref="AB18:AC18"/>
    <mergeCell ref="AD18:AE18"/>
    <mergeCell ref="I23:O23"/>
    <mergeCell ref="P23:Q23"/>
    <mergeCell ref="I22:O22"/>
    <mergeCell ref="P22:Q22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H8:AI8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AD2:AE2"/>
    <mergeCell ref="AF2:AG2"/>
    <mergeCell ref="Z7:AA7"/>
    <mergeCell ref="AB7:AC7"/>
    <mergeCell ref="AD7:AE7"/>
    <mergeCell ref="AF7:AG7"/>
    <mergeCell ref="T4:U4"/>
    <mergeCell ref="V4:W4"/>
    <mergeCell ref="X4:Y4"/>
    <mergeCell ref="Z2:AA2"/>
    <mergeCell ref="AB2:AC2"/>
    <mergeCell ref="AB6:AC6"/>
    <mergeCell ref="AD6:AE6"/>
    <mergeCell ref="AF6:AG6"/>
    <mergeCell ref="T7:U7"/>
    <mergeCell ref="AD5:AE5"/>
    <mergeCell ref="Z6:AA6"/>
    <mergeCell ref="V7:W7"/>
    <mergeCell ref="X7:Y7"/>
    <mergeCell ref="Z8:AA8"/>
    <mergeCell ref="AB8:AC8"/>
    <mergeCell ref="AD8:AE8"/>
    <mergeCell ref="AF8:AG8"/>
    <mergeCell ref="AJ3:AK3"/>
    <mergeCell ref="P4:Q4"/>
    <mergeCell ref="AH7:AI7"/>
    <mergeCell ref="I6:O6"/>
    <mergeCell ref="P6:Q6"/>
    <mergeCell ref="R6:S6"/>
    <mergeCell ref="T6:U6"/>
    <mergeCell ref="V6:W6"/>
    <mergeCell ref="X6:Y6"/>
    <mergeCell ref="AF5:AG5"/>
    <mergeCell ref="AH5:AI5"/>
    <mergeCell ref="I5:O5"/>
    <mergeCell ref="P5:Q5"/>
    <mergeCell ref="R5:S5"/>
    <mergeCell ref="T5:U5"/>
    <mergeCell ref="V5:W5"/>
    <mergeCell ref="X5:Y5"/>
    <mergeCell ref="Z5:AA5"/>
    <mergeCell ref="AB5:AC5"/>
    <mergeCell ref="AH6:AI6"/>
    <mergeCell ref="M1:N1"/>
    <mergeCell ref="R1:U1"/>
    <mergeCell ref="E2:H2"/>
    <mergeCell ref="I2:O4"/>
    <mergeCell ref="P2:Q3"/>
    <mergeCell ref="R2:S2"/>
    <mergeCell ref="T2:U2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H4:AI4"/>
    <mergeCell ref="AF3:AG3"/>
    <mergeCell ref="AH3:AI3"/>
    <mergeCell ref="Z4:AA4"/>
    <mergeCell ref="AB4:AC4"/>
    <mergeCell ref="A43:D43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  <mergeCell ref="AB9:AC9"/>
    <mergeCell ref="AD9:AE9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theme="0" tint="-4.9989318521683403E-2"/>
    <pageSetUpPr fitToPage="1"/>
  </sheetPr>
  <dimension ref="A1:AM59"/>
  <sheetViews>
    <sheetView showGridLines="0" zoomScale="70" zoomScaleNormal="70" workbookViewId="0">
      <selection activeCell="X18" sqref="X18:Y18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18.25" style="9" customWidth="1"/>
    <col min="5" max="7" width="12" style="9" customWidth="1"/>
    <col min="8" max="8" width="11" style="9" customWidth="1"/>
    <col min="9" max="9" width="5.75" style="9" customWidth="1"/>
    <col min="10" max="22" width="4.5" style="9" customWidth="1"/>
    <col min="23" max="32" width="4.5" style="13" customWidth="1"/>
    <col min="33" max="35" width="4.5" style="17" customWidth="1"/>
    <col min="36" max="36" width="23.25" style="17" customWidth="1"/>
    <col min="37" max="38" width="4.5" style="17" customWidth="1"/>
    <col min="39" max="39" width="17.082031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 t="s">
        <v>117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119"/>
      <c r="C5" s="129" t="s">
        <v>74</v>
      </c>
      <c r="D5" s="121"/>
      <c r="E5" s="122"/>
      <c r="F5" s="122"/>
      <c r="G5" s="123"/>
      <c r="H5" s="110" t="str">
        <f t="shared" ref="H5:H28" si="0">IF(F5=0,"",(F5-G5)/F5)</f>
        <v/>
      </c>
      <c r="I5" s="675" t="s">
        <v>33</v>
      </c>
      <c r="J5" s="676"/>
      <c r="K5" s="676"/>
      <c r="L5" s="676"/>
      <c r="M5" s="676"/>
      <c r="N5" s="676"/>
      <c r="O5" s="677"/>
      <c r="P5" s="678">
        <v>0</v>
      </c>
      <c r="Q5" s="679"/>
      <c r="R5" s="680">
        <v>0</v>
      </c>
      <c r="S5" s="679"/>
      <c r="T5" s="681">
        <v>0</v>
      </c>
      <c r="U5" s="682"/>
      <c r="V5" s="683">
        <v>0</v>
      </c>
      <c r="W5" s="684"/>
      <c r="X5" s="685">
        <v>0</v>
      </c>
      <c r="Y5" s="686"/>
      <c r="Z5" s="687">
        <v>0</v>
      </c>
      <c r="AA5" s="688"/>
      <c r="AB5" s="674">
        <v>0</v>
      </c>
      <c r="AC5" s="674"/>
      <c r="AD5" s="689">
        <f>SUM(AF5:AK5)*0.025</f>
        <v>0</v>
      </c>
      <c r="AE5" s="689"/>
      <c r="AF5" s="674">
        <v>0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120"/>
      <c r="C6" s="129" t="s">
        <v>75</v>
      </c>
      <c r="D6" s="124"/>
      <c r="E6" s="125"/>
      <c r="F6" s="125"/>
      <c r="G6" s="126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</v>
      </c>
      <c r="Q6" s="673"/>
      <c r="R6" s="673">
        <f>IF($F$15=0,0,R5*1000/$F$15)</f>
        <v>0</v>
      </c>
      <c r="S6" s="673"/>
      <c r="T6" s="673">
        <f>IF($F$15=0,0,T5*1000/$F$15)</f>
        <v>0</v>
      </c>
      <c r="U6" s="673"/>
      <c r="V6" s="673">
        <f>IF($F$15=0,0,V5*1000/$F$15)</f>
        <v>0</v>
      </c>
      <c r="W6" s="673"/>
      <c r="X6" s="673">
        <f>IF($F$15=0,0,X5*1000/$F$15)</f>
        <v>0</v>
      </c>
      <c r="Y6" s="673"/>
      <c r="Z6" s="673">
        <f>IF($F$15=0,0,Z5*1000/$F$15)</f>
        <v>0</v>
      </c>
      <c r="AA6" s="673"/>
      <c r="AB6" s="632">
        <f>IF($F$15=0,0,AB5*1000/$F$15)</f>
        <v>0</v>
      </c>
      <c r="AC6" s="632"/>
      <c r="AD6" s="632">
        <f>IF($F$15=0,0,AD5*1000/$F$15)</f>
        <v>0</v>
      </c>
      <c r="AE6" s="632"/>
      <c r="AF6" s="627">
        <f>IF(AF5=0,0,F15/AF5)</f>
        <v>0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239"/>
      <c r="C7" s="129" t="s">
        <v>76</v>
      </c>
      <c r="D7" s="240"/>
      <c r="E7" s="241"/>
      <c r="F7" s="241"/>
      <c r="G7" s="242"/>
      <c r="H7" s="111" t="str">
        <f t="shared" si="0"/>
        <v/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</v>
      </c>
      <c r="Q7" s="639"/>
      <c r="R7" s="639">
        <f>IF($G$15=0,0,R5*1000/$G$15)</f>
        <v>0</v>
      </c>
      <c r="S7" s="639"/>
      <c r="T7" s="639">
        <f>IF($G$15=0,0,T5*1000/$G$15)</f>
        <v>0</v>
      </c>
      <c r="U7" s="639"/>
      <c r="V7" s="639">
        <f>IF($G$15=0,0,V5*1000/$G$15)</f>
        <v>0</v>
      </c>
      <c r="W7" s="639"/>
      <c r="X7" s="639">
        <f>IF($G$15=0,0,X5*1000/$G$15)</f>
        <v>0</v>
      </c>
      <c r="Y7" s="639"/>
      <c r="Z7" s="639">
        <f>IF($G$15=0,0,Z5*1000/$G$15)</f>
        <v>0</v>
      </c>
      <c r="AA7" s="639"/>
      <c r="AB7" s="632">
        <f>IF($G$15=0,0,AB5*1000/$G$15)</f>
        <v>0</v>
      </c>
      <c r="AC7" s="632"/>
      <c r="AD7" s="632">
        <f>IF($G$15=0,0,AD5*1000/$G$15)</f>
        <v>0</v>
      </c>
      <c r="AE7" s="632"/>
      <c r="AF7" s="627">
        <f>IF(AF5=0,0,G15/AF5)</f>
        <v>0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239"/>
      <c r="C8" s="129" t="s">
        <v>77</v>
      </c>
      <c r="D8" s="240"/>
      <c r="E8" s="241"/>
      <c r="F8" s="241"/>
      <c r="G8" s="242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/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239"/>
      <c r="C9" s="129" t="s">
        <v>78</v>
      </c>
      <c r="D9" s="240"/>
      <c r="E9" s="241"/>
      <c r="F9" s="241"/>
      <c r="G9" s="242"/>
      <c r="H9" s="111" t="str">
        <f>IF(F9=0,"",(F9-G9)/F9)</f>
        <v/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120"/>
      <c r="C10" s="129" t="s">
        <v>79</v>
      </c>
      <c r="D10" s="124"/>
      <c r="E10" s="125"/>
      <c r="F10" s="125"/>
      <c r="G10" s="126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/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 t="e">
        <f>F15/P12</f>
        <v>#DIV/0!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/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0</v>
      </c>
      <c r="F15" s="204">
        <f>SUM(F5:F14)</f>
        <v>0</v>
      </c>
      <c r="G15" s="204">
        <f>SUM(G5:G14)</f>
        <v>0</v>
      </c>
      <c r="H15" s="188" t="str">
        <f>IF(F15=0,"",(F15-G15)/F15)</f>
        <v/>
      </c>
      <c r="I15" s="719" t="s">
        <v>70</v>
      </c>
      <c r="J15" s="720"/>
      <c r="K15" s="720"/>
      <c r="L15" s="720"/>
      <c r="M15" s="720"/>
      <c r="N15" s="720"/>
      <c r="O15" s="721"/>
      <c r="P15" s="722" t="e">
        <f>F15/P14</f>
        <v>#DIV/0!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119"/>
      <c r="C16" s="130" t="s">
        <v>74</v>
      </c>
      <c r="D16" s="127"/>
      <c r="E16" s="122"/>
      <c r="F16" s="122"/>
      <c r="G16" s="123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120"/>
      <c r="C17" s="131" t="s">
        <v>75</v>
      </c>
      <c r="D17" s="128"/>
      <c r="E17" s="125"/>
      <c r="F17" s="125"/>
      <c r="G17" s="126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742">
        <f>IF($F$26=0,0,AF16*1000/$F$26)</f>
        <v>0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120"/>
      <c r="C18" s="131" t="s">
        <v>76</v>
      </c>
      <c r="D18" s="128"/>
      <c r="E18" s="125"/>
      <c r="F18" s="125"/>
      <c r="G18" s="126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742">
        <f>IF($G$26=0,0,AF16*1000/$G$26)</f>
        <v>0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120"/>
      <c r="C19" s="131" t="s">
        <v>77</v>
      </c>
      <c r="D19" s="128"/>
      <c r="E19" s="125"/>
      <c r="F19" s="125"/>
      <c r="G19" s="126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120"/>
      <c r="C20" s="131" t="s">
        <v>78</v>
      </c>
      <c r="D20" s="128"/>
      <c r="E20" s="125"/>
      <c r="F20" s="125"/>
      <c r="G20" s="126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239"/>
      <c r="C21" s="131" t="s">
        <v>79</v>
      </c>
      <c r="D21" s="241"/>
      <c r="E21" s="241"/>
      <c r="F21" s="241"/>
      <c r="G21" s="242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0</v>
      </c>
      <c r="G26" s="205">
        <f>SUM(G16:G25)</f>
        <v>0</v>
      </c>
      <c r="H26" s="196" t="str">
        <f>IF(F26=0,"",(F26-G26)/F26)</f>
        <v/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0</v>
      </c>
      <c r="Q27" s="781"/>
      <c r="R27" s="782">
        <f>SUM(R5,R16)</f>
        <v>0</v>
      </c>
      <c r="S27" s="781"/>
      <c r="T27" s="782">
        <f>SUM(T5,T16)</f>
        <v>0</v>
      </c>
      <c r="U27" s="781"/>
      <c r="V27" s="782">
        <f>SUM(V5,V16)</f>
        <v>0</v>
      </c>
      <c r="W27" s="781"/>
      <c r="X27" s="782">
        <f>SUM(X5,X16)</f>
        <v>0</v>
      </c>
      <c r="Y27" s="781"/>
      <c r="Z27" s="783">
        <f>SUM(Z5,Z16)</f>
        <v>0</v>
      </c>
      <c r="AA27" s="784"/>
      <c r="AB27" s="770">
        <f>SUM(AB5,AB16)</f>
        <v>0</v>
      </c>
      <c r="AC27" s="770"/>
      <c r="AD27" s="769">
        <f>SUM(AD5,AD16)</f>
        <v>0</v>
      </c>
      <c r="AE27" s="769"/>
      <c r="AF27" s="770">
        <f>SUM(AF5,AF16)</f>
        <v>0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0</v>
      </c>
      <c r="F28" s="140">
        <f>F15+F26</f>
        <v>0</v>
      </c>
      <c r="G28" s="140">
        <f>G15+G26</f>
        <v>0</v>
      </c>
      <c r="H28" s="141" t="str">
        <f t="shared" si="0"/>
        <v/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</v>
      </c>
      <c r="Q28" s="745"/>
      <c r="R28" s="746">
        <f t="shared" si="1"/>
        <v>0</v>
      </c>
      <c r="S28" s="745"/>
      <c r="T28" s="746">
        <f t="shared" si="1"/>
        <v>0</v>
      </c>
      <c r="U28" s="745"/>
      <c r="V28" s="800">
        <f t="shared" si="1"/>
        <v>0</v>
      </c>
      <c r="W28" s="801"/>
      <c r="X28" s="800">
        <f t="shared" si="1"/>
        <v>0</v>
      </c>
      <c r="Y28" s="801"/>
      <c r="Z28" s="746">
        <f t="shared" si="1"/>
        <v>0</v>
      </c>
      <c r="AA28" s="744"/>
      <c r="AB28" s="632">
        <f t="shared" si="1"/>
        <v>0</v>
      </c>
      <c r="AC28" s="632"/>
      <c r="AD28" s="632">
        <f t="shared" si="1"/>
        <v>0</v>
      </c>
      <c r="AE28" s="632"/>
      <c r="AF28" s="757">
        <f t="shared" si="1"/>
        <v>0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</v>
      </c>
      <c r="Q29" s="792"/>
      <c r="R29" s="771">
        <f t="shared" si="2"/>
        <v>0</v>
      </c>
      <c r="S29" s="792"/>
      <c r="T29" s="771">
        <f t="shared" si="2"/>
        <v>0</v>
      </c>
      <c r="U29" s="792"/>
      <c r="V29" s="793">
        <f t="shared" si="2"/>
        <v>0</v>
      </c>
      <c r="W29" s="794"/>
      <c r="X29" s="795">
        <f t="shared" si="2"/>
        <v>0</v>
      </c>
      <c r="Y29" s="796"/>
      <c r="Z29" s="771">
        <f t="shared" si="2"/>
        <v>0</v>
      </c>
      <c r="AA29" s="772"/>
      <c r="AB29" s="773">
        <f t="shared" si="2"/>
        <v>0</v>
      </c>
      <c r="AC29" s="773"/>
      <c r="AD29" s="773">
        <f t="shared" si="2"/>
        <v>0</v>
      </c>
      <c r="AE29" s="773"/>
      <c r="AF29" s="774">
        <f t="shared" si="2"/>
        <v>0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159">
        <f t="shared" ref="B33:B42" si="3">B5</f>
        <v>0</v>
      </c>
      <c r="C33" s="213" t="s">
        <v>74</v>
      </c>
      <c r="D33" s="121">
        <f t="shared" ref="D33:D42" si="4">D5</f>
        <v>0</v>
      </c>
      <c r="E33" s="122">
        <f t="shared" ref="E33:E42" si="5">G5</f>
        <v>0</v>
      </c>
      <c r="F33" s="148"/>
      <c r="G33" s="62" t="str">
        <f t="shared" ref="G33:G55" si="6">IF(E33=0,"",(E33-F33)/E33)</f>
        <v/>
      </c>
      <c r="H33" s="63"/>
      <c r="I33" s="64">
        <f t="shared" ref="I33:I54" si="7">SUM(J33:AH33)</f>
        <v>0</v>
      </c>
      <c r="J33" s="453"/>
      <c r="K33" s="454"/>
      <c r="L33" s="453"/>
      <c r="M33" s="454"/>
      <c r="N33" s="453"/>
      <c r="O33" s="454"/>
      <c r="P33" s="453"/>
      <c r="Q33" s="454"/>
      <c r="R33" s="453"/>
      <c r="S33" s="454"/>
      <c r="T33" s="453"/>
      <c r="U33" s="454"/>
      <c r="V33" s="453"/>
      <c r="W33" s="454"/>
      <c r="X33" s="453"/>
      <c r="Y33" s="454"/>
      <c r="Z33" s="453"/>
      <c r="AA33" s="454"/>
      <c r="AB33" s="453"/>
      <c r="AC33" s="454"/>
      <c r="AD33" s="453"/>
      <c r="AE33" s="454"/>
      <c r="AF33" s="453"/>
      <c r="AG33" s="454"/>
      <c r="AH33" s="453"/>
      <c r="AI33" s="65"/>
      <c r="AJ33" s="66"/>
      <c r="AK33" s="67"/>
      <c r="AL33" s="68"/>
      <c r="AM33" s="69"/>
    </row>
    <row r="34" spans="1:39" ht="20.25" customHeight="1">
      <c r="A34" s="370"/>
      <c r="B34" s="160">
        <f t="shared" si="3"/>
        <v>0</v>
      </c>
      <c r="C34" s="214" t="s">
        <v>75</v>
      </c>
      <c r="D34" s="124">
        <f t="shared" si="4"/>
        <v>0</v>
      </c>
      <c r="E34" s="161">
        <f t="shared" si="5"/>
        <v>0</v>
      </c>
      <c r="F34" s="151"/>
      <c r="G34" s="70" t="str">
        <f t="shared" si="6"/>
        <v/>
      </c>
      <c r="H34" s="63"/>
      <c r="I34" s="64">
        <f t="shared" si="7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299"/>
      <c r="AJ34" s="72"/>
      <c r="AK34" s="73"/>
      <c r="AL34" s="74"/>
      <c r="AM34" s="75"/>
    </row>
    <row r="35" spans="1:39" ht="20.25" customHeight="1">
      <c r="A35" s="370"/>
      <c r="B35" s="290">
        <f t="shared" si="3"/>
        <v>0</v>
      </c>
      <c r="C35" s="214" t="s">
        <v>76</v>
      </c>
      <c r="D35" s="295">
        <f t="shared" si="4"/>
        <v>0</v>
      </c>
      <c r="E35" s="295">
        <v>0</v>
      </c>
      <c r="F35" s="296"/>
      <c r="G35" s="70" t="str">
        <f t="shared" si="6"/>
        <v/>
      </c>
      <c r="H35" s="63"/>
      <c r="I35" s="64">
        <f t="shared" si="7"/>
        <v>0</v>
      </c>
      <c r="J35" s="455"/>
      <c r="K35" s="456"/>
      <c r="L35" s="456"/>
      <c r="M35" s="456"/>
      <c r="N35" s="456"/>
      <c r="O35" s="456"/>
      <c r="P35" s="456"/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7"/>
      <c r="AI35" s="802"/>
      <c r="AJ35" s="614"/>
      <c r="AK35" s="508"/>
      <c r="AL35" s="509"/>
      <c r="AM35" s="410"/>
    </row>
    <row r="36" spans="1:39" ht="20.25" customHeight="1">
      <c r="A36" s="371">
        <v>1</v>
      </c>
      <c r="B36" s="160">
        <f t="shared" si="3"/>
        <v>0</v>
      </c>
      <c r="C36" s="214" t="s">
        <v>77</v>
      </c>
      <c r="D36" s="124">
        <f t="shared" si="4"/>
        <v>0</v>
      </c>
      <c r="E36" s="161">
        <f t="shared" si="5"/>
        <v>0</v>
      </c>
      <c r="F36" s="151"/>
      <c r="G36" s="70" t="str">
        <f t="shared" si="6"/>
        <v/>
      </c>
      <c r="H36" s="63"/>
      <c r="I36" s="64">
        <f t="shared" si="7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452"/>
      <c r="AJ36" s="438"/>
      <c r="AK36" s="73"/>
      <c r="AL36" s="74"/>
      <c r="AM36" s="75"/>
    </row>
    <row r="37" spans="1:39" ht="20.25" customHeight="1">
      <c r="A37" s="372"/>
      <c r="B37" s="290">
        <f t="shared" si="3"/>
        <v>0</v>
      </c>
      <c r="C37" s="214" t="s">
        <v>78</v>
      </c>
      <c r="D37" s="295">
        <f t="shared" si="4"/>
        <v>0</v>
      </c>
      <c r="E37" s="295">
        <f>G9</f>
        <v>0</v>
      </c>
      <c r="F37" s="296"/>
      <c r="G37" s="70" t="str">
        <f t="shared" si="6"/>
        <v/>
      </c>
      <c r="H37" s="63"/>
      <c r="I37" s="64">
        <f t="shared" si="7"/>
        <v>0</v>
      </c>
      <c r="J37" s="455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833"/>
      <c r="AJ37" s="834"/>
      <c r="AK37" s="840"/>
      <c r="AL37" s="841"/>
      <c r="AM37" s="842"/>
    </row>
    <row r="38" spans="1:39" ht="20.25" customHeight="1">
      <c r="A38" s="372"/>
      <c r="B38" s="162">
        <f t="shared" si="3"/>
        <v>0</v>
      </c>
      <c r="C38" s="214" t="s">
        <v>79</v>
      </c>
      <c r="D38" s="163">
        <f t="shared" si="4"/>
        <v>0</v>
      </c>
      <c r="E38" s="161">
        <f t="shared" si="5"/>
        <v>0</v>
      </c>
      <c r="F38" s="151"/>
      <c r="G38" s="70" t="str">
        <f t="shared" si="6"/>
        <v/>
      </c>
      <c r="H38" s="63"/>
      <c r="I38" s="64">
        <f t="shared" si="7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5"/>
        <v>0</v>
      </c>
      <c r="F39" s="154"/>
      <c r="G39" s="70" t="str">
        <f t="shared" si="6"/>
        <v/>
      </c>
      <c r="H39" s="63"/>
      <c r="I39" s="64">
        <f t="shared" si="7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162">
        <f t="shared" si="3"/>
        <v>0</v>
      </c>
      <c r="C40" s="214" t="s">
        <v>63</v>
      </c>
      <c r="D40" s="163">
        <f t="shared" si="4"/>
        <v>0</v>
      </c>
      <c r="E40" s="153">
        <f t="shared" si="5"/>
        <v>0</v>
      </c>
      <c r="F40" s="154"/>
      <c r="G40" s="70" t="str">
        <f t="shared" si="6"/>
        <v/>
      </c>
      <c r="H40" s="63"/>
      <c r="I40" s="64">
        <f t="shared" si="7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5"/>
        <v>0</v>
      </c>
      <c r="F41" s="209"/>
      <c r="G41" s="210" t="str">
        <f t="shared" si="6"/>
        <v/>
      </c>
      <c r="H41" s="63"/>
      <c r="I41" s="64">
        <f t="shared" si="7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5"/>
        <v>0</v>
      </c>
      <c r="F42" s="158"/>
      <c r="G42" s="144" t="str">
        <f t="shared" si="6"/>
        <v/>
      </c>
      <c r="H42" s="63"/>
      <c r="I42" s="64">
        <f t="shared" si="7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0</v>
      </c>
      <c r="F43" s="145">
        <f>SUM(F33:F42)</f>
        <v>0</v>
      </c>
      <c r="G43" s="135" t="str">
        <f t="shared" si="6"/>
        <v/>
      </c>
      <c r="H43" s="63"/>
      <c r="I43" s="376">
        <f t="shared" si="7"/>
        <v>0</v>
      </c>
      <c r="J43" s="77">
        <f>SUM(J33:J42)</f>
        <v>0</v>
      </c>
      <c r="K43" s="78">
        <f t="shared" ref="K43:AH43" si="8">SUM(K33:K42)</f>
        <v>0</v>
      </c>
      <c r="L43" s="78">
        <f t="shared" si="8"/>
        <v>0</v>
      </c>
      <c r="M43" s="78">
        <f t="shared" si="8"/>
        <v>0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0</v>
      </c>
      <c r="R43" s="78">
        <f t="shared" si="8"/>
        <v>0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0</v>
      </c>
      <c r="W43" s="78">
        <f t="shared" si="8"/>
        <v>0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0</v>
      </c>
      <c r="AC43" s="78">
        <f t="shared" si="8"/>
        <v>0</v>
      </c>
      <c r="AD43" s="78">
        <f t="shared" si="8"/>
        <v>0</v>
      </c>
      <c r="AE43" s="78">
        <f t="shared" si="8"/>
        <v>0</v>
      </c>
      <c r="AF43" s="78">
        <f t="shared" si="8"/>
        <v>0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81">
        <f t="shared" ref="B44:B53" si="9">B16</f>
        <v>0</v>
      </c>
      <c r="C44" s="382" t="s">
        <v>74</v>
      </c>
      <c r="D44" s="121">
        <f t="shared" ref="D44:D53" si="10">D16</f>
        <v>0</v>
      </c>
      <c r="E44" s="122">
        <f t="shared" ref="E44:E53" si="11">G16</f>
        <v>0</v>
      </c>
      <c r="F44" s="148"/>
      <c r="G44" s="62" t="str">
        <f t="shared" si="6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8"/>
      <c r="AJ44" s="819"/>
      <c r="AK44" s="82"/>
      <c r="AL44" s="83"/>
      <c r="AM44" s="84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si="11"/>
        <v>0</v>
      </c>
      <c r="F45" s="151"/>
      <c r="G45" s="70" t="str">
        <f t="shared" si="6"/>
        <v/>
      </c>
      <c r="H45" s="63"/>
      <c r="I45" s="64">
        <f t="shared" si="7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149">
        <f t="shared" si="9"/>
        <v>0</v>
      </c>
      <c r="C46" s="217" t="s">
        <v>76</v>
      </c>
      <c r="D46" s="152">
        <f t="shared" si="10"/>
        <v>0</v>
      </c>
      <c r="E46" s="153">
        <f t="shared" si="11"/>
        <v>0</v>
      </c>
      <c r="F46" s="154"/>
      <c r="G46" s="70" t="str">
        <f t="shared" si="6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814"/>
      <c r="AJ46" s="815"/>
      <c r="AK46" s="74"/>
      <c r="AL46" s="74"/>
      <c r="AM46" s="75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6"/>
        <v/>
      </c>
      <c r="H47" s="63"/>
      <c r="I47" s="64">
        <f t="shared" si="7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149">
        <f t="shared" si="9"/>
        <v>0</v>
      </c>
      <c r="C48" s="217" t="s">
        <v>78</v>
      </c>
      <c r="D48" s="155">
        <f t="shared" si="10"/>
        <v>0</v>
      </c>
      <c r="E48" s="153">
        <f t="shared" si="11"/>
        <v>0</v>
      </c>
      <c r="F48" s="154"/>
      <c r="G48" s="70" t="str">
        <f t="shared" si="6"/>
        <v/>
      </c>
      <c r="H48" s="63"/>
      <c r="I48" s="64">
        <f t="shared" si="7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75"/>
    </row>
    <row r="49" spans="1:39" ht="20.25" customHeight="1">
      <c r="A49" s="363"/>
      <c r="B49" s="300">
        <f t="shared" si="9"/>
        <v>0</v>
      </c>
      <c r="C49" s="217" t="s">
        <v>79</v>
      </c>
      <c r="D49" s="305">
        <f t="shared" si="10"/>
        <v>0</v>
      </c>
      <c r="E49" s="297">
        <f t="shared" si="11"/>
        <v>0</v>
      </c>
      <c r="F49" s="319"/>
      <c r="G49" s="70" t="str">
        <f t="shared" si="6"/>
        <v/>
      </c>
      <c r="H49" s="63"/>
      <c r="I49" s="64">
        <f t="shared" si="7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16"/>
      <c r="AJ49" s="817"/>
      <c r="AK49" s="502"/>
      <c r="AL49" s="503"/>
      <c r="AM49" s="410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6"/>
        <v/>
      </c>
      <c r="H50" s="63"/>
      <c r="I50" s="64">
        <f t="shared" si="7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6"/>
        <v/>
      </c>
      <c r="H51" s="63"/>
      <c r="I51" s="64">
        <f t="shared" si="7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6"/>
        <v/>
      </c>
      <c r="H52" s="63"/>
      <c r="I52" s="64">
        <f t="shared" si="7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6"/>
        <v/>
      </c>
      <c r="H53" s="63"/>
      <c r="I53" s="64">
        <f t="shared" si="7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6"/>
        <v/>
      </c>
      <c r="H54" s="63"/>
      <c r="I54" s="87">
        <f t="shared" si="7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0</v>
      </c>
      <c r="F55" s="164">
        <f>F43+F54</f>
        <v>0</v>
      </c>
      <c r="G55" s="165" t="str">
        <f t="shared" si="6"/>
        <v/>
      </c>
      <c r="H55" s="95"/>
      <c r="I55" s="96">
        <f>SUM(I43,I54)</f>
        <v>0</v>
      </c>
      <c r="J55" s="97">
        <f>SUM(J43,J54)</f>
        <v>0</v>
      </c>
      <c r="K55" s="97">
        <f t="shared" ref="K55:AH55" si="13">SUM(K43,K54)</f>
        <v>0</v>
      </c>
      <c r="L55" s="97">
        <f t="shared" si="13"/>
        <v>0</v>
      </c>
      <c r="M55" s="97">
        <f t="shared" si="13"/>
        <v>0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0</v>
      </c>
      <c r="R55" s="97">
        <f t="shared" si="13"/>
        <v>0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0</v>
      </c>
      <c r="W55" s="97">
        <f t="shared" si="13"/>
        <v>0</v>
      </c>
      <c r="X55" s="97">
        <f t="shared" si="13"/>
        <v>0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0</v>
      </c>
      <c r="AC55" s="97">
        <f t="shared" si="13"/>
        <v>0</v>
      </c>
      <c r="AD55" s="97">
        <f t="shared" si="13"/>
        <v>0</v>
      </c>
      <c r="AE55" s="97">
        <f t="shared" si="13"/>
        <v>0</v>
      </c>
      <c r="AF55" s="97">
        <f t="shared" si="13"/>
        <v>0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3">
    <mergeCell ref="AI35:AJ35"/>
    <mergeCell ref="AI37:AJ37"/>
    <mergeCell ref="AK37:AM37"/>
    <mergeCell ref="AI31:AJ32"/>
    <mergeCell ref="AK31:AM32"/>
    <mergeCell ref="AI44:AJ44"/>
    <mergeCell ref="AI45:AJ45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AF27:AG27"/>
    <mergeCell ref="X26:Y26"/>
    <mergeCell ref="Z26:AA26"/>
    <mergeCell ref="AB26:AC26"/>
    <mergeCell ref="AF29:AG29"/>
    <mergeCell ref="AH29:AI29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AJ28:AK28"/>
    <mergeCell ref="Z29:AA29"/>
    <mergeCell ref="AB29:AC29"/>
    <mergeCell ref="AD29:AE29"/>
    <mergeCell ref="I25:O25"/>
    <mergeCell ref="R24:S24"/>
    <mergeCell ref="T24:U24"/>
    <mergeCell ref="V24:W24"/>
    <mergeCell ref="X24:Y24"/>
    <mergeCell ref="Z24:AA24"/>
    <mergeCell ref="AB24:AC24"/>
    <mergeCell ref="P25:Q25"/>
    <mergeCell ref="T28:U28"/>
    <mergeCell ref="V28:W28"/>
    <mergeCell ref="X28:Y28"/>
    <mergeCell ref="R28:S28"/>
    <mergeCell ref="AF18:AG18"/>
    <mergeCell ref="AH18:AI18"/>
    <mergeCell ref="AJ18:AK18"/>
    <mergeCell ref="AJ24:AK24"/>
    <mergeCell ref="AF24:AG24"/>
    <mergeCell ref="AH24:AI24"/>
    <mergeCell ref="I18:O18"/>
    <mergeCell ref="P18:Q18"/>
    <mergeCell ref="R18:S18"/>
    <mergeCell ref="T18:U18"/>
    <mergeCell ref="V18:W18"/>
    <mergeCell ref="X18:Y18"/>
    <mergeCell ref="AD24:AE24"/>
    <mergeCell ref="I24:O24"/>
    <mergeCell ref="P24:Q24"/>
    <mergeCell ref="Z18:AA18"/>
    <mergeCell ref="AB18:AC18"/>
    <mergeCell ref="AD18:AE18"/>
    <mergeCell ref="I23:O23"/>
    <mergeCell ref="P23:Q23"/>
    <mergeCell ref="I22:O22"/>
    <mergeCell ref="P22:Q22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H8:AI8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AH6:AI6"/>
    <mergeCell ref="AD2:AE2"/>
    <mergeCell ref="AF2:AG2"/>
    <mergeCell ref="Z7:AA7"/>
    <mergeCell ref="AB7:AC7"/>
    <mergeCell ref="AD7:AE7"/>
    <mergeCell ref="AF7:AG7"/>
    <mergeCell ref="T4:U4"/>
    <mergeCell ref="V4:W4"/>
    <mergeCell ref="X4:Y4"/>
    <mergeCell ref="Z2:AA2"/>
    <mergeCell ref="AB2:AC2"/>
    <mergeCell ref="AB6:AC6"/>
    <mergeCell ref="AD6:AE6"/>
    <mergeCell ref="AF6:AG6"/>
    <mergeCell ref="T7:U7"/>
    <mergeCell ref="AD5:AE5"/>
    <mergeCell ref="Z6:AA6"/>
    <mergeCell ref="V7:W7"/>
    <mergeCell ref="X7:Y7"/>
    <mergeCell ref="AF5:AG5"/>
    <mergeCell ref="AH5:AI5"/>
    <mergeCell ref="I5:O5"/>
    <mergeCell ref="P5:Q5"/>
    <mergeCell ref="R5:S5"/>
    <mergeCell ref="T5:U5"/>
    <mergeCell ref="V5:W5"/>
    <mergeCell ref="X5:Y5"/>
    <mergeCell ref="Z5:AA5"/>
    <mergeCell ref="AB5:AC5"/>
    <mergeCell ref="AJ2:AK2"/>
    <mergeCell ref="AF3:AG3"/>
    <mergeCell ref="AH3:AI3"/>
    <mergeCell ref="AJ3:AK3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D9:AE9"/>
    <mergeCell ref="M1:N1"/>
    <mergeCell ref="R1:U1"/>
    <mergeCell ref="E2:H2"/>
    <mergeCell ref="I2:O4"/>
    <mergeCell ref="P2:Q3"/>
    <mergeCell ref="R2:S2"/>
    <mergeCell ref="T2:U2"/>
    <mergeCell ref="AH2:AI2"/>
    <mergeCell ref="AH4:AI4"/>
    <mergeCell ref="Z4:AA4"/>
    <mergeCell ref="AB4:AC4"/>
    <mergeCell ref="Z8:AA8"/>
    <mergeCell ref="AB8:AC8"/>
    <mergeCell ref="AD8:AE8"/>
    <mergeCell ref="AF8:AG8"/>
    <mergeCell ref="P4:Q4"/>
    <mergeCell ref="AH7:AI7"/>
    <mergeCell ref="I6:O6"/>
    <mergeCell ref="P6:Q6"/>
    <mergeCell ref="R6:S6"/>
    <mergeCell ref="T6:U6"/>
    <mergeCell ref="V6:W6"/>
    <mergeCell ref="X6:Y6"/>
    <mergeCell ref="AI49:AJ49"/>
    <mergeCell ref="A43:D43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  <mergeCell ref="AB9:AC9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theme="0" tint="-4.9989318521683403E-2"/>
    <pageSetUpPr fitToPage="1"/>
  </sheetPr>
  <dimension ref="A1:AM59"/>
  <sheetViews>
    <sheetView showGridLines="0" zoomScale="62" zoomScaleNormal="62" workbookViewId="0">
      <selection activeCell="X18" sqref="X18:Y18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18.25" style="9" customWidth="1"/>
    <col min="5" max="7" width="12" style="9" customWidth="1"/>
    <col min="8" max="8" width="11" style="9" customWidth="1"/>
    <col min="9" max="22" width="4.5" style="9" customWidth="1"/>
    <col min="23" max="32" width="4.5" style="13" customWidth="1"/>
    <col min="33" max="35" width="4.5" style="17" customWidth="1"/>
    <col min="36" max="36" width="23.25" style="17" customWidth="1"/>
    <col min="37" max="38" width="4.5" style="17" customWidth="1"/>
    <col min="39" max="39" width="14.582031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 t="s">
        <v>117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236"/>
      <c r="C5" s="129" t="s">
        <v>74</v>
      </c>
      <c r="D5" s="237"/>
      <c r="E5" s="237"/>
      <c r="F5" s="237"/>
      <c r="G5" s="238"/>
      <c r="H5" s="110" t="str">
        <f t="shared" ref="H5:H28" si="0">IF(F5=0,"",(F5-G5)/F5)</f>
        <v/>
      </c>
      <c r="I5" s="675" t="s">
        <v>33</v>
      </c>
      <c r="J5" s="676"/>
      <c r="K5" s="676"/>
      <c r="L5" s="676"/>
      <c r="M5" s="676"/>
      <c r="N5" s="676"/>
      <c r="O5" s="677"/>
      <c r="P5" s="678">
        <v>0</v>
      </c>
      <c r="Q5" s="679"/>
      <c r="R5" s="680">
        <v>0</v>
      </c>
      <c r="S5" s="679"/>
      <c r="T5" s="681">
        <v>0</v>
      </c>
      <c r="U5" s="682"/>
      <c r="V5" s="683">
        <v>0</v>
      </c>
      <c r="W5" s="684"/>
      <c r="X5" s="685">
        <v>0</v>
      </c>
      <c r="Y5" s="686"/>
      <c r="Z5" s="687">
        <v>0</v>
      </c>
      <c r="AA5" s="688"/>
      <c r="AB5" s="674">
        <v>0</v>
      </c>
      <c r="AC5" s="674"/>
      <c r="AD5" s="689">
        <f>SUM(AF5:AK5)*0.025</f>
        <v>0</v>
      </c>
      <c r="AE5" s="689"/>
      <c r="AF5" s="674">
        <v>0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239"/>
      <c r="C6" s="129" t="s">
        <v>75</v>
      </c>
      <c r="D6" s="240"/>
      <c r="E6" s="241"/>
      <c r="F6" s="241"/>
      <c r="G6" s="242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</v>
      </c>
      <c r="Q6" s="673"/>
      <c r="R6" s="673">
        <f>IF($F$15=0,0,R5*1000/$F$15)</f>
        <v>0</v>
      </c>
      <c r="S6" s="673"/>
      <c r="T6" s="673">
        <f>IF($F$15=0,0,T5*1000/$F$15)</f>
        <v>0</v>
      </c>
      <c r="U6" s="673"/>
      <c r="V6" s="673">
        <f>IF($F$15=0,0,V5*1000/$F$15)</f>
        <v>0</v>
      </c>
      <c r="W6" s="673"/>
      <c r="X6" s="673">
        <f>IF($F$15=0,0,X5*1000/$F$15)</f>
        <v>0</v>
      </c>
      <c r="Y6" s="673"/>
      <c r="Z6" s="673">
        <f>IF($F$15=0,0,Z5*1000/$F$15)</f>
        <v>0</v>
      </c>
      <c r="AA6" s="673"/>
      <c r="AB6" s="632">
        <f>IF($F$15=0,0,AB5*1000/$F$15)</f>
        <v>0</v>
      </c>
      <c r="AC6" s="632"/>
      <c r="AD6" s="632">
        <f>IF($F$15=0,0,AD5*1000/$F$15)</f>
        <v>0</v>
      </c>
      <c r="AE6" s="632"/>
      <c r="AF6" s="627">
        <f>IF(AF5=0,0,F15/AF5)</f>
        <v>0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239"/>
      <c r="C7" s="129" t="s">
        <v>76</v>
      </c>
      <c r="D7" s="240"/>
      <c r="E7" s="241"/>
      <c r="F7" s="241"/>
      <c r="G7" s="242"/>
      <c r="H7" s="111" t="str">
        <f t="shared" si="0"/>
        <v/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</v>
      </c>
      <c r="Q7" s="639"/>
      <c r="R7" s="639">
        <f>IF($G$15=0,0,R5*1000/$G$15)</f>
        <v>0</v>
      </c>
      <c r="S7" s="639"/>
      <c r="T7" s="639">
        <f>IF($G$15=0,0,T5*1000/$G$15)</f>
        <v>0</v>
      </c>
      <c r="U7" s="639"/>
      <c r="V7" s="639">
        <f>IF($G$15=0,0,V5*1000/$G$15)</f>
        <v>0</v>
      </c>
      <c r="W7" s="639"/>
      <c r="X7" s="639">
        <f>IF($G$15=0,0,X5*1000/$G$15)</f>
        <v>0</v>
      </c>
      <c r="Y7" s="639"/>
      <c r="Z7" s="639">
        <f>IF($G$15=0,0,Z5*1000/$G$15)</f>
        <v>0</v>
      </c>
      <c r="AA7" s="639"/>
      <c r="AB7" s="632">
        <f>IF($G$15=0,0,AB5*1000/$G$15)</f>
        <v>0</v>
      </c>
      <c r="AC7" s="632"/>
      <c r="AD7" s="632">
        <f>IF($G$15=0,0,AD5*1000/$G$15)</f>
        <v>0</v>
      </c>
      <c r="AE7" s="632"/>
      <c r="AF7" s="627">
        <f>IF(AF5=0,0,G15/AF5)</f>
        <v>0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239"/>
      <c r="C8" s="129" t="s">
        <v>77</v>
      </c>
      <c r="D8" s="240"/>
      <c r="E8" s="241"/>
      <c r="F8" s="241"/>
      <c r="G8" s="242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/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239"/>
      <c r="C9" s="129" t="s">
        <v>78</v>
      </c>
      <c r="D9" s="240"/>
      <c r="E9" s="241"/>
      <c r="F9" s="241"/>
      <c r="G9" s="242"/>
      <c r="H9" s="111" t="str">
        <f>IF(F9=0,"",(F9-G9)/F9)</f>
        <v/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239"/>
      <c r="C10" s="129" t="s">
        <v>79</v>
      </c>
      <c r="D10" s="240"/>
      <c r="E10" s="241"/>
      <c r="F10" s="241"/>
      <c r="G10" s="242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/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 t="e">
        <f>F15/P12</f>
        <v>#DIV/0!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/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0</v>
      </c>
      <c r="F15" s="204">
        <f>SUM(F5:F14)</f>
        <v>0</v>
      </c>
      <c r="G15" s="204">
        <f>SUM(G5:G14)</f>
        <v>0</v>
      </c>
      <c r="H15" s="188" t="str">
        <f>IF(F15=0,"",(F15-G15)/F15)</f>
        <v/>
      </c>
      <c r="I15" s="719" t="s">
        <v>70</v>
      </c>
      <c r="J15" s="720"/>
      <c r="K15" s="720"/>
      <c r="L15" s="720"/>
      <c r="M15" s="720"/>
      <c r="N15" s="720"/>
      <c r="O15" s="721"/>
      <c r="P15" s="722" t="e">
        <f>F15/P14</f>
        <v>#DIV/0!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236"/>
      <c r="C16" s="130" t="s">
        <v>74</v>
      </c>
      <c r="D16" s="250"/>
      <c r="E16" s="237"/>
      <c r="F16" s="237"/>
      <c r="G16" s="238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120"/>
      <c r="C17" s="131" t="s">
        <v>75</v>
      </c>
      <c r="D17" s="128"/>
      <c r="E17" s="125"/>
      <c r="F17" s="125"/>
      <c r="G17" s="126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742">
        <f>IF(AF16=0,0,F26/AF16)</f>
        <v>0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120"/>
      <c r="C18" s="131" t="s">
        <v>76</v>
      </c>
      <c r="D18" s="128"/>
      <c r="E18" s="125"/>
      <c r="F18" s="125"/>
      <c r="G18" s="126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742">
        <f>IF(AF16=0,0,G26/AF16)</f>
        <v>0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120"/>
      <c r="C19" s="131" t="s">
        <v>77</v>
      </c>
      <c r="D19" s="128"/>
      <c r="E19" s="125"/>
      <c r="F19" s="125"/>
      <c r="G19" s="126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120"/>
      <c r="C20" s="131" t="s">
        <v>78</v>
      </c>
      <c r="D20" s="128"/>
      <c r="E20" s="125"/>
      <c r="F20" s="125"/>
      <c r="G20" s="126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120"/>
      <c r="C21" s="131" t="s">
        <v>79</v>
      </c>
      <c r="D21" s="128"/>
      <c r="E21" s="125"/>
      <c r="F21" s="125"/>
      <c r="G21" s="126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0</v>
      </c>
      <c r="G26" s="205">
        <f>SUM(G16:G25)</f>
        <v>0</v>
      </c>
      <c r="H26" s="196" t="str">
        <f>IF(F26=0,"",(F26-G26)/F26)</f>
        <v/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0</v>
      </c>
      <c r="Q27" s="781"/>
      <c r="R27" s="782">
        <f>SUM(R5,R16)</f>
        <v>0</v>
      </c>
      <c r="S27" s="781"/>
      <c r="T27" s="782">
        <f>SUM(T5,T16)</f>
        <v>0</v>
      </c>
      <c r="U27" s="781"/>
      <c r="V27" s="782">
        <f>SUM(V5,V16)</f>
        <v>0</v>
      </c>
      <c r="W27" s="781"/>
      <c r="X27" s="782">
        <f>SUM(X5,X16)</f>
        <v>0</v>
      </c>
      <c r="Y27" s="781"/>
      <c r="Z27" s="783">
        <f>SUM(Z5,Z16)</f>
        <v>0</v>
      </c>
      <c r="AA27" s="784"/>
      <c r="AB27" s="770">
        <f>SUM(AB5,AB16)</f>
        <v>0</v>
      </c>
      <c r="AC27" s="770"/>
      <c r="AD27" s="769">
        <f>SUM(AD5,AD16)</f>
        <v>0</v>
      </c>
      <c r="AE27" s="769"/>
      <c r="AF27" s="770">
        <f>SUM(AF5,AF16)</f>
        <v>0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0</v>
      </c>
      <c r="F28" s="140">
        <f>F15+F26</f>
        <v>0</v>
      </c>
      <c r="G28" s="140">
        <f>G15+G26</f>
        <v>0</v>
      </c>
      <c r="H28" s="141" t="str">
        <f t="shared" si="0"/>
        <v/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</v>
      </c>
      <c r="Q28" s="745"/>
      <c r="R28" s="746">
        <f t="shared" si="1"/>
        <v>0</v>
      </c>
      <c r="S28" s="745"/>
      <c r="T28" s="746">
        <f t="shared" si="1"/>
        <v>0</v>
      </c>
      <c r="U28" s="745"/>
      <c r="V28" s="800">
        <f t="shared" si="1"/>
        <v>0</v>
      </c>
      <c r="W28" s="801"/>
      <c r="X28" s="800">
        <f t="shared" si="1"/>
        <v>0</v>
      </c>
      <c r="Y28" s="801"/>
      <c r="Z28" s="746">
        <f t="shared" si="1"/>
        <v>0</v>
      </c>
      <c r="AA28" s="744"/>
      <c r="AB28" s="632">
        <f t="shared" si="1"/>
        <v>0</v>
      </c>
      <c r="AC28" s="632"/>
      <c r="AD28" s="632">
        <f t="shared" si="1"/>
        <v>0</v>
      </c>
      <c r="AE28" s="632"/>
      <c r="AF28" s="757">
        <f>IF(AF27=0,0,F28/AF27)</f>
        <v>0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</v>
      </c>
      <c r="Q29" s="792"/>
      <c r="R29" s="771">
        <f t="shared" si="2"/>
        <v>0</v>
      </c>
      <c r="S29" s="792"/>
      <c r="T29" s="771">
        <f t="shared" si="2"/>
        <v>0</v>
      </c>
      <c r="U29" s="792"/>
      <c r="V29" s="793">
        <f t="shared" si="2"/>
        <v>0</v>
      </c>
      <c r="W29" s="794"/>
      <c r="X29" s="795">
        <f t="shared" si="2"/>
        <v>0</v>
      </c>
      <c r="Y29" s="796"/>
      <c r="Z29" s="771">
        <f t="shared" si="2"/>
        <v>0</v>
      </c>
      <c r="AA29" s="772"/>
      <c r="AB29" s="773">
        <f t="shared" si="2"/>
        <v>0</v>
      </c>
      <c r="AC29" s="773"/>
      <c r="AD29" s="773">
        <f t="shared" si="2"/>
        <v>0</v>
      </c>
      <c r="AE29" s="773"/>
      <c r="AF29" s="774">
        <f>IF(AF27=0,0,G28/AF27)</f>
        <v>0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306">
        <f t="shared" ref="B33:B42" si="3">B5</f>
        <v>0</v>
      </c>
      <c r="C33" s="213" t="s">
        <v>74</v>
      </c>
      <c r="D33" s="307">
        <f t="shared" ref="D33:D42" si="4">D5</f>
        <v>0</v>
      </c>
      <c r="E33" s="307">
        <f>G5</f>
        <v>0</v>
      </c>
      <c r="F33" s="395"/>
      <c r="G33" s="62" t="str">
        <f t="shared" ref="G33:G55" si="5">IF(E33=0,"",(E33-F33)/E33)</f>
        <v/>
      </c>
      <c r="H33" s="63"/>
      <c r="I33" s="64">
        <f t="shared" ref="I33:I54" si="6">SUM(J33:AH33)</f>
        <v>0</v>
      </c>
      <c r="J33" s="453"/>
      <c r="K33" s="454"/>
      <c r="L33" s="453"/>
      <c r="M33" s="454"/>
      <c r="N33" s="453"/>
      <c r="O33" s="454"/>
      <c r="P33" s="453"/>
      <c r="Q33" s="454"/>
      <c r="R33" s="453"/>
      <c r="S33" s="454"/>
      <c r="T33" s="453"/>
      <c r="U33" s="454"/>
      <c r="V33" s="453"/>
      <c r="W33" s="454"/>
      <c r="X33" s="453"/>
      <c r="Y33" s="454"/>
      <c r="Z33" s="453"/>
      <c r="AA33" s="454"/>
      <c r="AB33" s="453"/>
      <c r="AC33" s="454"/>
      <c r="AD33" s="453"/>
      <c r="AE33" s="454"/>
      <c r="AF33" s="453"/>
      <c r="AG33" s="454"/>
      <c r="AH33" s="453"/>
      <c r="AI33" s="803"/>
      <c r="AJ33" s="804"/>
      <c r="AK33" s="506"/>
      <c r="AL33" s="507"/>
      <c r="AM33" s="461"/>
    </row>
    <row r="34" spans="1:39" ht="20.25" customHeight="1">
      <c r="A34" s="370"/>
      <c r="B34" s="160">
        <f t="shared" si="3"/>
        <v>0</v>
      </c>
      <c r="C34" s="214" t="s">
        <v>75</v>
      </c>
      <c r="D34" s="124">
        <f t="shared" si="4"/>
        <v>0</v>
      </c>
      <c r="E34" s="161">
        <f t="shared" ref="E34:E42" si="7">G6</f>
        <v>0</v>
      </c>
      <c r="F34" s="151"/>
      <c r="G34" s="70" t="str">
        <f t="shared" si="5"/>
        <v/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71"/>
      <c r="AJ34" s="72"/>
      <c r="AK34" s="73"/>
      <c r="AL34" s="74"/>
      <c r="AM34" s="75"/>
    </row>
    <row r="35" spans="1:39" ht="20.25" customHeight="1">
      <c r="A35" s="370"/>
      <c r="B35" s="320">
        <f t="shared" si="3"/>
        <v>0</v>
      </c>
      <c r="C35" s="214" t="s">
        <v>76</v>
      </c>
      <c r="D35" s="318">
        <f t="shared" si="4"/>
        <v>0</v>
      </c>
      <c r="E35" s="318">
        <v>0</v>
      </c>
      <c r="F35" s="322"/>
      <c r="G35" s="70" t="str">
        <f t="shared" si="5"/>
        <v/>
      </c>
      <c r="H35" s="63"/>
      <c r="I35" s="64">
        <f t="shared" si="6"/>
        <v>0</v>
      </c>
      <c r="J35" s="455"/>
      <c r="K35" s="456"/>
      <c r="L35" s="456"/>
      <c r="M35" s="456"/>
      <c r="N35" s="456"/>
      <c r="O35" s="456"/>
      <c r="P35" s="456"/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7"/>
      <c r="AI35" s="802"/>
      <c r="AJ35" s="614"/>
      <c r="AK35" s="526"/>
      <c r="AL35" s="527"/>
      <c r="AM35" s="417"/>
    </row>
    <row r="36" spans="1:39" ht="20.25" customHeight="1">
      <c r="A36" s="371">
        <v>1</v>
      </c>
      <c r="B36" s="160">
        <f t="shared" si="3"/>
        <v>0</v>
      </c>
      <c r="C36" s="214" t="s">
        <v>77</v>
      </c>
      <c r="D36" s="124">
        <f t="shared" si="4"/>
        <v>0</v>
      </c>
      <c r="E36" s="161">
        <f t="shared" si="7"/>
        <v>0</v>
      </c>
      <c r="F36" s="151"/>
      <c r="G36" s="70" t="str">
        <f t="shared" si="5"/>
        <v/>
      </c>
      <c r="H36" s="63"/>
      <c r="I36" s="64">
        <f t="shared" si="6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510"/>
      <c r="AJ36" s="511"/>
      <c r="AK36" s="73"/>
      <c r="AL36" s="74"/>
      <c r="AM36" s="75"/>
    </row>
    <row r="37" spans="1:39" ht="20.25" customHeight="1">
      <c r="A37" s="372"/>
      <c r="B37" s="320">
        <f t="shared" si="3"/>
        <v>0</v>
      </c>
      <c r="C37" s="214" t="s">
        <v>78</v>
      </c>
      <c r="D37" s="318">
        <f t="shared" si="4"/>
        <v>0</v>
      </c>
      <c r="E37" s="318">
        <v>0</v>
      </c>
      <c r="F37" s="322"/>
      <c r="G37" s="70" t="str">
        <f t="shared" si="5"/>
        <v/>
      </c>
      <c r="H37" s="63"/>
      <c r="I37" s="64">
        <f t="shared" si="6"/>
        <v>0</v>
      </c>
      <c r="J37" s="455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802"/>
      <c r="AJ37" s="614"/>
      <c r="AK37" s="526"/>
      <c r="AL37" s="527"/>
      <c r="AM37" s="417"/>
    </row>
    <row r="38" spans="1:39" ht="20.25" customHeight="1">
      <c r="A38" s="372"/>
      <c r="B38" s="162">
        <f t="shared" si="3"/>
        <v>0</v>
      </c>
      <c r="C38" s="214" t="s">
        <v>79</v>
      </c>
      <c r="D38" s="163">
        <f t="shared" si="4"/>
        <v>0</v>
      </c>
      <c r="E38" s="161">
        <f t="shared" si="7"/>
        <v>0</v>
      </c>
      <c r="F38" s="151"/>
      <c r="G38" s="70" t="str">
        <f t="shared" si="5"/>
        <v/>
      </c>
      <c r="H38" s="63"/>
      <c r="I38" s="64">
        <f t="shared" si="6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7"/>
        <v>0</v>
      </c>
      <c r="F39" s="154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162">
        <f t="shared" si="3"/>
        <v>0</v>
      </c>
      <c r="C40" s="214" t="s">
        <v>63</v>
      </c>
      <c r="D40" s="163">
        <f t="shared" si="4"/>
        <v>0</v>
      </c>
      <c r="E40" s="153">
        <f t="shared" si="7"/>
        <v>0</v>
      </c>
      <c r="F40" s="154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7"/>
        <v>0</v>
      </c>
      <c r="F41" s="209"/>
      <c r="G41" s="210" t="str">
        <f t="shared" si="5"/>
        <v/>
      </c>
      <c r="H41" s="63"/>
      <c r="I41" s="64">
        <f t="shared" si="6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0</v>
      </c>
      <c r="F43" s="145">
        <f>SUM(F33:F42)</f>
        <v>0</v>
      </c>
      <c r="G43" s="135" t="str">
        <f t="shared" si="5"/>
        <v/>
      </c>
      <c r="H43" s="63"/>
      <c r="I43" s="376">
        <f t="shared" si="6"/>
        <v>0</v>
      </c>
      <c r="J43" s="77">
        <f>SUM(J33:J42)</f>
        <v>0</v>
      </c>
      <c r="K43" s="78">
        <f t="shared" ref="K43:AH43" si="8">SUM(K33:K42)</f>
        <v>0</v>
      </c>
      <c r="L43" s="78">
        <f t="shared" si="8"/>
        <v>0</v>
      </c>
      <c r="M43" s="78">
        <f t="shared" si="8"/>
        <v>0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0</v>
      </c>
      <c r="R43" s="78">
        <f t="shared" si="8"/>
        <v>0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0</v>
      </c>
      <c r="W43" s="78">
        <f t="shared" si="8"/>
        <v>0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0</v>
      </c>
      <c r="AC43" s="78">
        <f t="shared" si="8"/>
        <v>0</v>
      </c>
      <c r="AD43" s="78">
        <f t="shared" si="8"/>
        <v>0</v>
      </c>
      <c r="AE43" s="78">
        <f t="shared" si="8"/>
        <v>0</v>
      </c>
      <c r="AF43" s="78">
        <f t="shared" si="8"/>
        <v>0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96">
        <f t="shared" ref="B44:B53" si="9">B16</f>
        <v>0</v>
      </c>
      <c r="C44" s="382" t="s">
        <v>74</v>
      </c>
      <c r="D44" s="307">
        <f t="shared" ref="D44:D53" si="10">D16</f>
        <v>0</v>
      </c>
      <c r="E44" s="307">
        <v>0</v>
      </c>
      <c r="F44" s="395"/>
      <c r="G44" s="62" t="str">
        <f t="shared" si="5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8"/>
      <c r="AJ44" s="819"/>
      <c r="AK44" s="82"/>
      <c r="AL44" s="83"/>
      <c r="AM44" s="84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ref="E45:E53" si="11">G17</f>
        <v>0</v>
      </c>
      <c r="F45" s="151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149">
        <f t="shared" si="9"/>
        <v>0</v>
      </c>
      <c r="C46" s="217" t="s">
        <v>76</v>
      </c>
      <c r="D46" s="152">
        <f t="shared" si="10"/>
        <v>0</v>
      </c>
      <c r="E46" s="153">
        <f t="shared" si="11"/>
        <v>0</v>
      </c>
      <c r="F46" s="154"/>
      <c r="G46" s="70" t="str">
        <f t="shared" si="5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814"/>
      <c r="AJ46" s="815"/>
      <c r="AK46" s="74"/>
      <c r="AL46" s="74"/>
      <c r="AM46" s="75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149">
        <f t="shared" si="9"/>
        <v>0</v>
      </c>
      <c r="C48" s="217" t="s">
        <v>78</v>
      </c>
      <c r="D48" s="155">
        <f t="shared" si="10"/>
        <v>0</v>
      </c>
      <c r="E48" s="153">
        <f t="shared" si="11"/>
        <v>0</v>
      </c>
      <c r="F48" s="154"/>
      <c r="G48" s="70" t="str">
        <f t="shared" si="5"/>
        <v/>
      </c>
      <c r="H48" s="63"/>
      <c r="I48" s="64">
        <f t="shared" si="6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75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5"/>
        <v/>
      </c>
      <c r="H54" s="63"/>
      <c r="I54" s="87">
        <f t="shared" si="6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0</v>
      </c>
      <c r="F55" s="164">
        <f>F43+F54</f>
        <v>0</v>
      </c>
      <c r="G55" s="165" t="str">
        <f t="shared" si="5"/>
        <v/>
      </c>
      <c r="H55" s="95"/>
      <c r="I55" s="96">
        <f>SUM(I43,I54)</f>
        <v>0</v>
      </c>
      <c r="J55" s="97">
        <f>SUM(J43,J54)</f>
        <v>0</v>
      </c>
      <c r="K55" s="97">
        <f t="shared" ref="K55:AH55" si="13">SUM(K43,K54)</f>
        <v>0</v>
      </c>
      <c r="L55" s="97">
        <f t="shared" si="13"/>
        <v>0</v>
      </c>
      <c r="M55" s="97">
        <f t="shared" si="13"/>
        <v>0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0</v>
      </c>
      <c r="R55" s="97">
        <f t="shared" si="13"/>
        <v>0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0</v>
      </c>
      <c r="W55" s="97">
        <f t="shared" si="13"/>
        <v>0</v>
      </c>
      <c r="X55" s="97">
        <f t="shared" si="13"/>
        <v>0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0</v>
      </c>
      <c r="AC55" s="97">
        <f t="shared" si="13"/>
        <v>0</v>
      </c>
      <c r="AD55" s="97">
        <f t="shared" si="13"/>
        <v>0</v>
      </c>
      <c r="AE55" s="97">
        <f t="shared" si="13"/>
        <v>0</v>
      </c>
      <c r="AF55" s="97">
        <f t="shared" si="13"/>
        <v>0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2">
    <mergeCell ref="AI35:AJ35"/>
    <mergeCell ref="AI37:AJ37"/>
    <mergeCell ref="AI33:AJ33"/>
    <mergeCell ref="AI31:AJ32"/>
    <mergeCell ref="AK31:AM32"/>
    <mergeCell ref="AI44:AJ44"/>
    <mergeCell ref="AI45:AJ45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X26:Y26"/>
    <mergeCell ref="Z26:AA26"/>
    <mergeCell ref="AB26:AC26"/>
    <mergeCell ref="AB29:AC29"/>
    <mergeCell ref="AD29:AE29"/>
    <mergeCell ref="AF29:AG29"/>
    <mergeCell ref="AH29:AI29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AJ28:AK28"/>
    <mergeCell ref="AF27:AG27"/>
    <mergeCell ref="Z29:AA29"/>
    <mergeCell ref="R28:S28"/>
    <mergeCell ref="T28:U28"/>
    <mergeCell ref="V28:W28"/>
    <mergeCell ref="X28:Y28"/>
    <mergeCell ref="I22:O22"/>
    <mergeCell ref="P22:Q22"/>
    <mergeCell ref="I25:O25"/>
    <mergeCell ref="R24:S24"/>
    <mergeCell ref="T24:U24"/>
    <mergeCell ref="V24:W24"/>
    <mergeCell ref="X24:Y24"/>
    <mergeCell ref="P25:Q25"/>
    <mergeCell ref="AD18:AE18"/>
    <mergeCell ref="AF17:AG17"/>
    <mergeCell ref="P23:Q23"/>
    <mergeCell ref="I23:O23"/>
    <mergeCell ref="I18:O18"/>
    <mergeCell ref="P18:Q18"/>
    <mergeCell ref="R18:S18"/>
    <mergeCell ref="T18:U18"/>
    <mergeCell ref="V18:W18"/>
    <mergeCell ref="X18:Y18"/>
    <mergeCell ref="AH17:AI17"/>
    <mergeCell ref="AF18:AG18"/>
    <mergeCell ref="AH18:AI18"/>
    <mergeCell ref="AJ18:AK18"/>
    <mergeCell ref="AJ24:AK24"/>
    <mergeCell ref="AF24:AG24"/>
    <mergeCell ref="AH24:AI24"/>
    <mergeCell ref="AJ17:AK17"/>
    <mergeCell ref="I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B24:AC24"/>
    <mergeCell ref="Z24:AA24"/>
    <mergeCell ref="AD24:AE24"/>
    <mergeCell ref="I24:O24"/>
    <mergeCell ref="P24:Q24"/>
    <mergeCell ref="Z18:AA18"/>
    <mergeCell ref="AB18:AC18"/>
    <mergeCell ref="Z16:AA16"/>
    <mergeCell ref="AB16:AC16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Z15:AA15"/>
    <mergeCell ref="AB15:AC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H8:AI8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AD2:AE2"/>
    <mergeCell ref="AF2:AG2"/>
    <mergeCell ref="Z7:AA7"/>
    <mergeCell ref="AB7:AC7"/>
    <mergeCell ref="AD7:AE7"/>
    <mergeCell ref="AF7:AG7"/>
    <mergeCell ref="T4:U4"/>
    <mergeCell ref="V4:W4"/>
    <mergeCell ref="X4:Y4"/>
    <mergeCell ref="Z2:AA2"/>
    <mergeCell ref="AB2:AC2"/>
    <mergeCell ref="AB6:AC6"/>
    <mergeCell ref="AD6:AE6"/>
    <mergeCell ref="AF6:AG6"/>
    <mergeCell ref="T7:U7"/>
    <mergeCell ref="AD5:AE5"/>
    <mergeCell ref="Z6:AA6"/>
    <mergeCell ref="V7:W7"/>
    <mergeCell ref="X7:Y7"/>
    <mergeCell ref="Z8:AA8"/>
    <mergeCell ref="AB8:AC8"/>
    <mergeCell ref="AD8:AE8"/>
    <mergeCell ref="AF8:AG8"/>
    <mergeCell ref="AJ3:AK3"/>
    <mergeCell ref="P4:Q4"/>
    <mergeCell ref="AH7:AI7"/>
    <mergeCell ref="I6:O6"/>
    <mergeCell ref="P6:Q6"/>
    <mergeCell ref="R6:S6"/>
    <mergeCell ref="T6:U6"/>
    <mergeCell ref="V6:W6"/>
    <mergeCell ref="X6:Y6"/>
    <mergeCell ref="AF5:AG5"/>
    <mergeCell ref="AH5:AI5"/>
    <mergeCell ref="I5:O5"/>
    <mergeCell ref="P5:Q5"/>
    <mergeCell ref="R5:S5"/>
    <mergeCell ref="T5:U5"/>
    <mergeCell ref="V5:W5"/>
    <mergeCell ref="X5:Y5"/>
    <mergeCell ref="Z5:AA5"/>
    <mergeCell ref="AB5:AC5"/>
    <mergeCell ref="AH6:AI6"/>
    <mergeCell ref="M1:N1"/>
    <mergeCell ref="R1:U1"/>
    <mergeCell ref="E2:H2"/>
    <mergeCell ref="I2:O4"/>
    <mergeCell ref="P2:Q3"/>
    <mergeCell ref="R2:S2"/>
    <mergeCell ref="T2:U2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H4:AI4"/>
    <mergeCell ref="AF3:AG3"/>
    <mergeCell ref="AH3:AI3"/>
    <mergeCell ref="Z4:AA4"/>
    <mergeCell ref="AB4:AC4"/>
    <mergeCell ref="A43:D43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  <mergeCell ref="AB9:AC9"/>
    <mergeCell ref="AD9:AE9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theme="0" tint="-4.9989318521683403E-2"/>
    <pageSetUpPr fitToPage="1"/>
  </sheetPr>
  <dimension ref="A1:AM59"/>
  <sheetViews>
    <sheetView showGridLines="0" zoomScale="64" zoomScaleNormal="64" workbookViewId="0">
      <selection activeCell="X18" sqref="X18:Y18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18.25" style="9" customWidth="1"/>
    <col min="5" max="7" width="12" style="9" customWidth="1"/>
    <col min="8" max="8" width="11" style="9" customWidth="1"/>
    <col min="9" max="22" width="4.5" style="9" customWidth="1"/>
    <col min="23" max="32" width="4.5" style="13" customWidth="1"/>
    <col min="33" max="35" width="4.5" style="17" customWidth="1"/>
    <col min="36" max="36" width="23.83203125" style="17" customWidth="1"/>
    <col min="37" max="38" width="4.5" style="17" customWidth="1"/>
    <col min="39" max="39" width="21.582031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 t="s">
        <v>117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236"/>
      <c r="C5" s="129" t="s">
        <v>74</v>
      </c>
      <c r="D5" s="237"/>
      <c r="E5" s="237"/>
      <c r="F5" s="237"/>
      <c r="G5" s="238"/>
      <c r="H5" s="110" t="str">
        <f t="shared" ref="H5:H28" si="0">IF(F5=0,"",(F5-G5)/F5)</f>
        <v/>
      </c>
      <c r="I5" s="675" t="s">
        <v>33</v>
      </c>
      <c r="J5" s="676"/>
      <c r="K5" s="676"/>
      <c r="L5" s="676"/>
      <c r="M5" s="676"/>
      <c r="N5" s="676"/>
      <c r="O5" s="677"/>
      <c r="P5" s="678">
        <v>0</v>
      </c>
      <c r="Q5" s="679"/>
      <c r="R5" s="680">
        <v>0</v>
      </c>
      <c r="S5" s="679"/>
      <c r="T5" s="681">
        <v>0</v>
      </c>
      <c r="U5" s="682"/>
      <c r="V5" s="683">
        <v>0</v>
      </c>
      <c r="W5" s="684"/>
      <c r="X5" s="685">
        <v>0</v>
      </c>
      <c r="Y5" s="686"/>
      <c r="Z5" s="687">
        <v>0</v>
      </c>
      <c r="AA5" s="688"/>
      <c r="AB5" s="674">
        <v>0</v>
      </c>
      <c r="AC5" s="674"/>
      <c r="AD5" s="689">
        <f>SUM(AF5:AK5)*0.025</f>
        <v>0</v>
      </c>
      <c r="AE5" s="689"/>
      <c r="AF5" s="674">
        <v>0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239"/>
      <c r="C6" s="129" t="s">
        <v>75</v>
      </c>
      <c r="D6" s="240"/>
      <c r="E6" s="241"/>
      <c r="F6" s="241"/>
      <c r="G6" s="242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</v>
      </c>
      <c r="Q6" s="673"/>
      <c r="R6" s="673">
        <f>IF($F$15=0,0,R5*1000/$F$15)</f>
        <v>0</v>
      </c>
      <c r="S6" s="673"/>
      <c r="T6" s="673">
        <f>IF($F$15=0,0,T5*1000/$F$15)</f>
        <v>0</v>
      </c>
      <c r="U6" s="673"/>
      <c r="V6" s="673">
        <f>IF($F$15=0,0,V5*1000/$F$15)</f>
        <v>0</v>
      </c>
      <c r="W6" s="673"/>
      <c r="X6" s="673">
        <f>IF($F$15=0,0,X5*1000/$F$15)</f>
        <v>0</v>
      </c>
      <c r="Y6" s="673"/>
      <c r="Z6" s="673">
        <f>IF($F$15=0,0,Z5*1000/$F$15)</f>
        <v>0</v>
      </c>
      <c r="AA6" s="673"/>
      <c r="AB6" s="632">
        <f>IF($F$15=0,0,AB5*1000/$F$15)</f>
        <v>0</v>
      </c>
      <c r="AC6" s="632"/>
      <c r="AD6" s="632">
        <f>IF($F$15=0,0,AD5*1000/$F$15)</f>
        <v>0</v>
      </c>
      <c r="AE6" s="632"/>
      <c r="AF6" s="627">
        <f>IF(AF5=0,0,F15/AF5)</f>
        <v>0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239"/>
      <c r="C7" s="129" t="s">
        <v>76</v>
      </c>
      <c r="D7" s="240"/>
      <c r="E7" s="241"/>
      <c r="F7" s="241"/>
      <c r="G7" s="242"/>
      <c r="H7" s="111" t="str">
        <f t="shared" si="0"/>
        <v/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</v>
      </c>
      <c r="Q7" s="639"/>
      <c r="R7" s="639">
        <f>IF($G$15=0,0,R5*1000/$G$15)</f>
        <v>0</v>
      </c>
      <c r="S7" s="639"/>
      <c r="T7" s="639">
        <f>IF($G$15=0,0,T5*1000/$G$15)</f>
        <v>0</v>
      </c>
      <c r="U7" s="639"/>
      <c r="V7" s="639">
        <f>IF($G$15=0,0,V5*1000/$G$15)</f>
        <v>0</v>
      </c>
      <c r="W7" s="639"/>
      <c r="X7" s="639">
        <f>IF($G$15=0,0,X5*1000/$G$15)</f>
        <v>0</v>
      </c>
      <c r="Y7" s="639"/>
      <c r="Z7" s="639">
        <f>IF($G$15=0,0,Z5*1000/$G$15)</f>
        <v>0</v>
      </c>
      <c r="AA7" s="639"/>
      <c r="AB7" s="632">
        <f>IF($G$15=0,0,AB5*1000/$G$15)</f>
        <v>0</v>
      </c>
      <c r="AC7" s="632"/>
      <c r="AD7" s="632">
        <f>IF($G$15=0,0,AD5*1000/$G$15)</f>
        <v>0</v>
      </c>
      <c r="AE7" s="632"/>
      <c r="AF7" s="627">
        <f>IF(AF5=0,0,G15/AF5)</f>
        <v>0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419"/>
      <c r="C8" s="129" t="s">
        <v>77</v>
      </c>
      <c r="D8" s="467"/>
      <c r="E8" s="241"/>
      <c r="F8" s="241"/>
      <c r="G8" s="242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/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419"/>
      <c r="C9" s="129" t="s">
        <v>78</v>
      </c>
      <c r="D9" s="467"/>
      <c r="E9" s="241"/>
      <c r="F9" s="241"/>
      <c r="G9" s="242"/>
      <c r="H9" s="111" t="str">
        <f>IF(F9=0,"",(F9-G9)/F9)</f>
        <v/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120"/>
      <c r="C10" s="129" t="s">
        <v>79</v>
      </c>
      <c r="D10" s="124"/>
      <c r="E10" s="125"/>
      <c r="F10" s="125"/>
      <c r="G10" s="126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/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 t="e">
        <f>F15/P12</f>
        <v>#DIV/0!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/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0</v>
      </c>
      <c r="F15" s="204">
        <f>SUM(F5:F14)</f>
        <v>0</v>
      </c>
      <c r="G15" s="204">
        <f>SUM(G5:G14)</f>
        <v>0</v>
      </c>
      <c r="H15" s="188" t="str">
        <f>IF(F15=0,"",(F15-G15)/F15)</f>
        <v/>
      </c>
      <c r="I15" s="719" t="s">
        <v>70</v>
      </c>
      <c r="J15" s="720"/>
      <c r="K15" s="720"/>
      <c r="L15" s="720"/>
      <c r="M15" s="720"/>
      <c r="N15" s="720"/>
      <c r="O15" s="721"/>
      <c r="P15" s="722" t="e">
        <f>F15/P14</f>
        <v>#DIV/0!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119"/>
      <c r="C16" s="130" t="s">
        <v>74</v>
      </c>
      <c r="D16" s="127"/>
      <c r="E16" s="122"/>
      <c r="F16" s="122"/>
      <c r="G16" s="123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120"/>
      <c r="C17" s="131" t="s">
        <v>75</v>
      </c>
      <c r="D17" s="128"/>
      <c r="E17" s="125"/>
      <c r="F17" s="125"/>
      <c r="G17" s="126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742">
        <f>IF($F$26=0,0,AF16*1000/$F$26)</f>
        <v>0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120"/>
      <c r="C18" s="131" t="s">
        <v>76</v>
      </c>
      <c r="D18" s="128"/>
      <c r="E18" s="125"/>
      <c r="F18" s="125"/>
      <c r="G18" s="126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742">
        <f>IF($G$26=0,0,AF16*1000/$G$26)</f>
        <v>0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120"/>
      <c r="C19" s="131" t="s">
        <v>77</v>
      </c>
      <c r="D19" s="128"/>
      <c r="E19" s="125"/>
      <c r="F19" s="125"/>
      <c r="G19" s="126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120"/>
      <c r="C20" s="131" t="s">
        <v>78</v>
      </c>
      <c r="D20" s="128"/>
      <c r="E20" s="125"/>
      <c r="F20" s="125"/>
      <c r="G20" s="126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120"/>
      <c r="C21" s="131" t="s">
        <v>79</v>
      </c>
      <c r="D21" s="128"/>
      <c r="E21" s="125"/>
      <c r="F21" s="125"/>
      <c r="G21" s="126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0</v>
      </c>
      <c r="G26" s="205">
        <f>SUM(G16:G25)</f>
        <v>0</v>
      </c>
      <c r="H26" s="196" t="str">
        <f>IF(F26=0,"",(F26-G26)/F26)</f>
        <v/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0</v>
      </c>
      <c r="Q27" s="781"/>
      <c r="R27" s="782">
        <f>SUM(R5,R16)</f>
        <v>0</v>
      </c>
      <c r="S27" s="781"/>
      <c r="T27" s="782">
        <f>SUM(T5,T16)</f>
        <v>0</v>
      </c>
      <c r="U27" s="781"/>
      <c r="V27" s="782">
        <f>SUM(V5,V16)</f>
        <v>0</v>
      </c>
      <c r="W27" s="781"/>
      <c r="X27" s="782">
        <f>SUM(X5,X16)</f>
        <v>0</v>
      </c>
      <c r="Y27" s="781"/>
      <c r="Z27" s="783">
        <f>SUM(Z5,Z16)</f>
        <v>0</v>
      </c>
      <c r="AA27" s="784"/>
      <c r="AB27" s="770">
        <f>SUM(AB5,AB16)</f>
        <v>0</v>
      </c>
      <c r="AC27" s="770"/>
      <c r="AD27" s="769">
        <f>SUM(AD5,AD16)</f>
        <v>0</v>
      </c>
      <c r="AE27" s="769"/>
      <c r="AF27" s="770">
        <f>SUM(AF5,AF16)</f>
        <v>0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0</v>
      </c>
      <c r="F28" s="140">
        <f>F15+F26</f>
        <v>0</v>
      </c>
      <c r="G28" s="140">
        <f>G15+G26</f>
        <v>0</v>
      </c>
      <c r="H28" s="141" t="str">
        <f t="shared" si="0"/>
        <v/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</v>
      </c>
      <c r="Q28" s="745"/>
      <c r="R28" s="746">
        <f t="shared" si="1"/>
        <v>0</v>
      </c>
      <c r="S28" s="745"/>
      <c r="T28" s="746">
        <f t="shared" si="1"/>
        <v>0</v>
      </c>
      <c r="U28" s="745"/>
      <c r="V28" s="800">
        <f t="shared" si="1"/>
        <v>0</v>
      </c>
      <c r="W28" s="801"/>
      <c r="X28" s="800">
        <f t="shared" si="1"/>
        <v>0</v>
      </c>
      <c r="Y28" s="801"/>
      <c r="Z28" s="746">
        <f t="shared" si="1"/>
        <v>0</v>
      </c>
      <c r="AA28" s="744"/>
      <c r="AB28" s="632">
        <f t="shared" si="1"/>
        <v>0</v>
      </c>
      <c r="AC28" s="632"/>
      <c r="AD28" s="632">
        <f t="shared" si="1"/>
        <v>0</v>
      </c>
      <c r="AE28" s="632"/>
      <c r="AF28" s="757">
        <f t="shared" si="1"/>
        <v>0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</v>
      </c>
      <c r="Q29" s="792"/>
      <c r="R29" s="771">
        <f t="shared" si="2"/>
        <v>0</v>
      </c>
      <c r="S29" s="792"/>
      <c r="T29" s="771">
        <f t="shared" si="2"/>
        <v>0</v>
      </c>
      <c r="U29" s="792"/>
      <c r="V29" s="793">
        <f t="shared" si="2"/>
        <v>0</v>
      </c>
      <c r="W29" s="794"/>
      <c r="X29" s="795">
        <f t="shared" si="2"/>
        <v>0</v>
      </c>
      <c r="Y29" s="796"/>
      <c r="Z29" s="771">
        <f t="shared" si="2"/>
        <v>0</v>
      </c>
      <c r="AA29" s="772"/>
      <c r="AB29" s="773">
        <f t="shared" si="2"/>
        <v>0</v>
      </c>
      <c r="AC29" s="773"/>
      <c r="AD29" s="773">
        <f t="shared" si="2"/>
        <v>0</v>
      </c>
      <c r="AE29" s="773"/>
      <c r="AF29" s="774">
        <f t="shared" si="2"/>
        <v>0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289">
        <f t="shared" ref="B33:B42" si="3">B5</f>
        <v>0</v>
      </c>
      <c r="C33" s="213" t="s">
        <v>74</v>
      </c>
      <c r="D33" s="293">
        <f t="shared" ref="D33:D42" si="4">D5</f>
        <v>0</v>
      </c>
      <c r="E33" s="293">
        <v>0</v>
      </c>
      <c r="F33" s="294"/>
      <c r="G33" s="62" t="str">
        <f t="shared" ref="G33:G55" si="5">IF(E33=0,"",(E33-F33)/E33)</f>
        <v/>
      </c>
      <c r="H33" s="63"/>
      <c r="I33" s="64">
        <f t="shared" ref="I33:I54" si="6">SUM(J33:AH33)</f>
        <v>0</v>
      </c>
      <c r="J33" s="453"/>
      <c r="K33" s="454"/>
      <c r="L33" s="453"/>
      <c r="M33" s="454"/>
      <c r="N33" s="453"/>
      <c r="O33" s="454"/>
      <c r="P33" s="453"/>
      <c r="Q33" s="454"/>
      <c r="R33" s="453"/>
      <c r="S33" s="454"/>
      <c r="T33" s="453"/>
      <c r="U33" s="454"/>
      <c r="V33" s="453"/>
      <c r="W33" s="454"/>
      <c r="X33" s="453"/>
      <c r="Y33" s="454"/>
      <c r="Z33" s="453"/>
      <c r="AA33" s="454"/>
      <c r="AB33" s="453"/>
      <c r="AC33" s="454"/>
      <c r="AD33" s="453"/>
      <c r="AE33" s="454"/>
      <c r="AF33" s="453"/>
      <c r="AG33" s="454"/>
      <c r="AH33" s="453"/>
      <c r="AI33" s="803"/>
      <c r="AJ33" s="804"/>
      <c r="AK33" s="528"/>
      <c r="AL33" s="529"/>
      <c r="AM33" s="530"/>
    </row>
    <row r="34" spans="1:39" ht="20.25" customHeight="1">
      <c r="A34" s="370"/>
      <c r="B34" s="160">
        <f t="shared" si="3"/>
        <v>0</v>
      </c>
      <c r="C34" s="214" t="s">
        <v>75</v>
      </c>
      <c r="D34" s="124">
        <f t="shared" si="4"/>
        <v>0</v>
      </c>
      <c r="E34" s="161">
        <f t="shared" ref="E34:E42" si="7">G6</f>
        <v>0</v>
      </c>
      <c r="F34" s="151"/>
      <c r="G34" s="70" t="str">
        <f t="shared" si="5"/>
        <v/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71"/>
      <c r="AJ34" s="72"/>
      <c r="AK34" s="73"/>
      <c r="AL34" s="74"/>
      <c r="AM34" s="75"/>
    </row>
    <row r="35" spans="1:39" ht="20.25" customHeight="1">
      <c r="A35" s="370"/>
      <c r="B35" s="290">
        <f t="shared" si="3"/>
        <v>0</v>
      </c>
      <c r="C35" s="214" t="s">
        <v>76</v>
      </c>
      <c r="D35" s="295">
        <f t="shared" si="4"/>
        <v>0</v>
      </c>
      <c r="E35" s="295">
        <v>0</v>
      </c>
      <c r="F35" s="296"/>
      <c r="G35" s="70" t="str">
        <f t="shared" si="5"/>
        <v/>
      </c>
      <c r="H35" s="63"/>
      <c r="I35" s="64">
        <f t="shared" si="6"/>
        <v>0</v>
      </c>
      <c r="J35" s="455"/>
      <c r="K35" s="456"/>
      <c r="L35" s="456"/>
      <c r="M35" s="456"/>
      <c r="N35" s="456"/>
      <c r="O35" s="456"/>
      <c r="P35" s="456"/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7"/>
      <c r="AI35" s="802"/>
      <c r="AJ35" s="614"/>
      <c r="AK35" s="523"/>
      <c r="AL35" s="74"/>
      <c r="AM35" s="75"/>
    </row>
    <row r="36" spans="1:39" ht="20.25" customHeight="1">
      <c r="A36" s="371">
        <v>1</v>
      </c>
      <c r="B36" s="160">
        <f t="shared" si="3"/>
        <v>0</v>
      </c>
      <c r="C36" s="214" t="s">
        <v>77</v>
      </c>
      <c r="D36" s="124">
        <f t="shared" si="4"/>
        <v>0</v>
      </c>
      <c r="E36" s="161">
        <f t="shared" si="7"/>
        <v>0</v>
      </c>
      <c r="F36" s="151"/>
      <c r="G36" s="70" t="str">
        <f t="shared" si="5"/>
        <v/>
      </c>
      <c r="H36" s="63"/>
      <c r="I36" s="64">
        <f t="shared" si="6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452"/>
      <c r="AJ36" s="438"/>
      <c r="AK36" s="73"/>
      <c r="AL36" s="74"/>
      <c r="AM36" s="75"/>
    </row>
    <row r="37" spans="1:39" ht="20.25" customHeight="1">
      <c r="A37" s="372"/>
      <c r="B37" s="290">
        <f t="shared" si="3"/>
        <v>0</v>
      </c>
      <c r="C37" s="214" t="s">
        <v>78</v>
      </c>
      <c r="D37" s="295">
        <f t="shared" si="4"/>
        <v>0</v>
      </c>
      <c r="E37" s="295">
        <f>G9</f>
        <v>0</v>
      </c>
      <c r="F37" s="296"/>
      <c r="G37" s="70" t="str">
        <f t="shared" si="5"/>
        <v/>
      </c>
      <c r="H37" s="63"/>
      <c r="I37" s="64">
        <f t="shared" si="6"/>
        <v>0</v>
      </c>
      <c r="J37" s="455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802"/>
      <c r="AJ37" s="614"/>
      <c r="AK37" s="827"/>
      <c r="AL37" s="828"/>
      <c r="AM37" s="829"/>
    </row>
    <row r="38" spans="1:39" ht="20.25" customHeight="1">
      <c r="A38" s="372"/>
      <c r="B38" s="162">
        <f t="shared" si="3"/>
        <v>0</v>
      </c>
      <c r="C38" s="214" t="s">
        <v>79</v>
      </c>
      <c r="D38" s="163">
        <f t="shared" si="4"/>
        <v>0</v>
      </c>
      <c r="E38" s="161">
        <f t="shared" si="7"/>
        <v>0</v>
      </c>
      <c r="F38" s="151"/>
      <c r="G38" s="70" t="str">
        <f t="shared" si="5"/>
        <v/>
      </c>
      <c r="H38" s="63"/>
      <c r="I38" s="64">
        <f t="shared" si="6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7"/>
        <v>0</v>
      </c>
      <c r="F39" s="154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162">
        <f t="shared" si="3"/>
        <v>0</v>
      </c>
      <c r="C40" s="214" t="s">
        <v>63</v>
      </c>
      <c r="D40" s="163">
        <f t="shared" si="4"/>
        <v>0</v>
      </c>
      <c r="E40" s="153">
        <f t="shared" si="7"/>
        <v>0</v>
      </c>
      <c r="F40" s="154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7"/>
        <v>0</v>
      </c>
      <c r="F41" s="209"/>
      <c r="G41" s="210" t="str">
        <f t="shared" si="5"/>
        <v/>
      </c>
      <c r="H41" s="63"/>
      <c r="I41" s="64">
        <f t="shared" si="6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0</v>
      </c>
      <c r="F43" s="145">
        <f>SUM(F33:F42)</f>
        <v>0</v>
      </c>
      <c r="G43" s="135" t="str">
        <f t="shared" si="5"/>
        <v/>
      </c>
      <c r="H43" s="63"/>
      <c r="I43" s="376">
        <f t="shared" si="6"/>
        <v>0</v>
      </c>
      <c r="J43" s="77">
        <f>SUM(J33:J42)</f>
        <v>0</v>
      </c>
      <c r="K43" s="78">
        <f t="shared" ref="K43:AH43" si="8">SUM(K33:K42)</f>
        <v>0</v>
      </c>
      <c r="L43" s="78">
        <f t="shared" si="8"/>
        <v>0</v>
      </c>
      <c r="M43" s="78">
        <f t="shared" si="8"/>
        <v>0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0</v>
      </c>
      <c r="R43" s="78">
        <f t="shared" si="8"/>
        <v>0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0</v>
      </c>
      <c r="W43" s="78">
        <f t="shared" si="8"/>
        <v>0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0</v>
      </c>
      <c r="AC43" s="78">
        <f t="shared" si="8"/>
        <v>0</v>
      </c>
      <c r="AD43" s="78">
        <f t="shared" si="8"/>
        <v>0</v>
      </c>
      <c r="AE43" s="78">
        <f t="shared" si="8"/>
        <v>0</v>
      </c>
      <c r="AF43" s="78">
        <f t="shared" si="8"/>
        <v>0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81">
        <f t="shared" ref="B44:B53" si="9">B16</f>
        <v>0</v>
      </c>
      <c r="C44" s="382" t="s">
        <v>74</v>
      </c>
      <c r="D44" s="121">
        <f t="shared" ref="D44:D53" si="10">D16</f>
        <v>0</v>
      </c>
      <c r="E44" s="122">
        <f t="shared" ref="E44:E53" si="11">G16</f>
        <v>0</v>
      </c>
      <c r="F44" s="148"/>
      <c r="G44" s="62" t="str">
        <f t="shared" si="5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8"/>
      <c r="AJ44" s="819"/>
      <c r="AK44" s="82"/>
      <c r="AL44" s="83"/>
      <c r="AM44" s="84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si="11"/>
        <v>0</v>
      </c>
      <c r="F45" s="151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149">
        <f t="shared" si="9"/>
        <v>0</v>
      </c>
      <c r="C46" s="217" t="s">
        <v>76</v>
      </c>
      <c r="D46" s="152">
        <f t="shared" si="10"/>
        <v>0</v>
      </c>
      <c r="E46" s="153">
        <f t="shared" si="11"/>
        <v>0</v>
      </c>
      <c r="F46" s="154"/>
      <c r="G46" s="70" t="str">
        <f t="shared" si="5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814"/>
      <c r="AJ46" s="815"/>
      <c r="AK46" s="74"/>
      <c r="AL46" s="74"/>
      <c r="AM46" s="75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149">
        <f t="shared" si="9"/>
        <v>0</v>
      </c>
      <c r="C48" s="217" t="s">
        <v>78</v>
      </c>
      <c r="D48" s="155">
        <f t="shared" si="10"/>
        <v>0</v>
      </c>
      <c r="E48" s="153">
        <f t="shared" si="11"/>
        <v>0</v>
      </c>
      <c r="F48" s="154"/>
      <c r="G48" s="70" t="str">
        <f t="shared" si="5"/>
        <v/>
      </c>
      <c r="H48" s="63"/>
      <c r="I48" s="64">
        <f t="shared" si="6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75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5"/>
        <v/>
      </c>
      <c r="H54" s="63"/>
      <c r="I54" s="87">
        <f t="shared" si="6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0</v>
      </c>
      <c r="F55" s="164">
        <f>F43+F54</f>
        <v>0</v>
      </c>
      <c r="G55" s="165" t="str">
        <f t="shared" si="5"/>
        <v/>
      </c>
      <c r="H55" s="95"/>
      <c r="I55" s="96">
        <f>SUM(I43,I54)</f>
        <v>0</v>
      </c>
      <c r="J55" s="97">
        <f>SUM(J43,J54)</f>
        <v>0</v>
      </c>
      <c r="K55" s="97">
        <f t="shared" ref="K55:AH55" si="13">SUM(K43,K54)</f>
        <v>0</v>
      </c>
      <c r="L55" s="97">
        <f t="shared" si="13"/>
        <v>0</v>
      </c>
      <c r="M55" s="97">
        <f t="shared" si="13"/>
        <v>0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0</v>
      </c>
      <c r="R55" s="97">
        <f t="shared" si="13"/>
        <v>0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0</v>
      </c>
      <c r="W55" s="97">
        <f t="shared" si="13"/>
        <v>0</v>
      </c>
      <c r="X55" s="97">
        <f t="shared" si="13"/>
        <v>0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0</v>
      </c>
      <c r="AC55" s="97">
        <f t="shared" si="13"/>
        <v>0</v>
      </c>
      <c r="AD55" s="97">
        <f t="shared" si="13"/>
        <v>0</v>
      </c>
      <c r="AE55" s="97">
        <f t="shared" si="13"/>
        <v>0</v>
      </c>
      <c r="AF55" s="97">
        <f t="shared" si="13"/>
        <v>0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3">
    <mergeCell ref="AI37:AJ37"/>
    <mergeCell ref="AK37:AM37"/>
    <mergeCell ref="AI33:AJ33"/>
    <mergeCell ref="AI35:AJ35"/>
    <mergeCell ref="AI31:AJ32"/>
    <mergeCell ref="AK31:AM32"/>
    <mergeCell ref="AI44:AJ44"/>
    <mergeCell ref="AI45:AJ45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AF27:AG27"/>
    <mergeCell ref="X26:Y26"/>
    <mergeCell ref="Z26:AA26"/>
    <mergeCell ref="AB26:AC26"/>
    <mergeCell ref="AF29:AG29"/>
    <mergeCell ref="AH29:AI29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AJ28:AK28"/>
    <mergeCell ref="Z29:AA29"/>
    <mergeCell ref="AB29:AC29"/>
    <mergeCell ref="AD29:AE29"/>
    <mergeCell ref="I25:O25"/>
    <mergeCell ref="R24:S24"/>
    <mergeCell ref="T24:U24"/>
    <mergeCell ref="V24:W24"/>
    <mergeCell ref="X24:Y24"/>
    <mergeCell ref="Z24:AA24"/>
    <mergeCell ref="AB24:AC24"/>
    <mergeCell ref="P25:Q25"/>
    <mergeCell ref="T28:U28"/>
    <mergeCell ref="V28:W28"/>
    <mergeCell ref="X28:Y28"/>
    <mergeCell ref="P28:Q28"/>
    <mergeCell ref="R28:S28"/>
    <mergeCell ref="AF18:AG18"/>
    <mergeCell ref="AH18:AI18"/>
    <mergeCell ref="AJ18:AK18"/>
    <mergeCell ref="AJ24:AK24"/>
    <mergeCell ref="AF24:AG24"/>
    <mergeCell ref="AH24:AI24"/>
    <mergeCell ref="I18:O18"/>
    <mergeCell ref="P18:Q18"/>
    <mergeCell ref="R18:S18"/>
    <mergeCell ref="T18:U18"/>
    <mergeCell ref="V18:W18"/>
    <mergeCell ref="X18:Y18"/>
    <mergeCell ref="AD24:AE24"/>
    <mergeCell ref="I24:O24"/>
    <mergeCell ref="P24:Q24"/>
    <mergeCell ref="Z18:AA18"/>
    <mergeCell ref="AB18:AC18"/>
    <mergeCell ref="AD18:AE18"/>
    <mergeCell ref="I23:O23"/>
    <mergeCell ref="P23:Q23"/>
    <mergeCell ref="I22:O22"/>
    <mergeCell ref="P22:Q22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H8:AI8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AD2:AE2"/>
    <mergeCell ref="AF2:AG2"/>
    <mergeCell ref="Z7:AA7"/>
    <mergeCell ref="AB7:AC7"/>
    <mergeCell ref="AD7:AE7"/>
    <mergeCell ref="AF7:AG7"/>
    <mergeCell ref="T4:U4"/>
    <mergeCell ref="V4:W4"/>
    <mergeCell ref="X4:Y4"/>
    <mergeCell ref="Z2:AA2"/>
    <mergeCell ref="AB2:AC2"/>
    <mergeCell ref="AB6:AC6"/>
    <mergeCell ref="AD6:AE6"/>
    <mergeCell ref="AF6:AG6"/>
    <mergeCell ref="T7:U7"/>
    <mergeCell ref="AD5:AE5"/>
    <mergeCell ref="Z6:AA6"/>
    <mergeCell ref="V7:W7"/>
    <mergeCell ref="X7:Y7"/>
    <mergeCell ref="Z8:AA8"/>
    <mergeCell ref="AB8:AC8"/>
    <mergeCell ref="AD8:AE8"/>
    <mergeCell ref="AF8:AG8"/>
    <mergeCell ref="AJ3:AK3"/>
    <mergeCell ref="P4:Q4"/>
    <mergeCell ref="AH7:AI7"/>
    <mergeCell ref="I6:O6"/>
    <mergeCell ref="P6:Q6"/>
    <mergeCell ref="R6:S6"/>
    <mergeCell ref="T6:U6"/>
    <mergeCell ref="V6:W6"/>
    <mergeCell ref="X6:Y6"/>
    <mergeCell ref="AF5:AG5"/>
    <mergeCell ref="AH5:AI5"/>
    <mergeCell ref="I5:O5"/>
    <mergeCell ref="P5:Q5"/>
    <mergeCell ref="R5:S5"/>
    <mergeCell ref="T5:U5"/>
    <mergeCell ref="V5:W5"/>
    <mergeCell ref="X5:Y5"/>
    <mergeCell ref="Z5:AA5"/>
    <mergeCell ref="AB5:AC5"/>
    <mergeCell ref="AH6:AI6"/>
    <mergeCell ref="M1:N1"/>
    <mergeCell ref="R1:U1"/>
    <mergeCell ref="E2:H2"/>
    <mergeCell ref="I2:O4"/>
    <mergeCell ref="P2:Q3"/>
    <mergeCell ref="R2:S2"/>
    <mergeCell ref="T2:U2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H4:AI4"/>
    <mergeCell ref="AF3:AG3"/>
    <mergeCell ref="AH3:AI3"/>
    <mergeCell ref="Z4:AA4"/>
    <mergeCell ref="AB4:AC4"/>
    <mergeCell ref="A43:D43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  <mergeCell ref="AB9:AC9"/>
    <mergeCell ref="AD9:AE9"/>
  </mergeCells>
  <dataValidations disablePrompts="1"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theme="0" tint="-4.9989318521683403E-2"/>
    <pageSetUpPr fitToPage="1"/>
  </sheetPr>
  <dimension ref="A1:AM59"/>
  <sheetViews>
    <sheetView showGridLines="0" zoomScale="70" zoomScaleNormal="70" workbookViewId="0">
      <selection activeCell="X18" sqref="X18:Y18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18.25" style="9" customWidth="1"/>
    <col min="5" max="7" width="12" style="9" customWidth="1"/>
    <col min="8" max="8" width="11" style="9" customWidth="1"/>
    <col min="9" max="22" width="4.5" style="9" customWidth="1"/>
    <col min="23" max="32" width="4.5" style="13" customWidth="1"/>
    <col min="33" max="35" width="4.5" style="17" customWidth="1"/>
    <col min="36" max="36" width="22.25" style="17" customWidth="1"/>
    <col min="37" max="38" width="4.5" style="17" customWidth="1"/>
    <col min="39" max="39" width="13.332031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 t="s">
        <v>117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520"/>
      <c r="C5" s="129" t="s">
        <v>74</v>
      </c>
      <c r="D5" s="237"/>
      <c r="E5" s="237"/>
      <c r="F5" s="237"/>
      <c r="G5" s="238"/>
      <c r="H5" s="110" t="str">
        <f t="shared" ref="H5:H28" si="0">IF(F5=0,"",(F5-G5)/F5)</f>
        <v/>
      </c>
      <c r="I5" s="675" t="s">
        <v>33</v>
      </c>
      <c r="J5" s="676"/>
      <c r="K5" s="676"/>
      <c r="L5" s="676"/>
      <c r="M5" s="676"/>
      <c r="N5" s="676"/>
      <c r="O5" s="677"/>
      <c r="P5" s="678">
        <v>0</v>
      </c>
      <c r="Q5" s="679"/>
      <c r="R5" s="680">
        <v>0</v>
      </c>
      <c r="S5" s="679"/>
      <c r="T5" s="681">
        <v>0</v>
      </c>
      <c r="U5" s="682"/>
      <c r="V5" s="683">
        <v>0</v>
      </c>
      <c r="W5" s="684"/>
      <c r="X5" s="685">
        <v>0</v>
      </c>
      <c r="Y5" s="686"/>
      <c r="Z5" s="687">
        <v>0</v>
      </c>
      <c r="AA5" s="688"/>
      <c r="AB5" s="674">
        <v>0</v>
      </c>
      <c r="AC5" s="674"/>
      <c r="AD5" s="689">
        <f>SUM(AF5:AK5)*0.025</f>
        <v>0</v>
      </c>
      <c r="AE5" s="689"/>
      <c r="AF5" s="674">
        <v>0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221"/>
      <c r="C6" s="129" t="s">
        <v>75</v>
      </c>
      <c r="D6" s="240"/>
      <c r="E6" s="241"/>
      <c r="F6" s="241"/>
      <c r="G6" s="242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</v>
      </c>
      <c r="Q6" s="673"/>
      <c r="R6" s="673">
        <f>IF($F$15=0,0,R5*1000/$F$15)</f>
        <v>0</v>
      </c>
      <c r="S6" s="673"/>
      <c r="T6" s="673">
        <f>IF($F$15=0,0,T5*1000/$F$15)</f>
        <v>0</v>
      </c>
      <c r="U6" s="673"/>
      <c r="V6" s="673">
        <f>IF($F$15=0,0,V5*1000/$F$15)</f>
        <v>0</v>
      </c>
      <c r="W6" s="673"/>
      <c r="X6" s="673">
        <f>IF($F$15=0,0,X5*1000/$F$15)</f>
        <v>0</v>
      </c>
      <c r="Y6" s="673"/>
      <c r="Z6" s="673">
        <f>IF($F$15=0,0,Z5*1000/$F$15)</f>
        <v>0</v>
      </c>
      <c r="AA6" s="673"/>
      <c r="AB6" s="632">
        <f>IF($F$15=0,0,AB5*1000/$F$15)</f>
        <v>0</v>
      </c>
      <c r="AC6" s="632"/>
      <c r="AD6" s="632">
        <f>IF($F$15=0,0,AD5*1000/$F$15)</f>
        <v>0</v>
      </c>
      <c r="AE6" s="632"/>
      <c r="AF6" s="627">
        <f>IF(AF5=0,0,F15/AF5)</f>
        <v>0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221"/>
      <c r="C7" s="129" t="s">
        <v>76</v>
      </c>
      <c r="D7" s="240"/>
      <c r="E7" s="241"/>
      <c r="F7" s="241"/>
      <c r="G7" s="242"/>
      <c r="H7" s="111" t="str">
        <f t="shared" si="0"/>
        <v/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</v>
      </c>
      <c r="Q7" s="639"/>
      <c r="R7" s="639">
        <f>IF($G$15=0,0,R5*1000/$G$15)</f>
        <v>0</v>
      </c>
      <c r="S7" s="639"/>
      <c r="T7" s="639">
        <f>IF($G$15=0,0,T5*1000/$G$15)</f>
        <v>0</v>
      </c>
      <c r="U7" s="639"/>
      <c r="V7" s="639">
        <f>IF($G$15=0,0,V5*1000/$G$15)</f>
        <v>0</v>
      </c>
      <c r="W7" s="639"/>
      <c r="X7" s="639">
        <f>IF($G$15=0,0,X5*1000/$G$15)</f>
        <v>0</v>
      </c>
      <c r="Y7" s="639"/>
      <c r="Z7" s="639">
        <f>IF($G$15=0,0,Z5*1000/$G$15)</f>
        <v>0</v>
      </c>
      <c r="AA7" s="639"/>
      <c r="AB7" s="632">
        <f>IF($G$15=0,0,AB5*1000/$G$15)</f>
        <v>0</v>
      </c>
      <c r="AC7" s="632"/>
      <c r="AD7" s="632">
        <f>IF($G$15=0,0,AD5*1000/$G$15)</f>
        <v>0</v>
      </c>
      <c r="AE7" s="632"/>
      <c r="AF7" s="627">
        <f>IF(AF5=0,0,G15/AF5)</f>
        <v>0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221"/>
      <c r="C8" s="129" t="s">
        <v>77</v>
      </c>
      <c r="D8" s="240"/>
      <c r="E8" s="241"/>
      <c r="F8" s="241"/>
      <c r="G8" s="242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/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221"/>
      <c r="C9" s="129" t="s">
        <v>78</v>
      </c>
      <c r="D9" s="240"/>
      <c r="E9" s="241"/>
      <c r="F9" s="241"/>
      <c r="G9" s="242"/>
      <c r="H9" s="111" t="str">
        <f>IF(F9=0,"",(F9-G9)/F9)</f>
        <v/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120"/>
      <c r="C10" s="129" t="s">
        <v>79</v>
      </c>
      <c r="D10" s="124"/>
      <c r="E10" s="125"/>
      <c r="F10" s="125"/>
      <c r="G10" s="126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/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 t="e">
        <f>F15/P12</f>
        <v>#DIV/0!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/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0</v>
      </c>
      <c r="F15" s="204">
        <f>SUM(F5:F14)</f>
        <v>0</v>
      </c>
      <c r="G15" s="204">
        <f>SUM(G5:G14)</f>
        <v>0</v>
      </c>
      <c r="H15" s="188" t="str">
        <f>IF(F15=0,"",(F15-G15)/F15)</f>
        <v/>
      </c>
      <c r="I15" s="719" t="s">
        <v>70</v>
      </c>
      <c r="J15" s="720"/>
      <c r="K15" s="720"/>
      <c r="L15" s="720"/>
      <c r="M15" s="720"/>
      <c r="N15" s="720"/>
      <c r="O15" s="721"/>
      <c r="P15" s="722" t="e">
        <f>F15/P14</f>
        <v>#DIV/0!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224"/>
      <c r="C16" s="130" t="s">
        <v>74</v>
      </c>
      <c r="D16" s="250"/>
      <c r="E16" s="237"/>
      <c r="F16" s="237"/>
      <c r="G16" s="238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362"/>
      <c r="C17" s="131" t="s">
        <v>75</v>
      </c>
      <c r="D17" s="241"/>
      <c r="E17" s="241"/>
      <c r="F17" s="241"/>
      <c r="G17" s="242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742">
        <f>IF(AF16=0,0,F26/AF16)</f>
        <v>0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362"/>
      <c r="C18" s="131" t="s">
        <v>76</v>
      </c>
      <c r="D18" s="241"/>
      <c r="E18" s="241"/>
      <c r="F18" s="241"/>
      <c r="G18" s="242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742">
        <f>IF(AF16=0,0,G26/AF16)</f>
        <v>0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221"/>
      <c r="C19" s="131" t="s">
        <v>77</v>
      </c>
      <c r="D19" s="241"/>
      <c r="E19" s="241"/>
      <c r="F19" s="241"/>
      <c r="G19" s="242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221"/>
      <c r="C20" s="131" t="s">
        <v>78</v>
      </c>
      <c r="D20" s="241"/>
      <c r="E20" s="241"/>
      <c r="F20" s="241"/>
      <c r="G20" s="242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120"/>
      <c r="C21" s="131" t="s">
        <v>79</v>
      </c>
      <c r="D21" s="128"/>
      <c r="E21" s="125"/>
      <c r="F21" s="125"/>
      <c r="G21" s="126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0</v>
      </c>
      <c r="G26" s="205">
        <f>SUM(G16:G25)</f>
        <v>0</v>
      </c>
      <c r="H26" s="196" t="str">
        <f>IF(F26=0,"",(F26-G26)/F26)</f>
        <v/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0</v>
      </c>
      <c r="Q27" s="781"/>
      <c r="R27" s="782">
        <f>SUM(R5,R16)</f>
        <v>0</v>
      </c>
      <c r="S27" s="781"/>
      <c r="T27" s="782">
        <f>SUM(T5,T16)</f>
        <v>0</v>
      </c>
      <c r="U27" s="781"/>
      <c r="V27" s="782">
        <f>SUM(V5,V16)</f>
        <v>0</v>
      </c>
      <c r="W27" s="781"/>
      <c r="X27" s="782">
        <f>SUM(X5,X16)</f>
        <v>0</v>
      </c>
      <c r="Y27" s="781"/>
      <c r="Z27" s="783">
        <f>SUM(Z5,Z16)</f>
        <v>0</v>
      </c>
      <c r="AA27" s="784"/>
      <c r="AB27" s="770">
        <f>SUM(AB5,AB16)</f>
        <v>0</v>
      </c>
      <c r="AC27" s="770"/>
      <c r="AD27" s="769">
        <f>SUM(AD5,AD16)</f>
        <v>0</v>
      </c>
      <c r="AE27" s="769"/>
      <c r="AF27" s="770">
        <f>SUM(AF5,AF16)</f>
        <v>0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0</v>
      </c>
      <c r="F28" s="140">
        <f>F15+F26</f>
        <v>0</v>
      </c>
      <c r="G28" s="140">
        <f>G15+G26</f>
        <v>0</v>
      </c>
      <c r="H28" s="141" t="str">
        <f t="shared" si="0"/>
        <v/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</v>
      </c>
      <c r="Q28" s="745"/>
      <c r="R28" s="746">
        <f t="shared" si="1"/>
        <v>0</v>
      </c>
      <c r="S28" s="745"/>
      <c r="T28" s="746">
        <f t="shared" si="1"/>
        <v>0</v>
      </c>
      <c r="U28" s="745"/>
      <c r="V28" s="800">
        <f t="shared" si="1"/>
        <v>0</v>
      </c>
      <c r="W28" s="801"/>
      <c r="X28" s="800">
        <f t="shared" si="1"/>
        <v>0</v>
      </c>
      <c r="Y28" s="801"/>
      <c r="Z28" s="746">
        <f t="shared" si="1"/>
        <v>0</v>
      </c>
      <c r="AA28" s="744"/>
      <c r="AB28" s="632">
        <f t="shared" si="1"/>
        <v>0</v>
      </c>
      <c r="AC28" s="632"/>
      <c r="AD28" s="632">
        <f t="shared" si="1"/>
        <v>0</v>
      </c>
      <c r="AE28" s="632"/>
      <c r="AF28" s="757">
        <f t="shared" si="1"/>
        <v>0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</v>
      </c>
      <c r="Q29" s="792"/>
      <c r="R29" s="771">
        <f t="shared" si="2"/>
        <v>0</v>
      </c>
      <c r="S29" s="792"/>
      <c r="T29" s="771">
        <f t="shared" si="2"/>
        <v>0</v>
      </c>
      <c r="U29" s="792"/>
      <c r="V29" s="793">
        <f t="shared" si="2"/>
        <v>0</v>
      </c>
      <c r="W29" s="794"/>
      <c r="X29" s="795">
        <f t="shared" si="2"/>
        <v>0</v>
      </c>
      <c r="Y29" s="796"/>
      <c r="Z29" s="771">
        <f t="shared" si="2"/>
        <v>0</v>
      </c>
      <c r="AA29" s="772"/>
      <c r="AB29" s="773">
        <f t="shared" si="2"/>
        <v>0</v>
      </c>
      <c r="AC29" s="773"/>
      <c r="AD29" s="773">
        <f t="shared" si="2"/>
        <v>0</v>
      </c>
      <c r="AE29" s="773"/>
      <c r="AF29" s="774">
        <f t="shared" si="2"/>
        <v>0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289">
        <f t="shared" ref="B33:B42" si="3">B5</f>
        <v>0</v>
      </c>
      <c r="C33" s="213" t="s">
        <v>74</v>
      </c>
      <c r="D33" s="293">
        <f t="shared" ref="D33:D42" si="4">D5</f>
        <v>0</v>
      </c>
      <c r="E33" s="293">
        <f t="shared" ref="E33:E42" si="5">G5</f>
        <v>0</v>
      </c>
      <c r="F33" s="294"/>
      <c r="G33" s="62" t="str">
        <f t="shared" ref="G33:G55" si="6">IF(E33=0,"",(E33-F33)/E33)</f>
        <v/>
      </c>
      <c r="H33" s="63"/>
      <c r="I33" s="64">
        <f t="shared" ref="I33:I54" si="7">SUM(J33:AH33)</f>
        <v>0</v>
      </c>
      <c r="J33" s="453"/>
      <c r="K33" s="454"/>
      <c r="L33" s="453"/>
      <c r="M33" s="454"/>
      <c r="N33" s="453"/>
      <c r="O33" s="454"/>
      <c r="P33" s="453"/>
      <c r="Q33" s="454"/>
      <c r="R33" s="453"/>
      <c r="S33" s="454"/>
      <c r="T33" s="453"/>
      <c r="U33" s="454"/>
      <c r="V33" s="453"/>
      <c r="W33" s="454"/>
      <c r="X33" s="453"/>
      <c r="Y33" s="454"/>
      <c r="Z33" s="453"/>
      <c r="AA33" s="454"/>
      <c r="AB33" s="453"/>
      <c r="AC33" s="454"/>
      <c r="AD33" s="453"/>
      <c r="AE33" s="454"/>
      <c r="AF33" s="453"/>
      <c r="AG33" s="454"/>
      <c r="AH33" s="453"/>
      <c r="AI33" s="910"/>
      <c r="AJ33" s="911"/>
      <c r="AK33" s="515"/>
      <c r="AL33" s="516"/>
      <c r="AM33" s="461"/>
    </row>
    <row r="34" spans="1:39" ht="20.25" customHeight="1">
      <c r="A34" s="370"/>
      <c r="B34" s="290">
        <f t="shared" si="3"/>
        <v>0</v>
      </c>
      <c r="C34" s="214" t="s">
        <v>75</v>
      </c>
      <c r="D34" s="295">
        <f t="shared" si="4"/>
        <v>0</v>
      </c>
      <c r="E34" s="295">
        <v>0</v>
      </c>
      <c r="F34" s="296"/>
      <c r="G34" s="70" t="str">
        <f t="shared" si="6"/>
        <v/>
      </c>
      <c r="H34" s="63"/>
      <c r="I34" s="64">
        <f t="shared" si="7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521"/>
      <c r="AJ34" s="522"/>
      <c r="AK34" s="73"/>
      <c r="AL34" s="74"/>
      <c r="AM34" s="75"/>
    </row>
    <row r="35" spans="1:39" ht="20.25" customHeight="1">
      <c r="A35" s="370"/>
      <c r="B35" s="290">
        <f t="shared" si="3"/>
        <v>0</v>
      </c>
      <c r="C35" s="214" t="s">
        <v>76</v>
      </c>
      <c r="D35" s="295">
        <f t="shared" si="4"/>
        <v>0</v>
      </c>
      <c r="E35" s="295">
        <v>0</v>
      </c>
      <c r="F35" s="296"/>
      <c r="G35" s="70" t="str">
        <f t="shared" si="6"/>
        <v/>
      </c>
      <c r="H35" s="63"/>
      <c r="I35" s="64">
        <f t="shared" si="7"/>
        <v>0</v>
      </c>
      <c r="J35" s="455"/>
      <c r="K35" s="456"/>
      <c r="L35" s="456"/>
      <c r="M35" s="456"/>
      <c r="N35" s="456"/>
      <c r="O35" s="456"/>
      <c r="P35" s="456"/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7"/>
      <c r="AI35" s="513"/>
      <c r="AJ35" s="514"/>
      <c r="AK35" s="73"/>
      <c r="AL35" s="74"/>
      <c r="AM35" s="75"/>
    </row>
    <row r="36" spans="1:39" ht="20.25" customHeight="1">
      <c r="A36" s="371">
        <v>1</v>
      </c>
      <c r="B36" s="160">
        <f t="shared" si="3"/>
        <v>0</v>
      </c>
      <c r="C36" s="214" t="s">
        <v>77</v>
      </c>
      <c r="D36" s="124">
        <f t="shared" si="4"/>
        <v>0</v>
      </c>
      <c r="E36" s="161">
        <f t="shared" si="5"/>
        <v>0</v>
      </c>
      <c r="F36" s="151"/>
      <c r="G36" s="70" t="str">
        <f t="shared" si="6"/>
        <v/>
      </c>
      <c r="H36" s="63"/>
      <c r="I36" s="64">
        <f t="shared" si="7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513"/>
      <c r="AJ36" s="514"/>
      <c r="AK36" s="73"/>
      <c r="AL36" s="74"/>
      <c r="AM36" s="75"/>
    </row>
    <row r="37" spans="1:39" ht="20.25" customHeight="1">
      <c r="A37" s="372"/>
      <c r="B37" s="290">
        <f t="shared" si="3"/>
        <v>0</v>
      </c>
      <c r="C37" s="214" t="s">
        <v>78</v>
      </c>
      <c r="D37" s="295">
        <f t="shared" si="4"/>
        <v>0</v>
      </c>
      <c r="E37" s="295">
        <f t="shared" si="5"/>
        <v>0</v>
      </c>
      <c r="F37" s="296"/>
      <c r="G37" s="70" t="str">
        <f t="shared" si="6"/>
        <v/>
      </c>
      <c r="H37" s="63"/>
      <c r="I37" s="64">
        <f t="shared" si="7"/>
        <v>0</v>
      </c>
      <c r="J37" s="455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816"/>
      <c r="AJ37" s="817"/>
      <c r="AK37" s="517"/>
      <c r="AL37" s="518"/>
      <c r="AM37" s="410"/>
    </row>
    <row r="38" spans="1:39" ht="20.25" customHeight="1">
      <c r="A38" s="372"/>
      <c r="B38" s="162">
        <f t="shared" si="3"/>
        <v>0</v>
      </c>
      <c r="C38" s="214" t="s">
        <v>79</v>
      </c>
      <c r="D38" s="163">
        <f t="shared" si="4"/>
        <v>0</v>
      </c>
      <c r="E38" s="161">
        <f t="shared" si="5"/>
        <v>0</v>
      </c>
      <c r="F38" s="151"/>
      <c r="G38" s="70" t="str">
        <f t="shared" si="6"/>
        <v/>
      </c>
      <c r="H38" s="63"/>
      <c r="I38" s="64">
        <f t="shared" si="7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5"/>
        <v>0</v>
      </c>
      <c r="F39" s="154"/>
      <c r="G39" s="70" t="str">
        <f t="shared" si="6"/>
        <v/>
      </c>
      <c r="H39" s="63"/>
      <c r="I39" s="64">
        <f t="shared" si="7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162">
        <f t="shared" si="3"/>
        <v>0</v>
      </c>
      <c r="C40" s="214" t="s">
        <v>63</v>
      </c>
      <c r="D40" s="163">
        <f t="shared" si="4"/>
        <v>0</v>
      </c>
      <c r="E40" s="153">
        <f t="shared" si="5"/>
        <v>0</v>
      </c>
      <c r="F40" s="154"/>
      <c r="G40" s="70" t="str">
        <f t="shared" si="6"/>
        <v/>
      </c>
      <c r="H40" s="63"/>
      <c r="I40" s="64">
        <f t="shared" si="7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5"/>
        <v>0</v>
      </c>
      <c r="F41" s="209"/>
      <c r="G41" s="210" t="str">
        <f t="shared" si="6"/>
        <v/>
      </c>
      <c r="H41" s="63"/>
      <c r="I41" s="64">
        <f t="shared" si="7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5"/>
        <v>0</v>
      </c>
      <c r="F42" s="158"/>
      <c r="G42" s="144" t="str">
        <f t="shared" si="6"/>
        <v/>
      </c>
      <c r="H42" s="63"/>
      <c r="I42" s="64">
        <f t="shared" si="7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0</v>
      </c>
      <c r="F43" s="145">
        <f>SUM(F33:F42)</f>
        <v>0</v>
      </c>
      <c r="G43" s="135" t="str">
        <f t="shared" si="6"/>
        <v/>
      </c>
      <c r="H43" s="63"/>
      <c r="I43" s="376">
        <f t="shared" si="7"/>
        <v>0</v>
      </c>
      <c r="J43" s="77">
        <f>SUM(J33:J42)</f>
        <v>0</v>
      </c>
      <c r="K43" s="78">
        <f t="shared" ref="K43:AH43" si="8">SUM(K33:K42)</f>
        <v>0</v>
      </c>
      <c r="L43" s="78">
        <f t="shared" si="8"/>
        <v>0</v>
      </c>
      <c r="M43" s="78">
        <f t="shared" si="8"/>
        <v>0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0</v>
      </c>
      <c r="R43" s="78">
        <f t="shared" si="8"/>
        <v>0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0</v>
      </c>
      <c r="W43" s="78">
        <f t="shared" si="8"/>
        <v>0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0</v>
      </c>
      <c r="AC43" s="78">
        <f t="shared" si="8"/>
        <v>0</v>
      </c>
      <c r="AD43" s="78">
        <f t="shared" si="8"/>
        <v>0</v>
      </c>
      <c r="AE43" s="78">
        <f t="shared" si="8"/>
        <v>0</v>
      </c>
      <c r="AF43" s="78">
        <f t="shared" si="8"/>
        <v>0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92">
        <f t="shared" ref="B44:B53" si="9">B16</f>
        <v>0</v>
      </c>
      <c r="C44" s="382" t="s">
        <v>74</v>
      </c>
      <c r="D44" s="293">
        <f t="shared" ref="D44:D53" si="10">D16</f>
        <v>0</v>
      </c>
      <c r="E44" s="293">
        <v>0</v>
      </c>
      <c r="F44" s="294"/>
      <c r="G44" s="62" t="str">
        <f t="shared" si="6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8"/>
      <c r="AJ44" s="819"/>
      <c r="AK44" s="82"/>
      <c r="AL44" s="83"/>
      <c r="AM44" s="84"/>
    </row>
    <row r="45" spans="1:39" ht="20.25" customHeight="1">
      <c r="A45" s="384"/>
      <c r="B45" s="300">
        <f t="shared" si="9"/>
        <v>0</v>
      </c>
      <c r="C45" s="216" t="s">
        <v>75</v>
      </c>
      <c r="D45" s="302">
        <f t="shared" si="10"/>
        <v>0</v>
      </c>
      <c r="E45" s="303">
        <v>0</v>
      </c>
      <c r="F45" s="296"/>
      <c r="G45" s="70" t="str">
        <f t="shared" si="6"/>
        <v/>
      </c>
      <c r="H45" s="63"/>
      <c r="I45" s="64">
        <f t="shared" si="7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300">
        <f t="shared" si="9"/>
        <v>0</v>
      </c>
      <c r="C46" s="217" t="s">
        <v>76</v>
      </c>
      <c r="D46" s="304">
        <f t="shared" si="10"/>
        <v>0</v>
      </c>
      <c r="E46" s="297">
        <v>0</v>
      </c>
      <c r="F46" s="319"/>
      <c r="G46" s="70" t="str">
        <f t="shared" si="6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814"/>
      <c r="AJ46" s="815"/>
      <c r="AK46" s="74"/>
      <c r="AL46" s="74"/>
      <c r="AM46" s="75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ref="E47:E53" si="11">G19</f>
        <v>0</v>
      </c>
      <c r="F47" s="154"/>
      <c r="G47" s="70" t="str">
        <f t="shared" si="6"/>
        <v/>
      </c>
      <c r="H47" s="63"/>
      <c r="I47" s="64">
        <f t="shared" si="7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300">
        <f t="shared" si="9"/>
        <v>0</v>
      </c>
      <c r="C48" s="217" t="s">
        <v>78</v>
      </c>
      <c r="D48" s="305">
        <f t="shared" si="10"/>
        <v>0</v>
      </c>
      <c r="E48" s="297">
        <v>0</v>
      </c>
      <c r="F48" s="319"/>
      <c r="G48" s="70" t="str">
        <f t="shared" si="6"/>
        <v/>
      </c>
      <c r="H48" s="63"/>
      <c r="I48" s="64">
        <f t="shared" si="7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75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6"/>
        <v/>
      </c>
      <c r="H49" s="63"/>
      <c r="I49" s="64">
        <f t="shared" si="7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6"/>
        <v/>
      </c>
      <c r="H50" s="63"/>
      <c r="I50" s="64">
        <f t="shared" si="7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6"/>
        <v/>
      </c>
      <c r="H51" s="63"/>
      <c r="I51" s="64">
        <f t="shared" si="7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6"/>
        <v/>
      </c>
      <c r="H52" s="63"/>
      <c r="I52" s="64">
        <f t="shared" si="7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6"/>
        <v/>
      </c>
      <c r="H53" s="63"/>
      <c r="I53" s="64">
        <f t="shared" si="7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6"/>
        <v/>
      </c>
      <c r="H54" s="63"/>
      <c r="I54" s="87">
        <f t="shared" si="7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0</v>
      </c>
      <c r="F55" s="164">
        <f>F43+F54</f>
        <v>0</v>
      </c>
      <c r="G55" s="165" t="str">
        <f t="shared" si="6"/>
        <v/>
      </c>
      <c r="H55" s="95"/>
      <c r="I55" s="96">
        <f>SUM(I43,I54)</f>
        <v>0</v>
      </c>
      <c r="J55" s="97">
        <f>SUM(J43,J54)</f>
        <v>0</v>
      </c>
      <c r="K55" s="97">
        <f t="shared" ref="K55:AH55" si="13">SUM(K43,K54)</f>
        <v>0</v>
      </c>
      <c r="L55" s="97">
        <f t="shared" si="13"/>
        <v>0</v>
      </c>
      <c r="M55" s="97">
        <f t="shared" si="13"/>
        <v>0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0</v>
      </c>
      <c r="R55" s="97">
        <f t="shared" si="13"/>
        <v>0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0</v>
      </c>
      <c r="W55" s="97">
        <f t="shared" si="13"/>
        <v>0</v>
      </c>
      <c r="X55" s="97">
        <f t="shared" si="13"/>
        <v>0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0</v>
      </c>
      <c r="AC55" s="97">
        <f t="shared" si="13"/>
        <v>0</v>
      </c>
      <c r="AD55" s="97">
        <f t="shared" si="13"/>
        <v>0</v>
      </c>
      <c r="AE55" s="97">
        <f t="shared" si="13"/>
        <v>0</v>
      </c>
      <c r="AF55" s="97">
        <f t="shared" si="13"/>
        <v>0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1">
    <mergeCell ref="AI33:AJ33"/>
    <mergeCell ref="AI37:AJ37"/>
    <mergeCell ref="AI31:AJ32"/>
    <mergeCell ref="AK31:AM32"/>
    <mergeCell ref="AI44:AJ44"/>
    <mergeCell ref="AI45:AJ45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R28:S28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AF27:AG27"/>
    <mergeCell ref="X26:Y26"/>
    <mergeCell ref="Z26:AA26"/>
    <mergeCell ref="AB26:AC26"/>
    <mergeCell ref="AF29:AG29"/>
    <mergeCell ref="AH29:AI29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AJ28:AK28"/>
    <mergeCell ref="Z29:AA29"/>
    <mergeCell ref="AB29:AC29"/>
    <mergeCell ref="AD29:AE29"/>
    <mergeCell ref="I25:O25"/>
    <mergeCell ref="R24:S24"/>
    <mergeCell ref="T24:U24"/>
    <mergeCell ref="V24:W24"/>
    <mergeCell ref="X24:Y24"/>
    <mergeCell ref="Z24:AA24"/>
    <mergeCell ref="AB24:AC24"/>
    <mergeCell ref="P25:Q25"/>
    <mergeCell ref="T28:U28"/>
    <mergeCell ref="V28:W28"/>
    <mergeCell ref="X28:Y28"/>
    <mergeCell ref="AF18:AG18"/>
    <mergeCell ref="AH18:AI18"/>
    <mergeCell ref="AJ18:AK18"/>
    <mergeCell ref="AJ24:AK24"/>
    <mergeCell ref="AF24:AG24"/>
    <mergeCell ref="AH24:AI24"/>
    <mergeCell ref="I18:O18"/>
    <mergeCell ref="P18:Q18"/>
    <mergeCell ref="R18:S18"/>
    <mergeCell ref="T18:U18"/>
    <mergeCell ref="V18:W18"/>
    <mergeCell ref="X18:Y18"/>
    <mergeCell ref="AD24:AE24"/>
    <mergeCell ref="I24:O24"/>
    <mergeCell ref="P24:Q24"/>
    <mergeCell ref="Z18:AA18"/>
    <mergeCell ref="AB18:AC18"/>
    <mergeCell ref="AD18:AE18"/>
    <mergeCell ref="I23:O23"/>
    <mergeCell ref="P23:Q23"/>
    <mergeCell ref="I22:O22"/>
    <mergeCell ref="P22:Q22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H8:AI8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AD2:AE2"/>
    <mergeCell ref="AF2:AG2"/>
    <mergeCell ref="Z7:AA7"/>
    <mergeCell ref="AB7:AC7"/>
    <mergeCell ref="AD7:AE7"/>
    <mergeCell ref="AF7:AG7"/>
    <mergeCell ref="T4:U4"/>
    <mergeCell ref="V4:W4"/>
    <mergeCell ref="X4:Y4"/>
    <mergeCell ref="Z2:AA2"/>
    <mergeCell ref="AB2:AC2"/>
    <mergeCell ref="AB6:AC6"/>
    <mergeCell ref="AD6:AE6"/>
    <mergeCell ref="AF6:AG6"/>
    <mergeCell ref="T7:U7"/>
    <mergeCell ref="AD5:AE5"/>
    <mergeCell ref="Z6:AA6"/>
    <mergeCell ref="V7:W7"/>
    <mergeCell ref="X7:Y7"/>
    <mergeCell ref="Z8:AA8"/>
    <mergeCell ref="AB8:AC8"/>
    <mergeCell ref="AD8:AE8"/>
    <mergeCell ref="AF8:AG8"/>
    <mergeCell ref="AJ3:AK3"/>
    <mergeCell ref="P4:Q4"/>
    <mergeCell ref="AH7:AI7"/>
    <mergeCell ref="I6:O6"/>
    <mergeCell ref="P6:Q6"/>
    <mergeCell ref="R6:S6"/>
    <mergeCell ref="T6:U6"/>
    <mergeCell ref="V6:W6"/>
    <mergeCell ref="X6:Y6"/>
    <mergeCell ref="AF5:AG5"/>
    <mergeCell ref="AH5:AI5"/>
    <mergeCell ref="I5:O5"/>
    <mergeCell ref="P5:Q5"/>
    <mergeCell ref="R5:S5"/>
    <mergeCell ref="T5:U5"/>
    <mergeCell ref="V5:W5"/>
    <mergeCell ref="X5:Y5"/>
    <mergeCell ref="Z5:AA5"/>
    <mergeCell ref="AB5:AC5"/>
    <mergeCell ref="AH6:AI6"/>
    <mergeCell ref="M1:N1"/>
    <mergeCell ref="R1:U1"/>
    <mergeCell ref="E2:H2"/>
    <mergeCell ref="I2:O4"/>
    <mergeCell ref="P2:Q3"/>
    <mergeCell ref="R2:S2"/>
    <mergeCell ref="T2:U2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H4:AI4"/>
    <mergeCell ref="AF3:AG3"/>
    <mergeCell ref="AH3:AI3"/>
    <mergeCell ref="Z4:AA4"/>
    <mergeCell ref="AB4:AC4"/>
    <mergeCell ref="A43:D43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  <mergeCell ref="AB9:AC9"/>
    <mergeCell ref="AD9:AE9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theme="0" tint="-4.9989318521683403E-2"/>
    <pageSetUpPr fitToPage="1"/>
  </sheetPr>
  <dimension ref="A1:AM59"/>
  <sheetViews>
    <sheetView showGridLines="0" zoomScale="62" zoomScaleNormal="62" workbookViewId="0">
      <selection activeCell="X18" sqref="X18:Y18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18.25" style="9" customWidth="1"/>
    <col min="5" max="7" width="12" style="9" customWidth="1"/>
    <col min="8" max="8" width="11" style="9" customWidth="1"/>
    <col min="9" max="22" width="4.5" style="9" customWidth="1"/>
    <col min="23" max="32" width="4.5" style="13" customWidth="1"/>
    <col min="33" max="35" width="4.5" style="17" customWidth="1"/>
    <col min="36" max="36" width="26.5" style="17" customWidth="1"/>
    <col min="37" max="38" width="4.5" style="17" customWidth="1"/>
    <col min="39" max="39" width="16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 t="s">
        <v>117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224"/>
      <c r="C5" s="129" t="s">
        <v>74</v>
      </c>
      <c r="D5" s="225"/>
      <c r="E5" s="225"/>
      <c r="F5" s="225"/>
      <c r="G5" s="226"/>
      <c r="H5" s="110" t="str">
        <f t="shared" ref="H5:H28" si="0">IF(F5=0,"",(F5-G5)/F5)</f>
        <v/>
      </c>
      <c r="I5" s="675" t="s">
        <v>33</v>
      </c>
      <c r="J5" s="676"/>
      <c r="K5" s="676"/>
      <c r="L5" s="676"/>
      <c r="M5" s="676"/>
      <c r="N5" s="676"/>
      <c r="O5" s="677"/>
      <c r="P5" s="678">
        <v>0</v>
      </c>
      <c r="Q5" s="679"/>
      <c r="R5" s="680">
        <v>0</v>
      </c>
      <c r="S5" s="679"/>
      <c r="T5" s="681">
        <v>0</v>
      </c>
      <c r="U5" s="682"/>
      <c r="V5" s="683">
        <v>0</v>
      </c>
      <c r="W5" s="684"/>
      <c r="X5" s="685">
        <v>0</v>
      </c>
      <c r="Y5" s="686"/>
      <c r="Z5" s="687">
        <v>0</v>
      </c>
      <c r="AA5" s="688"/>
      <c r="AB5" s="674">
        <v>0</v>
      </c>
      <c r="AC5" s="674"/>
      <c r="AD5" s="689">
        <f>SUM(AF5:AK5)*0.025</f>
        <v>0</v>
      </c>
      <c r="AE5" s="689"/>
      <c r="AF5" s="674">
        <v>0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362"/>
      <c r="C6" s="129" t="s">
        <v>75</v>
      </c>
      <c r="D6" s="227"/>
      <c r="E6" s="228"/>
      <c r="F6" s="228"/>
      <c r="G6" s="229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</v>
      </c>
      <c r="Q6" s="673"/>
      <c r="R6" s="673">
        <f>IF($F$15=0,0,R5*1000/$F$15)</f>
        <v>0</v>
      </c>
      <c r="S6" s="673"/>
      <c r="T6" s="673">
        <f>IF($F$15=0,0,T5*1000/$F$15)</f>
        <v>0</v>
      </c>
      <c r="U6" s="673"/>
      <c r="V6" s="673">
        <f>IF($F$15=0,0,V5*1000/$F$15)</f>
        <v>0</v>
      </c>
      <c r="W6" s="673"/>
      <c r="X6" s="673">
        <f>IF($F$15=0,0,X5*1000/$F$15)</f>
        <v>0</v>
      </c>
      <c r="Y6" s="673"/>
      <c r="Z6" s="673">
        <f>IF($F$15=0,0,Z5*1000/$F$15)</f>
        <v>0</v>
      </c>
      <c r="AA6" s="673"/>
      <c r="AB6" s="632">
        <f>IF($F$15=0,0,AB5*1000/$F$15)</f>
        <v>0</v>
      </c>
      <c r="AC6" s="632"/>
      <c r="AD6" s="632">
        <f>IF($F$15=0,0,AD5*1000/$F$15)</f>
        <v>0</v>
      </c>
      <c r="AE6" s="632"/>
      <c r="AF6" s="627">
        <f>IF(AF5=0,0,F15/AF5)</f>
        <v>0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362"/>
      <c r="C7" s="129" t="s">
        <v>76</v>
      </c>
      <c r="D7" s="227"/>
      <c r="E7" s="228"/>
      <c r="F7" s="228"/>
      <c r="G7" s="229"/>
      <c r="H7" s="111" t="str">
        <f t="shared" si="0"/>
        <v/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</v>
      </c>
      <c r="Q7" s="639"/>
      <c r="R7" s="639">
        <f>IF($G$15=0,0,R5*1000/$G$15)</f>
        <v>0</v>
      </c>
      <c r="S7" s="639"/>
      <c r="T7" s="639">
        <f>IF($G$15=0,0,T5*1000/$G$15)</f>
        <v>0</v>
      </c>
      <c r="U7" s="639"/>
      <c r="V7" s="639">
        <f>IF($G$15=0,0,V5*1000/$G$15)</f>
        <v>0</v>
      </c>
      <c r="W7" s="639"/>
      <c r="X7" s="639">
        <f>IF($G$15=0,0,X5*1000/$G$15)</f>
        <v>0</v>
      </c>
      <c r="Y7" s="639"/>
      <c r="Z7" s="639">
        <f>IF($G$15=0,0,Z5*1000/$G$15)</f>
        <v>0</v>
      </c>
      <c r="AA7" s="639"/>
      <c r="AB7" s="632">
        <f>IF($G$15=0,0,AB5*1000/$G$15)</f>
        <v>0</v>
      </c>
      <c r="AC7" s="632"/>
      <c r="AD7" s="632">
        <f>IF($G$15=0,0,AD5*1000/$G$15)</f>
        <v>0</v>
      </c>
      <c r="AE7" s="632"/>
      <c r="AF7" s="627">
        <f>IF(AF5=0,0,G15/AF5)</f>
        <v>0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362"/>
      <c r="C8" s="129" t="s">
        <v>77</v>
      </c>
      <c r="D8" s="227"/>
      <c r="E8" s="228"/>
      <c r="F8" s="228"/>
      <c r="G8" s="229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/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362"/>
      <c r="C9" s="129" t="s">
        <v>78</v>
      </c>
      <c r="D9" s="227"/>
      <c r="E9" s="228"/>
      <c r="F9" s="228"/>
      <c r="G9" s="229"/>
      <c r="H9" s="111" t="str">
        <f>IF(F9=0,"",(F9-G9)/F9)</f>
        <v/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120"/>
      <c r="C10" s="129" t="s">
        <v>79</v>
      </c>
      <c r="D10" s="124"/>
      <c r="E10" s="125"/>
      <c r="F10" s="125"/>
      <c r="G10" s="126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/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/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 t="e">
        <f>F15/P12</f>
        <v>#DIV/0!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/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0</v>
      </c>
      <c r="F15" s="204">
        <f>SUM(F5:F14)</f>
        <v>0</v>
      </c>
      <c r="G15" s="204">
        <f>SUM(G5:G14)</f>
        <v>0</v>
      </c>
      <c r="H15" s="188" t="str">
        <f>IF(F15=0,"",(F15-G15)/F15)</f>
        <v/>
      </c>
      <c r="I15" s="719" t="s">
        <v>70</v>
      </c>
      <c r="J15" s="720"/>
      <c r="K15" s="720"/>
      <c r="L15" s="720"/>
      <c r="M15" s="720"/>
      <c r="N15" s="720"/>
      <c r="O15" s="721"/>
      <c r="P15" s="722" t="e">
        <f>F15/P14</f>
        <v>#DIV/0!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119"/>
      <c r="C16" s="130" t="s">
        <v>74</v>
      </c>
      <c r="D16" s="127"/>
      <c r="E16" s="122"/>
      <c r="F16" s="122"/>
      <c r="G16" s="123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120"/>
      <c r="C17" s="131" t="s">
        <v>75</v>
      </c>
      <c r="D17" s="128"/>
      <c r="E17" s="125"/>
      <c r="F17" s="125"/>
      <c r="G17" s="126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742">
        <f>IF($F$26=0,0,AF16*1000/$F$26)</f>
        <v>0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120"/>
      <c r="C18" s="131" t="s">
        <v>76</v>
      </c>
      <c r="D18" s="128"/>
      <c r="E18" s="125"/>
      <c r="F18" s="125"/>
      <c r="G18" s="126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742">
        <f>IF($G$26=0,0,AF16*1000/$G$26)</f>
        <v>0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120"/>
      <c r="C19" s="131" t="s">
        <v>77</v>
      </c>
      <c r="D19" s="128"/>
      <c r="E19" s="125"/>
      <c r="F19" s="125"/>
      <c r="G19" s="126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120"/>
      <c r="C20" s="131" t="s">
        <v>78</v>
      </c>
      <c r="D20" s="128"/>
      <c r="E20" s="125"/>
      <c r="F20" s="125"/>
      <c r="G20" s="126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120"/>
      <c r="C21" s="131" t="s">
        <v>79</v>
      </c>
      <c r="D21" s="128"/>
      <c r="E21" s="125"/>
      <c r="F21" s="125"/>
      <c r="G21" s="126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0</v>
      </c>
      <c r="G26" s="205">
        <f>SUM(G16:G25)</f>
        <v>0</v>
      </c>
      <c r="H26" s="196" t="str">
        <f>IF(F26=0,"",(F26-G26)/F26)</f>
        <v/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0</v>
      </c>
      <c r="Q27" s="781"/>
      <c r="R27" s="782">
        <f>SUM(R5,R16)</f>
        <v>0</v>
      </c>
      <c r="S27" s="781"/>
      <c r="T27" s="782">
        <f>SUM(T5,T16)</f>
        <v>0</v>
      </c>
      <c r="U27" s="781"/>
      <c r="V27" s="782">
        <f>SUM(V5,V16)</f>
        <v>0</v>
      </c>
      <c r="W27" s="781"/>
      <c r="X27" s="782">
        <f>SUM(X5,X16)</f>
        <v>0</v>
      </c>
      <c r="Y27" s="781"/>
      <c r="Z27" s="783">
        <f>SUM(Z5,Z16)</f>
        <v>0</v>
      </c>
      <c r="AA27" s="784"/>
      <c r="AB27" s="770">
        <f>SUM(AB5,AB16)</f>
        <v>0</v>
      </c>
      <c r="AC27" s="770"/>
      <c r="AD27" s="769">
        <f>SUM(AD5,AD16)</f>
        <v>0</v>
      </c>
      <c r="AE27" s="769"/>
      <c r="AF27" s="770">
        <f>SUM(AF5,AF16)</f>
        <v>0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0</v>
      </c>
      <c r="F28" s="140">
        <f>F15+F26</f>
        <v>0</v>
      </c>
      <c r="G28" s="140">
        <f>G15+G26</f>
        <v>0</v>
      </c>
      <c r="H28" s="141" t="str">
        <f t="shared" si="0"/>
        <v/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</v>
      </c>
      <c r="Q28" s="745"/>
      <c r="R28" s="746">
        <f t="shared" si="1"/>
        <v>0</v>
      </c>
      <c r="S28" s="745"/>
      <c r="T28" s="746">
        <f t="shared" si="1"/>
        <v>0</v>
      </c>
      <c r="U28" s="745"/>
      <c r="V28" s="800">
        <f t="shared" si="1"/>
        <v>0</v>
      </c>
      <c r="W28" s="801"/>
      <c r="X28" s="800">
        <f t="shared" si="1"/>
        <v>0</v>
      </c>
      <c r="Y28" s="801"/>
      <c r="Z28" s="746">
        <f t="shared" si="1"/>
        <v>0</v>
      </c>
      <c r="AA28" s="744"/>
      <c r="AB28" s="632">
        <f t="shared" si="1"/>
        <v>0</v>
      </c>
      <c r="AC28" s="632"/>
      <c r="AD28" s="632">
        <f t="shared" si="1"/>
        <v>0</v>
      </c>
      <c r="AE28" s="632"/>
      <c r="AF28" s="757">
        <f t="shared" si="1"/>
        <v>0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</v>
      </c>
      <c r="Q29" s="792"/>
      <c r="R29" s="771">
        <f t="shared" si="2"/>
        <v>0</v>
      </c>
      <c r="S29" s="792"/>
      <c r="T29" s="771">
        <f t="shared" si="2"/>
        <v>0</v>
      </c>
      <c r="U29" s="792"/>
      <c r="V29" s="793">
        <f t="shared" si="2"/>
        <v>0</v>
      </c>
      <c r="W29" s="794"/>
      <c r="X29" s="795">
        <f t="shared" si="2"/>
        <v>0</v>
      </c>
      <c r="Y29" s="796"/>
      <c r="Z29" s="771">
        <f t="shared" si="2"/>
        <v>0</v>
      </c>
      <c r="AA29" s="772"/>
      <c r="AB29" s="773">
        <f t="shared" si="2"/>
        <v>0</v>
      </c>
      <c r="AC29" s="773"/>
      <c r="AD29" s="773">
        <f t="shared" si="2"/>
        <v>0</v>
      </c>
      <c r="AE29" s="773"/>
      <c r="AF29" s="774">
        <f t="shared" si="2"/>
        <v>0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306">
        <f t="shared" ref="B33:B42" si="3">B5</f>
        <v>0</v>
      </c>
      <c r="C33" s="213" t="s">
        <v>74</v>
      </c>
      <c r="D33" s="307">
        <f t="shared" ref="D33:D42" si="4">D5</f>
        <v>0</v>
      </c>
      <c r="E33" s="307">
        <f>G16</f>
        <v>0</v>
      </c>
      <c r="F33" s="395"/>
      <c r="G33" s="62" t="str">
        <f t="shared" ref="G33:G55" si="5">IF(E33=0,"",(E33-F33)/E33)</f>
        <v/>
      </c>
      <c r="H33" s="63"/>
      <c r="I33" s="64">
        <f t="shared" ref="I33:I54" si="6">SUM(J33:AH33)</f>
        <v>0</v>
      </c>
      <c r="J33" s="453"/>
      <c r="K33" s="454"/>
      <c r="L33" s="453"/>
      <c r="M33" s="454"/>
      <c r="N33" s="453"/>
      <c r="O33" s="454"/>
      <c r="P33" s="453"/>
      <c r="Q33" s="454"/>
      <c r="R33" s="453"/>
      <c r="S33" s="454"/>
      <c r="T33" s="453"/>
      <c r="U33" s="454"/>
      <c r="V33" s="453"/>
      <c r="W33" s="454"/>
      <c r="X33" s="453"/>
      <c r="Y33" s="454"/>
      <c r="Z33" s="453"/>
      <c r="AA33" s="454"/>
      <c r="AB33" s="453"/>
      <c r="AC33" s="454"/>
      <c r="AD33" s="453"/>
      <c r="AE33" s="454"/>
      <c r="AF33" s="453"/>
      <c r="AG33" s="454"/>
      <c r="AH33" s="453"/>
      <c r="AI33" s="820"/>
      <c r="AJ33" s="821"/>
      <c r="AK33" s="840"/>
      <c r="AL33" s="841"/>
      <c r="AM33" s="842"/>
    </row>
    <row r="34" spans="1:39" ht="20.25" customHeight="1">
      <c r="A34" s="370"/>
      <c r="B34" s="160">
        <f t="shared" si="3"/>
        <v>0</v>
      </c>
      <c r="C34" s="214" t="s">
        <v>75</v>
      </c>
      <c r="D34" s="124">
        <f t="shared" si="4"/>
        <v>0</v>
      </c>
      <c r="E34" s="161">
        <f t="shared" ref="E34:E42" si="7">G6</f>
        <v>0</v>
      </c>
      <c r="F34" s="151"/>
      <c r="G34" s="70" t="str">
        <f t="shared" si="5"/>
        <v/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71"/>
      <c r="AJ34" s="72"/>
      <c r="AK34" s="73"/>
      <c r="AL34" s="74"/>
      <c r="AM34" s="75"/>
    </row>
    <row r="35" spans="1:39" ht="20.25" customHeight="1">
      <c r="A35" s="370"/>
      <c r="B35" s="320">
        <f t="shared" si="3"/>
        <v>0</v>
      </c>
      <c r="C35" s="214" t="s">
        <v>76</v>
      </c>
      <c r="D35" s="318">
        <f t="shared" si="4"/>
        <v>0</v>
      </c>
      <c r="E35" s="318">
        <v>0</v>
      </c>
      <c r="F35" s="322"/>
      <c r="G35" s="70" t="str">
        <f t="shared" si="5"/>
        <v/>
      </c>
      <c r="H35" s="63"/>
      <c r="I35" s="64">
        <f t="shared" si="6"/>
        <v>0</v>
      </c>
      <c r="J35" s="455"/>
      <c r="K35" s="456"/>
      <c r="L35" s="456"/>
      <c r="M35" s="456"/>
      <c r="N35" s="456"/>
      <c r="O35" s="456"/>
      <c r="P35" s="456"/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7"/>
      <c r="AI35" s="833"/>
      <c r="AJ35" s="834"/>
      <c r="AK35" s="840"/>
      <c r="AL35" s="841"/>
      <c r="AM35" s="842"/>
    </row>
    <row r="36" spans="1:39" ht="20.25" customHeight="1">
      <c r="A36" s="371">
        <v>1</v>
      </c>
      <c r="B36" s="160">
        <f t="shared" si="3"/>
        <v>0</v>
      </c>
      <c r="C36" s="214" t="s">
        <v>77</v>
      </c>
      <c r="D36" s="124">
        <f t="shared" si="4"/>
        <v>0</v>
      </c>
      <c r="E36" s="161">
        <f t="shared" si="7"/>
        <v>0</v>
      </c>
      <c r="F36" s="151"/>
      <c r="G36" s="70" t="str">
        <f t="shared" si="5"/>
        <v/>
      </c>
      <c r="H36" s="63"/>
      <c r="I36" s="64">
        <f t="shared" si="6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452"/>
      <c r="AJ36" s="438"/>
      <c r="AK36" s="73"/>
      <c r="AL36" s="74"/>
      <c r="AM36" s="75"/>
    </row>
    <row r="37" spans="1:39" ht="20.25" customHeight="1">
      <c r="A37" s="372"/>
      <c r="B37" s="320">
        <f t="shared" si="3"/>
        <v>0</v>
      </c>
      <c r="C37" s="214" t="s">
        <v>78</v>
      </c>
      <c r="D37" s="318">
        <f t="shared" si="4"/>
        <v>0</v>
      </c>
      <c r="E37" s="318">
        <f t="shared" si="7"/>
        <v>0</v>
      </c>
      <c r="F37" s="322"/>
      <c r="G37" s="70" t="str">
        <f t="shared" si="5"/>
        <v/>
      </c>
      <c r="H37" s="63"/>
      <c r="I37" s="64">
        <f t="shared" si="6"/>
        <v>0</v>
      </c>
      <c r="J37" s="455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833"/>
      <c r="AJ37" s="834"/>
      <c r="AK37" s="837"/>
      <c r="AL37" s="838"/>
      <c r="AM37" s="839"/>
    </row>
    <row r="38" spans="1:39" ht="20.25" customHeight="1">
      <c r="A38" s="372"/>
      <c r="B38" s="162">
        <f t="shared" si="3"/>
        <v>0</v>
      </c>
      <c r="C38" s="214" t="s">
        <v>79</v>
      </c>
      <c r="D38" s="163">
        <f t="shared" si="4"/>
        <v>0</v>
      </c>
      <c r="E38" s="161">
        <f t="shared" si="7"/>
        <v>0</v>
      </c>
      <c r="F38" s="151"/>
      <c r="G38" s="70" t="str">
        <f t="shared" si="5"/>
        <v/>
      </c>
      <c r="H38" s="63"/>
      <c r="I38" s="64">
        <f t="shared" si="6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162">
        <f t="shared" si="3"/>
        <v>0</v>
      </c>
      <c r="C39" s="214" t="s">
        <v>80</v>
      </c>
      <c r="D39" s="163">
        <f t="shared" si="4"/>
        <v>0</v>
      </c>
      <c r="E39" s="153">
        <f t="shared" si="7"/>
        <v>0</v>
      </c>
      <c r="F39" s="154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162">
        <f t="shared" si="3"/>
        <v>0</v>
      </c>
      <c r="C40" s="214" t="s">
        <v>63</v>
      </c>
      <c r="D40" s="163">
        <f t="shared" si="4"/>
        <v>0</v>
      </c>
      <c r="E40" s="153">
        <f t="shared" si="7"/>
        <v>0</v>
      </c>
      <c r="F40" s="154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7"/>
        <v>0</v>
      </c>
      <c r="F41" s="209"/>
      <c r="G41" s="210" t="str">
        <f t="shared" si="5"/>
        <v/>
      </c>
      <c r="H41" s="63"/>
      <c r="I41" s="64">
        <f t="shared" si="6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0</v>
      </c>
      <c r="F43" s="145">
        <f>SUM(F33:F42)</f>
        <v>0</v>
      </c>
      <c r="G43" s="135" t="str">
        <f t="shared" si="5"/>
        <v/>
      </c>
      <c r="H43" s="63"/>
      <c r="I43" s="376">
        <f t="shared" si="6"/>
        <v>0</v>
      </c>
      <c r="J43" s="77">
        <f>SUM(J33:J42)</f>
        <v>0</v>
      </c>
      <c r="K43" s="78">
        <f t="shared" ref="K43:AH43" si="8">SUM(K33:K42)</f>
        <v>0</v>
      </c>
      <c r="L43" s="78">
        <f t="shared" si="8"/>
        <v>0</v>
      </c>
      <c r="M43" s="78">
        <f t="shared" si="8"/>
        <v>0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0</v>
      </c>
      <c r="R43" s="78">
        <f t="shared" si="8"/>
        <v>0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0</v>
      </c>
      <c r="W43" s="78">
        <f t="shared" si="8"/>
        <v>0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0</v>
      </c>
      <c r="AC43" s="78">
        <f t="shared" si="8"/>
        <v>0</v>
      </c>
      <c r="AD43" s="78">
        <f t="shared" si="8"/>
        <v>0</v>
      </c>
      <c r="AE43" s="78">
        <f t="shared" si="8"/>
        <v>0</v>
      </c>
      <c r="AF43" s="78">
        <f t="shared" si="8"/>
        <v>0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81">
        <f t="shared" ref="B44:B53" si="9">B16</f>
        <v>0</v>
      </c>
      <c r="C44" s="382" t="s">
        <v>74</v>
      </c>
      <c r="D44" s="121">
        <f t="shared" ref="D44:D53" si="10">D16</f>
        <v>0</v>
      </c>
      <c r="E44" s="122">
        <f t="shared" ref="E44:E53" si="11">G16</f>
        <v>0</v>
      </c>
      <c r="F44" s="148"/>
      <c r="G44" s="62" t="str">
        <f t="shared" si="5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8"/>
      <c r="AJ44" s="819"/>
      <c r="AK44" s="82"/>
      <c r="AL44" s="83"/>
      <c r="AM44" s="84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si="11"/>
        <v>0</v>
      </c>
      <c r="F45" s="151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149">
        <f t="shared" si="9"/>
        <v>0</v>
      </c>
      <c r="C46" s="217" t="s">
        <v>76</v>
      </c>
      <c r="D46" s="152">
        <f t="shared" si="10"/>
        <v>0</v>
      </c>
      <c r="E46" s="153">
        <f t="shared" si="11"/>
        <v>0</v>
      </c>
      <c r="F46" s="154"/>
      <c r="G46" s="70" t="str">
        <f t="shared" si="5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814"/>
      <c r="AJ46" s="815"/>
      <c r="AK46" s="74"/>
      <c r="AL46" s="74"/>
      <c r="AM46" s="75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149">
        <f t="shared" si="9"/>
        <v>0</v>
      </c>
      <c r="C48" s="217" t="s">
        <v>78</v>
      </c>
      <c r="D48" s="155">
        <f t="shared" si="10"/>
        <v>0</v>
      </c>
      <c r="E48" s="153">
        <f t="shared" si="11"/>
        <v>0</v>
      </c>
      <c r="F48" s="154"/>
      <c r="G48" s="70" t="str">
        <f t="shared" si="5"/>
        <v/>
      </c>
      <c r="H48" s="63"/>
      <c r="I48" s="64">
        <f t="shared" si="6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75"/>
    </row>
    <row r="49" spans="1:39" ht="20.25" customHeight="1">
      <c r="A49" s="363"/>
      <c r="B49" s="149">
        <f t="shared" si="9"/>
        <v>0</v>
      </c>
      <c r="C49" s="217" t="s">
        <v>79</v>
      </c>
      <c r="D49" s="155">
        <f t="shared" si="10"/>
        <v>0</v>
      </c>
      <c r="E49" s="153">
        <f t="shared" si="11"/>
        <v>0</v>
      </c>
      <c r="F49" s="154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149">
        <f t="shared" si="9"/>
        <v>0</v>
      </c>
      <c r="C50" s="217" t="s">
        <v>80</v>
      </c>
      <c r="D50" s="155">
        <f t="shared" si="10"/>
        <v>0</v>
      </c>
      <c r="E50" s="153">
        <f t="shared" si="11"/>
        <v>0</v>
      </c>
      <c r="F50" s="154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5"/>
        <v/>
      </c>
      <c r="H54" s="63"/>
      <c r="I54" s="87">
        <f t="shared" si="6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0</v>
      </c>
      <c r="F55" s="164">
        <f>F43+F54</f>
        <v>0</v>
      </c>
      <c r="G55" s="165" t="str">
        <f t="shared" si="5"/>
        <v/>
      </c>
      <c r="H55" s="95"/>
      <c r="I55" s="96">
        <f>SUM(I43,I54)</f>
        <v>0</v>
      </c>
      <c r="J55" s="97">
        <f>SUM(J43,J54)</f>
        <v>0</v>
      </c>
      <c r="K55" s="97">
        <f t="shared" ref="K55:AH55" si="13">SUM(K43,K54)</f>
        <v>0</v>
      </c>
      <c r="L55" s="97">
        <f t="shared" si="13"/>
        <v>0</v>
      </c>
      <c r="M55" s="97">
        <f t="shared" si="13"/>
        <v>0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0</v>
      </c>
      <c r="R55" s="97">
        <f t="shared" si="13"/>
        <v>0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0</v>
      </c>
      <c r="W55" s="97">
        <f t="shared" si="13"/>
        <v>0</v>
      </c>
      <c r="X55" s="97">
        <f t="shared" si="13"/>
        <v>0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0</v>
      </c>
      <c r="AC55" s="97">
        <f t="shared" si="13"/>
        <v>0</v>
      </c>
      <c r="AD55" s="97">
        <f t="shared" si="13"/>
        <v>0</v>
      </c>
      <c r="AE55" s="97">
        <f t="shared" si="13"/>
        <v>0</v>
      </c>
      <c r="AF55" s="97">
        <f t="shared" si="13"/>
        <v>0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5">
    <mergeCell ref="AI33:AJ33"/>
    <mergeCell ref="AK33:AM33"/>
    <mergeCell ref="AI35:AJ35"/>
    <mergeCell ref="AI37:AJ37"/>
    <mergeCell ref="AK37:AM37"/>
    <mergeCell ref="AI31:AJ32"/>
    <mergeCell ref="AK31:AM32"/>
    <mergeCell ref="AI44:AJ44"/>
    <mergeCell ref="AI45:AJ45"/>
    <mergeCell ref="AK35:AM35"/>
    <mergeCell ref="A28:D28"/>
    <mergeCell ref="I28:O28"/>
    <mergeCell ref="P28:Q28"/>
    <mergeCell ref="R28:S28"/>
    <mergeCell ref="T28:U28"/>
    <mergeCell ref="V28:W28"/>
    <mergeCell ref="X28:Y28"/>
    <mergeCell ref="I22:O22"/>
    <mergeCell ref="P22:Q22"/>
    <mergeCell ref="P25:Q25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T26:U26"/>
    <mergeCell ref="V26:W26"/>
    <mergeCell ref="X24:Y24"/>
    <mergeCell ref="I26:O26"/>
    <mergeCell ref="P26:Q26"/>
    <mergeCell ref="A15:D15"/>
    <mergeCell ref="A26:D26"/>
    <mergeCell ref="Z29:AA29"/>
    <mergeCell ref="AB29:AC29"/>
    <mergeCell ref="AD29:AE29"/>
    <mergeCell ref="AF29:AG29"/>
    <mergeCell ref="AH29:AI29"/>
    <mergeCell ref="X26:Y26"/>
    <mergeCell ref="Z26:AA26"/>
    <mergeCell ref="AB26:AC26"/>
    <mergeCell ref="Z18:AA18"/>
    <mergeCell ref="AB18:AC18"/>
    <mergeCell ref="AD18:AE18"/>
    <mergeCell ref="I23:O23"/>
    <mergeCell ref="P23:Q23"/>
    <mergeCell ref="I25:O25"/>
    <mergeCell ref="R24:S24"/>
    <mergeCell ref="T24:U24"/>
    <mergeCell ref="V24:W24"/>
    <mergeCell ref="I29:O29"/>
    <mergeCell ref="P29:Q29"/>
    <mergeCell ref="R29:S29"/>
    <mergeCell ref="AF18:AG18"/>
    <mergeCell ref="AH18:AI18"/>
    <mergeCell ref="AJ26:AK26"/>
    <mergeCell ref="I27:O27"/>
    <mergeCell ref="P27:Q27"/>
    <mergeCell ref="R27:S27"/>
    <mergeCell ref="T27:U27"/>
    <mergeCell ref="V27:W27"/>
    <mergeCell ref="X27:Y27"/>
    <mergeCell ref="R26:S26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Z27:AA27"/>
    <mergeCell ref="AB27:AC27"/>
    <mergeCell ref="AJ28:AK28"/>
    <mergeCell ref="AF27:AG27"/>
    <mergeCell ref="AD26:AE26"/>
    <mergeCell ref="AF26:AG26"/>
    <mergeCell ref="AH26:AI26"/>
    <mergeCell ref="AJ18:AK18"/>
    <mergeCell ref="AJ24:AK24"/>
    <mergeCell ref="AF24:AG24"/>
    <mergeCell ref="AH24:AI24"/>
    <mergeCell ref="I18:O18"/>
    <mergeCell ref="P18:Q18"/>
    <mergeCell ref="R18:S18"/>
    <mergeCell ref="T18:U18"/>
    <mergeCell ref="V18:W18"/>
    <mergeCell ref="X18:Y18"/>
    <mergeCell ref="AB24:AC24"/>
    <mergeCell ref="AD24:AE24"/>
    <mergeCell ref="I24:O24"/>
    <mergeCell ref="P24:Q24"/>
    <mergeCell ref="Z24:AA24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H8:AI8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AD2:AE2"/>
    <mergeCell ref="AF2:AG2"/>
    <mergeCell ref="Z7:AA7"/>
    <mergeCell ref="AB7:AC7"/>
    <mergeCell ref="AD7:AE7"/>
    <mergeCell ref="AF7:AG7"/>
    <mergeCell ref="T4:U4"/>
    <mergeCell ref="V4:W4"/>
    <mergeCell ref="X4:Y4"/>
    <mergeCell ref="Z2:AA2"/>
    <mergeCell ref="AB2:AC2"/>
    <mergeCell ref="AB6:AC6"/>
    <mergeCell ref="AD6:AE6"/>
    <mergeCell ref="AF6:AG6"/>
    <mergeCell ref="T7:U7"/>
    <mergeCell ref="AD5:AE5"/>
    <mergeCell ref="Z6:AA6"/>
    <mergeCell ref="V7:W7"/>
    <mergeCell ref="X7:Y7"/>
    <mergeCell ref="Z8:AA8"/>
    <mergeCell ref="AB8:AC8"/>
    <mergeCell ref="AD8:AE8"/>
    <mergeCell ref="AF8:AG8"/>
    <mergeCell ref="AJ3:AK3"/>
    <mergeCell ref="P4:Q4"/>
    <mergeCell ref="AH7:AI7"/>
    <mergeCell ref="I6:O6"/>
    <mergeCell ref="P6:Q6"/>
    <mergeCell ref="R6:S6"/>
    <mergeCell ref="T6:U6"/>
    <mergeCell ref="V6:W6"/>
    <mergeCell ref="X6:Y6"/>
    <mergeCell ref="AF5:AG5"/>
    <mergeCell ref="AH5:AI5"/>
    <mergeCell ref="I5:O5"/>
    <mergeCell ref="P5:Q5"/>
    <mergeCell ref="R5:S5"/>
    <mergeCell ref="T5:U5"/>
    <mergeCell ref="V5:W5"/>
    <mergeCell ref="X5:Y5"/>
    <mergeCell ref="Z5:AA5"/>
    <mergeCell ref="AB5:AC5"/>
    <mergeCell ref="AH6:AI6"/>
    <mergeCell ref="M1:N1"/>
    <mergeCell ref="R1:U1"/>
    <mergeCell ref="E2:H2"/>
    <mergeCell ref="I2:O4"/>
    <mergeCell ref="P2:Q3"/>
    <mergeCell ref="R2:S2"/>
    <mergeCell ref="T2:U2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H4:AI4"/>
    <mergeCell ref="AF3:AG3"/>
    <mergeCell ref="AH3:AI3"/>
    <mergeCell ref="Z4:AA4"/>
    <mergeCell ref="AB4:AC4"/>
    <mergeCell ref="A43:D43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  <mergeCell ref="AB9:AC9"/>
    <mergeCell ref="AD9:AE9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A1:AO59"/>
  <sheetViews>
    <sheetView showGridLines="0" tabSelected="1" topLeftCell="G1" zoomScale="66" zoomScaleNormal="66" workbookViewId="0">
      <selection activeCell="AO4" sqref="AO4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18.25" style="9" customWidth="1"/>
    <col min="5" max="7" width="12" style="9" customWidth="1"/>
    <col min="8" max="8" width="11" style="9" customWidth="1"/>
    <col min="9" max="22" width="4.5" style="9" customWidth="1"/>
    <col min="23" max="32" width="4.5" style="13" customWidth="1"/>
    <col min="33" max="35" width="4.5" style="17" customWidth="1"/>
    <col min="36" max="36" width="27.5" style="17" customWidth="1"/>
    <col min="37" max="38" width="4.5" style="17" customWidth="1"/>
    <col min="39" max="39" width="17.332031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41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>
        <v>244592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41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  <c r="AL2" s="25" t="s">
        <v>329</v>
      </c>
      <c r="AM2" s="25" t="s">
        <v>330</v>
      </c>
      <c r="AN2" s="25" t="s">
        <v>331</v>
      </c>
      <c r="AO2" s="25" t="s">
        <v>332</v>
      </c>
    </row>
    <row r="3" spans="1:41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  <c r="AL3" s="25" t="s">
        <v>333</v>
      </c>
      <c r="AM3" s="25" t="s">
        <v>333</v>
      </c>
      <c r="AN3" s="25" t="s">
        <v>333</v>
      </c>
      <c r="AO3" s="25" t="s">
        <v>334</v>
      </c>
    </row>
    <row r="4" spans="1:41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41" ht="20.25" customHeight="1">
      <c r="A5" s="33"/>
      <c r="B5" s="236" t="s">
        <v>304</v>
      </c>
      <c r="C5" s="129" t="s">
        <v>74</v>
      </c>
      <c r="D5" s="237" t="s">
        <v>308</v>
      </c>
      <c r="E5" s="237">
        <v>2000</v>
      </c>
      <c r="F5" s="237">
        <v>2072</v>
      </c>
      <c r="G5" s="238">
        <v>1903</v>
      </c>
      <c r="H5" s="110">
        <f t="shared" ref="H5:H28" si="0">IF(F5=0,"",(F5-G5)/F5)</f>
        <v>8.1563706563706567E-2</v>
      </c>
      <c r="I5" s="675" t="s">
        <v>33</v>
      </c>
      <c r="J5" s="676"/>
      <c r="K5" s="676"/>
      <c r="L5" s="676"/>
      <c r="M5" s="676"/>
      <c r="N5" s="676"/>
      <c r="O5" s="677"/>
      <c r="P5" s="678">
        <v>1.3540000000000001</v>
      </c>
      <c r="Q5" s="679"/>
      <c r="R5" s="680">
        <v>6.4260000000000002</v>
      </c>
      <c r="S5" s="679"/>
      <c r="T5" s="681">
        <v>0.53100000000000003</v>
      </c>
      <c r="U5" s="682"/>
      <c r="V5" s="683">
        <v>13.99</v>
      </c>
      <c r="W5" s="684"/>
      <c r="X5" s="685">
        <v>0.25800000000000001</v>
      </c>
      <c r="Y5" s="686"/>
      <c r="Z5" s="687">
        <f>200-14</f>
        <v>186</v>
      </c>
      <c r="AA5" s="688"/>
      <c r="AB5" s="674">
        <v>32</v>
      </c>
      <c r="AC5" s="674"/>
      <c r="AD5" s="689">
        <f>SUM(AF5:AK5)*0.025</f>
        <v>1</v>
      </c>
      <c r="AE5" s="689"/>
      <c r="AF5" s="674">
        <f>14+14+12</f>
        <v>40</v>
      </c>
      <c r="AG5" s="674"/>
      <c r="AH5" s="674">
        <v>0</v>
      </c>
      <c r="AI5" s="674"/>
      <c r="AJ5" s="629">
        <v>0</v>
      </c>
      <c r="AK5" s="630"/>
    </row>
    <row r="6" spans="1:41" ht="20.25" customHeight="1">
      <c r="A6" s="34">
        <v>1</v>
      </c>
      <c r="B6" s="239"/>
      <c r="C6" s="129" t="s">
        <v>75</v>
      </c>
      <c r="D6" s="240"/>
      <c r="E6" s="241"/>
      <c r="F6" s="241"/>
      <c r="G6" s="242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0.18616801869929878</v>
      </c>
      <c r="Q6" s="673"/>
      <c r="R6" s="673">
        <f>IF($F$15=0,0,R5*1000/$F$15)</f>
        <v>0.88354186717998073</v>
      </c>
      <c r="S6" s="673"/>
      <c r="T6" s="673">
        <f>IF($F$15=0,0,T5*1000/$F$15)</f>
        <v>7.3009762133919978E-2</v>
      </c>
      <c r="U6" s="673"/>
      <c r="V6" s="673">
        <f>IF($F$15=0,0,V5*1000/$F$15)</f>
        <v>1.9235528667674962</v>
      </c>
      <c r="W6" s="673"/>
      <c r="X6" s="673">
        <f>IF($F$15=0,0,X5*1000/$F$15)</f>
        <v>3.5473669737384847E-2</v>
      </c>
      <c r="Y6" s="673"/>
      <c r="Z6" s="673">
        <f>IF($F$15=0,0,Z5*1000/$F$15)</f>
        <v>25.574040973463497</v>
      </c>
      <c r="AA6" s="673"/>
      <c r="AB6" s="632">
        <f>IF($F$15=0,0,AB5*1000/$F$15)</f>
        <v>4.399835006187268</v>
      </c>
      <c r="AC6" s="632"/>
      <c r="AD6" s="632">
        <f>IF($F$15=0,0,AD5*1000/$F$15)</f>
        <v>0.13749484394335212</v>
      </c>
      <c r="AE6" s="632"/>
      <c r="AF6" s="627">
        <f>IF(AF5=0,0,F15/AF5)</f>
        <v>181.82499999999999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41" ht="20.25" customHeight="1">
      <c r="A7" s="35"/>
      <c r="B7" s="239" t="s">
        <v>305</v>
      </c>
      <c r="C7" s="129" t="s">
        <v>76</v>
      </c>
      <c r="D7" s="240" t="s">
        <v>308</v>
      </c>
      <c r="E7" s="241">
        <v>4000</v>
      </c>
      <c r="F7" s="241">
        <v>3066</v>
      </c>
      <c r="G7" s="242">
        <v>2527</v>
      </c>
      <c r="H7" s="111">
        <f t="shared" si="0"/>
        <v>0.17579908675799086</v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0.21008533747090768</v>
      </c>
      <c r="Q7" s="639"/>
      <c r="R7" s="639">
        <f>IF($G$15=0,0,R5*1000/$G$15)</f>
        <v>0.99705197827773473</v>
      </c>
      <c r="S7" s="639"/>
      <c r="T7" s="639">
        <f>IF($G$15=0,0,T5*1000/$G$15)</f>
        <v>8.2389449185415048E-2</v>
      </c>
      <c r="U7" s="639"/>
      <c r="V7" s="639">
        <f>IF($G$15=0,0,V5*1000/$G$15)</f>
        <v>2.1706749418153608</v>
      </c>
      <c r="W7" s="639"/>
      <c r="X7" s="639">
        <f>IF($G$15=0,0,X5*1000/$G$15)</f>
        <v>4.0031031807602792E-2</v>
      </c>
      <c r="Y7" s="639"/>
      <c r="Z7" s="639">
        <f>IF($G$15=0,0,Z5*1000/$G$15)</f>
        <v>28.859581070597361</v>
      </c>
      <c r="AA7" s="639"/>
      <c r="AB7" s="632">
        <f>IF($G$15=0,0,AB5*1000/$G$15)</f>
        <v>4.9650892164468576</v>
      </c>
      <c r="AC7" s="632"/>
      <c r="AD7" s="632">
        <f>IF($G$15=0,0,AD5*1000/$G$15)</f>
        <v>0.1551590380139643</v>
      </c>
      <c r="AE7" s="632"/>
      <c r="AF7" s="627">
        <f>IF(AF5=0,0,G15/AF5)</f>
        <v>161.125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41" ht="20.25" customHeight="1">
      <c r="A8" s="35"/>
      <c r="B8" s="239"/>
      <c r="C8" s="129" t="s">
        <v>77</v>
      </c>
      <c r="D8" s="240"/>
      <c r="E8" s="241"/>
      <c r="F8" s="241"/>
      <c r="G8" s="242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>
        <f>92-1-2</f>
        <v>89</v>
      </c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41" ht="20.25" customHeight="1">
      <c r="A9" s="35"/>
      <c r="B9" s="239"/>
      <c r="C9" s="129" t="s">
        <v>78</v>
      </c>
      <c r="D9" s="240"/>
      <c r="E9" s="241"/>
      <c r="F9" s="241"/>
      <c r="G9" s="242"/>
      <c r="H9" s="111" t="str">
        <f>IF(F9=0,"",(F9-G9)/F9)</f>
        <v/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41" ht="20.25" customHeight="1">
      <c r="A10" s="35"/>
      <c r="B10" s="239" t="s">
        <v>323</v>
      </c>
      <c r="C10" s="129" t="s">
        <v>79</v>
      </c>
      <c r="D10" s="240" t="s">
        <v>308</v>
      </c>
      <c r="E10" s="241">
        <v>1000</v>
      </c>
      <c r="F10" s="241">
        <v>1110</v>
      </c>
      <c r="G10" s="242">
        <v>1063</v>
      </c>
      <c r="H10" s="111">
        <f>IF(F10=0,"",(F10-G10)/F10)</f>
        <v>4.234234234234234E-2</v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41" ht="20.25" customHeight="1">
      <c r="A11" s="35"/>
      <c r="B11" s="239" t="s">
        <v>324</v>
      </c>
      <c r="C11" s="129" t="s">
        <v>80</v>
      </c>
      <c r="D11" s="240" t="s">
        <v>308</v>
      </c>
      <c r="E11" s="241">
        <v>1000</v>
      </c>
      <c r="F11" s="241">
        <v>1025</v>
      </c>
      <c r="G11" s="242">
        <v>952</v>
      </c>
      <c r="H11" s="111">
        <f>IF(F11=0,"",(F11-G11)/F11)</f>
        <v>7.1219512195121945E-2</v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41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>
        <f>4+4+5+4+4+3+8</f>
        <v>32</v>
      </c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41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>
        <f>F15/P12</f>
        <v>227.28125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41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>
        <v>7</v>
      </c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41" ht="20.25" customHeight="1" thickBot="1">
      <c r="A15" s="787" t="s">
        <v>37</v>
      </c>
      <c r="B15" s="788"/>
      <c r="C15" s="788"/>
      <c r="D15" s="789"/>
      <c r="E15" s="204">
        <f>SUM(E5:E14)</f>
        <v>8000</v>
      </c>
      <c r="F15" s="204">
        <f>SUM(F5:F14)</f>
        <v>7273</v>
      </c>
      <c r="G15" s="204">
        <f>SUM(G5:G14)</f>
        <v>6445</v>
      </c>
      <c r="H15" s="188">
        <f>IF(F15=0,"",(F15-G15)/F15)</f>
        <v>0.11384573078509556</v>
      </c>
      <c r="I15" s="719" t="s">
        <v>70</v>
      </c>
      <c r="J15" s="720"/>
      <c r="K15" s="720"/>
      <c r="L15" s="720"/>
      <c r="M15" s="720"/>
      <c r="N15" s="720"/>
      <c r="O15" s="721"/>
      <c r="P15" s="722">
        <f>F15/P14</f>
        <v>1039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41" ht="20.25" customHeight="1">
      <c r="A16" s="37" t="s">
        <v>4</v>
      </c>
      <c r="B16" s="236" t="s">
        <v>306</v>
      </c>
      <c r="C16" s="130" t="s">
        <v>74</v>
      </c>
      <c r="D16" s="250" t="s">
        <v>157</v>
      </c>
      <c r="E16" s="237">
        <v>1000</v>
      </c>
      <c r="F16" s="237">
        <v>668</v>
      </c>
      <c r="G16" s="238">
        <v>588</v>
      </c>
      <c r="H16" s="110">
        <f t="shared" si="0"/>
        <v>0.11976047904191617</v>
      </c>
      <c r="I16" s="727" t="s">
        <v>71</v>
      </c>
      <c r="J16" s="728"/>
      <c r="K16" s="728"/>
      <c r="L16" s="728"/>
      <c r="M16" s="728"/>
      <c r="N16" s="728"/>
      <c r="O16" s="729"/>
      <c r="P16" s="730">
        <v>0.40300000000000002</v>
      </c>
      <c r="Q16" s="731"/>
      <c r="R16" s="732">
        <v>1.9430000000000001</v>
      </c>
      <c r="S16" s="731"/>
      <c r="T16" s="733">
        <v>0.21099999999999999</v>
      </c>
      <c r="U16" s="734"/>
      <c r="V16" s="735">
        <v>4.2539999999999996</v>
      </c>
      <c r="W16" s="736"/>
      <c r="X16" s="737">
        <v>0.104</v>
      </c>
      <c r="Y16" s="738"/>
      <c r="Z16" s="740">
        <f>21+93</f>
        <v>114</v>
      </c>
      <c r="AA16" s="741"/>
      <c r="AB16" s="739">
        <v>15</v>
      </c>
      <c r="AC16" s="739"/>
      <c r="AD16" s="725">
        <f>SUM(AF16:AK16)*0.025</f>
        <v>0.4</v>
      </c>
      <c r="AE16" s="725"/>
      <c r="AF16" s="726">
        <f>4+12</f>
        <v>16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239"/>
      <c r="C17" s="131" t="s">
        <v>75</v>
      </c>
      <c r="D17" s="241"/>
      <c r="E17" s="241"/>
      <c r="F17" s="241"/>
      <c r="G17" s="242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0.1701858108108108</v>
      </c>
      <c r="Q17" s="745"/>
      <c r="R17" s="746">
        <f>IF($F$26=0,0,R16*1000/$F$26)</f>
        <v>0.82052364864864868</v>
      </c>
      <c r="S17" s="745"/>
      <c r="T17" s="746">
        <f>IF($F$26=0,0,T16*1000/$F$26)</f>
        <v>8.9104729729729729E-2</v>
      </c>
      <c r="U17" s="744"/>
      <c r="V17" s="632">
        <f>IF($F$26=0,0,V16*1000/$F$26)</f>
        <v>1.7964527027027026</v>
      </c>
      <c r="W17" s="632"/>
      <c r="X17" s="632">
        <f>IF($F$26=0,0,X16*1000/$F$26)</f>
        <v>4.3918918918918921E-2</v>
      </c>
      <c r="Y17" s="632"/>
      <c r="Z17" s="744">
        <f>IF($F$26=0,0,Z16*1000/$F$26)</f>
        <v>48.141891891891895</v>
      </c>
      <c r="AA17" s="744"/>
      <c r="AB17" s="632">
        <f>IF($F$26=0,0,AB16*1000/$F$26)</f>
        <v>6.3344594594594597</v>
      </c>
      <c r="AC17" s="632"/>
      <c r="AD17" s="632">
        <f>IF($F$26=0,0,AD16*1000/$F$26)</f>
        <v>0.16891891891891891</v>
      </c>
      <c r="AE17" s="632"/>
      <c r="AF17" s="742">
        <f>IF(AF16=0,0,F26/AF16)</f>
        <v>148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239" t="s">
        <v>307</v>
      </c>
      <c r="C18" s="131" t="s">
        <v>76</v>
      </c>
      <c r="D18" s="241" t="s">
        <v>157</v>
      </c>
      <c r="E18" s="241">
        <v>2000</v>
      </c>
      <c r="F18" s="241">
        <v>925</v>
      </c>
      <c r="G18" s="242">
        <v>745</v>
      </c>
      <c r="H18" s="111">
        <f t="shared" si="0"/>
        <v>0.19459459459459461</v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0.19468599033816425</v>
      </c>
      <c r="Q18" s="752"/>
      <c r="R18" s="746">
        <f>IF($G$26=0,0,R16*1000/$G$26)</f>
        <v>0.93864734299516905</v>
      </c>
      <c r="S18" s="745"/>
      <c r="T18" s="746">
        <f>IF($G$26=0,0,T16*1000/$G$26)</f>
        <v>0.10193236714975845</v>
      </c>
      <c r="U18" s="745"/>
      <c r="V18" s="753">
        <f>IF($G$26=0,0,V16*1000/$G$26)</f>
        <v>2.0550724637681159</v>
      </c>
      <c r="W18" s="754"/>
      <c r="X18" s="753">
        <f>IF($G$26=0,0,X16*1000/$G$26)</f>
        <v>5.0241545893719805E-2</v>
      </c>
      <c r="Y18" s="754"/>
      <c r="Z18" s="746">
        <f>IF($G$26=0,0,Z16*1000/$G$26)</f>
        <v>55.072463768115945</v>
      </c>
      <c r="AA18" s="744"/>
      <c r="AB18" s="632">
        <f>IF($G$26=0,0,AB16*1000/$G$26)</f>
        <v>7.2463768115942031</v>
      </c>
      <c r="AC18" s="632"/>
      <c r="AD18" s="632">
        <f>IF($G$26=0,0,AD16*1000/$G$26)</f>
        <v>0.19323671497584541</v>
      </c>
      <c r="AE18" s="632"/>
      <c r="AF18" s="742">
        <f>IF(AF16=0,0,G26/AF16)</f>
        <v>129.375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239"/>
      <c r="C19" s="131" t="s">
        <v>77</v>
      </c>
      <c r="D19" s="241"/>
      <c r="E19" s="241"/>
      <c r="F19" s="241"/>
      <c r="G19" s="242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>
        <f>6+3+6+4+6</f>
        <v>25</v>
      </c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239"/>
      <c r="C20" s="131" t="s">
        <v>78</v>
      </c>
      <c r="D20" s="241"/>
      <c r="E20" s="241"/>
      <c r="F20" s="241"/>
      <c r="G20" s="242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239" t="s">
        <v>325</v>
      </c>
      <c r="C21" s="131" t="s">
        <v>79</v>
      </c>
      <c r="D21" s="241" t="s">
        <v>157</v>
      </c>
      <c r="E21" s="241">
        <v>500</v>
      </c>
      <c r="F21" s="241">
        <v>365</v>
      </c>
      <c r="G21" s="242">
        <v>351</v>
      </c>
      <c r="H21" s="111">
        <f t="shared" si="0"/>
        <v>3.8356164383561646E-2</v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239" t="s">
        <v>326</v>
      </c>
      <c r="C22" s="131" t="s">
        <v>80</v>
      </c>
      <c r="D22" s="241" t="s">
        <v>157</v>
      </c>
      <c r="E22" s="241">
        <v>500</v>
      </c>
      <c r="F22" s="241">
        <v>410</v>
      </c>
      <c r="G22" s="242">
        <v>386</v>
      </c>
      <c r="H22" s="111">
        <f t="shared" si="0"/>
        <v>5.8536585365853662E-2</v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>
        <f>1+1+1+1+1+1+1</f>
        <v>7</v>
      </c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>
        <f>F26/P23</f>
        <v>338.28571428571428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>
        <v>7</v>
      </c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4000</v>
      </c>
      <c r="F26" s="205">
        <f>SUM(F16:F25)</f>
        <v>2368</v>
      </c>
      <c r="G26" s="205">
        <f>SUM(G16:G25)</f>
        <v>2070</v>
      </c>
      <c r="H26" s="196">
        <f>IF(F26=0,"",(F26-G26)/F26)</f>
        <v>0.1258445945945946</v>
      </c>
      <c r="I26" s="719" t="s">
        <v>70</v>
      </c>
      <c r="J26" s="720"/>
      <c r="K26" s="720"/>
      <c r="L26" s="720"/>
      <c r="M26" s="720"/>
      <c r="N26" s="720"/>
      <c r="O26" s="721"/>
      <c r="P26" s="785">
        <f>F26/P25</f>
        <v>338.28571428571428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1.7570000000000001</v>
      </c>
      <c r="Q27" s="781"/>
      <c r="R27" s="782">
        <f>SUM(R5,R16)</f>
        <v>8.3689999999999998</v>
      </c>
      <c r="S27" s="781"/>
      <c r="T27" s="782">
        <f>SUM(T5,T16)</f>
        <v>0.74199999999999999</v>
      </c>
      <c r="U27" s="781"/>
      <c r="V27" s="782">
        <f>SUM(V5,V16)</f>
        <v>18.244</v>
      </c>
      <c r="W27" s="781"/>
      <c r="X27" s="782">
        <f>SUM(X5,X16)</f>
        <v>0.36199999999999999</v>
      </c>
      <c r="Y27" s="781"/>
      <c r="Z27" s="783">
        <f>SUM(Z5,Z16)</f>
        <v>300</v>
      </c>
      <c r="AA27" s="784"/>
      <c r="AB27" s="770">
        <f>SUM(AB5,AB16)</f>
        <v>47</v>
      </c>
      <c r="AC27" s="770"/>
      <c r="AD27" s="769">
        <f>SUM(AD5,AD16)</f>
        <v>1.4</v>
      </c>
      <c r="AE27" s="769"/>
      <c r="AF27" s="770">
        <f>SUM(AF5,AF16)</f>
        <v>56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12000</v>
      </c>
      <c r="F28" s="140">
        <f>F15+F26</f>
        <v>9641</v>
      </c>
      <c r="G28" s="140">
        <f>G15+G26</f>
        <v>8515</v>
      </c>
      <c r="H28" s="141">
        <f t="shared" si="0"/>
        <v>0.116792863810808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0.18224250596411162</v>
      </c>
      <c r="Q28" s="745"/>
      <c r="R28" s="746">
        <f t="shared" si="1"/>
        <v>0.86806347889223112</v>
      </c>
      <c r="S28" s="745"/>
      <c r="T28" s="746">
        <f t="shared" si="1"/>
        <v>7.6962970646198531E-2</v>
      </c>
      <c r="U28" s="745"/>
      <c r="V28" s="800">
        <f t="shared" si="1"/>
        <v>1.892334820039415</v>
      </c>
      <c r="W28" s="801"/>
      <c r="X28" s="800">
        <f t="shared" si="1"/>
        <v>3.7547972202053727E-2</v>
      </c>
      <c r="Y28" s="801"/>
      <c r="Z28" s="746">
        <f t="shared" si="1"/>
        <v>31.117104034851156</v>
      </c>
      <c r="AA28" s="744"/>
      <c r="AB28" s="632">
        <f t="shared" si="1"/>
        <v>4.8750129654600149</v>
      </c>
      <c r="AC28" s="632"/>
      <c r="AD28" s="632">
        <f t="shared" si="1"/>
        <v>0.14521315216263872</v>
      </c>
      <c r="AE28" s="632"/>
      <c r="AF28" s="757">
        <f t="shared" si="1"/>
        <v>5.808526086505549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0.20634174985320025</v>
      </c>
      <c r="Q29" s="792"/>
      <c r="R29" s="771">
        <f t="shared" si="2"/>
        <v>0.98285378743394014</v>
      </c>
      <c r="S29" s="792"/>
      <c r="T29" s="771">
        <f t="shared" si="2"/>
        <v>8.7140340575455083E-2</v>
      </c>
      <c r="U29" s="792"/>
      <c r="V29" s="793">
        <f t="shared" si="2"/>
        <v>2.142571931884909</v>
      </c>
      <c r="W29" s="794"/>
      <c r="X29" s="795">
        <f t="shared" si="2"/>
        <v>4.2513211978860835E-2</v>
      </c>
      <c r="Y29" s="796"/>
      <c r="Z29" s="771">
        <f t="shared" si="2"/>
        <v>35.231943628890193</v>
      </c>
      <c r="AA29" s="772"/>
      <c r="AB29" s="773">
        <f t="shared" si="2"/>
        <v>5.5196711685261306</v>
      </c>
      <c r="AC29" s="773"/>
      <c r="AD29" s="773">
        <f t="shared" si="2"/>
        <v>0.16441573693482089</v>
      </c>
      <c r="AE29" s="773"/>
      <c r="AF29" s="774">
        <f t="shared" si="2"/>
        <v>6.576629477392836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289" t="str">
        <f t="shared" ref="B33:B42" si="3">B5</f>
        <v>I11690853</v>
      </c>
      <c r="C33" s="411" t="s">
        <v>74</v>
      </c>
      <c r="D33" s="293" t="str">
        <f t="shared" ref="D33:D42" si="4">D5</f>
        <v>ฮาร์โมนี่ เคลย์*N</v>
      </c>
      <c r="E33" s="293">
        <f>F33+161</f>
        <v>1751</v>
      </c>
      <c r="F33" s="594">
        <f>144*11+6</f>
        <v>1590</v>
      </c>
      <c r="G33" s="62">
        <f t="shared" ref="G33:G55" si="5">IF(E33=0,"",(E33-F33)/E33)</f>
        <v>9.1947458595088516E-2</v>
      </c>
      <c r="H33" s="63"/>
      <c r="I33" s="64">
        <f t="shared" ref="I33:I54" si="6">SUM(J33:AH33)</f>
        <v>161</v>
      </c>
      <c r="J33" s="453"/>
      <c r="K33" s="454">
        <f>6+10</f>
        <v>16</v>
      </c>
      <c r="L33" s="453">
        <f>6</f>
        <v>6</v>
      </c>
      <c r="M33" s="454">
        <f>14</f>
        <v>14</v>
      </c>
      <c r="N33" s="453"/>
      <c r="O33" s="454"/>
      <c r="P33" s="453"/>
      <c r="Q33" s="454"/>
      <c r="R33" s="453">
        <f>6</f>
        <v>6</v>
      </c>
      <c r="S33" s="454"/>
      <c r="T33" s="453"/>
      <c r="U33" s="454"/>
      <c r="V33" s="453">
        <f>8+10+15</f>
        <v>33</v>
      </c>
      <c r="W33" s="454"/>
      <c r="X33" s="453">
        <f>10</f>
        <v>10</v>
      </c>
      <c r="Y33" s="454"/>
      <c r="Z33" s="453"/>
      <c r="AA33" s="454"/>
      <c r="AB33" s="453">
        <f>10+25+10</f>
        <v>45</v>
      </c>
      <c r="AC33" s="454">
        <f>10</f>
        <v>10</v>
      </c>
      <c r="AD33" s="453"/>
      <c r="AE33" s="454"/>
      <c r="AF33" s="453">
        <f>1+20</f>
        <v>21</v>
      </c>
      <c r="AG33" s="454"/>
      <c r="AH33" s="453"/>
      <c r="AI33" s="803" t="s">
        <v>315</v>
      </c>
      <c r="AJ33" s="804"/>
      <c r="AK33" s="609" t="s">
        <v>313</v>
      </c>
      <c r="AL33" s="443"/>
      <c r="AM33" s="416"/>
    </row>
    <row r="34" spans="1:39" ht="20.25" customHeight="1">
      <c r="A34" s="370"/>
      <c r="B34" s="290">
        <f t="shared" si="3"/>
        <v>0</v>
      </c>
      <c r="C34" s="214" t="s">
        <v>75</v>
      </c>
      <c r="D34" s="295">
        <f t="shared" si="4"/>
        <v>0</v>
      </c>
      <c r="E34" s="295">
        <v>0</v>
      </c>
      <c r="F34" s="296"/>
      <c r="G34" s="70" t="str">
        <f t="shared" si="5"/>
        <v/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71"/>
      <c r="AJ34" s="72"/>
      <c r="AK34" s="73"/>
      <c r="AL34" s="74"/>
      <c r="AM34" s="75"/>
    </row>
    <row r="35" spans="1:39" ht="20.25" customHeight="1">
      <c r="A35" s="370"/>
      <c r="B35" s="290" t="str">
        <f t="shared" si="3"/>
        <v>I13690853</v>
      </c>
      <c r="C35" s="412" t="s">
        <v>76</v>
      </c>
      <c r="D35" s="295" t="str">
        <f t="shared" si="4"/>
        <v>ฮาร์โมนี่ เคลย์*N</v>
      </c>
      <c r="E35" s="295">
        <v>0</v>
      </c>
      <c r="F35" s="579"/>
      <c r="G35" s="70" t="str">
        <f t="shared" si="5"/>
        <v/>
      </c>
      <c r="H35" s="63"/>
      <c r="I35" s="64">
        <f t="shared" si="6"/>
        <v>0</v>
      </c>
      <c r="J35" s="455"/>
      <c r="K35" s="456"/>
      <c r="L35" s="456"/>
      <c r="M35" s="456"/>
      <c r="N35" s="456"/>
      <c r="O35" s="456"/>
      <c r="P35" s="456"/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7"/>
      <c r="AI35" s="833"/>
      <c r="AJ35" s="834"/>
      <c r="AK35" s="901"/>
      <c r="AL35" s="902"/>
      <c r="AM35" s="903"/>
    </row>
    <row r="36" spans="1:39" ht="20.25" customHeight="1">
      <c r="A36" s="371">
        <v>1</v>
      </c>
      <c r="B36" s="160">
        <f t="shared" si="3"/>
        <v>0</v>
      </c>
      <c r="C36" s="214" t="s">
        <v>77</v>
      </c>
      <c r="D36" s="124">
        <f t="shared" si="4"/>
        <v>0</v>
      </c>
      <c r="E36" s="161">
        <f t="shared" ref="E36:E42" si="7">G8</f>
        <v>0</v>
      </c>
      <c r="F36" s="151"/>
      <c r="G36" s="70" t="str">
        <f t="shared" si="5"/>
        <v/>
      </c>
      <c r="H36" s="63"/>
      <c r="I36" s="64">
        <f t="shared" si="6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71"/>
      <c r="AJ36" s="402"/>
      <c r="AK36" s="73"/>
      <c r="AL36" s="74"/>
      <c r="AM36" s="75"/>
    </row>
    <row r="37" spans="1:39" ht="20.25" customHeight="1">
      <c r="A37" s="372"/>
      <c r="B37" s="414">
        <f t="shared" si="3"/>
        <v>0</v>
      </c>
      <c r="C37" s="412" t="s">
        <v>78</v>
      </c>
      <c r="D37" s="278">
        <f t="shared" si="4"/>
        <v>0</v>
      </c>
      <c r="E37" s="278">
        <f t="shared" si="7"/>
        <v>0</v>
      </c>
      <c r="F37" s="415"/>
      <c r="G37" s="70" t="str">
        <f t="shared" si="5"/>
        <v/>
      </c>
      <c r="H37" s="63"/>
      <c r="I37" s="64">
        <f t="shared" si="6"/>
        <v>0</v>
      </c>
      <c r="J37" s="455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833"/>
      <c r="AJ37" s="834"/>
      <c r="AK37" s="450"/>
      <c r="AL37" s="451"/>
      <c r="AM37" s="417"/>
    </row>
    <row r="38" spans="1:39" ht="20.25" customHeight="1">
      <c r="A38" s="372"/>
      <c r="B38" s="291" t="str">
        <f t="shared" si="3"/>
        <v>I16690853</v>
      </c>
      <c r="C38" s="214" t="s">
        <v>79</v>
      </c>
      <c r="D38" s="297" t="str">
        <f t="shared" si="4"/>
        <v>ฮาร์โมนี่ เคลย์*N</v>
      </c>
      <c r="E38" s="295">
        <f>F38+25</f>
        <v>799</v>
      </c>
      <c r="F38" s="579">
        <f>96*8+6</f>
        <v>774</v>
      </c>
      <c r="G38" s="70">
        <f t="shared" si="5"/>
        <v>3.1289111389236547E-2</v>
      </c>
      <c r="H38" s="63"/>
      <c r="I38" s="64">
        <f t="shared" si="6"/>
        <v>25</v>
      </c>
      <c r="J38" s="455"/>
      <c r="K38" s="456">
        <v>20</v>
      </c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>
        <v>5</v>
      </c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802" t="s">
        <v>316</v>
      </c>
      <c r="AJ38" s="614"/>
      <c r="AK38" s="610" t="s">
        <v>314</v>
      </c>
      <c r="AL38" s="74"/>
      <c r="AM38" s="75"/>
    </row>
    <row r="39" spans="1:39" ht="20.25" customHeight="1">
      <c r="A39" s="372"/>
      <c r="B39" s="291" t="str">
        <f t="shared" si="3"/>
        <v>I17690853</v>
      </c>
      <c r="C39" s="214" t="s">
        <v>80</v>
      </c>
      <c r="D39" s="297" t="str">
        <f t="shared" si="4"/>
        <v>ฮาร์โมนี่ เคลย์*N</v>
      </c>
      <c r="E39" s="297">
        <f>F39+55</f>
        <v>490</v>
      </c>
      <c r="F39" s="603">
        <f>144*3+3</f>
        <v>435</v>
      </c>
      <c r="G39" s="70">
        <f t="shared" si="5"/>
        <v>0.11224489795918367</v>
      </c>
      <c r="H39" s="63"/>
      <c r="I39" s="64">
        <f t="shared" si="6"/>
        <v>55</v>
      </c>
      <c r="J39" s="455"/>
      <c r="K39" s="456"/>
      <c r="L39" s="456"/>
      <c r="M39" s="456"/>
      <c r="N39" s="456"/>
      <c r="O39" s="456"/>
      <c r="P39" s="456"/>
      <c r="Q39" s="456">
        <f>16</f>
        <v>16</v>
      </c>
      <c r="R39" s="456">
        <v>15</v>
      </c>
      <c r="S39" s="456">
        <v>3</v>
      </c>
      <c r="T39" s="456"/>
      <c r="U39" s="456"/>
      <c r="V39" s="456"/>
      <c r="W39" s="456">
        <f>20</f>
        <v>20</v>
      </c>
      <c r="X39" s="456"/>
      <c r="Y39" s="456"/>
      <c r="Z39" s="456"/>
      <c r="AA39" s="456"/>
      <c r="AB39" s="456"/>
      <c r="AC39" s="456">
        <v>1</v>
      </c>
      <c r="AD39" s="456"/>
      <c r="AE39" s="456"/>
      <c r="AF39" s="456"/>
      <c r="AG39" s="456"/>
      <c r="AH39" s="457"/>
      <c r="AI39" s="802" t="s">
        <v>317</v>
      </c>
      <c r="AJ39" s="614"/>
      <c r="AK39" s="610" t="s">
        <v>327</v>
      </c>
      <c r="AL39" s="74"/>
      <c r="AM39" s="75"/>
    </row>
    <row r="40" spans="1:39" ht="20.25" customHeight="1">
      <c r="A40" s="372"/>
      <c r="B40" s="162">
        <f t="shared" si="3"/>
        <v>0</v>
      </c>
      <c r="C40" s="214" t="s">
        <v>63</v>
      </c>
      <c r="D40" s="163">
        <f t="shared" si="4"/>
        <v>0</v>
      </c>
      <c r="E40" s="153">
        <f t="shared" si="7"/>
        <v>0</v>
      </c>
      <c r="F40" s="154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7"/>
        <v>0</v>
      </c>
      <c r="F41" s="209"/>
      <c r="G41" s="210" t="str">
        <f t="shared" si="5"/>
        <v/>
      </c>
      <c r="H41" s="63"/>
      <c r="I41" s="64">
        <f t="shared" si="6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611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3040</v>
      </c>
      <c r="F43" s="145">
        <f>SUM(F33:F42)</f>
        <v>2799</v>
      </c>
      <c r="G43" s="135">
        <f t="shared" si="5"/>
        <v>7.9276315789473681E-2</v>
      </c>
      <c r="H43" s="63"/>
      <c r="I43" s="376">
        <f t="shared" si="6"/>
        <v>241</v>
      </c>
      <c r="J43" s="77">
        <f>SUM(J33:J42)</f>
        <v>0</v>
      </c>
      <c r="K43" s="78">
        <f t="shared" ref="K43:AH43" si="8">SUM(K33:K42)</f>
        <v>36</v>
      </c>
      <c r="L43" s="78">
        <f t="shared" si="8"/>
        <v>6</v>
      </c>
      <c r="M43" s="78">
        <f t="shared" si="8"/>
        <v>14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16</v>
      </c>
      <c r="R43" s="78">
        <f t="shared" si="8"/>
        <v>21</v>
      </c>
      <c r="S43" s="78">
        <f t="shared" si="8"/>
        <v>3</v>
      </c>
      <c r="T43" s="78">
        <f t="shared" si="8"/>
        <v>0</v>
      </c>
      <c r="U43" s="78">
        <f t="shared" si="8"/>
        <v>0</v>
      </c>
      <c r="V43" s="78">
        <f t="shared" si="8"/>
        <v>33</v>
      </c>
      <c r="W43" s="78">
        <f t="shared" si="8"/>
        <v>25</v>
      </c>
      <c r="X43" s="78">
        <f t="shared" si="8"/>
        <v>10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45</v>
      </c>
      <c r="AC43" s="78">
        <f t="shared" si="8"/>
        <v>11</v>
      </c>
      <c r="AD43" s="78">
        <f t="shared" si="8"/>
        <v>0</v>
      </c>
      <c r="AE43" s="78">
        <f t="shared" si="8"/>
        <v>0</v>
      </c>
      <c r="AF43" s="78">
        <f t="shared" si="8"/>
        <v>21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92" t="str">
        <f t="shared" ref="B44:B53" si="9">B16</f>
        <v>I11690854</v>
      </c>
      <c r="C44" s="382" t="s">
        <v>74</v>
      </c>
      <c r="D44" s="293" t="str">
        <f t="shared" ref="D44:D53" si="10">D16</f>
        <v>ไอวอรี่เกรย์*N</v>
      </c>
      <c r="E44" s="293">
        <v>0</v>
      </c>
      <c r="F44" s="594"/>
      <c r="G44" s="62" t="str">
        <f t="shared" si="5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8"/>
      <c r="AJ44" s="819"/>
      <c r="AK44" s="82"/>
      <c r="AL44" s="83"/>
      <c r="AM44" s="84"/>
    </row>
    <row r="45" spans="1:39" ht="20.25" customHeight="1">
      <c r="A45" s="384"/>
      <c r="B45" s="149">
        <f t="shared" si="9"/>
        <v>0</v>
      </c>
      <c r="C45" s="216" t="s">
        <v>75</v>
      </c>
      <c r="D45" s="150">
        <f t="shared" si="10"/>
        <v>0</v>
      </c>
      <c r="E45" s="125">
        <f t="shared" ref="E45:E53" si="11">G17</f>
        <v>0</v>
      </c>
      <c r="F45" s="151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300" t="str">
        <f t="shared" si="9"/>
        <v>I13690854</v>
      </c>
      <c r="C46" s="217" t="s">
        <v>76</v>
      </c>
      <c r="D46" s="304" t="str">
        <f t="shared" si="10"/>
        <v>ไอวอรี่เกรย์*N</v>
      </c>
      <c r="E46" s="297">
        <v>0</v>
      </c>
      <c r="F46" s="603"/>
      <c r="G46" s="70" t="str">
        <f t="shared" si="5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814"/>
      <c r="AJ46" s="815"/>
      <c r="AK46" s="74"/>
      <c r="AL46" s="74"/>
      <c r="AM46" s="75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149">
        <f t="shared" si="9"/>
        <v>0</v>
      </c>
      <c r="C48" s="217" t="s">
        <v>78</v>
      </c>
      <c r="D48" s="155">
        <f t="shared" si="10"/>
        <v>0</v>
      </c>
      <c r="E48" s="153">
        <f t="shared" si="11"/>
        <v>0</v>
      </c>
      <c r="F48" s="154"/>
      <c r="G48" s="70" t="str">
        <f t="shared" si="5"/>
        <v/>
      </c>
      <c r="H48" s="63"/>
      <c r="I48" s="64">
        <f t="shared" si="6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75"/>
    </row>
    <row r="49" spans="1:39" ht="20.25" customHeight="1">
      <c r="A49" s="363"/>
      <c r="B49" s="300" t="str">
        <f t="shared" si="9"/>
        <v>I16690854</v>
      </c>
      <c r="C49" s="217" t="s">
        <v>79</v>
      </c>
      <c r="D49" s="305" t="str">
        <f t="shared" si="10"/>
        <v>ไอวอรี่เกรย์*N</v>
      </c>
      <c r="E49" s="297">
        <v>0</v>
      </c>
      <c r="F49" s="603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300" t="str">
        <f t="shared" si="9"/>
        <v>I17690854</v>
      </c>
      <c r="C50" s="217" t="s">
        <v>80</v>
      </c>
      <c r="D50" s="305" t="str">
        <f t="shared" si="10"/>
        <v>ไอวอรี่เกรย์*N</v>
      </c>
      <c r="E50" s="297">
        <v>0</v>
      </c>
      <c r="F50" s="603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5"/>
        <v/>
      </c>
      <c r="H54" s="63"/>
      <c r="I54" s="87">
        <f t="shared" si="6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3040</v>
      </c>
      <c r="F55" s="164">
        <f>F43+F54</f>
        <v>2799</v>
      </c>
      <c r="G55" s="165">
        <f t="shared" si="5"/>
        <v>7.9276315789473681E-2</v>
      </c>
      <c r="H55" s="95"/>
      <c r="I55" s="96">
        <f>SUM(I43,I54)</f>
        <v>241</v>
      </c>
      <c r="J55" s="97">
        <f>SUM(J43,J54)</f>
        <v>0</v>
      </c>
      <c r="K55" s="97">
        <f t="shared" ref="K55:AH55" si="13">SUM(K43,K54)</f>
        <v>36</v>
      </c>
      <c r="L55" s="97">
        <f t="shared" si="13"/>
        <v>6</v>
      </c>
      <c r="M55" s="97">
        <f t="shared" si="13"/>
        <v>14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16</v>
      </c>
      <c r="R55" s="97">
        <f t="shared" si="13"/>
        <v>21</v>
      </c>
      <c r="S55" s="97">
        <f t="shared" si="13"/>
        <v>3</v>
      </c>
      <c r="T55" s="97">
        <f t="shared" si="13"/>
        <v>0</v>
      </c>
      <c r="U55" s="97">
        <f t="shared" si="13"/>
        <v>0</v>
      </c>
      <c r="V55" s="97">
        <f t="shared" si="13"/>
        <v>33</v>
      </c>
      <c r="W55" s="97">
        <f t="shared" si="13"/>
        <v>25</v>
      </c>
      <c r="X55" s="97">
        <f t="shared" si="13"/>
        <v>10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45</v>
      </c>
      <c r="AC55" s="97">
        <f t="shared" si="13"/>
        <v>11</v>
      </c>
      <c r="AD55" s="97">
        <f t="shared" si="13"/>
        <v>0</v>
      </c>
      <c r="AE55" s="97">
        <f t="shared" si="13"/>
        <v>0</v>
      </c>
      <c r="AF55" s="97">
        <f t="shared" si="13"/>
        <v>21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85">
    <mergeCell ref="AI38:AJ38"/>
    <mergeCell ref="AI39:AJ39"/>
    <mergeCell ref="AI33:AJ33"/>
    <mergeCell ref="AI35:AJ35"/>
    <mergeCell ref="AI37:AJ37"/>
    <mergeCell ref="AK35:AM35"/>
    <mergeCell ref="AI31:AJ32"/>
    <mergeCell ref="AK31:AM32"/>
    <mergeCell ref="AI44:AJ44"/>
    <mergeCell ref="AI45:AJ45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R28:S28"/>
    <mergeCell ref="T28:U28"/>
    <mergeCell ref="V28:W28"/>
    <mergeCell ref="X28:Y28"/>
    <mergeCell ref="I22:O22"/>
    <mergeCell ref="P22:Q22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AJ28:AK28"/>
    <mergeCell ref="AF27:AG27"/>
    <mergeCell ref="I23:O23"/>
    <mergeCell ref="P23:Q23"/>
    <mergeCell ref="Z29:AA29"/>
    <mergeCell ref="AB29:AC29"/>
    <mergeCell ref="AD29:AE29"/>
    <mergeCell ref="AF29:AG29"/>
    <mergeCell ref="AH29:AI29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I25:O25"/>
    <mergeCell ref="R24:S24"/>
    <mergeCell ref="T24:U24"/>
    <mergeCell ref="V24:W24"/>
    <mergeCell ref="X24:Y24"/>
    <mergeCell ref="Z24:AA24"/>
    <mergeCell ref="P25:Q25"/>
    <mergeCell ref="AD24:AE24"/>
    <mergeCell ref="I24:O24"/>
    <mergeCell ref="P24:Q24"/>
    <mergeCell ref="X26:Y26"/>
    <mergeCell ref="Z26:AA26"/>
    <mergeCell ref="AB26:AC26"/>
    <mergeCell ref="Z18:AA18"/>
    <mergeCell ref="AB18:AC18"/>
    <mergeCell ref="AD18:AE18"/>
    <mergeCell ref="AF18:AG18"/>
    <mergeCell ref="AH18:AI18"/>
    <mergeCell ref="AJ18:AK18"/>
    <mergeCell ref="AJ24:AK24"/>
    <mergeCell ref="AF24:AG24"/>
    <mergeCell ref="AH24:AI24"/>
    <mergeCell ref="I18:O18"/>
    <mergeCell ref="P18:Q18"/>
    <mergeCell ref="R18:S18"/>
    <mergeCell ref="T18:U18"/>
    <mergeCell ref="V18:W18"/>
    <mergeCell ref="X18:Y18"/>
    <mergeCell ref="AB24:AC24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H8:AI8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AD2:AE2"/>
    <mergeCell ref="AF2:AG2"/>
    <mergeCell ref="Z7:AA7"/>
    <mergeCell ref="AB7:AC7"/>
    <mergeCell ref="AD7:AE7"/>
    <mergeCell ref="AF7:AG7"/>
    <mergeCell ref="T4:U4"/>
    <mergeCell ref="V4:W4"/>
    <mergeCell ref="X4:Y4"/>
    <mergeCell ref="Z2:AA2"/>
    <mergeCell ref="AB2:AC2"/>
    <mergeCell ref="AB6:AC6"/>
    <mergeCell ref="AD6:AE6"/>
    <mergeCell ref="AF6:AG6"/>
    <mergeCell ref="T7:U7"/>
    <mergeCell ref="AD5:AE5"/>
    <mergeCell ref="Z6:AA6"/>
    <mergeCell ref="V7:W7"/>
    <mergeCell ref="X7:Y7"/>
    <mergeCell ref="Z8:AA8"/>
    <mergeCell ref="AB8:AC8"/>
    <mergeCell ref="AD8:AE8"/>
    <mergeCell ref="AF8:AG8"/>
    <mergeCell ref="AJ3:AK3"/>
    <mergeCell ref="P4:Q4"/>
    <mergeCell ref="AH7:AI7"/>
    <mergeCell ref="I6:O6"/>
    <mergeCell ref="P6:Q6"/>
    <mergeCell ref="R6:S6"/>
    <mergeCell ref="T6:U6"/>
    <mergeCell ref="V6:W6"/>
    <mergeCell ref="X6:Y6"/>
    <mergeCell ref="AF5:AG5"/>
    <mergeCell ref="AH5:AI5"/>
    <mergeCell ref="I5:O5"/>
    <mergeCell ref="P5:Q5"/>
    <mergeCell ref="R5:S5"/>
    <mergeCell ref="T5:U5"/>
    <mergeCell ref="V5:W5"/>
    <mergeCell ref="X5:Y5"/>
    <mergeCell ref="Z5:AA5"/>
    <mergeCell ref="AB5:AC5"/>
    <mergeCell ref="AH6:AI6"/>
    <mergeCell ref="M1:N1"/>
    <mergeCell ref="R1:U1"/>
    <mergeCell ref="E2:H2"/>
    <mergeCell ref="I2:O4"/>
    <mergeCell ref="P2:Q3"/>
    <mergeCell ref="R2:S2"/>
    <mergeCell ref="T2:U2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H4:AI4"/>
    <mergeCell ref="AF3:AG3"/>
    <mergeCell ref="AH3:AI3"/>
    <mergeCell ref="Z4:AA4"/>
    <mergeCell ref="AB4:AC4"/>
    <mergeCell ref="A43:D43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  <mergeCell ref="AB9:AC9"/>
    <mergeCell ref="AD9:AE9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47" orientation="landscape" blackAndWhite="1" verticalDpi="300" r:id="rId1"/>
  <headerFooter alignWithMargins="0"/>
  <colBreaks count="1" manualBreakCount="1">
    <brk id="31" max="1048575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rgb="FF92D050"/>
    <pageSetUpPr fitToPage="1"/>
  </sheetPr>
  <dimension ref="A1:AM59"/>
  <sheetViews>
    <sheetView showGridLines="0" topLeftCell="AG4" zoomScale="70" zoomScaleNormal="70" workbookViewId="0">
      <selection activeCell="B5" sqref="B5:G5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18.25" style="9" customWidth="1"/>
    <col min="5" max="7" width="12" style="9" customWidth="1"/>
    <col min="8" max="8" width="11" style="9" customWidth="1"/>
    <col min="9" max="22" width="4.5" style="9" customWidth="1"/>
    <col min="23" max="32" width="4.5" style="13" customWidth="1"/>
    <col min="33" max="35" width="4.5" style="17" customWidth="1"/>
    <col min="36" max="36" width="14.33203125" style="17" customWidth="1"/>
    <col min="37" max="38" width="4.5" style="17" customWidth="1"/>
    <col min="39" max="39" width="6.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>
        <v>244592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236" t="s">
        <v>309</v>
      </c>
      <c r="C5" s="129" t="s">
        <v>74</v>
      </c>
      <c r="D5" s="237" t="s">
        <v>311</v>
      </c>
      <c r="E5" s="237">
        <v>1000</v>
      </c>
      <c r="F5" s="237">
        <v>1666</v>
      </c>
      <c r="G5" s="238">
        <v>1482</v>
      </c>
      <c r="H5" s="110">
        <f t="shared" ref="H5:H28" si="0">IF(F5=0,"",(F5-G5)/F5)</f>
        <v>0.11044417767106843</v>
      </c>
      <c r="I5" s="675" t="s">
        <v>33</v>
      </c>
      <c r="J5" s="676"/>
      <c r="K5" s="676"/>
      <c r="L5" s="676"/>
      <c r="M5" s="676"/>
      <c r="N5" s="676"/>
      <c r="O5" s="677"/>
      <c r="P5" s="678">
        <v>0</v>
      </c>
      <c r="Q5" s="679"/>
      <c r="R5" s="680">
        <v>0</v>
      </c>
      <c r="S5" s="679"/>
      <c r="T5" s="681">
        <v>0</v>
      </c>
      <c r="U5" s="682"/>
      <c r="V5" s="683">
        <v>0</v>
      </c>
      <c r="W5" s="684"/>
      <c r="X5" s="685">
        <v>0</v>
      </c>
      <c r="Y5" s="686"/>
      <c r="Z5" s="687">
        <f>200-48</f>
        <v>152</v>
      </c>
      <c r="AA5" s="688"/>
      <c r="AB5" s="674">
        <v>15</v>
      </c>
      <c r="AC5" s="674"/>
      <c r="AD5" s="689">
        <f>SUM(AF5:AK5)*0.025</f>
        <v>0.82500000000000007</v>
      </c>
      <c r="AE5" s="689"/>
      <c r="AF5" s="674">
        <f>14+14+5</f>
        <v>33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239"/>
      <c r="C6" s="129" t="s">
        <v>75</v>
      </c>
      <c r="D6" s="240"/>
      <c r="E6" s="241"/>
      <c r="F6" s="241"/>
      <c r="G6" s="242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</v>
      </c>
      <c r="Q6" s="673"/>
      <c r="R6" s="673">
        <f>IF($F$15=0,0,R5*1000/$F$15)</f>
        <v>0</v>
      </c>
      <c r="S6" s="673"/>
      <c r="T6" s="673">
        <f>IF($F$15=0,0,T5*1000/$F$15)</f>
        <v>0</v>
      </c>
      <c r="U6" s="673"/>
      <c r="V6" s="673">
        <f>IF($F$15=0,0,V5*1000/$F$15)</f>
        <v>0</v>
      </c>
      <c r="W6" s="673"/>
      <c r="X6" s="673">
        <f>IF($F$15=0,0,X5*1000/$F$15)</f>
        <v>0</v>
      </c>
      <c r="Y6" s="673"/>
      <c r="Z6" s="673">
        <f>IF($F$15=0,0,Z5*1000/$F$15)</f>
        <v>28.101312627102978</v>
      </c>
      <c r="AA6" s="673"/>
      <c r="AB6" s="632">
        <f>IF($F$15=0,0,AB5*1000/$F$15)</f>
        <v>2.7731558513588466</v>
      </c>
      <c r="AC6" s="632"/>
      <c r="AD6" s="632">
        <f>IF($F$15=0,0,AD5*1000/$F$15)</f>
        <v>0.15252357182473658</v>
      </c>
      <c r="AE6" s="632"/>
      <c r="AF6" s="627">
        <f>IF(AF5=0,0,F15/AF5)</f>
        <v>163.90909090909091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239" t="s">
        <v>310</v>
      </c>
      <c r="C7" s="129" t="s">
        <v>76</v>
      </c>
      <c r="D7" s="240" t="s">
        <v>311</v>
      </c>
      <c r="E7" s="241">
        <v>2000</v>
      </c>
      <c r="F7" s="241">
        <v>2305</v>
      </c>
      <c r="G7" s="242">
        <v>2056</v>
      </c>
      <c r="H7" s="111">
        <f t="shared" si="0"/>
        <v>0.10802603036876356</v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</v>
      </c>
      <c r="Q7" s="639"/>
      <c r="R7" s="639">
        <f>IF($G$15=0,0,R5*1000/$G$15)</f>
        <v>0</v>
      </c>
      <c r="S7" s="639"/>
      <c r="T7" s="639">
        <f>IF($G$15=0,0,T5*1000/$G$15)</f>
        <v>0</v>
      </c>
      <c r="U7" s="639"/>
      <c r="V7" s="639">
        <f>IF($G$15=0,0,V5*1000/$G$15)</f>
        <v>0</v>
      </c>
      <c r="W7" s="639"/>
      <c r="X7" s="639">
        <f>IF($G$15=0,0,X5*1000/$G$15)</f>
        <v>0</v>
      </c>
      <c r="Y7" s="639"/>
      <c r="Z7" s="639">
        <f>IF($G$15=0,0,Z5*1000/$G$15)</f>
        <v>31.295038089355568</v>
      </c>
      <c r="AA7" s="639"/>
      <c r="AB7" s="632">
        <f>IF($G$15=0,0,AB5*1000/$G$15)</f>
        <v>3.0883261272390365</v>
      </c>
      <c r="AC7" s="632"/>
      <c r="AD7" s="632">
        <f>IF($G$15=0,0,AD5*1000/$G$15)</f>
        <v>0.16985793699814702</v>
      </c>
      <c r="AE7" s="632"/>
      <c r="AF7" s="627">
        <f>IF(AF5=0,0,G15/AF5)</f>
        <v>147.18181818181819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239"/>
      <c r="C8" s="129" t="s">
        <v>77</v>
      </c>
      <c r="D8" s="240"/>
      <c r="E8" s="241"/>
      <c r="F8" s="241"/>
      <c r="G8" s="242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>
        <f>24+19+3+8+8+8+3+2+3</f>
        <v>78</v>
      </c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239"/>
      <c r="C9" s="129" t="s">
        <v>78</v>
      </c>
      <c r="D9" s="240"/>
      <c r="E9" s="241"/>
      <c r="F9" s="241"/>
      <c r="G9" s="242"/>
      <c r="H9" s="111" t="str">
        <f>IF(F9=0,"",(F9-G9)/F9)</f>
        <v/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239" t="s">
        <v>318</v>
      </c>
      <c r="C10" s="129" t="s">
        <v>79</v>
      </c>
      <c r="D10" s="240" t="s">
        <v>311</v>
      </c>
      <c r="E10" s="241">
        <v>500</v>
      </c>
      <c r="F10" s="241">
        <v>710</v>
      </c>
      <c r="G10" s="242">
        <v>655</v>
      </c>
      <c r="H10" s="111">
        <f>IF(F10=0,"",(F10-G10)/F10)</f>
        <v>7.746478873239436E-2</v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239" t="s">
        <v>319</v>
      </c>
      <c r="C11" s="129" t="s">
        <v>80</v>
      </c>
      <c r="D11" s="240" t="s">
        <v>311</v>
      </c>
      <c r="E11" s="241">
        <v>500</v>
      </c>
      <c r="F11" s="241">
        <v>728</v>
      </c>
      <c r="G11" s="242">
        <v>664</v>
      </c>
      <c r="H11" s="111">
        <f>IF(F11=0,"",(F11-G11)/F11)</f>
        <v>8.7912087912087919E-2</v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/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>
        <f>2+2+2+2+2+4+3</f>
        <v>17</v>
      </c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/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>
        <f>F15/P12</f>
        <v>318.1764705882353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>
        <v>7</v>
      </c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4000</v>
      </c>
      <c r="F15" s="204">
        <f>SUM(F5:F14)</f>
        <v>5409</v>
      </c>
      <c r="G15" s="204">
        <f>SUM(G5:G14)</f>
        <v>4857</v>
      </c>
      <c r="H15" s="188">
        <f>IF(F15=0,"",(F15-G15)/F15)</f>
        <v>0.10205213533000555</v>
      </c>
      <c r="I15" s="719" t="s">
        <v>70</v>
      </c>
      <c r="J15" s="720"/>
      <c r="K15" s="720"/>
      <c r="L15" s="720"/>
      <c r="M15" s="720"/>
      <c r="N15" s="720"/>
      <c r="O15" s="721"/>
      <c r="P15" s="722">
        <f>F15/P14</f>
        <v>772.71428571428567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236"/>
      <c r="C16" s="130" t="s">
        <v>74</v>
      </c>
      <c r="D16" s="127"/>
      <c r="E16" s="122"/>
      <c r="F16" s="122"/>
      <c r="G16" s="123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f>200-182</f>
        <v>18</v>
      </c>
      <c r="AA16" s="741"/>
      <c r="AB16" s="739">
        <v>1</v>
      </c>
      <c r="AC16" s="739"/>
      <c r="AD16" s="725">
        <f>SUM(AF16:AK16)*0.025</f>
        <v>0.05</v>
      </c>
      <c r="AE16" s="725"/>
      <c r="AF16" s="726">
        <f>2</f>
        <v>2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239" t="s">
        <v>322</v>
      </c>
      <c r="C17" s="131" t="s">
        <v>75</v>
      </c>
      <c r="D17" s="241" t="s">
        <v>312</v>
      </c>
      <c r="E17" s="241">
        <v>10</v>
      </c>
      <c r="F17" s="241">
        <v>12</v>
      </c>
      <c r="G17" s="242">
        <v>12</v>
      </c>
      <c r="H17" s="111">
        <f t="shared" si="0"/>
        <v>0</v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98.901098901098905</v>
      </c>
      <c r="AA17" s="744"/>
      <c r="AB17" s="632">
        <f>IF($F$26=0,0,AB16*1000/$F$26)</f>
        <v>5.4945054945054945</v>
      </c>
      <c r="AC17" s="632"/>
      <c r="AD17" s="632">
        <f>IF($F$26=0,0,AD16*1000/$F$26)</f>
        <v>0.27472527472527475</v>
      </c>
      <c r="AE17" s="632"/>
      <c r="AF17" s="742">
        <f>IF(AF16=0,0,F26/AF16)</f>
        <v>91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239"/>
      <c r="C18" s="131" t="s">
        <v>76</v>
      </c>
      <c r="D18" s="241"/>
      <c r="E18" s="241"/>
      <c r="F18" s="241"/>
      <c r="G18" s="242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103.44827586206897</v>
      </c>
      <c r="AA18" s="744"/>
      <c r="AB18" s="632">
        <f>IF($G$26=0,0,AB16*1000/$G$26)</f>
        <v>5.7471264367816088</v>
      </c>
      <c r="AC18" s="632"/>
      <c r="AD18" s="632">
        <f>IF($G$26=0,0,AD16*1000/$G$26)</f>
        <v>0.28735632183908044</v>
      </c>
      <c r="AE18" s="632"/>
      <c r="AF18" s="742">
        <f>IF(AF16=0,0,G26/AF16)</f>
        <v>87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239"/>
      <c r="C19" s="131" t="s">
        <v>77</v>
      </c>
      <c r="D19" s="241"/>
      <c r="E19" s="241"/>
      <c r="F19" s="241"/>
      <c r="G19" s="242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>
        <v>3</v>
      </c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239"/>
      <c r="C20" s="131" t="s">
        <v>78</v>
      </c>
      <c r="D20" s="241"/>
      <c r="E20" s="241"/>
      <c r="F20" s="241"/>
      <c r="G20" s="242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239" t="s">
        <v>320</v>
      </c>
      <c r="C21" s="131" t="s">
        <v>79</v>
      </c>
      <c r="D21" s="241" t="s">
        <v>312</v>
      </c>
      <c r="E21" s="241">
        <v>20</v>
      </c>
      <c r="F21" s="241">
        <v>50</v>
      </c>
      <c r="G21" s="242">
        <v>50</v>
      </c>
      <c r="H21" s="111">
        <f t="shared" si="0"/>
        <v>0</v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239" t="s">
        <v>321</v>
      </c>
      <c r="C22" s="131" t="s">
        <v>80</v>
      </c>
      <c r="D22" s="241" t="s">
        <v>312</v>
      </c>
      <c r="E22" s="241">
        <v>100</v>
      </c>
      <c r="F22" s="241">
        <v>120</v>
      </c>
      <c r="G22" s="242">
        <v>112</v>
      </c>
      <c r="H22" s="111">
        <f t="shared" si="0"/>
        <v>6.6666666666666666E-2</v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>
        <v>2</v>
      </c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/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>
        <f>F26/P23</f>
        <v>91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>
        <v>2</v>
      </c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130</v>
      </c>
      <c r="F26" s="205">
        <f>SUM(F16:F25)</f>
        <v>182</v>
      </c>
      <c r="G26" s="205">
        <f>SUM(G16:G25)</f>
        <v>174</v>
      </c>
      <c r="H26" s="196">
        <f>IF(F26=0,"",(F26-G26)/F26)</f>
        <v>4.3956043956043959E-2</v>
      </c>
      <c r="I26" s="719" t="s">
        <v>70</v>
      </c>
      <c r="J26" s="720"/>
      <c r="K26" s="720"/>
      <c r="L26" s="720"/>
      <c r="M26" s="720"/>
      <c r="N26" s="720"/>
      <c r="O26" s="721"/>
      <c r="P26" s="785">
        <f>F26/P25</f>
        <v>91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0</v>
      </c>
      <c r="Q27" s="781"/>
      <c r="R27" s="782">
        <f>SUM(R5,R16)</f>
        <v>0</v>
      </c>
      <c r="S27" s="781"/>
      <c r="T27" s="782">
        <f>SUM(T5,T16)</f>
        <v>0</v>
      </c>
      <c r="U27" s="781"/>
      <c r="V27" s="782">
        <f>SUM(V5,V16)</f>
        <v>0</v>
      </c>
      <c r="W27" s="781"/>
      <c r="X27" s="782">
        <f>SUM(X5,X16)</f>
        <v>0</v>
      </c>
      <c r="Y27" s="781"/>
      <c r="Z27" s="783">
        <f>SUM(Z5,Z16)</f>
        <v>170</v>
      </c>
      <c r="AA27" s="784"/>
      <c r="AB27" s="770">
        <f>SUM(AB5,AB16)</f>
        <v>16</v>
      </c>
      <c r="AC27" s="770"/>
      <c r="AD27" s="769">
        <f>SUM(AD5,AD16)</f>
        <v>0.87500000000000011</v>
      </c>
      <c r="AE27" s="769"/>
      <c r="AF27" s="770">
        <f>SUM(AF5,AF16)</f>
        <v>35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4130</v>
      </c>
      <c r="F28" s="140">
        <f>F15+F26</f>
        <v>5591</v>
      </c>
      <c r="G28" s="140">
        <f>G15+G26</f>
        <v>5031</v>
      </c>
      <c r="H28" s="141">
        <f t="shared" si="0"/>
        <v>0.10016097299230907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</v>
      </c>
      <c r="Q28" s="745"/>
      <c r="R28" s="746">
        <f t="shared" si="1"/>
        <v>0</v>
      </c>
      <c r="S28" s="745"/>
      <c r="T28" s="746">
        <f t="shared" si="1"/>
        <v>0</v>
      </c>
      <c r="U28" s="745"/>
      <c r="V28" s="800">
        <f t="shared" si="1"/>
        <v>0</v>
      </c>
      <c r="W28" s="801"/>
      <c r="X28" s="800">
        <f t="shared" si="1"/>
        <v>0</v>
      </c>
      <c r="Y28" s="801"/>
      <c r="Z28" s="746">
        <f t="shared" si="1"/>
        <v>30.406009658379539</v>
      </c>
      <c r="AA28" s="744"/>
      <c r="AB28" s="632">
        <f t="shared" si="1"/>
        <v>2.8617420854945448</v>
      </c>
      <c r="AC28" s="632"/>
      <c r="AD28" s="632">
        <f t="shared" si="1"/>
        <v>0.15650152030048295</v>
      </c>
      <c r="AE28" s="632"/>
      <c r="AF28" s="757">
        <f t="shared" si="1"/>
        <v>6.2600608120193169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</v>
      </c>
      <c r="Q29" s="792"/>
      <c r="R29" s="771">
        <f t="shared" si="2"/>
        <v>0</v>
      </c>
      <c r="S29" s="792"/>
      <c r="T29" s="771">
        <f t="shared" si="2"/>
        <v>0</v>
      </c>
      <c r="U29" s="792"/>
      <c r="V29" s="793">
        <f t="shared" si="2"/>
        <v>0</v>
      </c>
      <c r="W29" s="794"/>
      <c r="X29" s="795">
        <f t="shared" si="2"/>
        <v>0</v>
      </c>
      <c r="Y29" s="796"/>
      <c r="Z29" s="771">
        <f t="shared" si="2"/>
        <v>33.790498906777977</v>
      </c>
      <c r="AA29" s="772"/>
      <c r="AB29" s="773">
        <f t="shared" si="2"/>
        <v>3.1802822500496921</v>
      </c>
      <c r="AC29" s="773"/>
      <c r="AD29" s="773">
        <f t="shared" si="2"/>
        <v>0.17392168554959256</v>
      </c>
      <c r="AE29" s="773"/>
      <c r="AF29" s="774">
        <f t="shared" si="2"/>
        <v>6.9568674219837012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117" t="s">
        <v>27</v>
      </c>
      <c r="G32" s="118" t="s">
        <v>43</v>
      </c>
      <c r="H32" s="364"/>
      <c r="I32" s="60" t="s">
        <v>26</v>
      </c>
      <c r="J32" s="112" t="s">
        <v>84</v>
      </c>
      <c r="K32" s="231" t="s">
        <v>85</v>
      </c>
      <c r="L32" s="112" t="s">
        <v>86</v>
      </c>
      <c r="M32" s="112" t="s">
        <v>87</v>
      </c>
      <c r="N32" s="112" t="s">
        <v>88</v>
      </c>
      <c r="O32" s="112" t="s">
        <v>89</v>
      </c>
      <c r="P32" s="112" t="s">
        <v>90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32" t="s">
        <v>52</v>
      </c>
      <c r="AI32" s="807"/>
      <c r="AJ32" s="808"/>
      <c r="AK32" s="809"/>
      <c r="AL32" s="810"/>
      <c r="AM32" s="811"/>
    </row>
    <row r="33" spans="1:39" ht="20.25" customHeight="1">
      <c r="A33" s="369"/>
      <c r="B33" s="289" t="str">
        <f t="shared" ref="B33:B42" si="3">B5</f>
        <v>I11690855</v>
      </c>
      <c r="C33" s="213" t="s">
        <v>74</v>
      </c>
      <c r="D33" s="293" t="str">
        <f t="shared" ref="D33:D42" si="4">D5</f>
        <v>มิดไนท์บูล*N</v>
      </c>
      <c r="E33" s="293">
        <v>0</v>
      </c>
      <c r="F33" s="594"/>
      <c r="G33" s="62" t="str">
        <f t="shared" ref="G33:G55" si="5">IF(E33=0,"",(E33-F33)/E33)</f>
        <v/>
      </c>
      <c r="H33" s="63"/>
      <c r="I33" s="64">
        <f t="shared" ref="I33:I54" si="6">SUM(J33:AH33)</f>
        <v>0</v>
      </c>
      <c r="J33" s="453"/>
      <c r="K33" s="454"/>
      <c r="L33" s="453"/>
      <c r="M33" s="454"/>
      <c r="N33" s="453"/>
      <c r="O33" s="454"/>
      <c r="P33" s="453"/>
      <c r="Q33" s="454"/>
      <c r="R33" s="453"/>
      <c r="S33" s="454"/>
      <c r="T33" s="453"/>
      <c r="U33" s="454"/>
      <c r="V33" s="453"/>
      <c r="W33" s="454"/>
      <c r="X33" s="453"/>
      <c r="Y33" s="454"/>
      <c r="Z33" s="453"/>
      <c r="AA33" s="454"/>
      <c r="AB33" s="453"/>
      <c r="AC33" s="454"/>
      <c r="AD33" s="453"/>
      <c r="AE33" s="454"/>
      <c r="AF33" s="453"/>
      <c r="AG33" s="454"/>
      <c r="AH33" s="453"/>
      <c r="AI33" s="65"/>
      <c r="AJ33" s="66"/>
      <c r="AK33" s="67"/>
      <c r="AL33" s="68"/>
      <c r="AM33" s="69"/>
    </row>
    <row r="34" spans="1:39" ht="20.25" customHeight="1">
      <c r="A34" s="370"/>
      <c r="B34" s="160">
        <f t="shared" si="3"/>
        <v>0</v>
      </c>
      <c r="C34" s="214" t="s">
        <v>75</v>
      </c>
      <c r="D34" s="124">
        <f t="shared" si="4"/>
        <v>0</v>
      </c>
      <c r="E34" s="161">
        <f t="shared" ref="E34:E42" si="7">G6</f>
        <v>0</v>
      </c>
      <c r="F34" s="151"/>
      <c r="G34" s="70" t="str">
        <f t="shared" si="5"/>
        <v/>
      </c>
      <c r="H34" s="63"/>
      <c r="I34" s="64">
        <f t="shared" si="6"/>
        <v>0</v>
      </c>
      <c r="J34" s="455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7"/>
      <c r="AI34" s="71"/>
      <c r="AJ34" s="72"/>
      <c r="AK34" s="73"/>
      <c r="AL34" s="74"/>
      <c r="AM34" s="75"/>
    </row>
    <row r="35" spans="1:39" ht="20.25" customHeight="1">
      <c r="A35" s="370"/>
      <c r="B35" s="290" t="str">
        <f t="shared" si="3"/>
        <v>I13690855</v>
      </c>
      <c r="C35" s="214" t="s">
        <v>76</v>
      </c>
      <c r="D35" s="295" t="str">
        <f t="shared" si="4"/>
        <v>มิดไนท์บูล*N</v>
      </c>
      <c r="E35" s="295">
        <v>0</v>
      </c>
      <c r="F35" s="579"/>
      <c r="G35" s="70" t="str">
        <f t="shared" si="5"/>
        <v/>
      </c>
      <c r="H35" s="63"/>
      <c r="I35" s="64">
        <f t="shared" si="6"/>
        <v>0</v>
      </c>
      <c r="J35" s="455"/>
      <c r="K35" s="456"/>
      <c r="L35" s="456"/>
      <c r="M35" s="456"/>
      <c r="N35" s="456"/>
      <c r="O35" s="456"/>
      <c r="P35" s="456"/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7"/>
      <c r="AI35" s="452"/>
      <c r="AJ35" s="438"/>
      <c r="AK35" s="73"/>
      <c r="AL35" s="74"/>
      <c r="AM35" s="75"/>
    </row>
    <row r="36" spans="1:39" ht="20.25" customHeight="1">
      <c r="A36" s="371">
        <v>1</v>
      </c>
      <c r="B36" s="160">
        <f t="shared" si="3"/>
        <v>0</v>
      </c>
      <c r="C36" s="214" t="s">
        <v>77</v>
      </c>
      <c r="D36" s="124">
        <f t="shared" si="4"/>
        <v>0</v>
      </c>
      <c r="E36" s="161">
        <f t="shared" si="7"/>
        <v>0</v>
      </c>
      <c r="F36" s="151"/>
      <c r="G36" s="70" t="str">
        <f t="shared" si="5"/>
        <v/>
      </c>
      <c r="H36" s="63"/>
      <c r="I36" s="64">
        <f t="shared" si="6"/>
        <v>0</v>
      </c>
      <c r="J36" s="455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7"/>
      <c r="AI36" s="452"/>
      <c r="AJ36" s="438"/>
      <c r="AK36" s="73"/>
      <c r="AL36" s="74"/>
      <c r="AM36" s="75"/>
    </row>
    <row r="37" spans="1:39" ht="20.25" customHeight="1">
      <c r="A37" s="372"/>
      <c r="B37" s="160">
        <f t="shared" si="3"/>
        <v>0</v>
      </c>
      <c r="C37" s="214" t="s">
        <v>78</v>
      </c>
      <c r="D37" s="124">
        <f t="shared" si="4"/>
        <v>0</v>
      </c>
      <c r="E37" s="161">
        <f t="shared" si="7"/>
        <v>0</v>
      </c>
      <c r="F37" s="151"/>
      <c r="G37" s="70" t="str">
        <f t="shared" si="5"/>
        <v/>
      </c>
      <c r="H37" s="63"/>
      <c r="I37" s="64">
        <f t="shared" si="6"/>
        <v>0</v>
      </c>
      <c r="J37" s="455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7"/>
      <c r="AI37" s="71"/>
      <c r="AJ37" s="72"/>
      <c r="AK37" s="73"/>
      <c r="AL37" s="74"/>
      <c r="AM37" s="75"/>
    </row>
    <row r="38" spans="1:39" ht="20.25" customHeight="1">
      <c r="A38" s="372"/>
      <c r="B38" s="291" t="str">
        <f t="shared" si="3"/>
        <v>I16690855</v>
      </c>
      <c r="C38" s="214" t="s">
        <v>79</v>
      </c>
      <c r="D38" s="297" t="str">
        <f t="shared" si="4"/>
        <v>มิดไนท์บูล*N</v>
      </c>
      <c r="E38" s="295">
        <v>0</v>
      </c>
      <c r="F38" s="579"/>
      <c r="G38" s="70" t="str">
        <f t="shared" si="5"/>
        <v/>
      </c>
      <c r="H38" s="63"/>
      <c r="I38" s="64">
        <f t="shared" si="6"/>
        <v>0</v>
      </c>
      <c r="J38" s="455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7"/>
      <c r="AI38" s="71"/>
      <c r="AJ38" s="72"/>
      <c r="AK38" s="73"/>
      <c r="AL38" s="74"/>
      <c r="AM38" s="75"/>
    </row>
    <row r="39" spans="1:39" ht="20.25" customHeight="1">
      <c r="A39" s="372"/>
      <c r="B39" s="291" t="str">
        <f t="shared" si="3"/>
        <v>I17690855</v>
      </c>
      <c r="C39" s="214" t="s">
        <v>80</v>
      </c>
      <c r="D39" s="297" t="str">
        <f t="shared" si="4"/>
        <v>มิดไนท์บูล*N</v>
      </c>
      <c r="E39" s="297">
        <v>0</v>
      </c>
      <c r="F39" s="603"/>
      <c r="G39" s="70" t="str">
        <f t="shared" si="5"/>
        <v/>
      </c>
      <c r="H39" s="63"/>
      <c r="I39" s="64">
        <f t="shared" si="6"/>
        <v>0</v>
      </c>
      <c r="J39" s="455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7"/>
      <c r="AI39" s="76"/>
      <c r="AJ39" s="74"/>
      <c r="AK39" s="73"/>
      <c r="AL39" s="74"/>
      <c r="AM39" s="75"/>
    </row>
    <row r="40" spans="1:39" ht="20.25" customHeight="1">
      <c r="A40" s="372"/>
      <c r="B40" s="162">
        <f t="shared" si="3"/>
        <v>0</v>
      </c>
      <c r="C40" s="214" t="s">
        <v>63</v>
      </c>
      <c r="D40" s="163">
        <f t="shared" si="4"/>
        <v>0</v>
      </c>
      <c r="E40" s="153">
        <f t="shared" si="7"/>
        <v>0</v>
      </c>
      <c r="F40" s="154"/>
      <c r="G40" s="70" t="str">
        <f t="shared" si="5"/>
        <v/>
      </c>
      <c r="H40" s="63"/>
      <c r="I40" s="64">
        <f t="shared" si="6"/>
        <v>0</v>
      </c>
      <c r="J40" s="455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7"/>
      <c r="AI40" s="76"/>
      <c r="AJ40" s="74"/>
      <c r="AK40" s="73"/>
      <c r="AL40" s="74"/>
      <c r="AM40" s="75"/>
    </row>
    <row r="41" spans="1:39" ht="20.25" customHeight="1">
      <c r="A41" s="370"/>
      <c r="B41" s="206">
        <f t="shared" si="3"/>
        <v>0</v>
      </c>
      <c r="C41" s="215" t="s">
        <v>81</v>
      </c>
      <c r="D41" s="207">
        <f t="shared" si="4"/>
        <v>0</v>
      </c>
      <c r="E41" s="208">
        <f t="shared" si="7"/>
        <v>0</v>
      </c>
      <c r="F41" s="209"/>
      <c r="G41" s="210" t="str">
        <f t="shared" si="5"/>
        <v/>
      </c>
      <c r="H41" s="63"/>
      <c r="I41" s="64">
        <f t="shared" si="6"/>
        <v>0</v>
      </c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458"/>
      <c r="AI41" s="76"/>
      <c r="AJ41" s="74"/>
      <c r="AK41" s="73"/>
      <c r="AL41" s="74"/>
      <c r="AM41" s="75"/>
    </row>
    <row r="42" spans="1:39" ht="20.25" customHeight="1" thickBot="1">
      <c r="A42" s="370"/>
      <c r="B42" s="373">
        <f t="shared" si="3"/>
        <v>0</v>
      </c>
      <c r="C42" s="374" t="s">
        <v>82</v>
      </c>
      <c r="D42" s="375">
        <f t="shared" si="4"/>
        <v>0</v>
      </c>
      <c r="E42" s="157">
        <f t="shared" si="7"/>
        <v>0</v>
      </c>
      <c r="F42" s="158"/>
      <c r="G42" s="144" t="str">
        <f t="shared" si="5"/>
        <v/>
      </c>
      <c r="H42" s="63"/>
      <c r="I42" s="64">
        <f t="shared" si="6"/>
        <v>0</v>
      </c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458"/>
      <c r="AI42" s="76"/>
      <c r="AJ42" s="74"/>
      <c r="AK42" s="73"/>
      <c r="AL42" s="74"/>
      <c r="AM42" s="75"/>
    </row>
    <row r="43" spans="1:39" ht="20.25" customHeight="1" thickBot="1">
      <c r="A43" s="612" t="s">
        <v>37</v>
      </c>
      <c r="B43" s="612"/>
      <c r="C43" s="612"/>
      <c r="D43" s="612"/>
      <c r="E43" s="145">
        <f>SUM(E33:E42)</f>
        <v>0</v>
      </c>
      <c r="F43" s="145">
        <f>SUM(F33:F42)</f>
        <v>0</v>
      </c>
      <c r="G43" s="135" t="str">
        <f t="shared" si="5"/>
        <v/>
      </c>
      <c r="H43" s="63"/>
      <c r="I43" s="376">
        <f t="shared" si="6"/>
        <v>0</v>
      </c>
      <c r="J43" s="77">
        <f>SUM(J33:J42)</f>
        <v>0</v>
      </c>
      <c r="K43" s="78">
        <f t="shared" ref="K43:AH43" si="8">SUM(K33:K42)</f>
        <v>0</v>
      </c>
      <c r="L43" s="78">
        <f t="shared" si="8"/>
        <v>0</v>
      </c>
      <c r="M43" s="78">
        <f t="shared" si="8"/>
        <v>0</v>
      </c>
      <c r="N43" s="78">
        <f t="shared" si="8"/>
        <v>0</v>
      </c>
      <c r="O43" s="78">
        <f t="shared" si="8"/>
        <v>0</v>
      </c>
      <c r="P43" s="78">
        <f t="shared" si="8"/>
        <v>0</v>
      </c>
      <c r="Q43" s="78">
        <f t="shared" si="8"/>
        <v>0</v>
      </c>
      <c r="R43" s="78">
        <f t="shared" si="8"/>
        <v>0</v>
      </c>
      <c r="S43" s="78">
        <f t="shared" si="8"/>
        <v>0</v>
      </c>
      <c r="T43" s="78">
        <f t="shared" si="8"/>
        <v>0</v>
      </c>
      <c r="U43" s="78">
        <f t="shared" si="8"/>
        <v>0</v>
      </c>
      <c r="V43" s="78">
        <f t="shared" si="8"/>
        <v>0</v>
      </c>
      <c r="W43" s="78">
        <f t="shared" si="8"/>
        <v>0</v>
      </c>
      <c r="X43" s="78">
        <f t="shared" si="8"/>
        <v>0</v>
      </c>
      <c r="Y43" s="78">
        <f t="shared" si="8"/>
        <v>0</v>
      </c>
      <c r="Z43" s="78">
        <f t="shared" si="8"/>
        <v>0</v>
      </c>
      <c r="AA43" s="78">
        <f t="shared" si="8"/>
        <v>0</v>
      </c>
      <c r="AB43" s="78">
        <f t="shared" si="8"/>
        <v>0</v>
      </c>
      <c r="AC43" s="78">
        <f t="shared" si="8"/>
        <v>0</v>
      </c>
      <c r="AD43" s="78">
        <f t="shared" si="8"/>
        <v>0</v>
      </c>
      <c r="AE43" s="78">
        <f t="shared" si="8"/>
        <v>0</v>
      </c>
      <c r="AF43" s="78">
        <f t="shared" si="8"/>
        <v>0</v>
      </c>
      <c r="AG43" s="78">
        <f t="shared" si="8"/>
        <v>0</v>
      </c>
      <c r="AH43" s="79">
        <f t="shared" si="8"/>
        <v>0</v>
      </c>
      <c r="AI43" s="80"/>
      <c r="AJ43" s="377"/>
      <c r="AK43" s="378"/>
      <c r="AL43" s="379"/>
      <c r="AM43" s="81"/>
    </row>
    <row r="44" spans="1:39" ht="20.25" customHeight="1">
      <c r="A44" s="380"/>
      <c r="B44" s="381">
        <f t="shared" ref="B44:B53" si="9">B16</f>
        <v>0</v>
      </c>
      <c r="C44" s="382" t="s">
        <v>74</v>
      </c>
      <c r="D44" s="121">
        <f t="shared" ref="D44:D53" si="10">D16</f>
        <v>0</v>
      </c>
      <c r="E44" s="122">
        <f t="shared" ref="E44:E53" si="11">G16</f>
        <v>0</v>
      </c>
      <c r="F44" s="148"/>
      <c r="G44" s="62" t="str">
        <f t="shared" si="5"/>
        <v/>
      </c>
      <c r="H44" s="63"/>
      <c r="I44" s="383">
        <f>SUM(J44:AH44)</f>
        <v>0</v>
      </c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459"/>
      <c r="U44" s="459"/>
      <c r="V44" s="459"/>
      <c r="W44" s="459"/>
      <c r="X44" s="459"/>
      <c r="Y44" s="459"/>
      <c r="Z44" s="459"/>
      <c r="AA44" s="459"/>
      <c r="AB44" s="459"/>
      <c r="AC44" s="459"/>
      <c r="AD44" s="459"/>
      <c r="AE44" s="459"/>
      <c r="AF44" s="459"/>
      <c r="AG44" s="459"/>
      <c r="AH44" s="460"/>
      <c r="AI44" s="818"/>
      <c r="AJ44" s="819"/>
      <c r="AK44" s="82"/>
      <c r="AL44" s="83"/>
      <c r="AM44" s="84"/>
    </row>
    <row r="45" spans="1:39" ht="20.25" customHeight="1">
      <c r="A45" s="384"/>
      <c r="B45" s="300" t="str">
        <f t="shared" si="9"/>
        <v>I12690856</v>
      </c>
      <c r="C45" s="216" t="s">
        <v>75</v>
      </c>
      <c r="D45" s="302" t="str">
        <f t="shared" si="10"/>
        <v>ดีฟฟอร์เรส*N</v>
      </c>
      <c r="E45" s="303">
        <v>0</v>
      </c>
      <c r="F45" s="579"/>
      <c r="G45" s="70" t="str">
        <f t="shared" si="5"/>
        <v/>
      </c>
      <c r="H45" s="63"/>
      <c r="I45" s="64">
        <f t="shared" si="6"/>
        <v>0</v>
      </c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1"/>
      <c r="AI45" s="814"/>
      <c r="AJ45" s="815"/>
      <c r="AK45" s="73"/>
      <c r="AL45" s="74"/>
      <c r="AM45" s="75"/>
    </row>
    <row r="46" spans="1:39" ht="20.25" customHeight="1">
      <c r="A46" s="363">
        <v>2</v>
      </c>
      <c r="B46" s="149">
        <f t="shared" si="9"/>
        <v>0</v>
      </c>
      <c r="C46" s="217" t="s">
        <v>76</v>
      </c>
      <c r="D46" s="152">
        <f t="shared" si="10"/>
        <v>0</v>
      </c>
      <c r="E46" s="153">
        <f t="shared" si="11"/>
        <v>0</v>
      </c>
      <c r="F46" s="154"/>
      <c r="G46" s="70" t="str">
        <f t="shared" si="5"/>
        <v/>
      </c>
      <c r="H46" s="63"/>
      <c r="I46" s="64">
        <f>SUM(J46:AH46)</f>
        <v>0</v>
      </c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1"/>
      <c r="AI46" s="814"/>
      <c r="AJ46" s="815"/>
      <c r="AK46" s="74"/>
      <c r="AL46" s="74"/>
      <c r="AM46" s="75"/>
    </row>
    <row r="47" spans="1:39" ht="20.25" customHeight="1">
      <c r="A47" s="363"/>
      <c r="B47" s="149">
        <f t="shared" si="9"/>
        <v>0</v>
      </c>
      <c r="C47" s="217" t="s">
        <v>77</v>
      </c>
      <c r="D47" s="155">
        <f t="shared" si="10"/>
        <v>0</v>
      </c>
      <c r="E47" s="153">
        <f t="shared" si="11"/>
        <v>0</v>
      </c>
      <c r="F47" s="154"/>
      <c r="G47" s="70" t="str">
        <f t="shared" si="5"/>
        <v/>
      </c>
      <c r="H47" s="63"/>
      <c r="I47" s="64">
        <f t="shared" si="6"/>
        <v>0</v>
      </c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1"/>
      <c r="AI47" s="438"/>
      <c r="AJ47" s="439"/>
      <c r="AK47" s="74"/>
      <c r="AL47" s="74"/>
      <c r="AM47" s="75"/>
    </row>
    <row r="48" spans="1:39" ht="20.25" customHeight="1">
      <c r="A48" s="363"/>
      <c r="B48" s="149">
        <f t="shared" si="9"/>
        <v>0</v>
      </c>
      <c r="C48" s="217" t="s">
        <v>78</v>
      </c>
      <c r="D48" s="155">
        <f t="shared" si="10"/>
        <v>0</v>
      </c>
      <c r="E48" s="153">
        <f t="shared" si="11"/>
        <v>0</v>
      </c>
      <c r="F48" s="154"/>
      <c r="G48" s="70" t="str">
        <f t="shared" si="5"/>
        <v/>
      </c>
      <c r="H48" s="63"/>
      <c r="I48" s="64">
        <f t="shared" si="6"/>
        <v>0</v>
      </c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1"/>
      <c r="AI48" s="438"/>
      <c r="AJ48" s="439"/>
      <c r="AK48" s="74"/>
      <c r="AL48" s="74"/>
      <c r="AM48" s="75"/>
    </row>
    <row r="49" spans="1:39" ht="20.25" customHeight="1">
      <c r="A49" s="363"/>
      <c r="B49" s="300" t="str">
        <f t="shared" si="9"/>
        <v>I16690856</v>
      </c>
      <c r="C49" s="217" t="s">
        <v>79</v>
      </c>
      <c r="D49" s="305" t="str">
        <f t="shared" si="10"/>
        <v>ดีฟฟอร์เรส*N</v>
      </c>
      <c r="E49" s="297">
        <v>0</v>
      </c>
      <c r="F49" s="603"/>
      <c r="G49" s="70" t="str">
        <f t="shared" si="5"/>
        <v/>
      </c>
      <c r="H49" s="63"/>
      <c r="I49" s="64">
        <f t="shared" si="6"/>
        <v>0</v>
      </c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1"/>
      <c r="AI49" s="85"/>
      <c r="AJ49" s="86"/>
      <c r="AK49" s="73"/>
      <c r="AL49" s="74"/>
      <c r="AM49" s="75"/>
    </row>
    <row r="50" spans="1:39" ht="20.25" customHeight="1">
      <c r="A50" s="363"/>
      <c r="B50" s="300" t="str">
        <f t="shared" si="9"/>
        <v>I17690856</v>
      </c>
      <c r="C50" s="217" t="s">
        <v>80</v>
      </c>
      <c r="D50" s="305" t="str">
        <f t="shared" si="10"/>
        <v>ดีฟฟอร์เรส*N</v>
      </c>
      <c r="E50" s="297">
        <v>0</v>
      </c>
      <c r="F50" s="603"/>
      <c r="G50" s="70" t="str">
        <f t="shared" si="5"/>
        <v/>
      </c>
      <c r="H50" s="63"/>
      <c r="I50" s="64">
        <f t="shared" si="6"/>
        <v>0</v>
      </c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1"/>
      <c r="AI50" s="85"/>
      <c r="AJ50" s="86"/>
      <c r="AK50" s="73"/>
      <c r="AL50" s="74"/>
      <c r="AM50" s="75"/>
    </row>
    <row r="51" spans="1:39" ht="20.25" customHeight="1">
      <c r="A51" s="363"/>
      <c r="B51" s="149">
        <f t="shared" si="9"/>
        <v>0</v>
      </c>
      <c r="C51" s="217" t="s">
        <v>63</v>
      </c>
      <c r="D51" s="155">
        <f t="shared" si="10"/>
        <v>0</v>
      </c>
      <c r="E51" s="153">
        <f t="shared" si="11"/>
        <v>0</v>
      </c>
      <c r="F51" s="154"/>
      <c r="G51" s="70" t="str">
        <f t="shared" si="5"/>
        <v/>
      </c>
      <c r="H51" s="63"/>
      <c r="I51" s="64">
        <f t="shared" si="6"/>
        <v>0</v>
      </c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1"/>
      <c r="AI51" s="85"/>
      <c r="AJ51" s="86"/>
      <c r="AK51" s="73"/>
      <c r="AL51" s="74"/>
      <c r="AM51" s="75"/>
    </row>
    <row r="52" spans="1:39" ht="20.25" customHeight="1">
      <c r="A52" s="384"/>
      <c r="B52" s="156">
        <f t="shared" si="9"/>
        <v>0</v>
      </c>
      <c r="C52" s="385" t="s">
        <v>81</v>
      </c>
      <c r="D52" s="155">
        <f t="shared" si="10"/>
        <v>0</v>
      </c>
      <c r="E52" s="208">
        <f t="shared" si="11"/>
        <v>0</v>
      </c>
      <c r="F52" s="209"/>
      <c r="G52" s="210" t="str">
        <f t="shared" si="5"/>
        <v/>
      </c>
      <c r="H52" s="63"/>
      <c r="I52" s="64">
        <f t="shared" si="6"/>
        <v>0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1"/>
      <c r="AI52" s="85"/>
      <c r="AJ52" s="86"/>
      <c r="AK52" s="73"/>
      <c r="AL52" s="74"/>
      <c r="AM52" s="75"/>
    </row>
    <row r="53" spans="1:39" ht="20.25" customHeight="1" thickBot="1">
      <c r="A53" s="384"/>
      <c r="B53" s="156">
        <f t="shared" si="9"/>
        <v>0</v>
      </c>
      <c r="C53" s="218" t="s">
        <v>82</v>
      </c>
      <c r="D53" s="386">
        <f t="shared" si="10"/>
        <v>0</v>
      </c>
      <c r="E53" s="157">
        <f t="shared" si="11"/>
        <v>0</v>
      </c>
      <c r="F53" s="158"/>
      <c r="G53" s="144" t="str">
        <f t="shared" si="5"/>
        <v/>
      </c>
      <c r="H53" s="63"/>
      <c r="I53" s="64">
        <f t="shared" si="6"/>
        <v>0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1"/>
      <c r="AI53" s="85"/>
      <c r="AJ53" s="86"/>
      <c r="AK53" s="73"/>
      <c r="AL53" s="74"/>
      <c r="AM53" s="75"/>
    </row>
    <row r="54" spans="1:39" ht="20.25" customHeight="1" thickBot="1">
      <c r="A54" s="146" t="s">
        <v>38</v>
      </c>
      <c r="B54" s="147"/>
      <c r="C54" s="219"/>
      <c r="D54" s="146"/>
      <c r="E54" s="145">
        <f>SUM(E44:E53)</f>
        <v>0</v>
      </c>
      <c r="F54" s="145">
        <f>SUM(F44:F53)</f>
        <v>0</v>
      </c>
      <c r="G54" s="135" t="str">
        <f t="shared" si="5"/>
        <v/>
      </c>
      <c r="H54" s="63"/>
      <c r="I54" s="87">
        <f t="shared" si="6"/>
        <v>0</v>
      </c>
      <c r="J54" s="77">
        <f>SUM(J44:J53)</f>
        <v>0</v>
      </c>
      <c r="K54" s="78">
        <f t="shared" ref="K54:AH54" si="12">SUM(K44:K53)</f>
        <v>0</v>
      </c>
      <c r="L54" s="78">
        <f t="shared" si="12"/>
        <v>0</v>
      </c>
      <c r="M54" s="78">
        <f t="shared" si="12"/>
        <v>0</v>
      </c>
      <c r="N54" s="78">
        <f t="shared" si="12"/>
        <v>0</v>
      </c>
      <c r="O54" s="78">
        <f t="shared" si="12"/>
        <v>0</v>
      </c>
      <c r="P54" s="78">
        <f t="shared" si="12"/>
        <v>0</v>
      </c>
      <c r="Q54" s="78">
        <f t="shared" si="12"/>
        <v>0</v>
      </c>
      <c r="R54" s="78">
        <f t="shared" si="12"/>
        <v>0</v>
      </c>
      <c r="S54" s="78">
        <f t="shared" si="12"/>
        <v>0</v>
      </c>
      <c r="T54" s="78">
        <f t="shared" si="12"/>
        <v>0</v>
      </c>
      <c r="U54" s="78">
        <f t="shared" si="12"/>
        <v>0</v>
      </c>
      <c r="V54" s="78">
        <f t="shared" si="12"/>
        <v>0</v>
      </c>
      <c r="W54" s="78">
        <f t="shared" si="12"/>
        <v>0</v>
      </c>
      <c r="X54" s="78">
        <f t="shared" si="12"/>
        <v>0</v>
      </c>
      <c r="Y54" s="78">
        <f t="shared" si="12"/>
        <v>0</v>
      </c>
      <c r="Z54" s="78">
        <f t="shared" si="12"/>
        <v>0</v>
      </c>
      <c r="AA54" s="78">
        <f t="shared" si="12"/>
        <v>0</v>
      </c>
      <c r="AB54" s="78">
        <f t="shared" si="12"/>
        <v>0</v>
      </c>
      <c r="AC54" s="78">
        <f t="shared" si="12"/>
        <v>0</v>
      </c>
      <c r="AD54" s="78">
        <f t="shared" si="12"/>
        <v>0</v>
      </c>
      <c r="AE54" s="78">
        <f t="shared" si="12"/>
        <v>0</v>
      </c>
      <c r="AF54" s="78">
        <f t="shared" si="12"/>
        <v>0</v>
      </c>
      <c r="AG54" s="78">
        <f t="shared" si="12"/>
        <v>0</v>
      </c>
      <c r="AH54" s="79">
        <f t="shared" si="12"/>
        <v>0</v>
      </c>
      <c r="AI54" s="88"/>
      <c r="AJ54" s="89"/>
      <c r="AK54" s="90"/>
      <c r="AL54" s="91"/>
      <c r="AM54" s="92"/>
    </row>
    <row r="55" spans="1:39" s="101" customFormat="1" ht="20.25" customHeight="1" thickBot="1">
      <c r="A55" s="41" t="s">
        <v>39</v>
      </c>
      <c r="B55" s="93"/>
      <c r="C55" s="220"/>
      <c r="D55" s="94"/>
      <c r="E55" s="164">
        <f>E43+E54</f>
        <v>0</v>
      </c>
      <c r="F55" s="164">
        <f>F43+F54</f>
        <v>0</v>
      </c>
      <c r="G55" s="165" t="str">
        <f t="shared" si="5"/>
        <v/>
      </c>
      <c r="H55" s="95"/>
      <c r="I55" s="96">
        <f>SUM(I43,I54)</f>
        <v>0</v>
      </c>
      <c r="J55" s="97">
        <f>SUM(J43,J54)</f>
        <v>0</v>
      </c>
      <c r="K55" s="97">
        <f t="shared" ref="K55:AH55" si="13">SUM(K43,K54)</f>
        <v>0</v>
      </c>
      <c r="L55" s="97">
        <f t="shared" si="13"/>
        <v>0</v>
      </c>
      <c r="M55" s="97">
        <f t="shared" si="13"/>
        <v>0</v>
      </c>
      <c r="N55" s="97">
        <f t="shared" si="13"/>
        <v>0</v>
      </c>
      <c r="O55" s="97">
        <f t="shared" si="13"/>
        <v>0</v>
      </c>
      <c r="P55" s="97">
        <f t="shared" si="13"/>
        <v>0</v>
      </c>
      <c r="Q55" s="97">
        <f t="shared" si="13"/>
        <v>0</v>
      </c>
      <c r="R55" s="97">
        <f t="shared" si="13"/>
        <v>0</v>
      </c>
      <c r="S55" s="97">
        <f t="shared" si="13"/>
        <v>0</v>
      </c>
      <c r="T55" s="97">
        <f t="shared" si="13"/>
        <v>0</v>
      </c>
      <c r="U55" s="97">
        <f t="shared" si="13"/>
        <v>0</v>
      </c>
      <c r="V55" s="97">
        <f t="shared" si="13"/>
        <v>0</v>
      </c>
      <c r="W55" s="97">
        <f t="shared" si="13"/>
        <v>0</v>
      </c>
      <c r="X55" s="97">
        <f t="shared" si="13"/>
        <v>0</v>
      </c>
      <c r="Y55" s="97">
        <f t="shared" si="13"/>
        <v>0</v>
      </c>
      <c r="Z55" s="97">
        <f t="shared" si="13"/>
        <v>0</v>
      </c>
      <c r="AA55" s="97">
        <f t="shared" si="13"/>
        <v>0</v>
      </c>
      <c r="AB55" s="97">
        <f t="shared" si="13"/>
        <v>0</v>
      </c>
      <c r="AC55" s="97">
        <f t="shared" si="13"/>
        <v>0</v>
      </c>
      <c r="AD55" s="97">
        <f t="shared" si="13"/>
        <v>0</v>
      </c>
      <c r="AE55" s="97">
        <f t="shared" si="13"/>
        <v>0</v>
      </c>
      <c r="AF55" s="97">
        <f t="shared" si="13"/>
        <v>0</v>
      </c>
      <c r="AG55" s="97">
        <f t="shared" si="13"/>
        <v>0</v>
      </c>
      <c r="AH55" s="97">
        <f t="shared" si="13"/>
        <v>0</v>
      </c>
      <c r="AI55" s="80"/>
      <c r="AJ55" s="98"/>
      <c r="AK55" s="99" t="s">
        <v>4</v>
      </c>
      <c r="AL55" s="100" t="s">
        <v>4</v>
      </c>
      <c r="AM55" s="81"/>
    </row>
    <row r="56" spans="1:39" ht="6.75" customHeight="1" thickBot="1">
      <c r="H56" s="38"/>
      <c r="V56" s="13"/>
      <c r="W56" s="101"/>
      <c r="X56" s="101"/>
      <c r="Y56" s="101"/>
      <c r="Z56" s="101"/>
      <c r="AA56" s="17"/>
      <c r="AB56" s="17"/>
      <c r="AC56" s="17"/>
      <c r="AD56" s="17"/>
      <c r="AE56" s="17"/>
      <c r="AF56" s="17"/>
    </row>
    <row r="57" spans="1:39" s="25" customFormat="1" ht="19.5" customHeight="1" thickBot="1">
      <c r="A57" s="365" t="s">
        <v>53</v>
      </c>
      <c r="B57" s="102"/>
      <c r="C57" s="102"/>
      <c r="D57" s="103"/>
      <c r="E57" s="366" t="s">
        <v>54</v>
      </c>
      <c r="F57" s="368"/>
      <c r="G57" s="367"/>
      <c r="H57" s="105"/>
      <c r="I57" s="615" t="s">
        <v>55</v>
      </c>
      <c r="J57" s="616"/>
      <c r="K57" s="616"/>
      <c r="L57" s="616"/>
      <c r="M57" s="616"/>
      <c r="N57" s="616"/>
      <c r="O57" s="617"/>
      <c r="P57" s="615" t="s">
        <v>56</v>
      </c>
      <c r="Q57" s="616"/>
      <c r="R57" s="616"/>
      <c r="S57" s="616"/>
      <c r="T57" s="616"/>
      <c r="U57" s="616"/>
      <c r="V57" s="617"/>
      <c r="W57" s="618" t="s">
        <v>57</v>
      </c>
      <c r="X57" s="619"/>
      <c r="Y57" s="619"/>
      <c r="Z57" s="619"/>
      <c r="AA57" s="619"/>
      <c r="AB57" s="619"/>
      <c r="AC57" s="619"/>
      <c r="AD57" s="619"/>
      <c r="AE57" s="620"/>
      <c r="AF57" s="621" t="s">
        <v>58</v>
      </c>
      <c r="AG57" s="622"/>
      <c r="AH57" s="622"/>
      <c r="AI57" s="622"/>
      <c r="AJ57" s="622"/>
      <c r="AK57" s="622"/>
      <c r="AL57" s="622"/>
      <c r="AM57" s="623"/>
    </row>
    <row r="58" spans="1:39" ht="6.75" customHeight="1">
      <c r="A58" s="106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25"/>
      <c r="X58" s="25"/>
      <c r="Y58" s="25"/>
      <c r="Z58" s="25"/>
    </row>
    <row r="59" spans="1:39">
      <c r="A59" s="106" t="s">
        <v>59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107"/>
      <c r="V59" s="108"/>
      <c r="AI59" s="387" t="s">
        <v>60</v>
      </c>
    </row>
  </sheetData>
  <mergeCells count="279">
    <mergeCell ref="AI31:AJ32"/>
    <mergeCell ref="AK31:AM32"/>
    <mergeCell ref="AI44:AJ44"/>
    <mergeCell ref="AI45:AJ45"/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R28:S28"/>
    <mergeCell ref="T28:U28"/>
    <mergeCell ref="V28:W28"/>
    <mergeCell ref="X28:Y28"/>
    <mergeCell ref="I22:O22"/>
    <mergeCell ref="P22:Q22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AJ28:AK28"/>
    <mergeCell ref="AF27:AG27"/>
    <mergeCell ref="I23:O23"/>
    <mergeCell ref="P23:Q23"/>
    <mergeCell ref="Z29:AA29"/>
    <mergeCell ref="AB29:AC29"/>
    <mergeCell ref="AD29:AE29"/>
    <mergeCell ref="AF29:AG29"/>
    <mergeCell ref="AH29:AI29"/>
    <mergeCell ref="AJ29:AK29"/>
    <mergeCell ref="Z28:AA28"/>
    <mergeCell ref="AB28:AC28"/>
    <mergeCell ref="AH27:AI27"/>
    <mergeCell ref="AD28:AE28"/>
    <mergeCell ref="AF28:AG28"/>
    <mergeCell ref="AH28:AI28"/>
    <mergeCell ref="AJ27:AK27"/>
    <mergeCell ref="AD27:AE27"/>
    <mergeCell ref="I25:O25"/>
    <mergeCell ref="R24:S24"/>
    <mergeCell ref="T24:U24"/>
    <mergeCell ref="V24:W24"/>
    <mergeCell ref="X24:Y24"/>
    <mergeCell ref="Z24:AA24"/>
    <mergeCell ref="AB24:AC24"/>
    <mergeCell ref="P25:Q25"/>
    <mergeCell ref="AD24:AE24"/>
    <mergeCell ref="I24:O24"/>
    <mergeCell ref="P24:Q24"/>
    <mergeCell ref="X26:Y26"/>
    <mergeCell ref="Z26:AA26"/>
    <mergeCell ref="AB26:AC26"/>
    <mergeCell ref="Z18:AA18"/>
    <mergeCell ref="AB18:AC18"/>
    <mergeCell ref="AD18:AE18"/>
    <mergeCell ref="AF18:AG18"/>
    <mergeCell ref="AH18:AI18"/>
    <mergeCell ref="AJ18:AK18"/>
    <mergeCell ref="AJ24:AK24"/>
    <mergeCell ref="AF24:AG24"/>
    <mergeCell ref="AH24:AI24"/>
    <mergeCell ref="I18:O18"/>
    <mergeCell ref="P18:Q18"/>
    <mergeCell ref="R18:S18"/>
    <mergeCell ref="T18:U18"/>
    <mergeCell ref="V18:W18"/>
    <mergeCell ref="X18:Y18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AH8:AI8"/>
    <mergeCell ref="AJ8:AK8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AD2:AE2"/>
    <mergeCell ref="AF2:AG2"/>
    <mergeCell ref="Z7:AA7"/>
    <mergeCell ref="AB7:AC7"/>
    <mergeCell ref="AD7:AE7"/>
    <mergeCell ref="AF7:AG7"/>
    <mergeCell ref="T4:U4"/>
    <mergeCell ref="V4:W4"/>
    <mergeCell ref="X4:Y4"/>
    <mergeCell ref="Z2:AA2"/>
    <mergeCell ref="AB2:AC2"/>
    <mergeCell ref="AB6:AC6"/>
    <mergeCell ref="AD6:AE6"/>
    <mergeCell ref="AF6:AG6"/>
    <mergeCell ref="T7:U7"/>
    <mergeCell ref="AD5:AE5"/>
    <mergeCell ref="Z6:AA6"/>
    <mergeCell ref="V7:W7"/>
    <mergeCell ref="X7:Y7"/>
    <mergeCell ref="Z8:AA8"/>
    <mergeCell ref="AB8:AC8"/>
    <mergeCell ref="AD8:AE8"/>
    <mergeCell ref="AF8:AG8"/>
    <mergeCell ref="AJ3:AK3"/>
    <mergeCell ref="P4:Q4"/>
    <mergeCell ref="AH7:AI7"/>
    <mergeCell ref="I6:O6"/>
    <mergeCell ref="P6:Q6"/>
    <mergeCell ref="R6:S6"/>
    <mergeCell ref="T6:U6"/>
    <mergeCell ref="V6:W6"/>
    <mergeCell ref="X6:Y6"/>
    <mergeCell ref="AF5:AG5"/>
    <mergeCell ref="AH5:AI5"/>
    <mergeCell ref="I5:O5"/>
    <mergeCell ref="P5:Q5"/>
    <mergeCell ref="R5:S5"/>
    <mergeCell ref="T5:U5"/>
    <mergeCell ref="V5:W5"/>
    <mergeCell ref="X5:Y5"/>
    <mergeCell ref="Z5:AA5"/>
    <mergeCell ref="AB5:AC5"/>
    <mergeCell ref="AH6:AI6"/>
    <mergeCell ref="M1:N1"/>
    <mergeCell ref="R1:U1"/>
    <mergeCell ref="E2:H2"/>
    <mergeCell ref="I2:O4"/>
    <mergeCell ref="P2:Q3"/>
    <mergeCell ref="R2:S2"/>
    <mergeCell ref="T2:U2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  <mergeCell ref="AH4:AI4"/>
    <mergeCell ref="AF3:AG3"/>
    <mergeCell ref="AH3:AI3"/>
    <mergeCell ref="Z4:AA4"/>
    <mergeCell ref="AB4:AC4"/>
    <mergeCell ref="A43:D43"/>
    <mergeCell ref="AI46:AJ46"/>
    <mergeCell ref="I57:O57"/>
    <mergeCell ref="P57:V57"/>
    <mergeCell ref="W57:AE57"/>
    <mergeCell ref="AF57:AM57"/>
    <mergeCell ref="AJ4:AK4"/>
    <mergeCell ref="AD4:AE4"/>
    <mergeCell ref="AF4:AG4"/>
    <mergeCell ref="AJ6:AK6"/>
    <mergeCell ref="AJ5:AK5"/>
    <mergeCell ref="P8:Q8"/>
    <mergeCell ref="R8:S8"/>
    <mergeCell ref="T8:U8"/>
    <mergeCell ref="V8:W8"/>
    <mergeCell ref="X8:Y8"/>
    <mergeCell ref="R4:S4"/>
    <mergeCell ref="AJ7:AK7"/>
    <mergeCell ref="I7:O7"/>
    <mergeCell ref="P7:Q7"/>
    <mergeCell ref="R7:S7"/>
    <mergeCell ref="Z9:AA9"/>
    <mergeCell ref="AB9:AC9"/>
    <mergeCell ref="AD9:AE9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WTN44:WTN53 HB33:HB42 QX33:QX42 AAT33:AAT42 AKP33:AKP42 AUL33:AUL42 BEH33:BEH42 BOD33:BOD42 BXZ33:BXZ42 CHV33:CHV42 CRR33:CRR42 DBN33:DBN42 DLJ33:DLJ42 DVF33:DVF42 EFB33:EFB42 EOX33:EOX42 EYT33:EYT42 FIP33:FIP42 FSL33:FSL42 GCH33:GCH42 GMD33:GMD42 GVZ33:GVZ42 HFV33:HFV42 HPR33:HPR42 HZN33:HZN42 IJJ33:IJJ42 ITF33:ITF42 JDB33:JDB42 JMX33:JMX42 JWT33:JWT42 KGP33:KGP42 KQL33:KQL42 LAH33:LAH42 LKD33:LKD42 LTZ33:LTZ42 MDV33:MDV42 MNR33:MNR42 MXN33:MXN42 NHJ33:NHJ42 NRF33:NRF42 OBB33:OBB42 OKX33:OKX42 OUT33:OUT42 PEP33:PEP42 POL33:POL42 PYH33:PYH42 QID33:QID42 QRZ33:QRZ42 RBV33:RBV42 RLR33:RLR42 RVN33:RVN42 SFJ33:SFJ42 SPF33:SPF42 SZB33:SZB42 TIX33:TIX42 TST33:TST42 UCP33:UCP42 UML33:UML42 UWH33:UWH42 VGD33:VGD42 VPZ33:VPZ42 VZV33:VZV42 WJR33:WJR42 WTN33:WTN42 HB44:HB53 QX44:QX53 AAT44:AAT53 AKP44:AKP53 AUL44:AUL53 BEH44:BEH53 BOD44:BOD53 BXZ44:BXZ53 CHV44:CHV53 CRR44:CRR53 DBN44:DBN53 DLJ44:DLJ53 DVF44:DVF53 EFB44:EFB53 EOX44:EOX53 EYT44:EYT53 FIP44:FIP53 FSL44:FSL53 GCH44:GCH53 GMD44:GMD53 GVZ44:GVZ53 HFV44:HFV53 HPR44:HPR53 HZN44:HZN53 IJJ44:IJJ53 ITF44:ITF53 JDB44:JDB53 JMX44:JMX53 JWT44:JWT53 KGP44:KGP53 KQL44:KQL53 LAH44:LAH53 LKD44:LKD53 LTZ44:LTZ53 MDV44:MDV53 MNR44:MNR53 MXN44:MXN53 NHJ44:NHJ53 NRF44:NRF53 OBB44:OBB53 OKX44:OKX53 OUT44:OUT53 PEP44:PEP53 POL44:POL53 PYH44:PYH53 QID44:QID53 QRZ44:QRZ53 RBV44:RBV53 RLR44:RLR53 RVN44:RVN53 SFJ44:SFJ53 SPF44:SPF53 SZB44:SZB53 TIX44:TIX53 TST44:TST53 UCP44:UCP53 UML44:UML53 UWH44:UWH53 VGD44:VGD53 VPZ44:VPZ53 VZV44:VZV53 WJR44:WJR53">
      <formula1>$A$3:$A$23</formula1>
    </dataValidation>
  </dataValidations>
  <printOptions horizontalCentered="1" verticalCentered="1"/>
  <pageMargins left="0" right="0" top="0.19685039370078741" bottom="0" header="0" footer="0"/>
  <pageSetup paperSize="9" scale="55" orientation="landscape" blackAndWhite="1" verticalDpi="300" r:id="rId1"/>
  <headerFooter alignWithMargins="0"/>
  <colBreaks count="1" manualBreakCount="1">
    <brk id="31" max="1048575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theme="0" tint="-4.9989318521683403E-2"/>
    <pageSetUpPr fitToPage="1"/>
  </sheetPr>
  <dimension ref="A1:AM30"/>
  <sheetViews>
    <sheetView showGridLines="0" zoomScale="70" zoomScaleNormal="70" workbookViewId="0">
      <selection activeCell="R9" sqref="R9:S9"/>
    </sheetView>
  </sheetViews>
  <sheetFormatPr defaultColWidth="11" defaultRowHeight="24.5"/>
  <cols>
    <col min="1" max="1" width="4.58203125" style="17" customWidth="1"/>
    <col min="2" max="2" width="16.5" style="9" customWidth="1"/>
    <col min="3" max="3" width="24.5" style="9" customWidth="1"/>
    <col min="4" max="4" width="18.25" style="9" customWidth="1"/>
    <col min="5" max="7" width="12" style="9" customWidth="1"/>
    <col min="8" max="8" width="11" style="9" customWidth="1"/>
    <col min="9" max="22" width="4.5" style="9" customWidth="1"/>
    <col min="23" max="32" width="4.5" style="13" customWidth="1"/>
    <col min="33" max="35" width="4.5" style="17" customWidth="1"/>
    <col min="36" max="36" width="14.33203125" style="17" customWidth="1"/>
    <col min="37" max="38" width="4.5" style="17" customWidth="1"/>
    <col min="39" max="39" width="6.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83</v>
      </c>
      <c r="N1" s="644"/>
      <c r="Q1" s="11" t="s">
        <v>2</v>
      </c>
      <c r="R1" s="645" t="s">
        <v>109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224"/>
      <c r="C5" s="129" t="s">
        <v>74</v>
      </c>
      <c r="D5" s="225"/>
      <c r="E5" s="225"/>
      <c r="F5" s="225"/>
      <c r="G5" s="226"/>
      <c r="H5" s="110" t="str">
        <f t="shared" ref="H5:H28" si="0">IF(F5=0,"",(F5-G5)/F5)</f>
        <v/>
      </c>
      <c r="I5" s="675" t="s">
        <v>33</v>
      </c>
      <c r="J5" s="676"/>
      <c r="K5" s="676"/>
      <c r="L5" s="676"/>
      <c r="M5" s="676"/>
      <c r="N5" s="676"/>
      <c r="O5" s="677"/>
      <c r="P5" s="678">
        <v>0</v>
      </c>
      <c r="Q5" s="679"/>
      <c r="R5" s="680">
        <v>0</v>
      </c>
      <c r="S5" s="679"/>
      <c r="T5" s="681">
        <v>0</v>
      </c>
      <c r="U5" s="682"/>
      <c r="V5" s="683">
        <v>0</v>
      </c>
      <c r="W5" s="684"/>
      <c r="X5" s="685">
        <v>0</v>
      </c>
      <c r="Y5" s="686"/>
      <c r="Z5" s="687">
        <v>0</v>
      </c>
      <c r="AA5" s="688"/>
      <c r="AB5" s="674">
        <v>0</v>
      </c>
      <c r="AC5" s="674"/>
      <c r="AD5" s="689">
        <f>SUM(AF5:AK5)*0.025</f>
        <v>0</v>
      </c>
      <c r="AE5" s="689"/>
      <c r="AF5" s="674">
        <v>0</v>
      </c>
      <c r="AG5" s="674"/>
      <c r="AH5" s="674">
        <v>0</v>
      </c>
      <c r="AI5" s="674"/>
      <c r="AJ5" s="629">
        <v>0</v>
      </c>
      <c r="AK5" s="630"/>
    </row>
    <row r="6" spans="1:39" ht="20.25" customHeight="1">
      <c r="A6" s="34">
        <v>1</v>
      </c>
      <c r="B6" s="120"/>
      <c r="C6" s="129" t="s">
        <v>75</v>
      </c>
      <c r="D6" s="124"/>
      <c r="E6" s="125"/>
      <c r="F6" s="125"/>
      <c r="G6" s="126"/>
      <c r="H6" s="111" t="str">
        <f t="shared" si="0"/>
        <v/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</v>
      </c>
      <c r="Q6" s="673"/>
      <c r="R6" s="673">
        <f>IF($F$15=0,0,R5*1000/$F$15)</f>
        <v>0</v>
      </c>
      <c r="S6" s="673"/>
      <c r="T6" s="673">
        <f>IF($F$15=0,0,T5*1000/$F$15)</f>
        <v>0</v>
      </c>
      <c r="U6" s="673"/>
      <c r="V6" s="673">
        <f>IF($F$15=0,0,V5*1000/$F$15)</f>
        <v>0</v>
      </c>
      <c r="W6" s="673"/>
      <c r="X6" s="673">
        <f>IF($F$15=0,0,X5*1000/$F$15)</f>
        <v>0</v>
      </c>
      <c r="Y6" s="673"/>
      <c r="Z6" s="673">
        <f>IF($F$15=0,0,Z5*1000/$F$15)</f>
        <v>0</v>
      </c>
      <c r="AA6" s="673"/>
      <c r="AB6" s="632">
        <f>IF($F$15=0,0,AB5*1000/$F$15)</f>
        <v>0</v>
      </c>
      <c r="AC6" s="632"/>
      <c r="AD6" s="632">
        <f>IF($F$15=0,0,AD5*1000/$F$15)</f>
        <v>0</v>
      </c>
      <c r="AE6" s="632"/>
      <c r="AF6" s="627">
        <f>IF(AF5=0,0,F15/AF5)</f>
        <v>0</v>
      </c>
      <c r="AG6" s="671"/>
      <c r="AH6" s="627">
        <f>IF(AH5=0,0,F15/AH5)</f>
        <v>0</v>
      </c>
      <c r="AI6" s="671"/>
      <c r="AJ6" s="627">
        <f>IF(AJ5=0,0,F15/AJ5)</f>
        <v>0</v>
      </c>
      <c r="AK6" s="628"/>
    </row>
    <row r="7" spans="1:39" ht="20.25" customHeight="1">
      <c r="A7" s="35"/>
      <c r="B7" s="120" t="str">
        <f>IF(ISBLANK([1]Data!I27),"",[1]Data!I27)</f>
        <v/>
      </c>
      <c r="C7" s="129" t="s">
        <v>76</v>
      </c>
      <c r="D7" s="124"/>
      <c r="E7" s="125"/>
      <c r="F7" s="125"/>
      <c r="G7" s="126"/>
      <c r="H7" s="111" t="str">
        <f t="shared" si="0"/>
        <v/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</v>
      </c>
      <c r="Q7" s="639"/>
      <c r="R7" s="639">
        <f>IF($G$15=0,0,R5*1000/$G$15)</f>
        <v>0</v>
      </c>
      <c r="S7" s="639"/>
      <c r="T7" s="639">
        <f>IF($G$15=0,0,T5*1000/$G$15)</f>
        <v>0</v>
      </c>
      <c r="U7" s="639"/>
      <c r="V7" s="639">
        <f>IF($G$15=0,0,V5*1000/$G$15)</f>
        <v>0</v>
      </c>
      <c r="W7" s="639"/>
      <c r="X7" s="639">
        <f>IF($G$15=0,0,X5*1000/$G$15)</f>
        <v>0</v>
      </c>
      <c r="Y7" s="639"/>
      <c r="Z7" s="639">
        <f>IF($G$15=0,0,Z5*1000/$G$15)</f>
        <v>0</v>
      </c>
      <c r="AA7" s="639"/>
      <c r="AB7" s="632">
        <f>IF($G$15=0,0,AB5*1000/$G$15)</f>
        <v>0</v>
      </c>
      <c r="AC7" s="632"/>
      <c r="AD7" s="632">
        <f>IF($G$15=0,0,AD5*1000/$G$15)</f>
        <v>0</v>
      </c>
      <c r="AE7" s="632"/>
      <c r="AF7" s="627">
        <f>IF(AF5=0,0,G15/AF5)</f>
        <v>0</v>
      </c>
      <c r="AG7" s="671"/>
      <c r="AH7" s="627">
        <f>IF(AH5=0,0,G15/AH5)</f>
        <v>0</v>
      </c>
      <c r="AI7" s="671"/>
      <c r="AJ7" s="627">
        <f>IF(AJ5=0,0,G15/AJ5)</f>
        <v>0</v>
      </c>
      <c r="AK7" s="628"/>
    </row>
    <row r="8" spans="1:39" ht="20.25" customHeight="1">
      <c r="A8" s="35"/>
      <c r="B8" s="120"/>
      <c r="C8" s="129" t="s">
        <v>77</v>
      </c>
      <c r="D8" s="124"/>
      <c r="E8" s="125"/>
      <c r="F8" s="125"/>
      <c r="G8" s="126"/>
      <c r="H8" s="111" t="str">
        <f t="shared" si="0"/>
        <v/>
      </c>
      <c r="I8" s="691" t="s">
        <v>64</v>
      </c>
      <c r="J8" s="692"/>
      <c r="K8" s="692"/>
      <c r="L8" s="692"/>
      <c r="M8" s="692"/>
      <c r="N8" s="692"/>
      <c r="O8" s="693"/>
      <c r="P8" s="631"/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120" t="str">
        <f>IF(ISBLANK([1]Data!I27),"",[1]Data!I27)</f>
        <v/>
      </c>
      <c r="C9" s="129" t="s">
        <v>78</v>
      </c>
      <c r="D9" s="124"/>
      <c r="E9" s="125"/>
      <c r="F9" s="125"/>
      <c r="G9" s="126"/>
      <c r="H9" s="111" t="str">
        <f>IF(F9=0,"",(F9-G9)/F9)</f>
        <v/>
      </c>
      <c r="I9" s="691" t="s">
        <v>65</v>
      </c>
      <c r="J9" s="692"/>
      <c r="K9" s="692"/>
      <c r="L9" s="692"/>
      <c r="M9" s="692"/>
      <c r="N9" s="692"/>
      <c r="O9" s="693"/>
      <c r="P9" s="631"/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120" t="str">
        <f>IF(ISBLANK([1]Data!I28),"",[1]Data!I28)</f>
        <v/>
      </c>
      <c r="C10" s="129" t="s">
        <v>79</v>
      </c>
      <c r="D10" s="124"/>
      <c r="E10" s="125"/>
      <c r="F10" s="125"/>
      <c r="G10" s="126"/>
      <c r="H10" s="111" t="str">
        <f>IF(F10=0,"",(F10-G10)/F10)</f>
        <v/>
      </c>
      <c r="I10" s="691" t="s">
        <v>66</v>
      </c>
      <c r="J10" s="692"/>
      <c r="K10" s="692"/>
      <c r="L10" s="692"/>
      <c r="M10" s="692"/>
      <c r="N10" s="692"/>
      <c r="O10" s="693"/>
      <c r="P10" s="697"/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 t="str">
        <f>IF(ISBLANK([1]Data!I29),"",[1]Data!I29)</f>
        <v/>
      </c>
      <c r="C11" s="129" t="s">
        <v>80</v>
      </c>
      <c r="D11" s="124"/>
      <c r="E11" s="125"/>
      <c r="F11" s="125"/>
      <c r="G11" s="126"/>
      <c r="H11" s="111" t="str">
        <f>IF(F11=0,"",(F11-G11)/F11)</f>
        <v/>
      </c>
      <c r="I11" s="691" t="s">
        <v>67</v>
      </c>
      <c r="J11" s="692"/>
      <c r="K11" s="692"/>
      <c r="L11" s="692"/>
      <c r="M11" s="692"/>
      <c r="N11" s="692"/>
      <c r="O11" s="693"/>
      <c r="P11" s="631"/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 t="str">
        <f>IF(ISBLANK([1]Data!I30),"",[1]Data!I30)</f>
        <v/>
      </c>
      <c r="C12" s="129" t="s">
        <v>63</v>
      </c>
      <c r="D12" s="124"/>
      <c r="E12" s="125"/>
      <c r="F12" s="125"/>
      <c r="G12" s="126"/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/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 t="str">
        <f>IF(ISBLANK([1]Data!I29),"",[1]Data!I29)</f>
        <v/>
      </c>
      <c r="C13" s="129" t="s">
        <v>81</v>
      </c>
      <c r="D13" s="124"/>
      <c r="E13" s="125"/>
      <c r="F13" s="125"/>
      <c r="G13" s="126"/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 t="e">
        <f>F15/P12</f>
        <v>#DIV/0!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190"/>
      <c r="F14" s="190"/>
      <c r="G14" s="190"/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/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0</v>
      </c>
      <c r="F15" s="204">
        <f>SUM(F5:F14)</f>
        <v>0</v>
      </c>
      <c r="G15" s="204">
        <f>SUM(G5:G14)</f>
        <v>0</v>
      </c>
      <c r="H15" s="188" t="str">
        <f>IF(F15=0,"",(F15-G15)/F15)</f>
        <v/>
      </c>
      <c r="I15" s="719" t="s">
        <v>70</v>
      </c>
      <c r="J15" s="720"/>
      <c r="K15" s="720"/>
      <c r="L15" s="720"/>
      <c r="M15" s="720"/>
      <c r="N15" s="720"/>
      <c r="O15" s="721"/>
      <c r="P15" s="722" t="e">
        <f>F15/P14</f>
        <v>#DIV/0!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224"/>
      <c r="C16" s="130" t="s">
        <v>74</v>
      </c>
      <c r="D16" s="230"/>
      <c r="E16" s="225"/>
      <c r="F16" s="225"/>
      <c r="G16" s="226"/>
      <c r="H16" s="110" t="str">
        <f t="shared" si="0"/>
        <v/>
      </c>
      <c r="I16" s="727" t="s">
        <v>71</v>
      </c>
      <c r="J16" s="728"/>
      <c r="K16" s="728"/>
      <c r="L16" s="728"/>
      <c r="M16" s="728"/>
      <c r="N16" s="728"/>
      <c r="O16" s="729"/>
      <c r="P16" s="730">
        <v>0</v>
      </c>
      <c r="Q16" s="731"/>
      <c r="R16" s="732">
        <v>0</v>
      </c>
      <c r="S16" s="731"/>
      <c r="T16" s="733">
        <v>0</v>
      </c>
      <c r="U16" s="734"/>
      <c r="V16" s="735">
        <v>0</v>
      </c>
      <c r="W16" s="736"/>
      <c r="X16" s="737">
        <v>0</v>
      </c>
      <c r="Y16" s="738"/>
      <c r="Z16" s="740">
        <v>0</v>
      </c>
      <c r="AA16" s="741"/>
      <c r="AB16" s="739">
        <v>0</v>
      </c>
      <c r="AC16" s="739"/>
      <c r="AD16" s="725">
        <f>SUM(AF16:AK16)*0.025</f>
        <v>0</v>
      </c>
      <c r="AE16" s="725"/>
      <c r="AF16" s="726">
        <v>0</v>
      </c>
      <c r="AG16" s="726"/>
      <c r="AH16" s="726">
        <v>0</v>
      </c>
      <c r="AI16" s="726"/>
      <c r="AJ16" s="629">
        <v>0</v>
      </c>
      <c r="AK16" s="630"/>
    </row>
    <row r="17" spans="1:39" ht="20.25" customHeight="1">
      <c r="A17" s="39">
        <v>2</v>
      </c>
      <c r="B17" s="120"/>
      <c r="C17" s="131" t="s">
        <v>75</v>
      </c>
      <c r="D17" s="128"/>
      <c r="E17" s="125"/>
      <c r="F17" s="125"/>
      <c r="G17" s="126"/>
      <c r="H17" s="111" t="str">
        <f t="shared" si="0"/>
        <v/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</v>
      </c>
      <c r="Q17" s="745"/>
      <c r="R17" s="746">
        <f>IF($F$26=0,0,R16*1000/$F$26)</f>
        <v>0</v>
      </c>
      <c r="S17" s="745"/>
      <c r="T17" s="746">
        <f>IF($F$26=0,0,T16*1000/$F$26)</f>
        <v>0</v>
      </c>
      <c r="U17" s="744"/>
      <c r="V17" s="632">
        <f>IF($F$26=0,0,V16*1000/$F$26)</f>
        <v>0</v>
      </c>
      <c r="W17" s="632"/>
      <c r="X17" s="632">
        <f>IF($F$26=0,0,X16*1000/$F$26)</f>
        <v>0</v>
      </c>
      <c r="Y17" s="632"/>
      <c r="Z17" s="744">
        <f>IF($F$26=0,0,Z16*1000/$F$26)</f>
        <v>0</v>
      </c>
      <c r="AA17" s="744"/>
      <c r="AB17" s="632">
        <f>IF($F$26=0,0,AB16*1000/$F$26)</f>
        <v>0</v>
      </c>
      <c r="AC17" s="632"/>
      <c r="AD17" s="632">
        <f>IF($F$26=0,0,AD16*1000/$F$26)</f>
        <v>0</v>
      </c>
      <c r="AE17" s="632"/>
      <c r="AF17" s="742">
        <f>IF($F$26=0,0,AF16*1000/$F$26)</f>
        <v>0</v>
      </c>
      <c r="AG17" s="742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120" t="str">
        <f>IF(ISBLANK([1]Data!I35),"",[1]Data!I35)</f>
        <v/>
      </c>
      <c r="C18" s="131" t="s">
        <v>76</v>
      </c>
      <c r="D18" s="128"/>
      <c r="E18" s="125"/>
      <c r="F18" s="125"/>
      <c r="G18" s="126"/>
      <c r="H18" s="111" t="str">
        <f t="shared" si="0"/>
        <v/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</v>
      </c>
      <c r="Q18" s="752"/>
      <c r="R18" s="746">
        <f>IF($G$26=0,0,R16*1000/$G$26)</f>
        <v>0</v>
      </c>
      <c r="S18" s="745"/>
      <c r="T18" s="746">
        <f>IF($G$26=0,0,T16*1000/$G$26)</f>
        <v>0</v>
      </c>
      <c r="U18" s="745"/>
      <c r="V18" s="753">
        <f>IF($G$26=0,0,V16*1000/$G$26)</f>
        <v>0</v>
      </c>
      <c r="W18" s="754"/>
      <c r="X18" s="753">
        <f>IF($G$26=0,0,X16*1000/$G$26)</f>
        <v>0</v>
      </c>
      <c r="Y18" s="754"/>
      <c r="Z18" s="746">
        <f>IF($G$26=0,0,Z16*1000/$G$26)</f>
        <v>0</v>
      </c>
      <c r="AA18" s="744"/>
      <c r="AB18" s="632">
        <f>IF($G$26=0,0,AB16*1000/$G$26)</f>
        <v>0</v>
      </c>
      <c r="AC18" s="632"/>
      <c r="AD18" s="632">
        <f>IF($G$26=0,0,AD16*1000/$G$26)</f>
        <v>0</v>
      </c>
      <c r="AE18" s="632"/>
      <c r="AF18" s="742">
        <f>IF($G$26=0,0,AF16*1000/$G$26)</f>
        <v>0</v>
      </c>
      <c r="AG18" s="742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120"/>
      <c r="C19" s="131" t="s">
        <v>77</v>
      </c>
      <c r="D19" s="128"/>
      <c r="E19" s="125"/>
      <c r="F19" s="125"/>
      <c r="G19" s="126"/>
      <c r="H19" s="111" t="str">
        <f t="shared" si="0"/>
        <v/>
      </c>
      <c r="I19" s="710" t="s">
        <v>64</v>
      </c>
      <c r="J19" s="711"/>
      <c r="K19" s="711"/>
      <c r="L19" s="711"/>
      <c r="M19" s="711"/>
      <c r="N19" s="711"/>
      <c r="O19" s="712"/>
      <c r="P19" s="755"/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120"/>
      <c r="C20" s="131" t="s">
        <v>78</v>
      </c>
      <c r="D20" s="128"/>
      <c r="E20" s="125"/>
      <c r="F20" s="125"/>
      <c r="G20" s="126"/>
      <c r="H20" s="111" t="str">
        <f t="shared" si="0"/>
        <v/>
      </c>
      <c r="I20" s="710" t="s">
        <v>65</v>
      </c>
      <c r="J20" s="711"/>
      <c r="K20" s="711"/>
      <c r="L20" s="711"/>
      <c r="M20" s="711"/>
      <c r="N20" s="711"/>
      <c r="O20" s="712"/>
      <c r="P20" s="755"/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120"/>
      <c r="C21" s="131" t="s">
        <v>79</v>
      </c>
      <c r="D21" s="128"/>
      <c r="E21" s="125"/>
      <c r="F21" s="125"/>
      <c r="G21" s="126"/>
      <c r="H21" s="111" t="str">
        <f t="shared" si="0"/>
        <v/>
      </c>
      <c r="I21" s="710" t="s">
        <v>66</v>
      </c>
      <c r="J21" s="711"/>
      <c r="K21" s="711"/>
      <c r="L21" s="711"/>
      <c r="M21" s="711"/>
      <c r="N21" s="711"/>
      <c r="O21" s="712"/>
      <c r="P21" s="755"/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/>
      <c r="F22" s="125"/>
      <c r="G22" s="126"/>
      <c r="H22" s="111" t="str">
        <f t="shared" si="0"/>
        <v/>
      </c>
      <c r="I22" s="710" t="s">
        <v>67</v>
      </c>
      <c r="J22" s="711"/>
      <c r="K22" s="711"/>
      <c r="L22" s="711"/>
      <c r="M22" s="711"/>
      <c r="N22" s="711"/>
      <c r="O22" s="712"/>
      <c r="P22" s="755"/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/>
      <c r="F23" s="125"/>
      <c r="G23" s="126"/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/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 t="str">
        <f>IF(ISBLANK([1]Data!I36),"",[1]Data!I36)</f>
        <v/>
      </c>
      <c r="C24" s="136" t="s">
        <v>81</v>
      </c>
      <c r="D24" s="137"/>
      <c r="E24" s="133"/>
      <c r="F24" s="133"/>
      <c r="G24" s="134"/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 t="e">
        <f>F26/P23</f>
        <v>#DIV/0!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03"/>
      <c r="F25" s="203"/>
      <c r="G25" s="203"/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/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0</v>
      </c>
      <c r="F26" s="205">
        <f>SUM(F16:F25)</f>
        <v>0</v>
      </c>
      <c r="G26" s="205">
        <f>SUM(G16:G25)</f>
        <v>0</v>
      </c>
      <c r="H26" s="196" t="str">
        <f>IF(F26=0,"",(F26-G26)/F26)</f>
        <v/>
      </c>
      <c r="I26" s="719" t="s">
        <v>70</v>
      </c>
      <c r="J26" s="720"/>
      <c r="K26" s="720"/>
      <c r="L26" s="720"/>
      <c r="M26" s="720"/>
      <c r="N26" s="720"/>
      <c r="O26" s="721"/>
      <c r="P26" s="785" t="e">
        <f>F26/P25</f>
        <v>#DIV/0!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0</v>
      </c>
      <c r="Q27" s="781"/>
      <c r="R27" s="782">
        <f>SUM(R5,R16)</f>
        <v>0</v>
      </c>
      <c r="S27" s="781"/>
      <c r="T27" s="782">
        <f>SUM(T5,T16)</f>
        <v>0</v>
      </c>
      <c r="U27" s="781"/>
      <c r="V27" s="782">
        <f>SUM(V5,V16)</f>
        <v>0</v>
      </c>
      <c r="W27" s="781"/>
      <c r="X27" s="782">
        <f>SUM(X5,X16)</f>
        <v>0</v>
      </c>
      <c r="Y27" s="781"/>
      <c r="Z27" s="783">
        <f>SUM(Z5,Z16)</f>
        <v>0</v>
      </c>
      <c r="AA27" s="784"/>
      <c r="AB27" s="770">
        <f>SUM(AB5,AB16)</f>
        <v>0</v>
      </c>
      <c r="AC27" s="770"/>
      <c r="AD27" s="769">
        <f>SUM(AD5,AD16)</f>
        <v>0</v>
      </c>
      <c r="AE27" s="769"/>
      <c r="AF27" s="770">
        <f>SUM(AF5,AF16)</f>
        <v>0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0</v>
      </c>
      <c r="F28" s="140">
        <f>F15+F26</f>
        <v>0</v>
      </c>
      <c r="G28" s="140">
        <f>G15+G26</f>
        <v>0</v>
      </c>
      <c r="H28" s="141" t="str">
        <f t="shared" si="0"/>
        <v/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</v>
      </c>
      <c r="Q28" s="745"/>
      <c r="R28" s="746">
        <f t="shared" si="1"/>
        <v>0</v>
      </c>
      <c r="S28" s="745"/>
      <c r="T28" s="746">
        <f t="shared" si="1"/>
        <v>0</v>
      </c>
      <c r="U28" s="745"/>
      <c r="V28" s="800">
        <f t="shared" si="1"/>
        <v>0</v>
      </c>
      <c r="W28" s="801"/>
      <c r="X28" s="800">
        <f t="shared" si="1"/>
        <v>0</v>
      </c>
      <c r="Y28" s="801"/>
      <c r="Z28" s="746">
        <f t="shared" si="1"/>
        <v>0</v>
      </c>
      <c r="AA28" s="744"/>
      <c r="AB28" s="632">
        <f t="shared" si="1"/>
        <v>0</v>
      </c>
      <c r="AC28" s="632"/>
      <c r="AD28" s="632">
        <f t="shared" si="1"/>
        <v>0</v>
      </c>
      <c r="AE28" s="632"/>
      <c r="AF28" s="757">
        <f t="shared" si="1"/>
        <v>0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</v>
      </c>
      <c r="Q29" s="792"/>
      <c r="R29" s="771">
        <f t="shared" si="2"/>
        <v>0</v>
      </c>
      <c r="S29" s="792"/>
      <c r="T29" s="771">
        <f t="shared" si="2"/>
        <v>0</v>
      </c>
      <c r="U29" s="792"/>
      <c r="V29" s="793">
        <f t="shared" si="2"/>
        <v>0</v>
      </c>
      <c r="W29" s="794"/>
      <c r="X29" s="795">
        <f t="shared" si="2"/>
        <v>0</v>
      </c>
      <c r="Y29" s="796"/>
      <c r="Z29" s="771">
        <f t="shared" si="2"/>
        <v>0</v>
      </c>
      <c r="AA29" s="772"/>
      <c r="AB29" s="773">
        <f t="shared" si="2"/>
        <v>0</v>
      </c>
      <c r="AC29" s="773"/>
      <c r="AD29" s="773">
        <f t="shared" si="2"/>
        <v>0</v>
      </c>
      <c r="AE29" s="773"/>
      <c r="AF29" s="774">
        <f t="shared" si="2"/>
        <v>0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</sheetData>
  <mergeCells count="269">
    <mergeCell ref="A15:D15"/>
    <mergeCell ref="A26:D26"/>
    <mergeCell ref="I29:O29"/>
    <mergeCell ref="P29:Q29"/>
    <mergeCell ref="R29:S29"/>
    <mergeCell ref="T29:U29"/>
    <mergeCell ref="V29:W29"/>
    <mergeCell ref="X29:Y29"/>
    <mergeCell ref="I19:O19"/>
    <mergeCell ref="P19:Q19"/>
    <mergeCell ref="I20:O20"/>
    <mergeCell ref="P20:Q20"/>
    <mergeCell ref="I21:O21"/>
    <mergeCell ref="P21:Q21"/>
    <mergeCell ref="A28:D28"/>
    <mergeCell ref="I28:O28"/>
    <mergeCell ref="P28:Q28"/>
    <mergeCell ref="R28:S28"/>
    <mergeCell ref="T28:U28"/>
    <mergeCell ref="V28:W28"/>
    <mergeCell ref="X28:Y28"/>
    <mergeCell ref="I22:O22"/>
    <mergeCell ref="P22:Q22"/>
    <mergeCell ref="I23:O23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R26:S26"/>
    <mergeCell ref="T26:U26"/>
    <mergeCell ref="V26:W26"/>
    <mergeCell ref="AD26:AE26"/>
    <mergeCell ref="AF26:AG26"/>
    <mergeCell ref="AH26:AI26"/>
    <mergeCell ref="I26:O26"/>
    <mergeCell ref="P26:Q26"/>
    <mergeCell ref="AF27:AG27"/>
    <mergeCell ref="Z29:AA29"/>
    <mergeCell ref="AB29:AC29"/>
    <mergeCell ref="AD29:AE29"/>
    <mergeCell ref="AF29:AG29"/>
    <mergeCell ref="AH29:AI29"/>
    <mergeCell ref="AJ29:AK29"/>
    <mergeCell ref="Z28:AA28"/>
    <mergeCell ref="AB28:AC28"/>
    <mergeCell ref="AH27:AI27"/>
    <mergeCell ref="P23:Q23"/>
    <mergeCell ref="AD28:AE28"/>
    <mergeCell ref="AF28:AG28"/>
    <mergeCell ref="AH28:AI28"/>
    <mergeCell ref="AJ27:AK27"/>
    <mergeCell ref="AJ24:AK24"/>
    <mergeCell ref="I25:O25"/>
    <mergeCell ref="R24:S24"/>
    <mergeCell ref="T24:U24"/>
    <mergeCell ref="V24:W24"/>
    <mergeCell ref="X24:Y24"/>
    <mergeCell ref="Z24:AA24"/>
    <mergeCell ref="AB24:AC24"/>
    <mergeCell ref="P25:Q25"/>
    <mergeCell ref="AD24:AE24"/>
    <mergeCell ref="AF24:AG24"/>
    <mergeCell ref="AH24:AI24"/>
    <mergeCell ref="I24:O24"/>
    <mergeCell ref="P24:Q24"/>
    <mergeCell ref="AD27:AE27"/>
    <mergeCell ref="X26:Y26"/>
    <mergeCell ref="Z26:AA26"/>
    <mergeCell ref="AB26:AC26"/>
    <mergeCell ref="AJ28:AK28"/>
    <mergeCell ref="Z18:AA18"/>
    <mergeCell ref="AB18:AC18"/>
    <mergeCell ref="AD18:AE18"/>
    <mergeCell ref="AF18:AG18"/>
    <mergeCell ref="AH18:AI18"/>
    <mergeCell ref="AJ18:AK18"/>
    <mergeCell ref="I18:O18"/>
    <mergeCell ref="P18:Q18"/>
    <mergeCell ref="R18:S18"/>
    <mergeCell ref="T18:U18"/>
    <mergeCell ref="V18:W18"/>
    <mergeCell ref="X18:Y18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R4:S4"/>
    <mergeCell ref="AJ7:AK7"/>
    <mergeCell ref="I7:O7"/>
    <mergeCell ref="P7:Q7"/>
    <mergeCell ref="R7:S7"/>
    <mergeCell ref="T7:U7"/>
    <mergeCell ref="Z9:AA9"/>
    <mergeCell ref="AB9:AC9"/>
    <mergeCell ref="AD9:AE9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Z8:AA8"/>
    <mergeCell ref="AB8:AC8"/>
    <mergeCell ref="AD8:AE8"/>
    <mergeCell ref="AF8:AG8"/>
    <mergeCell ref="AH8:AI8"/>
    <mergeCell ref="AJ8:AK8"/>
    <mergeCell ref="AD2:AE2"/>
    <mergeCell ref="AF2:AG2"/>
    <mergeCell ref="Z7:AA7"/>
    <mergeCell ref="AB7:AC7"/>
    <mergeCell ref="AD7:AE7"/>
    <mergeCell ref="AF7:AG7"/>
    <mergeCell ref="T4:U4"/>
    <mergeCell ref="V4:W4"/>
    <mergeCell ref="X4:Y4"/>
    <mergeCell ref="Z2:AA2"/>
    <mergeCell ref="AB2:AC2"/>
    <mergeCell ref="AB6:AC6"/>
    <mergeCell ref="AD6:AE6"/>
    <mergeCell ref="AF6:AG6"/>
    <mergeCell ref="AH6:AI6"/>
    <mergeCell ref="AD5:AE5"/>
    <mergeCell ref="Z6:AA6"/>
    <mergeCell ref="P8:Q8"/>
    <mergeCell ref="R8:S8"/>
    <mergeCell ref="T8:U8"/>
    <mergeCell ref="V8:W8"/>
    <mergeCell ref="X8:Y8"/>
    <mergeCell ref="V7:W7"/>
    <mergeCell ref="X7:Y7"/>
    <mergeCell ref="AH4:AI4"/>
    <mergeCell ref="AF3:AG3"/>
    <mergeCell ref="AH3:AI3"/>
    <mergeCell ref="Z4:AA4"/>
    <mergeCell ref="AB4:AC4"/>
    <mergeCell ref="AJ3:AK3"/>
    <mergeCell ref="P4:Q4"/>
    <mergeCell ref="AH7:AI7"/>
    <mergeCell ref="I6:O6"/>
    <mergeCell ref="P6:Q6"/>
    <mergeCell ref="R6:S6"/>
    <mergeCell ref="T6:U6"/>
    <mergeCell ref="V6:W6"/>
    <mergeCell ref="X6:Y6"/>
    <mergeCell ref="AF5:AG5"/>
    <mergeCell ref="AH5:AI5"/>
    <mergeCell ref="I5:O5"/>
    <mergeCell ref="P5:Q5"/>
    <mergeCell ref="R5:S5"/>
    <mergeCell ref="T5:U5"/>
    <mergeCell ref="V5:W5"/>
    <mergeCell ref="X5:Y5"/>
    <mergeCell ref="Z5:AA5"/>
    <mergeCell ref="AB5:AC5"/>
    <mergeCell ref="AJ4:AK4"/>
    <mergeCell ref="AD4:AE4"/>
    <mergeCell ref="AF4:AG4"/>
    <mergeCell ref="AJ6:AK6"/>
    <mergeCell ref="AJ5:AK5"/>
    <mergeCell ref="M1:N1"/>
    <mergeCell ref="R1:U1"/>
    <mergeCell ref="E2:H2"/>
    <mergeCell ref="I2:O4"/>
    <mergeCell ref="P2:Q3"/>
    <mergeCell ref="R2:S2"/>
    <mergeCell ref="T2:U2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</mergeCells>
  <dataValidations count="1">
    <dataValidation type="list" allowBlank="1" showInputMessage="1" showErrorMessage="1" sqref="C65517:C65523 HB65517:HB65523 QX65517:QX65523 AAT65517:AAT65523 AKP65517:AKP65523 AUL65517:AUL65523 BEH65517:BEH65523 BOD65517:BOD65523 BXZ65517:BXZ65523 CHV65517:CHV65523 CRR65517:CRR65523 DBN65517:DBN65523 DLJ65517:DLJ65523 DVF65517:DVF65523 EFB65517:EFB65523 EOX65517:EOX65523 EYT65517:EYT65523 FIP65517:FIP65523 FSL65517:FSL65523 GCH65517:GCH65523 GMD65517:GMD65523 GVZ65517:GVZ65523 HFV65517:HFV65523 HPR65517:HPR65523 HZN65517:HZN65523 IJJ65517:IJJ65523 ITF65517:ITF65523 JDB65517:JDB65523 JMX65517:JMX65523 JWT65517:JWT65523 KGP65517:KGP65523 KQL65517:KQL65523 LAH65517:LAH65523 LKD65517:LKD65523 LTZ65517:LTZ65523 MDV65517:MDV65523 MNR65517:MNR65523 MXN65517:MXN65523 NHJ65517:NHJ65523 NRF65517:NRF65523 OBB65517:OBB65523 OKX65517:OKX65523 OUT65517:OUT65523 PEP65517:PEP65523 POL65517:POL65523 PYH65517:PYH65523 QID65517:QID65523 QRZ65517:QRZ65523 RBV65517:RBV65523 RLR65517:RLR65523 RVN65517:RVN65523 SFJ65517:SFJ65523 SPF65517:SPF65523 SZB65517:SZB65523 TIX65517:TIX65523 TST65517:TST65523 UCP65517:UCP65523 UML65517:UML65523 UWH65517:UWH65523 VGD65517:VGD65523 VPZ65517:VPZ65523 VZV65517:VZV65523 WJR65517:WJR65523 WTN65517:WTN65523 C131053:C131059 HB131053:HB131059 QX131053:QX131059 AAT131053:AAT131059 AKP131053:AKP131059 AUL131053:AUL131059 BEH131053:BEH131059 BOD131053:BOD131059 BXZ131053:BXZ131059 CHV131053:CHV131059 CRR131053:CRR131059 DBN131053:DBN131059 DLJ131053:DLJ131059 DVF131053:DVF131059 EFB131053:EFB131059 EOX131053:EOX131059 EYT131053:EYT131059 FIP131053:FIP131059 FSL131053:FSL131059 GCH131053:GCH131059 GMD131053:GMD131059 GVZ131053:GVZ131059 HFV131053:HFV131059 HPR131053:HPR131059 HZN131053:HZN131059 IJJ131053:IJJ131059 ITF131053:ITF131059 JDB131053:JDB131059 JMX131053:JMX131059 JWT131053:JWT131059 KGP131053:KGP131059 KQL131053:KQL131059 LAH131053:LAH131059 LKD131053:LKD131059 LTZ131053:LTZ131059 MDV131053:MDV131059 MNR131053:MNR131059 MXN131053:MXN131059 NHJ131053:NHJ131059 NRF131053:NRF131059 OBB131053:OBB131059 OKX131053:OKX131059 OUT131053:OUT131059 PEP131053:PEP131059 POL131053:POL131059 PYH131053:PYH131059 QID131053:QID131059 QRZ131053:QRZ131059 RBV131053:RBV131059 RLR131053:RLR131059 RVN131053:RVN131059 SFJ131053:SFJ131059 SPF131053:SPF131059 SZB131053:SZB131059 TIX131053:TIX131059 TST131053:TST131059 UCP131053:UCP131059 UML131053:UML131059 UWH131053:UWH131059 VGD131053:VGD131059 VPZ131053:VPZ131059 VZV131053:VZV131059 WJR131053:WJR131059 WTN131053:WTN131059 C196589:C196595 HB196589:HB196595 QX196589:QX196595 AAT196589:AAT196595 AKP196589:AKP196595 AUL196589:AUL196595 BEH196589:BEH196595 BOD196589:BOD196595 BXZ196589:BXZ196595 CHV196589:CHV196595 CRR196589:CRR196595 DBN196589:DBN196595 DLJ196589:DLJ196595 DVF196589:DVF196595 EFB196589:EFB196595 EOX196589:EOX196595 EYT196589:EYT196595 FIP196589:FIP196595 FSL196589:FSL196595 GCH196589:GCH196595 GMD196589:GMD196595 GVZ196589:GVZ196595 HFV196589:HFV196595 HPR196589:HPR196595 HZN196589:HZN196595 IJJ196589:IJJ196595 ITF196589:ITF196595 JDB196589:JDB196595 JMX196589:JMX196595 JWT196589:JWT196595 KGP196589:KGP196595 KQL196589:KQL196595 LAH196589:LAH196595 LKD196589:LKD196595 LTZ196589:LTZ196595 MDV196589:MDV196595 MNR196589:MNR196595 MXN196589:MXN196595 NHJ196589:NHJ196595 NRF196589:NRF196595 OBB196589:OBB196595 OKX196589:OKX196595 OUT196589:OUT196595 PEP196589:PEP196595 POL196589:POL196595 PYH196589:PYH196595 QID196589:QID196595 QRZ196589:QRZ196595 RBV196589:RBV196595 RLR196589:RLR196595 RVN196589:RVN196595 SFJ196589:SFJ196595 SPF196589:SPF196595 SZB196589:SZB196595 TIX196589:TIX196595 TST196589:TST196595 UCP196589:UCP196595 UML196589:UML196595 UWH196589:UWH196595 VGD196589:VGD196595 VPZ196589:VPZ196595 VZV196589:VZV196595 WJR196589:WJR196595 WTN196589:WTN196595 C262125:C262131 HB262125:HB262131 QX262125:QX262131 AAT262125:AAT262131 AKP262125:AKP262131 AUL262125:AUL262131 BEH262125:BEH262131 BOD262125:BOD262131 BXZ262125:BXZ262131 CHV262125:CHV262131 CRR262125:CRR262131 DBN262125:DBN262131 DLJ262125:DLJ262131 DVF262125:DVF262131 EFB262125:EFB262131 EOX262125:EOX262131 EYT262125:EYT262131 FIP262125:FIP262131 FSL262125:FSL262131 GCH262125:GCH262131 GMD262125:GMD262131 GVZ262125:GVZ262131 HFV262125:HFV262131 HPR262125:HPR262131 HZN262125:HZN262131 IJJ262125:IJJ262131 ITF262125:ITF262131 JDB262125:JDB262131 JMX262125:JMX262131 JWT262125:JWT262131 KGP262125:KGP262131 KQL262125:KQL262131 LAH262125:LAH262131 LKD262125:LKD262131 LTZ262125:LTZ262131 MDV262125:MDV262131 MNR262125:MNR262131 MXN262125:MXN262131 NHJ262125:NHJ262131 NRF262125:NRF262131 OBB262125:OBB262131 OKX262125:OKX262131 OUT262125:OUT262131 PEP262125:PEP262131 POL262125:POL262131 PYH262125:PYH262131 QID262125:QID262131 QRZ262125:QRZ262131 RBV262125:RBV262131 RLR262125:RLR262131 RVN262125:RVN262131 SFJ262125:SFJ262131 SPF262125:SPF262131 SZB262125:SZB262131 TIX262125:TIX262131 TST262125:TST262131 UCP262125:UCP262131 UML262125:UML262131 UWH262125:UWH262131 VGD262125:VGD262131 VPZ262125:VPZ262131 VZV262125:VZV262131 WJR262125:WJR262131 WTN262125:WTN262131 C327661:C327667 HB327661:HB327667 QX327661:QX327667 AAT327661:AAT327667 AKP327661:AKP327667 AUL327661:AUL327667 BEH327661:BEH327667 BOD327661:BOD327667 BXZ327661:BXZ327667 CHV327661:CHV327667 CRR327661:CRR327667 DBN327661:DBN327667 DLJ327661:DLJ327667 DVF327661:DVF327667 EFB327661:EFB327667 EOX327661:EOX327667 EYT327661:EYT327667 FIP327661:FIP327667 FSL327661:FSL327667 GCH327661:GCH327667 GMD327661:GMD327667 GVZ327661:GVZ327667 HFV327661:HFV327667 HPR327661:HPR327667 HZN327661:HZN327667 IJJ327661:IJJ327667 ITF327661:ITF327667 JDB327661:JDB327667 JMX327661:JMX327667 JWT327661:JWT327667 KGP327661:KGP327667 KQL327661:KQL327667 LAH327661:LAH327667 LKD327661:LKD327667 LTZ327661:LTZ327667 MDV327661:MDV327667 MNR327661:MNR327667 MXN327661:MXN327667 NHJ327661:NHJ327667 NRF327661:NRF327667 OBB327661:OBB327667 OKX327661:OKX327667 OUT327661:OUT327667 PEP327661:PEP327667 POL327661:POL327667 PYH327661:PYH327667 QID327661:QID327667 QRZ327661:QRZ327667 RBV327661:RBV327667 RLR327661:RLR327667 RVN327661:RVN327667 SFJ327661:SFJ327667 SPF327661:SPF327667 SZB327661:SZB327667 TIX327661:TIX327667 TST327661:TST327667 UCP327661:UCP327667 UML327661:UML327667 UWH327661:UWH327667 VGD327661:VGD327667 VPZ327661:VPZ327667 VZV327661:VZV327667 WJR327661:WJR327667 WTN327661:WTN327667 C393197:C393203 HB393197:HB393203 QX393197:QX393203 AAT393197:AAT393203 AKP393197:AKP393203 AUL393197:AUL393203 BEH393197:BEH393203 BOD393197:BOD393203 BXZ393197:BXZ393203 CHV393197:CHV393203 CRR393197:CRR393203 DBN393197:DBN393203 DLJ393197:DLJ393203 DVF393197:DVF393203 EFB393197:EFB393203 EOX393197:EOX393203 EYT393197:EYT393203 FIP393197:FIP393203 FSL393197:FSL393203 GCH393197:GCH393203 GMD393197:GMD393203 GVZ393197:GVZ393203 HFV393197:HFV393203 HPR393197:HPR393203 HZN393197:HZN393203 IJJ393197:IJJ393203 ITF393197:ITF393203 JDB393197:JDB393203 JMX393197:JMX393203 JWT393197:JWT393203 KGP393197:KGP393203 KQL393197:KQL393203 LAH393197:LAH393203 LKD393197:LKD393203 LTZ393197:LTZ393203 MDV393197:MDV393203 MNR393197:MNR393203 MXN393197:MXN393203 NHJ393197:NHJ393203 NRF393197:NRF393203 OBB393197:OBB393203 OKX393197:OKX393203 OUT393197:OUT393203 PEP393197:PEP393203 POL393197:POL393203 PYH393197:PYH393203 QID393197:QID393203 QRZ393197:QRZ393203 RBV393197:RBV393203 RLR393197:RLR393203 RVN393197:RVN393203 SFJ393197:SFJ393203 SPF393197:SPF393203 SZB393197:SZB393203 TIX393197:TIX393203 TST393197:TST393203 UCP393197:UCP393203 UML393197:UML393203 UWH393197:UWH393203 VGD393197:VGD393203 VPZ393197:VPZ393203 VZV393197:VZV393203 WJR393197:WJR393203 WTN393197:WTN393203 C458733:C458739 HB458733:HB458739 QX458733:QX458739 AAT458733:AAT458739 AKP458733:AKP458739 AUL458733:AUL458739 BEH458733:BEH458739 BOD458733:BOD458739 BXZ458733:BXZ458739 CHV458733:CHV458739 CRR458733:CRR458739 DBN458733:DBN458739 DLJ458733:DLJ458739 DVF458733:DVF458739 EFB458733:EFB458739 EOX458733:EOX458739 EYT458733:EYT458739 FIP458733:FIP458739 FSL458733:FSL458739 GCH458733:GCH458739 GMD458733:GMD458739 GVZ458733:GVZ458739 HFV458733:HFV458739 HPR458733:HPR458739 HZN458733:HZN458739 IJJ458733:IJJ458739 ITF458733:ITF458739 JDB458733:JDB458739 JMX458733:JMX458739 JWT458733:JWT458739 KGP458733:KGP458739 KQL458733:KQL458739 LAH458733:LAH458739 LKD458733:LKD458739 LTZ458733:LTZ458739 MDV458733:MDV458739 MNR458733:MNR458739 MXN458733:MXN458739 NHJ458733:NHJ458739 NRF458733:NRF458739 OBB458733:OBB458739 OKX458733:OKX458739 OUT458733:OUT458739 PEP458733:PEP458739 POL458733:POL458739 PYH458733:PYH458739 QID458733:QID458739 QRZ458733:QRZ458739 RBV458733:RBV458739 RLR458733:RLR458739 RVN458733:RVN458739 SFJ458733:SFJ458739 SPF458733:SPF458739 SZB458733:SZB458739 TIX458733:TIX458739 TST458733:TST458739 UCP458733:UCP458739 UML458733:UML458739 UWH458733:UWH458739 VGD458733:VGD458739 VPZ458733:VPZ458739 VZV458733:VZV458739 WJR458733:WJR458739 WTN458733:WTN458739 C524269:C524275 HB524269:HB524275 QX524269:QX524275 AAT524269:AAT524275 AKP524269:AKP524275 AUL524269:AUL524275 BEH524269:BEH524275 BOD524269:BOD524275 BXZ524269:BXZ524275 CHV524269:CHV524275 CRR524269:CRR524275 DBN524269:DBN524275 DLJ524269:DLJ524275 DVF524269:DVF524275 EFB524269:EFB524275 EOX524269:EOX524275 EYT524269:EYT524275 FIP524269:FIP524275 FSL524269:FSL524275 GCH524269:GCH524275 GMD524269:GMD524275 GVZ524269:GVZ524275 HFV524269:HFV524275 HPR524269:HPR524275 HZN524269:HZN524275 IJJ524269:IJJ524275 ITF524269:ITF524275 JDB524269:JDB524275 JMX524269:JMX524275 JWT524269:JWT524275 KGP524269:KGP524275 KQL524269:KQL524275 LAH524269:LAH524275 LKD524269:LKD524275 LTZ524269:LTZ524275 MDV524269:MDV524275 MNR524269:MNR524275 MXN524269:MXN524275 NHJ524269:NHJ524275 NRF524269:NRF524275 OBB524269:OBB524275 OKX524269:OKX524275 OUT524269:OUT524275 PEP524269:PEP524275 POL524269:POL524275 PYH524269:PYH524275 QID524269:QID524275 QRZ524269:QRZ524275 RBV524269:RBV524275 RLR524269:RLR524275 RVN524269:RVN524275 SFJ524269:SFJ524275 SPF524269:SPF524275 SZB524269:SZB524275 TIX524269:TIX524275 TST524269:TST524275 UCP524269:UCP524275 UML524269:UML524275 UWH524269:UWH524275 VGD524269:VGD524275 VPZ524269:VPZ524275 VZV524269:VZV524275 WJR524269:WJR524275 WTN524269:WTN524275 C589805:C589811 HB589805:HB589811 QX589805:QX589811 AAT589805:AAT589811 AKP589805:AKP589811 AUL589805:AUL589811 BEH589805:BEH589811 BOD589805:BOD589811 BXZ589805:BXZ589811 CHV589805:CHV589811 CRR589805:CRR589811 DBN589805:DBN589811 DLJ589805:DLJ589811 DVF589805:DVF589811 EFB589805:EFB589811 EOX589805:EOX589811 EYT589805:EYT589811 FIP589805:FIP589811 FSL589805:FSL589811 GCH589805:GCH589811 GMD589805:GMD589811 GVZ589805:GVZ589811 HFV589805:HFV589811 HPR589805:HPR589811 HZN589805:HZN589811 IJJ589805:IJJ589811 ITF589805:ITF589811 JDB589805:JDB589811 JMX589805:JMX589811 JWT589805:JWT589811 KGP589805:KGP589811 KQL589805:KQL589811 LAH589805:LAH589811 LKD589805:LKD589811 LTZ589805:LTZ589811 MDV589805:MDV589811 MNR589805:MNR589811 MXN589805:MXN589811 NHJ589805:NHJ589811 NRF589805:NRF589811 OBB589805:OBB589811 OKX589805:OKX589811 OUT589805:OUT589811 PEP589805:PEP589811 POL589805:POL589811 PYH589805:PYH589811 QID589805:QID589811 QRZ589805:QRZ589811 RBV589805:RBV589811 RLR589805:RLR589811 RVN589805:RVN589811 SFJ589805:SFJ589811 SPF589805:SPF589811 SZB589805:SZB589811 TIX589805:TIX589811 TST589805:TST589811 UCP589805:UCP589811 UML589805:UML589811 UWH589805:UWH589811 VGD589805:VGD589811 VPZ589805:VPZ589811 VZV589805:VZV589811 WJR589805:WJR589811 WTN589805:WTN589811 C655341:C655347 HB655341:HB655347 QX655341:QX655347 AAT655341:AAT655347 AKP655341:AKP655347 AUL655341:AUL655347 BEH655341:BEH655347 BOD655341:BOD655347 BXZ655341:BXZ655347 CHV655341:CHV655347 CRR655341:CRR655347 DBN655341:DBN655347 DLJ655341:DLJ655347 DVF655341:DVF655347 EFB655341:EFB655347 EOX655341:EOX655347 EYT655341:EYT655347 FIP655341:FIP655347 FSL655341:FSL655347 GCH655341:GCH655347 GMD655341:GMD655347 GVZ655341:GVZ655347 HFV655341:HFV655347 HPR655341:HPR655347 HZN655341:HZN655347 IJJ655341:IJJ655347 ITF655341:ITF655347 JDB655341:JDB655347 JMX655341:JMX655347 JWT655341:JWT655347 KGP655341:KGP655347 KQL655341:KQL655347 LAH655341:LAH655347 LKD655341:LKD655347 LTZ655341:LTZ655347 MDV655341:MDV655347 MNR655341:MNR655347 MXN655341:MXN655347 NHJ655341:NHJ655347 NRF655341:NRF655347 OBB655341:OBB655347 OKX655341:OKX655347 OUT655341:OUT655347 PEP655341:PEP655347 POL655341:POL655347 PYH655341:PYH655347 QID655341:QID655347 QRZ655341:QRZ655347 RBV655341:RBV655347 RLR655341:RLR655347 RVN655341:RVN655347 SFJ655341:SFJ655347 SPF655341:SPF655347 SZB655341:SZB655347 TIX655341:TIX655347 TST655341:TST655347 UCP655341:UCP655347 UML655341:UML655347 UWH655341:UWH655347 VGD655341:VGD655347 VPZ655341:VPZ655347 VZV655341:VZV655347 WJR655341:WJR655347 WTN655341:WTN655347 C720877:C720883 HB720877:HB720883 QX720877:QX720883 AAT720877:AAT720883 AKP720877:AKP720883 AUL720877:AUL720883 BEH720877:BEH720883 BOD720877:BOD720883 BXZ720877:BXZ720883 CHV720877:CHV720883 CRR720877:CRR720883 DBN720877:DBN720883 DLJ720877:DLJ720883 DVF720877:DVF720883 EFB720877:EFB720883 EOX720877:EOX720883 EYT720877:EYT720883 FIP720877:FIP720883 FSL720877:FSL720883 GCH720877:GCH720883 GMD720877:GMD720883 GVZ720877:GVZ720883 HFV720877:HFV720883 HPR720877:HPR720883 HZN720877:HZN720883 IJJ720877:IJJ720883 ITF720877:ITF720883 JDB720877:JDB720883 JMX720877:JMX720883 JWT720877:JWT720883 KGP720877:KGP720883 KQL720877:KQL720883 LAH720877:LAH720883 LKD720877:LKD720883 LTZ720877:LTZ720883 MDV720877:MDV720883 MNR720877:MNR720883 MXN720877:MXN720883 NHJ720877:NHJ720883 NRF720877:NRF720883 OBB720877:OBB720883 OKX720877:OKX720883 OUT720877:OUT720883 PEP720877:PEP720883 POL720877:POL720883 PYH720877:PYH720883 QID720877:QID720883 QRZ720877:QRZ720883 RBV720877:RBV720883 RLR720877:RLR720883 RVN720877:RVN720883 SFJ720877:SFJ720883 SPF720877:SPF720883 SZB720877:SZB720883 TIX720877:TIX720883 TST720877:TST720883 UCP720877:UCP720883 UML720877:UML720883 UWH720877:UWH720883 VGD720877:VGD720883 VPZ720877:VPZ720883 VZV720877:VZV720883 WJR720877:WJR720883 WTN720877:WTN720883 C786413:C786419 HB786413:HB786419 QX786413:QX786419 AAT786413:AAT786419 AKP786413:AKP786419 AUL786413:AUL786419 BEH786413:BEH786419 BOD786413:BOD786419 BXZ786413:BXZ786419 CHV786413:CHV786419 CRR786413:CRR786419 DBN786413:DBN786419 DLJ786413:DLJ786419 DVF786413:DVF786419 EFB786413:EFB786419 EOX786413:EOX786419 EYT786413:EYT786419 FIP786413:FIP786419 FSL786413:FSL786419 GCH786413:GCH786419 GMD786413:GMD786419 GVZ786413:GVZ786419 HFV786413:HFV786419 HPR786413:HPR786419 HZN786413:HZN786419 IJJ786413:IJJ786419 ITF786413:ITF786419 JDB786413:JDB786419 JMX786413:JMX786419 JWT786413:JWT786419 KGP786413:KGP786419 KQL786413:KQL786419 LAH786413:LAH786419 LKD786413:LKD786419 LTZ786413:LTZ786419 MDV786413:MDV786419 MNR786413:MNR786419 MXN786413:MXN786419 NHJ786413:NHJ786419 NRF786413:NRF786419 OBB786413:OBB786419 OKX786413:OKX786419 OUT786413:OUT786419 PEP786413:PEP786419 POL786413:POL786419 PYH786413:PYH786419 QID786413:QID786419 QRZ786413:QRZ786419 RBV786413:RBV786419 RLR786413:RLR786419 RVN786413:RVN786419 SFJ786413:SFJ786419 SPF786413:SPF786419 SZB786413:SZB786419 TIX786413:TIX786419 TST786413:TST786419 UCP786413:UCP786419 UML786413:UML786419 UWH786413:UWH786419 VGD786413:VGD786419 VPZ786413:VPZ786419 VZV786413:VZV786419 WJR786413:WJR786419 WTN786413:WTN786419 C851949:C851955 HB851949:HB851955 QX851949:QX851955 AAT851949:AAT851955 AKP851949:AKP851955 AUL851949:AUL851955 BEH851949:BEH851955 BOD851949:BOD851955 BXZ851949:BXZ851955 CHV851949:CHV851955 CRR851949:CRR851955 DBN851949:DBN851955 DLJ851949:DLJ851955 DVF851949:DVF851955 EFB851949:EFB851955 EOX851949:EOX851955 EYT851949:EYT851955 FIP851949:FIP851955 FSL851949:FSL851955 GCH851949:GCH851955 GMD851949:GMD851955 GVZ851949:GVZ851955 HFV851949:HFV851955 HPR851949:HPR851955 HZN851949:HZN851955 IJJ851949:IJJ851955 ITF851949:ITF851955 JDB851949:JDB851955 JMX851949:JMX851955 JWT851949:JWT851955 KGP851949:KGP851955 KQL851949:KQL851955 LAH851949:LAH851955 LKD851949:LKD851955 LTZ851949:LTZ851955 MDV851949:MDV851955 MNR851949:MNR851955 MXN851949:MXN851955 NHJ851949:NHJ851955 NRF851949:NRF851955 OBB851949:OBB851955 OKX851949:OKX851955 OUT851949:OUT851955 PEP851949:PEP851955 POL851949:POL851955 PYH851949:PYH851955 QID851949:QID851955 QRZ851949:QRZ851955 RBV851949:RBV851955 RLR851949:RLR851955 RVN851949:RVN851955 SFJ851949:SFJ851955 SPF851949:SPF851955 SZB851949:SZB851955 TIX851949:TIX851955 TST851949:TST851955 UCP851949:UCP851955 UML851949:UML851955 UWH851949:UWH851955 VGD851949:VGD851955 VPZ851949:VPZ851955 VZV851949:VZV851955 WJR851949:WJR851955 WTN851949:WTN851955 C917485:C917491 HB917485:HB917491 QX917485:QX917491 AAT917485:AAT917491 AKP917485:AKP917491 AUL917485:AUL917491 BEH917485:BEH917491 BOD917485:BOD917491 BXZ917485:BXZ917491 CHV917485:CHV917491 CRR917485:CRR917491 DBN917485:DBN917491 DLJ917485:DLJ917491 DVF917485:DVF917491 EFB917485:EFB917491 EOX917485:EOX917491 EYT917485:EYT917491 FIP917485:FIP917491 FSL917485:FSL917491 GCH917485:GCH917491 GMD917485:GMD917491 GVZ917485:GVZ917491 HFV917485:HFV917491 HPR917485:HPR917491 HZN917485:HZN917491 IJJ917485:IJJ917491 ITF917485:ITF917491 JDB917485:JDB917491 JMX917485:JMX917491 JWT917485:JWT917491 KGP917485:KGP917491 KQL917485:KQL917491 LAH917485:LAH917491 LKD917485:LKD917491 LTZ917485:LTZ917491 MDV917485:MDV917491 MNR917485:MNR917491 MXN917485:MXN917491 NHJ917485:NHJ917491 NRF917485:NRF917491 OBB917485:OBB917491 OKX917485:OKX917491 OUT917485:OUT917491 PEP917485:PEP917491 POL917485:POL917491 PYH917485:PYH917491 QID917485:QID917491 QRZ917485:QRZ917491 RBV917485:RBV917491 RLR917485:RLR917491 RVN917485:RVN917491 SFJ917485:SFJ917491 SPF917485:SPF917491 SZB917485:SZB917491 TIX917485:TIX917491 TST917485:TST917491 UCP917485:UCP917491 UML917485:UML917491 UWH917485:UWH917491 VGD917485:VGD917491 VPZ917485:VPZ917491 VZV917485:VZV917491 WJR917485:WJR917491 WTN917485:WTN917491 C983021:C983027 HB983021:HB983027 QX983021:QX983027 AAT983021:AAT983027 AKP983021:AKP983027 AUL983021:AUL983027 BEH983021:BEH983027 BOD983021:BOD983027 BXZ983021:BXZ983027 CHV983021:CHV983027 CRR983021:CRR983027 DBN983021:DBN983027 DLJ983021:DLJ983027 DVF983021:DVF983027 EFB983021:EFB983027 EOX983021:EOX983027 EYT983021:EYT983027 FIP983021:FIP983027 FSL983021:FSL983027 GCH983021:GCH983027 GMD983021:GMD983027 GVZ983021:GVZ983027 HFV983021:HFV983027 HPR983021:HPR983027 HZN983021:HZN983027 IJJ983021:IJJ983027 ITF983021:ITF983027 JDB983021:JDB983027 JMX983021:JMX983027 JWT983021:JWT983027 KGP983021:KGP983027 KQL983021:KQL983027 LAH983021:LAH983027 LKD983021:LKD983027 LTZ983021:LTZ983027 MDV983021:MDV983027 MNR983021:MNR983027 MXN983021:MXN983027 NHJ983021:NHJ983027 NRF983021:NRF983027 OBB983021:OBB983027 OKX983021:OKX983027 OUT983021:OUT983027 PEP983021:PEP983027 POL983021:POL983027 PYH983021:PYH983027 QID983021:QID983027 QRZ983021:QRZ983027 RBV983021:RBV983027 RLR983021:RLR983027 RVN983021:RVN983027 SFJ983021:SFJ983027 SPF983021:SPF983027 SZB983021:SZB983027 TIX983021:TIX983027 TST983021:TST983027 UCP983021:UCP983027 UML983021:UML983027 UWH983021:UWH983027 VGD983021:VGD983027 VPZ983021:VPZ983027 VZV983021:VZV983027 WJR983021:WJR983027 WTN983021:WTN983027 C65540:C65547 HB65540:HB65547 QX65540:QX65547 AAT65540:AAT65547 AKP65540:AKP65547 AUL65540:AUL65547 BEH65540:BEH65547 BOD65540:BOD65547 BXZ65540:BXZ65547 CHV65540:CHV65547 CRR65540:CRR65547 DBN65540:DBN65547 DLJ65540:DLJ65547 DVF65540:DVF65547 EFB65540:EFB65547 EOX65540:EOX65547 EYT65540:EYT65547 FIP65540:FIP65547 FSL65540:FSL65547 GCH65540:GCH65547 GMD65540:GMD65547 GVZ65540:GVZ65547 HFV65540:HFV65547 HPR65540:HPR65547 HZN65540:HZN65547 IJJ65540:IJJ65547 ITF65540:ITF65547 JDB65540:JDB65547 JMX65540:JMX65547 JWT65540:JWT65547 KGP65540:KGP65547 KQL65540:KQL65547 LAH65540:LAH65547 LKD65540:LKD65547 LTZ65540:LTZ65547 MDV65540:MDV65547 MNR65540:MNR65547 MXN65540:MXN65547 NHJ65540:NHJ65547 NRF65540:NRF65547 OBB65540:OBB65547 OKX65540:OKX65547 OUT65540:OUT65547 PEP65540:PEP65547 POL65540:POL65547 PYH65540:PYH65547 QID65540:QID65547 QRZ65540:QRZ65547 RBV65540:RBV65547 RLR65540:RLR65547 RVN65540:RVN65547 SFJ65540:SFJ65547 SPF65540:SPF65547 SZB65540:SZB65547 TIX65540:TIX65547 TST65540:TST65547 UCP65540:UCP65547 UML65540:UML65547 UWH65540:UWH65547 VGD65540:VGD65547 VPZ65540:VPZ65547 VZV65540:VZV65547 WJR65540:WJR65547 WTN65540:WTN65547 C131076:C131083 HB131076:HB131083 QX131076:QX131083 AAT131076:AAT131083 AKP131076:AKP131083 AUL131076:AUL131083 BEH131076:BEH131083 BOD131076:BOD131083 BXZ131076:BXZ131083 CHV131076:CHV131083 CRR131076:CRR131083 DBN131076:DBN131083 DLJ131076:DLJ131083 DVF131076:DVF131083 EFB131076:EFB131083 EOX131076:EOX131083 EYT131076:EYT131083 FIP131076:FIP131083 FSL131076:FSL131083 GCH131076:GCH131083 GMD131076:GMD131083 GVZ131076:GVZ131083 HFV131076:HFV131083 HPR131076:HPR131083 HZN131076:HZN131083 IJJ131076:IJJ131083 ITF131076:ITF131083 JDB131076:JDB131083 JMX131076:JMX131083 JWT131076:JWT131083 KGP131076:KGP131083 KQL131076:KQL131083 LAH131076:LAH131083 LKD131076:LKD131083 LTZ131076:LTZ131083 MDV131076:MDV131083 MNR131076:MNR131083 MXN131076:MXN131083 NHJ131076:NHJ131083 NRF131076:NRF131083 OBB131076:OBB131083 OKX131076:OKX131083 OUT131076:OUT131083 PEP131076:PEP131083 POL131076:POL131083 PYH131076:PYH131083 QID131076:QID131083 QRZ131076:QRZ131083 RBV131076:RBV131083 RLR131076:RLR131083 RVN131076:RVN131083 SFJ131076:SFJ131083 SPF131076:SPF131083 SZB131076:SZB131083 TIX131076:TIX131083 TST131076:TST131083 UCP131076:UCP131083 UML131076:UML131083 UWH131076:UWH131083 VGD131076:VGD131083 VPZ131076:VPZ131083 VZV131076:VZV131083 WJR131076:WJR131083 WTN131076:WTN131083 C196612:C196619 HB196612:HB196619 QX196612:QX196619 AAT196612:AAT196619 AKP196612:AKP196619 AUL196612:AUL196619 BEH196612:BEH196619 BOD196612:BOD196619 BXZ196612:BXZ196619 CHV196612:CHV196619 CRR196612:CRR196619 DBN196612:DBN196619 DLJ196612:DLJ196619 DVF196612:DVF196619 EFB196612:EFB196619 EOX196612:EOX196619 EYT196612:EYT196619 FIP196612:FIP196619 FSL196612:FSL196619 GCH196612:GCH196619 GMD196612:GMD196619 GVZ196612:GVZ196619 HFV196612:HFV196619 HPR196612:HPR196619 HZN196612:HZN196619 IJJ196612:IJJ196619 ITF196612:ITF196619 JDB196612:JDB196619 JMX196612:JMX196619 JWT196612:JWT196619 KGP196612:KGP196619 KQL196612:KQL196619 LAH196612:LAH196619 LKD196612:LKD196619 LTZ196612:LTZ196619 MDV196612:MDV196619 MNR196612:MNR196619 MXN196612:MXN196619 NHJ196612:NHJ196619 NRF196612:NRF196619 OBB196612:OBB196619 OKX196612:OKX196619 OUT196612:OUT196619 PEP196612:PEP196619 POL196612:POL196619 PYH196612:PYH196619 QID196612:QID196619 QRZ196612:QRZ196619 RBV196612:RBV196619 RLR196612:RLR196619 RVN196612:RVN196619 SFJ196612:SFJ196619 SPF196612:SPF196619 SZB196612:SZB196619 TIX196612:TIX196619 TST196612:TST196619 UCP196612:UCP196619 UML196612:UML196619 UWH196612:UWH196619 VGD196612:VGD196619 VPZ196612:VPZ196619 VZV196612:VZV196619 WJR196612:WJR196619 WTN196612:WTN196619 C262148:C262155 HB262148:HB262155 QX262148:QX262155 AAT262148:AAT262155 AKP262148:AKP262155 AUL262148:AUL262155 BEH262148:BEH262155 BOD262148:BOD262155 BXZ262148:BXZ262155 CHV262148:CHV262155 CRR262148:CRR262155 DBN262148:DBN262155 DLJ262148:DLJ262155 DVF262148:DVF262155 EFB262148:EFB262155 EOX262148:EOX262155 EYT262148:EYT262155 FIP262148:FIP262155 FSL262148:FSL262155 GCH262148:GCH262155 GMD262148:GMD262155 GVZ262148:GVZ262155 HFV262148:HFV262155 HPR262148:HPR262155 HZN262148:HZN262155 IJJ262148:IJJ262155 ITF262148:ITF262155 JDB262148:JDB262155 JMX262148:JMX262155 JWT262148:JWT262155 KGP262148:KGP262155 KQL262148:KQL262155 LAH262148:LAH262155 LKD262148:LKD262155 LTZ262148:LTZ262155 MDV262148:MDV262155 MNR262148:MNR262155 MXN262148:MXN262155 NHJ262148:NHJ262155 NRF262148:NRF262155 OBB262148:OBB262155 OKX262148:OKX262155 OUT262148:OUT262155 PEP262148:PEP262155 POL262148:POL262155 PYH262148:PYH262155 QID262148:QID262155 QRZ262148:QRZ262155 RBV262148:RBV262155 RLR262148:RLR262155 RVN262148:RVN262155 SFJ262148:SFJ262155 SPF262148:SPF262155 SZB262148:SZB262155 TIX262148:TIX262155 TST262148:TST262155 UCP262148:UCP262155 UML262148:UML262155 UWH262148:UWH262155 VGD262148:VGD262155 VPZ262148:VPZ262155 VZV262148:VZV262155 WJR262148:WJR262155 WTN262148:WTN262155 C327684:C327691 HB327684:HB327691 QX327684:QX327691 AAT327684:AAT327691 AKP327684:AKP327691 AUL327684:AUL327691 BEH327684:BEH327691 BOD327684:BOD327691 BXZ327684:BXZ327691 CHV327684:CHV327691 CRR327684:CRR327691 DBN327684:DBN327691 DLJ327684:DLJ327691 DVF327684:DVF327691 EFB327684:EFB327691 EOX327684:EOX327691 EYT327684:EYT327691 FIP327684:FIP327691 FSL327684:FSL327691 GCH327684:GCH327691 GMD327684:GMD327691 GVZ327684:GVZ327691 HFV327684:HFV327691 HPR327684:HPR327691 HZN327684:HZN327691 IJJ327684:IJJ327691 ITF327684:ITF327691 JDB327684:JDB327691 JMX327684:JMX327691 JWT327684:JWT327691 KGP327684:KGP327691 KQL327684:KQL327691 LAH327684:LAH327691 LKD327684:LKD327691 LTZ327684:LTZ327691 MDV327684:MDV327691 MNR327684:MNR327691 MXN327684:MXN327691 NHJ327684:NHJ327691 NRF327684:NRF327691 OBB327684:OBB327691 OKX327684:OKX327691 OUT327684:OUT327691 PEP327684:PEP327691 POL327684:POL327691 PYH327684:PYH327691 QID327684:QID327691 QRZ327684:QRZ327691 RBV327684:RBV327691 RLR327684:RLR327691 RVN327684:RVN327691 SFJ327684:SFJ327691 SPF327684:SPF327691 SZB327684:SZB327691 TIX327684:TIX327691 TST327684:TST327691 UCP327684:UCP327691 UML327684:UML327691 UWH327684:UWH327691 VGD327684:VGD327691 VPZ327684:VPZ327691 VZV327684:VZV327691 WJR327684:WJR327691 WTN327684:WTN327691 C393220:C393227 HB393220:HB393227 QX393220:QX393227 AAT393220:AAT393227 AKP393220:AKP393227 AUL393220:AUL393227 BEH393220:BEH393227 BOD393220:BOD393227 BXZ393220:BXZ393227 CHV393220:CHV393227 CRR393220:CRR393227 DBN393220:DBN393227 DLJ393220:DLJ393227 DVF393220:DVF393227 EFB393220:EFB393227 EOX393220:EOX393227 EYT393220:EYT393227 FIP393220:FIP393227 FSL393220:FSL393227 GCH393220:GCH393227 GMD393220:GMD393227 GVZ393220:GVZ393227 HFV393220:HFV393227 HPR393220:HPR393227 HZN393220:HZN393227 IJJ393220:IJJ393227 ITF393220:ITF393227 JDB393220:JDB393227 JMX393220:JMX393227 JWT393220:JWT393227 KGP393220:KGP393227 KQL393220:KQL393227 LAH393220:LAH393227 LKD393220:LKD393227 LTZ393220:LTZ393227 MDV393220:MDV393227 MNR393220:MNR393227 MXN393220:MXN393227 NHJ393220:NHJ393227 NRF393220:NRF393227 OBB393220:OBB393227 OKX393220:OKX393227 OUT393220:OUT393227 PEP393220:PEP393227 POL393220:POL393227 PYH393220:PYH393227 QID393220:QID393227 QRZ393220:QRZ393227 RBV393220:RBV393227 RLR393220:RLR393227 RVN393220:RVN393227 SFJ393220:SFJ393227 SPF393220:SPF393227 SZB393220:SZB393227 TIX393220:TIX393227 TST393220:TST393227 UCP393220:UCP393227 UML393220:UML393227 UWH393220:UWH393227 VGD393220:VGD393227 VPZ393220:VPZ393227 VZV393220:VZV393227 WJR393220:WJR393227 WTN393220:WTN393227 C458756:C458763 HB458756:HB458763 QX458756:QX458763 AAT458756:AAT458763 AKP458756:AKP458763 AUL458756:AUL458763 BEH458756:BEH458763 BOD458756:BOD458763 BXZ458756:BXZ458763 CHV458756:CHV458763 CRR458756:CRR458763 DBN458756:DBN458763 DLJ458756:DLJ458763 DVF458756:DVF458763 EFB458756:EFB458763 EOX458756:EOX458763 EYT458756:EYT458763 FIP458756:FIP458763 FSL458756:FSL458763 GCH458756:GCH458763 GMD458756:GMD458763 GVZ458756:GVZ458763 HFV458756:HFV458763 HPR458756:HPR458763 HZN458756:HZN458763 IJJ458756:IJJ458763 ITF458756:ITF458763 JDB458756:JDB458763 JMX458756:JMX458763 JWT458756:JWT458763 KGP458756:KGP458763 KQL458756:KQL458763 LAH458756:LAH458763 LKD458756:LKD458763 LTZ458756:LTZ458763 MDV458756:MDV458763 MNR458756:MNR458763 MXN458756:MXN458763 NHJ458756:NHJ458763 NRF458756:NRF458763 OBB458756:OBB458763 OKX458756:OKX458763 OUT458756:OUT458763 PEP458756:PEP458763 POL458756:POL458763 PYH458756:PYH458763 QID458756:QID458763 QRZ458756:QRZ458763 RBV458756:RBV458763 RLR458756:RLR458763 RVN458756:RVN458763 SFJ458756:SFJ458763 SPF458756:SPF458763 SZB458756:SZB458763 TIX458756:TIX458763 TST458756:TST458763 UCP458756:UCP458763 UML458756:UML458763 UWH458756:UWH458763 VGD458756:VGD458763 VPZ458756:VPZ458763 VZV458756:VZV458763 WJR458756:WJR458763 WTN458756:WTN458763 C524292:C524299 HB524292:HB524299 QX524292:QX524299 AAT524292:AAT524299 AKP524292:AKP524299 AUL524292:AUL524299 BEH524292:BEH524299 BOD524292:BOD524299 BXZ524292:BXZ524299 CHV524292:CHV524299 CRR524292:CRR524299 DBN524292:DBN524299 DLJ524292:DLJ524299 DVF524292:DVF524299 EFB524292:EFB524299 EOX524292:EOX524299 EYT524292:EYT524299 FIP524292:FIP524299 FSL524292:FSL524299 GCH524292:GCH524299 GMD524292:GMD524299 GVZ524292:GVZ524299 HFV524292:HFV524299 HPR524292:HPR524299 HZN524292:HZN524299 IJJ524292:IJJ524299 ITF524292:ITF524299 JDB524292:JDB524299 JMX524292:JMX524299 JWT524292:JWT524299 KGP524292:KGP524299 KQL524292:KQL524299 LAH524292:LAH524299 LKD524292:LKD524299 LTZ524292:LTZ524299 MDV524292:MDV524299 MNR524292:MNR524299 MXN524292:MXN524299 NHJ524292:NHJ524299 NRF524292:NRF524299 OBB524292:OBB524299 OKX524292:OKX524299 OUT524292:OUT524299 PEP524292:PEP524299 POL524292:POL524299 PYH524292:PYH524299 QID524292:QID524299 QRZ524292:QRZ524299 RBV524292:RBV524299 RLR524292:RLR524299 RVN524292:RVN524299 SFJ524292:SFJ524299 SPF524292:SPF524299 SZB524292:SZB524299 TIX524292:TIX524299 TST524292:TST524299 UCP524292:UCP524299 UML524292:UML524299 UWH524292:UWH524299 VGD524292:VGD524299 VPZ524292:VPZ524299 VZV524292:VZV524299 WJR524292:WJR524299 WTN524292:WTN524299 C589828:C589835 HB589828:HB589835 QX589828:QX589835 AAT589828:AAT589835 AKP589828:AKP589835 AUL589828:AUL589835 BEH589828:BEH589835 BOD589828:BOD589835 BXZ589828:BXZ589835 CHV589828:CHV589835 CRR589828:CRR589835 DBN589828:DBN589835 DLJ589828:DLJ589835 DVF589828:DVF589835 EFB589828:EFB589835 EOX589828:EOX589835 EYT589828:EYT589835 FIP589828:FIP589835 FSL589828:FSL589835 GCH589828:GCH589835 GMD589828:GMD589835 GVZ589828:GVZ589835 HFV589828:HFV589835 HPR589828:HPR589835 HZN589828:HZN589835 IJJ589828:IJJ589835 ITF589828:ITF589835 JDB589828:JDB589835 JMX589828:JMX589835 JWT589828:JWT589835 KGP589828:KGP589835 KQL589828:KQL589835 LAH589828:LAH589835 LKD589828:LKD589835 LTZ589828:LTZ589835 MDV589828:MDV589835 MNR589828:MNR589835 MXN589828:MXN589835 NHJ589828:NHJ589835 NRF589828:NRF589835 OBB589828:OBB589835 OKX589828:OKX589835 OUT589828:OUT589835 PEP589828:PEP589835 POL589828:POL589835 PYH589828:PYH589835 QID589828:QID589835 QRZ589828:QRZ589835 RBV589828:RBV589835 RLR589828:RLR589835 RVN589828:RVN589835 SFJ589828:SFJ589835 SPF589828:SPF589835 SZB589828:SZB589835 TIX589828:TIX589835 TST589828:TST589835 UCP589828:UCP589835 UML589828:UML589835 UWH589828:UWH589835 VGD589828:VGD589835 VPZ589828:VPZ589835 VZV589828:VZV589835 WJR589828:WJR589835 WTN589828:WTN589835 C655364:C655371 HB655364:HB655371 QX655364:QX655371 AAT655364:AAT655371 AKP655364:AKP655371 AUL655364:AUL655371 BEH655364:BEH655371 BOD655364:BOD655371 BXZ655364:BXZ655371 CHV655364:CHV655371 CRR655364:CRR655371 DBN655364:DBN655371 DLJ655364:DLJ655371 DVF655364:DVF655371 EFB655364:EFB655371 EOX655364:EOX655371 EYT655364:EYT655371 FIP655364:FIP655371 FSL655364:FSL655371 GCH655364:GCH655371 GMD655364:GMD655371 GVZ655364:GVZ655371 HFV655364:HFV655371 HPR655364:HPR655371 HZN655364:HZN655371 IJJ655364:IJJ655371 ITF655364:ITF655371 JDB655364:JDB655371 JMX655364:JMX655371 JWT655364:JWT655371 KGP655364:KGP655371 KQL655364:KQL655371 LAH655364:LAH655371 LKD655364:LKD655371 LTZ655364:LTZ655371 MDV655364:MDV655371 MNR655364:MNR655371 MXN655364:MXN655371 NHJ655364:NHJ655371 NRF655364:NRF655371 OBB655364:OBB655371 OKX655364:OKX655371 OUT655364:OUT655371 PEP655364:PEP655371 POL655364:POL655371 PYH655364:PYH655371 QID655364:QID655371 QRZ655364:QRZ655371 RBV655364:RBV655371 RLR655364:RLR655371 RVN655364:RVN655371 SFJ655364:SFJ655371 SPF655364:SPF655371 SZB655364:SZB655371 TIX655364:TIX655371 TST655364:TST655371 UCP655364:UCP655371 UML655364:UML655371 UWH655364:UWH655371 VGD655364:VGD655371 VPZ655364:VPZ655371 VZV655364:VZV655371 WJR655364:WJR655371 WTN655364:WTN655371 C720900:C720907 HB720900:HB720907 QX720900:QX720907 AAT720900:AAT720907 AKP720900:AKP720907 AUL720900:AUL720907 BEH720900:BEH720907 BOD720900:BOD720907 BXZ720900:BXZ720907 CHV720900:CHV720907 CRR720900:CRR720907 DBN720900:DBN720907 DLJ720900:DLJ720907 DVF720900:DVF720907 EFB720900:EFB720907 EOX720900:EOX720907 EYT720900:EYT720907 FIP720900:FIP720907 FSL720900:FSL720907 GCH720900:GCH720907 GMD720900:GMD720907 GVZ720900:GVZ720907 HFV720900:HFV720907 HPR720900:HPR720907 HZN720900:HZN720907 IJJ720900:IJJ720907 ITF720900:ITF720907 JDB720900:JDB720907 JMX720900:JMX720907 JWT720900:JWT720907 KGP720900:KGP720907 KQL720900:KQL720907 LAH720900:LAH720907 LKD720900:LKD720907 LTZ720900:LTZ720907 MDV720900:MDV720907 MNR720900:MNR720907 MXN720900:MXN720907 NHJ720900:NHJ720907 NRF720900:NRF720907 OBB720900:OBB720907 OKX720900:OKX720907 OUT720900:OUT720907 PEP720900:PEP720907 POL720900:POL720907 PYH720900:PYH720907 QID720900:QID720907 QRZ720900:QRZ720907 RBV720900:RBV720907 RLR720900:RLR720907 RVN720900:RVN720907 SFJ720900:SFJ720907 SPF720900:SPF720907 SZB720900:SZB720907 TIX720900:TIX720907 TST720900:TST720907 UCP720900:UCP720907 UML720900:UML720907 UWH720900:UWH720907 VGD720900:VGD720907 VPZ720900:VPZ720907 VZV720900:VZV720907 WJR720900:WJR720907 WTN720900:WTN720907 C786436:C786443 HB786436:HB786443 QX786436:QX786443 AAT786436:AAT786443 AKP786436:AKP786443 AUL786436:AUL786443 BEH786436:BEH786443 BOD786436:BOD786443 BXZ786436:BXZ786443 CHV786436:CHV786443 CRR786436:CRR786443 DBN786436:DBN786443 DLJ786436:DLJ786443 DVF786436:DVF786443 EFB786436:EFB786443 EOX786436:EOX786443 EYT786436:EYT786443 FIP786436:FIP786443 FSL786436:FSL786443 GCH786436:GCH786443 GMD786436:GMD786443 GVZ786436:GVZ786443 HFV786436:HFV786443 HPR786436:HPR786443 HZN786436:HZN786443 IJJ786436:IJJ786443 ITF786436:ITF786443 JDB786436:JDB786443 JMX786436:JMX786443 JWT786436:JWT786443 KGP786436:KGP786443 KQL786436:KQL786443 LAH786436:LAH786443 LKD786436:LKD786443 LTZ786436:LTZ786443 MDV786436:MDV786443 MNR786436:MNR786443 MXN786436:MXN786443 NHJ786436:NHJ786443 NRF786436:NRF786443 OBB786436:OBB786443 OKX786436:OKX786443 OUT786436:OUT786443 PEP786436:PEP786443 POL786436:POL786443 PYH786436:PYH786443 QID786436:QID786443 QRZ786436:QRZ786443 RBV786436:RBV786443 RLR786436:RLR786443 RVN786436:RVN786443 SFJ786436:SFJ786443 SPF786436:SPF786443 SZB786436:SZB786443 TIX786436:TIX786443 TST786436:TST786443 UCP786436:UCP786443 UML786436:UML786443 UWH786436:UWH786443 VGD786436:VGD786443 VPZ786436:VPZ786443 VZV786436:VZV786443 WJR786436:WJR786443 WTN786436:WTN786443 C851972:C851979 HB851972:HB851979 QX851972:QX851979 AAT851972:AAT851979 AKP851972:AKP851979 AUL851972:AUL851979 BEH851972:BEH851979 BOD851972:BOD851979 BXZ851972:BXZ851979 CHV851972:CHV851979 CRR851972:CRR851979 DBN851972:DBN851979 DLJ851972:DLJ851979 DVF851972:DVF851979 EFB851972:EFB851979 EOX851972:EOX851979 EYT851972:EYT851979 FIP851972:FIP851979 FSL851972:FSL851979 GCH851972:GCH851979 GMD851972:GMD851979 GVZ851972:GVZ851979 HFV851972:HFV851979 HPR851972:HPR851979 HZN851972:HZN851979 IJJ851972:IJJ851979 ITF851972:ITF851979 JDB851972:JDB851979 JMX851972:JMX851979 JWT851972:JWT851979 KGP851972:KGP851979 KQL851972:KQL851979 LAH851972:LAH851979 LKD851972:LKD851979 LTZ851972:LTZ851979 MDV851972:MDV851979 MNR851972:MNR851979 MXN851972:MXN851979 NHJ851972:NHJ851979 NRF851972:NRF851979 OBB851972:OBB851979 OKX851972:OKX851979 OUT851972:OUT851979 PEP851972:PEP851979 POL851972:POL851979 PYH851972:PYH851979 QID851972:QID851979 QRZ851972:QRZ851979 RBV851972:RBV851979 RLR851972:RLR851979 RVN851972:RVN851979 SFJ851972:SFJ851979 SPF851972:SPF851979 SZB851972:SZB851979 TIX851972:TIX851979 TST851972:TST851979 UCP851972:UCP851979 UML851972:UML851979 UWH851972:UWH851979 VGD851972:VGD851979 VPZ851972:VPZ851979 VZV851972:VZV851979 WJR851972:WJR851979 WTN851972:WTN851979 C917508:C917515 HB917508:HB917515 QX917508:QX917515 AAT917508:AAT917515 AKP917508:AKP917515 AUL917508:AUL917515 BEH917508:BEH917515 BOD917508:BOD917515 BXZ917508:BXZ917515 CHV917508:CHV917515 CRR917508:CRR917515 DBN917508:DBN917515 DLJ917508:DLJ917515 DVF917508:DVF917515 EFB917508:EFB917515 EOX917508:EOX917515 EYT917508:EYT917515 FIP917508:FIP917515 FSL917508:FSL917515 GCH917508:GCH917515 GMD917508:GMD917515 GVZ917508:GVZ917515 HFV917508:HFV917515 HPR917508:HPR917515 HZN917508:HZN917515 IJJ917508:IJJ917515 ITF917508:ITF917515 JDB917508:JDB917515 JMX917508:JMX917515 JWT917508:JWT917515 KGP917508:KGP917515 KQL917508:KQL917515 LAH917508:LAH917515 LKD917508:LKD917515 LTZ917508:LTZ917515 MDV917508:MDV917515 MNR917508:MNR917515 MXN917508:MXN917515 NHJ917508:NHJ917515 NRF917508:NRF917515 OBB917508:OBB917515 OKX917508:OKX917515 OUT917508:OUT917515 PEP917508:PEP917515 POL917508:POL917515 PYH917508:PYH917515 QID917508:QID917515 QRZ917508:QRZ917515 RBV917508:RBV917515 RLR917508:RLR917515 RVN917508:RVN917515 SFJ917508:SFJ917515 SPF917508:SPF917515 SZB917508:SZB917515 TIX917508:TIX917515 TST917508:TST917515 UCP917508:UCP917515 UML917508:UML917515 UWH917508:UWH917515 VGD917508:VGD917515 VPZ917508:VPZ917515 VZV917508:VZV917515 WJR917508:WJR917515 WTN917508:WTN917515 C983044:C983051 HB983044:HB983051 QX983044:QX983051 AAT983044:AAT983051 AKP983044:AKP983051 AUL983044:AUL983051 BEH983044:BEH983051 BOD983044:BOD983051 BXZ983044:BXZ983051 CHV983044:CHV983051 CRR983044:CRR983051 DBN983044:DBN983051 DLJ983044:DLJ983051 DVF983044:DVF983051 EFB983044:EFB983051 EOX983044:EOX983051 EYT983044:EYT983051 FIP983044:FIP983051 FSL983044:FSL983051 GCH983044:GCH983051 GMD983044:GMD983051 GVZ983044:GVZ983051 HFV983044:HFV983051 HPR983044:HPR983051 HZN983044:HZN983051 IJJ983044:IJJ983051 ITF983044:ITF983051 JDB983044:JDB983051 JMX983044:JMX983051 JWT983044:JWT983051 KGP983044:KGP983051 KQL983044:KQL983051 LAH983044:LAH983051 LKD983044:LKD983051 LTZ983044:LTZ983051 MDV983044:MDV983051 MNR983044:MNR983051 MXN983044:MXN983051 NHJ983044:NHJ983051 NRF983044:NRF983051 OBB983044:OBB983051 OKX983044:OKX983051 OUT983044:OUT983051 PEP983044:PEP983051 POL983044:POL983051 PYH983044:PYH983051 QID983044:QID983051 QRZ983044:QRZ983051 RBV983044:RBV983051 RLR983044:RLR983051 RVN983044:RVN983051 SFJ983044:SFJ983051 SPF983044:SPF983051 SZB983044:SZB983051 TIX983044:TIX983051 TST983044:TST983051 UCP983044:UCP983051 UML983044:UML983051 UWH983044:UWH983051 VGD983044:VGD983051 VPZ983044:VPZ983051 VZV983044:VZV983051 WJR983044:WJR983051 WTN983044:WTN983051 WTN983035:WTN983042 C65531:C65538 HB65531:HB65538 QX65531:QX65538 AAT65531:AAT65538 AKP65531:AKP65538 AUL65531:AUL65538 BEH65531:BEH65538 BOD65531:BOD65538 BXZ65531:BXZ65538 CHV65531:CHV65538 CRR65531:CRR65538 DBN65531:DBN65538 DLJ65531:DLJ65538 DVF65531:DVF65538 EFB65531:EFB65538 EOX65531:EOX65538 EYT65531:EYT65538 FIP65531:FIP65538 FSL65531:FSL65538 GCH65531:GCH65538 GMD65531:GMD65538 GVZ65531:GVZ65538 HFV65531:HFV65538 HPR65531:HPR65538 HZN65531:HZN65538 IJJ65531:IJJ65538 ITF65531:ITF65538 JDB65531:JDB65538 JMX65531:JMX65538 JWT65531:JWT65538 KGP65531:KGP65538 KQL65531:KQL65538 LAH65531:LAH65538 LKD65531:LKD65538 LTZ65531:LTZ65538 MDV65531:MDV65538 MNR65531:MNR65538 MXN65531:MXN65538 NHJ65531:NHJ65538 NRF65531:NRF65538 OBB65531:OBB65538 OKX65531:OKX65538 OUT65531:OUT65538 PEP65531:PEP65538 POL65531:POL65538 PYH65531:PYH65538 QID65531:QID65538 QRZ65531:QRZ65538 RBV65531:RBV65538 RLR65531:RLR65538 RVN65531:RVN65538 SFJ65531:SFJ65538 SPF65531:SPF65538 SZB65531:SZB65538 TIX65531:TIX65538 TST65531:TST65538 UCP65531:UCP65538 UML65531:UML65538 UWH65531:UWH65538 VGD65531:VGD65538 VPZ65531:VPZ65538 VZV65531:VZV65538 WJR65531:WJR65538 WTN65531:WTN65538 C131067:C131074 HB131067:HB131074 QX131067:QX131074 AAT131067:AAT131074 AKP131067:AKP131074 AUL131067:AUL131074 BEH131067:BEH131074 BOD131067:BOD131074 BXZ131067:BXZ131074 CHV131067:CHV131074 CRR131067:CRR131074 DBN131067:DBN131074 DLJ131067:DLJ131074 DVF131067:DVF131074 EFB131067:EFB131074 EOX131067:EOX131074 EYT131067:EYT131074 FIP131067:FIP131074 FSL131067:FSL131074 GCH131067:GCH131074 GMD131067:GMD131074 GVZ131067:GVZ131074 HFV131067:HFV131074 HPR131067:HPR131074 HZN131067:HZN131074 IJJ131067:IJJ131074 ITF131067:ITF131074 JDB131067:JDB131074 JMX131067:JMX131074 JWT131067:JWT131074 KGP131067:KGP131074 KQL131067:KQL131074 LAH131067:LAH131074 LKD131067:LKD131074 LTZ131067:LTZ131074 MDV131067:MDV131074 MNR131067:MNR131074 MXN131067:MXN131074 NHJ131067:NHJ131074 NRF131067:NRF131074 OBB131067:OBB131074 OKX131067:OKX131074 OUT131067:OUT131074 PEP131067:PEP131074 POL131067:POL131074 PYH131067:PYH131074 QID131067:QID131074 QRZ131067:QRZ131074 RBV131067:RBV131074 RLR131067:RLR131074 RVN131067:RVN131074 SFJ131067:SFJ131074 SPF131067:SPF131074 SZB131067:SZB131074 TIX131067:TIX131074 TST131067:TST131074 UCP131067:UCP131074 UML131067:UML131074 UWH131067:UWH131074 VGD131067:VGD131074 VPZ131067:VPZ131074 VZV131067:VZV131074 WJR131067:WJR131074 WTN131067:WTN131074 C196603:C196610 HB196603:HB196610 QX196603:QX196610 AAT196603:AAT196610 AKP196603:AKP196610 AUL196603:AUL196610 BEH196603:BEH196610 BOD196603:BOD196610 BXZ196603:BXZ196610 CHV196603:CHV196610 CRR196603:CRR196610 DBN196603:DBN196610 DLJ196603:DLJ196610 DVF196603:DVF196610 EFB196603:EFB196610 EOX196603:EOX196610 EYT196603:EYT196610 FIP196603:FIP196610 FSL196603:FSL196610 GCH196603:GCH196610 GMD196603:GMD196610 GVZ196603:GVZ196610 HFV196603:HFV196610 HPR196603:HPR196610 HZN196603:HZN196610 IJJ196603:IJJ196610 ITF196603:ITF196610 JDB196603:JDB196610 JMX196603:JMX196610 JWT196603:JWT196610 KGP196603:KGP196610 KQL196603:KQL196610 LAH196603:LAH196610 LKD196603:LKD196610 LTZ196603:LTZ196610 MDV196603:MDV196610 MNR196603:MNR196610 MXN196603:MXN196610 NHJ196603:NHJ196610 NRF196603:NRF196610 OBB196603:OBB196610 OKX196603:OKX196610 OUT196603:OUT196610 PEP196603:PEP196610 POL196603:POL196610 PYH196603:PYH196610 QID196603:QID196610 QRZ196603:QRZ196610 RBV196603:RBV196610 RLR196603:RLR196610 RVN196603:RVN196610 SFJ196603:SFJ196610 SPF196603:SPF196610 SZB196603:SZB196610 TIX196603:TIX196610 TST196603:TST196610 UCP196603:UCP196610 UML196603:UML196610 UWH196603:UWH196610 VGD196603:VGD196610 VPZ196603:VPZ196610 VZV196603:VZV196610 WJR196603:WJR196610 WTN196603:WTN196610 C262139:C262146 HB262139:HB262146 QX262139:QX262146 AAT262139:AAT262146 AKP262139:AKP262146 AUL262139:AUL262146 BEH262139:BEH262146 BOD262139:BOD262146 BXZ262139:BXZ262146 CHV262139:CHV262146 CRR262139:CRR262146 DBN262139:DBN262146 DLJ262139:DLJ262146 DVF262139:DVF262146 EFB262139:EFB262146 EOX262139:EOX262146 EYT262139:EYT262146 FIP262139:FIP262146 FSL262139:FSL262146 GCH262139:GCH262146 GMD262139:GMD262146 GVZ262139:GVZ262146 HFV262139:HFV262146 HPR262139:HPR262146 HZN262139:HZN262146 IJJ262139:IJJ262146 ITF262139:ITF262146 JDB262139:JDB262146 JMX262139:JMX262146 JWT262139:JWT262146 KGP262139:KGP262146 KQL262139:KQL262146 LAH262139:LAH262146 LKD262139:LKD262146 LTZ262139:LTZ262146 MDV262139:MDV262146 MNR262139:MNR262146 MXN262139:MXN262146 NHJ262139:NHJ262146 NRF262139:NRF262146 OBB262139:OBB262146 OKX262139:OKX262146 OUT262139:OUT262146 PEP262139:PEP262146 POL262139:POL262146 PYH262139:PYH262146 QID262139:QID262146 QRZ262139:QRZ262146 RBV262139:RBV262146 RLR262139:RLR262146 RVN262139:RVN262146 SFJ262139:SFJ262146 SPF262139:SPF262146 SZB262139:SZB262146 TIX262139:TIX262146 TST262139:TST262146 UCP262139:UCP262146 UML262139:UML262146 UWH262139:UWH262146 VGD262139:VGD262146 VPZ262139:VPZ262146 VZV262139:VZV262146 WJR262139:WJR262146 WTN262139:WTN262146 C327675:C327682 HB327675:HB327682 QX327675:QX327682 AAT327675:AAT327682 AKP327675:AKP327682 AUL327675:AUL327682 BEH327675:BEH327682 BOD327675:BOD327682 BXZ327675:BXZ327682 CHV327675:CHV327682 CRR327675:CRR327682 DBN327675:DBN327682 DLJ327675:DLJ327682 DVF327675:DVF327682 EFB327675:EFB327682 EOX327675:EOX327682 EYT327675:EYT327682 FIP327675:FIP327682 FSL327675:FSL327682 GCH327675:GCH327682 GMD327675:GMD327682 GVZ327675:GVZ327682 HFV327675:HFV327682 HPR327675:HPR327682 HZN327675:HZN327682 IJJ327675:IJJ327682 ITF327675:ITF327682 JDB327675:JDB327682 JMX327675:JMX327682 JWT327675:JWT327682 KGP327675:KGP327682 KQL327675:KQL327682 LAH327675:LAH327682 LKD327675:LKD327682 LTZ327675:LTZ327682 MDV327675:MDV327682 MNR327675:MNR327682 MXN327675:MXN327682 NHJ327675:NHJ327682 NRF327675:NRF327682 OBB327675:OBB327682 OKX327675:OKX327682 OUT327675:OUT327682 PEP327675:PEP327682 POL327675:POL327682 PYH327675:PYH327682 QID327675:QID327682 QRZ327675:QRZ327682 RBV327675:RBV327682 RLR327675:RLR327682 RVN327675:RVN327682 SFJ327675:SFJ327682 SPF327675:SPF327682 SZB327675:SZB327682 TIX327675:TIX327682 TST327675:TST327682 UCP327675:UCP327682 UML327675:UML327682 UWH327675:UWH327682 VGD327675:VGD327682 VPZ327675:VPZ327682 VZV327675:VZV327682 WJR327675:WJR327682 WTN327675:WTN327682 C393211:C393218 HB393211:HB393218 QX393211:QX393218 AAT393211:AAT393218 AKP393211:AKP393218 AUL393211:AUL393218 BEH393211:BEH393218 BOD393211:BOD393218 BXZ393211:BXZ393218 CHV393211:CHV393218 CRR393211:CRR393218 DBN393211:DBN393218 DLJ393211:DLJ393218 DVF393211:DVF393218 EFB393211:EFB393218 EOX393211:EOX393218 EYT393211:EYT393218 FIP393211:FIP393218 FSL393211:FSL393218 GCH393211:GCH393218 GMD393211:GMD393218 GVZ393211:GVZ393218 HFV393211:HFV393218 HPR393211:HPR393218 HZN393211:HZN393218 IJJ393211:IJJ393218 ITF393211:ITF393218 JDB393211:JDB393218 JMX393211:JMX393218 JWT393211:JWT393218 KGP393211:KGP393218 KQL393211:KQL393218 LAH393211:LAH393218 LKD393211:LKD393218 LTZ393211:LTZ393218 MDV393211:MDV393218 MNR393211:MNR393218 MXN393211:MXN393218 NHJ393211:NHJ393218 NRF393211:NRF393218 OBB393211:OBB393218 OKX393211:OKX393218 OUT393211:OUT393218 PEP393211:PEP393218 POL393211:POL393218 PYH393211:PYH393218 QID393211:QID393218 QRZ393211:QRZ393218 RBV393211:RBV393218 RLR393211:RLR393218 RVN393211:RVN393218 SFJ393211:SFJ393218 SPF393211:SPF393218 SZB393211:SZB393218 TIX393211:TIX393218 TST393211:TST393218 UCP393211:UCP393218 UML393211:UML393218 UWH393211:UWH393218 VGD393211:VGD393218 VPZ393211:VPZ393218 VZV393211:VZV393218 WJR393211:WJR393218 WTN393211:WTN393218 C458747:C458754 HB458747:HB458754 QX458747:QX458754 AAT458747:AAT458754 AKP458747:AKP458754 AUL458747:AUL458754 BEH458747:BEH458754 BOD458747:BOD458754 BXZ458747:BXZ458754 CHV458747:CHV458754 CRR458747:CRR458754 DBN458747:DBN458754 DLJ458747:DLJ458754 DVF458747:DVF458754 EFB458747:EFB458754 EOX458747:EOX458754 EYT458747:EYT458754 FIP458747:FIP458754 FSL458747:FSL458754 GCH458747:GCH458754 GMD458747:GMD458754 GVZ458747:GVZ458754 HFV458747:HFV458754 HPR458747:HPR458754 HZN458747:HZN458754 IJJ458747:IJJ458754 ITF458747:ITF458754 JDB458747:JDB458754 JMX458747:JMX458754 JWT458747:JWT458754 KGP458747:KGP458754 KQL458747:KQL458754 LAH458747:LAH458754 LKD458747:LKD458754 LTZ458747:LTZ458754 MDV458747:MDV458754 MNR458747:MNR458754 MXN458747:MXN458754 NHJ458747:NHJ458754 NRF458747:NRF458754 OBB458747:OBB458754 OKX458747:OKX458754 OUT458747:OUT458754 PEP458747:PEP458754 POL458747:POL458754 PYH458747:PYH458754 QID458747:QID458754 QRZ458747:QRZ458754 RBV458747:RBV458754 RLR458747:RLR458754 RVN458747:RVN458754 SFJ458747:SFJ458754 SPF458747:SPF458754 SZB458747:SZB458754 TIX458747:TIX458754 TST458747:TST458754 UCP458747:UCP458754 UML458747:UML458754 UWH458747:UWH458754 VGD458747:VGD458754 VPZ458747:VPZ458754 VZV458747:VZV458754 WJR458747:WJR458754 WTN458747:WTN458754 C524283:C524290 HB524283:HB524290 QX524283:QX524290 AAT524283:AAT524290 AKP524283:AKP524290 AUL524283:AUL524290 BEH524283:BEH524290 BOD524283:BOD524290 BXZ524283:BXZ524290 CHV524283:CHV524290 CRR524283:CRR524290 DBN524283:DBN524290 DLJ524283:DLJ524290 DVF524283:DVF524290 EFB524283:EFB524290 EOX524283:EOX524290 EYT524283:EYT524290 FIP524283:FIP524290 FSL524283:FSL524290 GCH524283:GCH524290 GMD524283:GMD524290 GVZ524283:GVZ524290 HFV524283:HFV524290 HPR524283:HPR524290 HZN524283:HZN524290 IJJ524283:IJJ524290 ITF524283:ITF524290 JDB524283:JDB524290 JMX524283:JMX524290 JWT524283:JWT524290 KGP524283:KGP524290 KQL524283:KQL524290 LAH524283:LAH524290 LKD524283:LKD524290 LTZ524283:LTZ524290 MDV524283:MDV524290 MNR524283:MNR524290 MXN524283:MXN524290 NHJ524283:NHJ524290 NRF524283:NRF524290 OBB524283:OBB524290 OKX524283:OKX524290 OUT524283:OUT524290 PEP524283:PEP524290 POL524283:POL524290 PYH524283:PYH524290 QID524283:QID524290 QRZ524283:QRZ524290 RBV524283:RBV524290 RLR524283:RLR524290 RVN524283:RVN524290 SFJ524283:SFJ524290 SPF524283:SPF524290 SZB524283:SZB524290 TIX524283:TIX524290 TST524283:TST524290 UCP524283:UCP524290 UML524283:UML524290 UWH524283:UWH524290 VGD524283:VGD524290 VPZ524283:VPZ524290 VZV524283:VZV524290 WJR524283:WJR524290 WTN524283:WTN524290 C589819:C589826 HB589819:HB589826 QX589819:QX589826 AAT589819:AAT589826 AKP589819:AKP589826 AUL589819:AUL589826 BEH589819:BEH589826 BOD589819:BOD589826 BXZ589819:BXZ589826 CHV589819:CHV589826 CRR589819:CRR589826 DBN589819:DBN589826 DLJ589819:DLJ589826 DVF589819:DVF589826 EFB589819:EFB589826 EOX589819:EOX589826 EYT589819:EYT589826 FIP589819:FIP589826 FSL589819:FSL589826 GCH589819:GCH589826 GMD589819:GMD589826 GVZ589819:GVZ589826 HFV589819:HFV589826 HPR589819:HPR589826 HZN589819:HZN589826 IJJ589819:IJJ589826 ITF589819:ITF589826 JDB589819:JDB589826 JMX589819:JMX589826 JWT589819:JWT589826 KGP589819:KGP589826 KQL589819:KQL589826 LAH589819:LAH589826 LKD589819:LKD589826 LTZ589819:LTZ589826 MDV589819:MDV589826 MNR589819:MNR589826 MXN589819:MXN589826 NHJ589819:NHJ589826 NRF589819:NRF589826 OBB589819:OBB589826 OKX589819:OKX589826 OUT589819:OUT589826 PEP589819:PEP589826 POL589819:POL589826 PYH589819:PYH589826 QID589819:QID589826 QRZ589819:QRZ589826 RBV589819:RBV589826 RLR589819:RLR589826 RVN589819:RVN589826 SFJ589819:SFJ589826 SPF589819:SPF589826 SZB589819:SZB589826 TIX589819:TIX589826 TST589819:TST589826 UCP589819:UCP589826 UML589819:UML589826 UWH589819:UWH589826 VGD589819:VGD589826 VPZ589819:VPZ589826 VZV589819:VZV589826 WJR589819:WJR589826 WTN589819:WTN589826 C655355:C655362 HB655355:HB655362 QX655355:QX655362 AAT655355:AAT655362 AKP655355:AKP655362 AUL655355:AUL655362 BEH655355:BEH655362 BOD655355:BOD655362 BXZ655355:BXZ655362 CHV655355:CHV655362 CRR655355:CRR655362 DBN655355:DBN655362 DLJ655355:DLJ655362 DVF655355:DVF655362 EFB655355:EFB655362 EOX655355:EOX655362 EYT655355:EYT655362 FIP655355:FIP655362 FSL655355:FSL655362 GCH655355:GCH655362 GMD655355:GMD655362 GVZ655355:GVZ655362 HFV655355:HFV655362 HPR655355:HPR655362 HZN655355:HZN655362 IJJ655355:IJJ655362 ITF655355:ITF655362 JDB655355:JDB655362 JMX655355:JMX655362 JWT655355:JWT655362 KGP655355:KGP655362 KQL655355:KQL655362 LAH655355:LAH655362 LKD655355:LKD655362 LTZ655355:LTZ655362 MDV655355:MDV655362 MNR655355:MNR655362 MXN655355:MXN655362 NHJ655355:NHJ655362 NRF655355:NRF655362 OBB655355:OBB655362 OKX655355:OKX655362 OUT655355:OUT655362 PEP655355:PEP655362 POL655355:POL655362 PYH655355:PYH655362 QID655355:QID655362 QRZ655355:QRZ655362 RBV655355:RBV655362 RLR655355:RLR655362 RVN655355:RVN655362 SFJ655355:SFJ655362 SPF655355:SPF655362 SZB655355:SZB655362 TIX655355:TIX655362 TST655355:TST655362 UCP655355:UCP655362 UML655355:UML655362 UWH655355:UWH655362 VGD655355:VGD655362 VPZ655355:VPZ655362 VZV655355:VZV655362 WJR655355:WJR655362 WTN655355:WTN655362 C720891:C720898 HB720891:HB720898 QX720891:QX720898 AAT720891:AAT720898 AKP720891:AKP720898 AUL720891:AUL720898 BEH720891:BEH720898 BOD720891:BOD720898 BXZ720891:BXZ720898 CHV720891:CHV720898 CRR720891:CRR720898 DBN720891:DBN720898 DLJ720891:DLJ720898 DVF720891:DVF720898 EFB720891:EFB720898 EOX720891:EOX720898 EYT720891:EYT720898 FIP720891:FIP720898 FSL720891:FSL720898 GCH720891:GCH720898 GMD720891:GMD720898 GVZ720891:GVZ720898 HFV720891:HFV720898 HPR720891:HPR720898 HZN720891:HZN720898 IJJ720891:IJJ720898 ITF720891:ITF720898 JDB720891:JDB720898 JMX720891:JMX720898 JWT720891:JWT720898 KGP720891:KGP720898 KQL720891:KQL720898 LAH720891:LAH720898 LKD720891:LKD720898 LTZ720891:LTZ720898 MDV720891:MDV720898 MNR720891:MNR720898 MXN720891:MXN720898 NHJ720891:NHJ720898 NRF720891:NRF720898 OBB720891:OBB720898 OKX720891:OKX720898 OUT720891:OUT720898 PEP720891:PEP720898 POL720891:POL720898 PYH720891:PYH720898 QID720891:QID720898 QRZ720891:QRZ720898 RBV720891:RBV720898 RLR720891:RLR720898 RVN720891:RVN720898 SFJ720891:SFJ720898 SPF720891:SPF720898 SZB720891:SZB720898 TIX720891:TIX720898 TST720891:TST720898 UCP720891:UCP720898 UML720891:UML720898 UWH720891:UWH720898 VGD720891:VGD720898 VPZ720891:VPZ720898 VZV720891:VZV720898 WJR720891:WJR720898 WTN720891:WTN720898 C786427:C786434 HB786427:HB786434 QX786427:QX786434 AAT786427:AAT786434 AKP786427:AKP786434 AUL786427:AUL786434 BEH786427:BEH786434 BOD786427:BOD786434 BXZ786427:BXZ786434 CHV786427:CHV786434 CRR786427:CRR786434 DBN786427:DBN786434 DLJ786427:DLJ786434 DVF786427:DVF786434 EFB786427:EFB786434 EOX786427:EOX786434 EYT786427:EYT786434 FIP786427:FIP786434 FSL786427:FSL786434 GCH786427:GCH786434 GMD786427:GMD786434 GVZ786427:GVZ786434 HFV786427:HFV786434 HPR786427:HPR786434 HZN786427:HZN786434 IJJ786427:IJJ786434 ITF786427:ITF786434 JDB786427:JDB786434 JMX786427:JMX786434 JWT786427:JWT786434 KGP786427:KGP786434 KQL786427:KQL786434 LAH786427:LAH786434 LKD786427:LKD786434 LTZ786427:LTZ786434 MDV786427:MDV786434 MNR786427:MNR786434 MXN786427:MXN786434 NHJ786427:NHJ786434 NRF786427:NRF786434 OBB786427:OBB786434 OKX786427:OKX786434 OUT786427:OUT786434 PEP786427:PEP786434 POL786427:POL786434 PYH786427:PYH786434 QID786427:QID786434 QRZ786427:QRZ786434 RBV786427:RBV786434 RLR786427:RLR786434 RVN786427:RVN786434 SFJ786427:SFJ786434 SPF786427:SPF786434 SZB786427:SZB786434 TIX786427:TIX786434 TST786427:TST786434 UCP786427:UCP786434 UML786427:UML786434 UWH786427:UWH786434 VGD786427:VGD786434 VPZ786427:VPZ786434 VZV786427:VZV786434 WJR786427:WJR786434 WTN786427:WTN786434 C851963:C851970 HB851963:HB851970 QX851963:QX851970 AAT851963:AAT851970 AKP851963:AKP851970 AUL851963:AUL851970 BEH851963:BEH851970 BOD851963:BOD851970 BXZ851963:BXZ851970 CHV851963:CHV851970 CRR851963:CRR851970 DBN851963:DBN851970 DLJ851963:DLJ851970 DVF851963:DVF851970 EFB851963:EFB851970 EOX851963:EOX851970 EYT851963:EYT851970 FIP851963:FIP851970 FSL851963:FSL851970 GCH851963:GCH851970 GMD851963:GMD851970 GVZ851963:GVZ851970 HFV851963:HFV851970 HPR851963:HPR851970 HZN851963:HZN851970 IJJ851963:IJJ851970 ITF851963:ITF851970 JDB851963:JDB851970 JMX851963:JMX851970 JWT851963:JWT851970 KGP851963:KGP851970 KQL851963:KQL851970 LAH851963:LAH851970 LKD851963:LKD851970 LTZ851963:LTZ851970 MDV851963:MDV851970 MNR851963:MNR851970 MXN851963:MXN851970 NHJ851963:NHJ851970 NRF851963:NRF851970 OBB851963:OBB851970 OKX851963:OKX851970 OUT851963:OUT851970 PEP851963:PEP851970 POL851963:POL851970 PYH851963:PYH851970 QID851963:QID851970 QRZ851963:QRZ851970 RBV851963:RBV851970 RLR851963:RLR851970 RVN851963:RVN851970 SFJ851963:SFJ851970 SPF851963:SPF851970 SZB851963:SZB851970 TIX851963:TIX851970 TST851963:TST851970 UCP851963:UCP851970 UML851963:UML851970 UWH851963:UWH851970 VGD851963:VGD851970 VPZ851963:VPZ851970 VZV851963:VZV851970 WJR851963:WJR851970 WTN851963:WTN851970 C917499:C917506 HB917499:HB917506 QX917499:QX917506 AAT917499:AAT917506 AKP917499:AKP917506 AUL917499:AUL917506 BEH917499:BEH917506 BOD917499:BOD917506 BXZ917499:BXZ917506 CHV917499:CHV917506 CRR917499:CRR917506 DBN917499:DBN917506 DLJ917499:DLJ917506 DVF917499:DVF917506 EFB917499:EFB917506 EOX917499:EOX917506 EYT917499:EYT917506 FIP917499:FIP917506 FSL917499:FSL917506 GCH917499:GCH917506 GMD917499:GMD917506 GVZ917499:GVZ917506 HFV917499:HFV917506 HPR917499:HPR917506 HZN917499:HZN917506 IJJ917499:IJJ917506 ITF917499:ITF917506 JDB917499:JDB917506 JMX917499:JMX917506 JWT917499:JWT917506 KGP917499:KGP917506 KQL917499:KQL917506 LAH917499:LAH917506 LKD917499:LKD917506 LTZ917499:LTZ917506 MDV917499:MDV917506 MNR917499:MNR917506 MXN917499:MXN917506 NHJ917499:NHJ917506 NRF917499:NRF917506 OBB917499:OBB917506 OKX917499:OKX917506 OUT917499:OUT917506 PEP917499:PEP917506 POL917499:POL917506 PYH917499:PYH917506 QID917499:QID917506 QRZ917499:QRZ917506 RBV917499:RBV917506 RLR917499:RLR917506 RVN917499:RVN917506 SFJ917499:SFJ917506 SPF917499:SPF917506 SZB917499:SZB917506 TIX917499:TIX917506 TST917499:TST917506 UCP917499:UCP917506 UML917499:UML917506 UWH917499:UWH917506 VGD917499:VGD917506 VPZ917499:VPZ917506 VZV917499:VZV917506 WJR917499:WJR917506 WTN917499:WTN917506 C983035:C983042 HB983035:HB983042 QX983035:QX983042 AAT983035:AAT983042 AKP983035:AKP983042 AUL983035:AUL983042 BEH983035:BEH983042 BOD983035:BOD983042 BXZ983035:BXZ983042 CHV983035:CHV983042 CRR983035:CRR983042 DBN983035:DBN983042 DLJ983035:DLJ983042 DVF983035:DVF983042 EFB983035:EFB983042 EOX983035:EOX983042 EYT983035:EYT983042 FIP983035:FIP983042 FSL983035:FSL983042 GCH983035:GCH983042 GMD983035:GMD983042 GVZ983035:GVZ983042 HFV983035:HFV983042 HPR983035:HPR983042 HZN983035:HZN983042 IJJ983035:IJJ983042 ITF983035:ITF983042 JDB983035:JDB983042 JMX983035:JMX983042 JWT983035:JWT983042 KGP983035:KGP983042 KQL983035:KQL983042 LAH983035:LAH983042 LKD983035:LKD983042 LTZ983035:LTZ983042 MDV983035:MDV983042 MNR983035:MNR983042 MXN983035:MXN983042 NHJ983035:NHJ983042 NRF983035:NRF983042 OBB983035:OBB983042 OKX983035:OKX983042 OUT983035:OUT983042 PEP983035:PEP983042 POL983035:POL983042 PYH983035:PYH983042 QID983035:QID983042 QRZ983035:QRZ983042 RBV983035:RBV983042 RLR983035:RLR983042 RVN983035:RVN983042 SFJ983035:SFJ983042 SPF983035:SPF983042 SZB983035:SZB983042 TIX983035:TIX983042 TST983035:TST983042 UCP983035:UCP983042 UML983035:UML983042 UWH983035:UWH983042 VGD983035:VGD983042 VPZ983035:VPZ983042 VZV983035:VZV983042 WJR983035:WJR983042 C16:C24 HB16:HB25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">
      <formula1>$A$3:$A$23</formula1>
    </dataValidation>
  </dataValidations>
  <printOptions horizontalCentered="1" verticalCentered="1"/>
  <pageMargins left="0" right="0" top="0.19685039370078741" bottom="0" header="0" footer="0"/>
  <pageSetup paperSize="9" scale="49" orientation="landscape" blackAndWhite="1" verticalDpi="300" r:id="rId1"/>
  <headerFooter alignWithMargins="0"/>
  <colBreaks count="1" manualBreakCount="1">
    <brk id="31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3333FF"/>
    <pageSetUpPr fitToPage="1"/>
  </sheetPr>
  <dimension ref="A1:AM51"/>
  <sheetViews>
    <sheetView showGridLines="0" topLeftCell="A37" zoomScale="77" zoomScaleNormal="77" workbookViewId="0">
      <selection activeCell="G33" sqref="G33"/>
    </sheetView>
  </sheetViews>
  <sheetFormatPr defaultColWidth="11" defaultRowHeight="24.5"/>
  <cols>
    <col min="1" max="1" width="4.58203125" style="17" customWidth="1"/>
    <col min="2" max="2" width="14.33203125" style="9" customWidth="1"/>
    <col min="3" max="3" width="29.08203125" style="9" customWidth="1"/>
    <col min="4" max="4" width="13.5" style="9" customWidth="1"/>
    <col min="5" max="5" width="8.25" style="9" customWidth="1"/>
    <col min="6" max="6" width="10.33203125" style="9" customWidth="1"/>
    <col min="7" max="7" width="13.25" style="9" customWidth="1"/>
    <col min="8" max="8" width="8.83203125" style="9" customWidth="1"/>
    <col min="9" max="9" width="5.75" style="9" customWidth="1"/>
    <col min="10" max="10" width="4.5" style="9" customWidth="1"/>
    <col min="11" max="11" width="5.58203125" style="9" customWidth="1"/>
    <col min="12" max="12" width="5.25" style="9" customWidth="1"/>
    <col min="13" max="13" width="6.25" style="9" customWidth="1"/>
    <col min="14" max="21" width="4.5" style="9" customWidth="1"/>
    <col min="22" max="22" width="5.58203125" style="9" customWidth="1"/>
    <col min="23" max="32" width="4.5" style="13" customWidth="1"/>
    <col min="33" max="35" width="4.5" style="17" customWidth="1"/>
    <col min="36" max="36" width="14.33203125" style="17" customWidth="1"/>
    <col min="37" max="38" width="4.5" style="17" customWidth="1"/>
    <col min="39" max="39" width="6.25" style="17" customWidth="1"/>
    <col min="40" max="207" width="11" style="17"/>
    <col min="208" max="208" width="4.58203125" style="17" customWidth="1"/>
    <col min="209" max="209" width="10.25" style="17" customWidth="1"/>
    <col min="210" max="210" width="14.58203125" style="17" customWidth="1"/>
    <col min="211" max="211" width="13.5" style="17" customWidth="1"/>
    <col min="212" max="212" width="8.25" style="17" customWidth="1"/>
    <col min="213" max="213" width="10.33203125" style="17" customWidth="1"/>
    <col min="214" max="214" width="8.5" style="17" customWidth="1"/>
    <col min="215" max="215" width="8.83203125" style="17" customWidth="1"/>
    <col min="216" max="246" width="4.5" style="17" customWidth="1"/>
    <col min="247" max="463" width="11" style="17"/>
    <col min="464" max="464" width="4.58203125" style="17" customWidth="1"/>
    <col min="465" max="465" width="10.25" style="17" customWidth="1"/>
    <col min="466" max="466" width="14.58203125" style="17" customWidth="1"/>
    <col min="467" max="467" width="13.5" style="17" customWidth="1"/>
    <col min="468" max="468" width="8.25" style="17" customWidth="1"/>
    <col min="469" max="469" width="10.33203125" style="17" customWidth="1"/>
    <col min="470" max="470" width="8.5" style="17" customWidth="1"/>
    <col min="471" max="471" width="8.83203125" style="17" customWidth="1"/>
    <col min="472" max="502" width="4.5" style="17" customWidth="1"/>
    <col min="503" max="719" width="11" style="17"/>
    <col min="720" max="720" width="4.58203125" style="17" customWidth="1"/>
    <col min="721" max="721" width="10.25" style="17" customWidth="1"/>
    <col min="722" max="722" width="14.58203125" style="17" customWidth="1"/>
    <col min="723" max="723" width="13.5" style="17" customWidth="1"/>
    <col min="724" max="724" width="8.25" style="17" customWidth="1"/>
    <col min="725" max="725" width="10.33203125" style="17" customWidth="1"/>
    <col min="726" max="726" width="8.5" style="17" customWidth="1"/>
    <col min="727" max="727" width="8.83203125" style="17" customWidth="1"/>
    <col min="728" max="758" width="4.5" style="17" customWidth="1"/>
    <col min="759" max="975" width="11" style="17"/>
    <col min="976" max="976" width="4.58203125" style="17" customWidth="1"/>
    <col min="977" max="977" width="10.25" style="17" customWidth="1"/>
    <col min="978" max="978" width="14.58203125" style="17" customWidth="1"/>
    <col min="979" max="979" width="13.5" style="17" customWidth="1"/>
    <col min="980" max="980" width="8.25" style="17" customWidth="1"/>
    <col min="981" max="981" width="10.33203125" style="17" customWidth="1"/>
    <col min="982" max="982" width="8.5" style="17" customWidth="1"/>
    <col min="983" max="983" width="8.83203125" style="17" customWidth="1"/>
    <col min="984" max="1014" width="4.5" style="17" customWidth="1"/>
    <col min="1015" max="1231" width="11" style="17"/>
    <col min="1232" max="1232" width="4.58203125" style="17" customWidth="1"/>
    <col min="1233" max="1233" width="10.25" style="17" customWidth="1"/>
    <col min="1234" max="1234" width="14.58203125" style="17" customWidth="1"/>
    <col min="1235" max="1235" width="13.5" style="17" customWidth="1"/>
    <col min="1236" max="1236" width="8.25" style="17" customWidth="1"/>
    <col min="1237" max="1237" width="10.33203125" style="17" customWidth="1"/>
    <col min="1238" max="1238" width="8.5" style="17" customWidth="1"/>
    <col min="1239" max="1239" width="8.83203125" style="17" customWidth="1"/>
    <col min="1240" max="1270" width="4.5" style="17" customWidth="1"/>
    <col min="1271" max="1487" width="11" style="17"/>
    <col min="1488" max="1488" width="4.58203125" style="17" customWidth="1"/>
    <col min="1489" max="1489" width="10.25" style="17" customWidth="1"/>
    <col min="1490" max="1490" width="14.58203125" style="17" customWidth="1"/>
    <col min="1491" max="1491" width="13.5" style="17" customWidth="1"/>
    <col min="1492" max="1492" width="8.25" style="17" customWidth="1"/>
    <col min="1493" max="1493" width="10.33203125" style="17" customWidth="1"/>
    <col min="1494" max="1494" width="8.5" style="17" customWidth="1"/>
    <col min="1495" max="1495" width="8.83203125" style="17" customWidth="1"/>
    <col min="1496" max="1526" width="4.5" style="17" customWidth="1"/>
    <col min="1527" max="1743" width="11" style="17"/>
    <col min="1744" max="1744" width="4.58203125" style="17" customWidth="1"/>
    <col min="1745" max="1745" width="10.25" style="17" customWidth="1"/>
    <col min="1746" max="1746" width="14.58203125" style="17" customWidth="1"/>
    <col min="1747" max="1747" width="13.5" style="17" customWidth="1"/>
    <col min="1748" max="1748" width="8.25" style="17" customWidth="1"/>
    <col min="1749" max="1749" width="10.33203125" style="17" customWidth="1"/>
    <col min="1750" max="1750" width="8.5" style="17" customWidth="1"/>
    <col min="1751" max="1751" width="8.83203125" style="17" customWidth="1"/>
    <col min="1752" max="1782" width="4.5" style="17" customWidth="1"/>
    <col min="1783" max="1999" width="11" style="17"/>
    <col min="2000" max="2000" width="4.58203125" style="17" customWidth="1"/>
    <col min="2001" max="2001" width="10.25" style="17" customWidth="1"/>
    <col min="2002" max="2002" width="14.58203125" style="17" customWidth="1"/>
    <col min="2003" max="2003" width="13.5" style="17" customWidth="1"/>
    <col min="2004" max="2004" width="8.25" style="17" customWidth="1"/>
    <col min="2005" max="2005" width="10.33203125" style="17" customWidth="1"/>
    <col min="2006" max="2006" width="8.5" style="17" customWidth="1"/>
    <col min="2007" max="2007" width="8.83203125" style="17" customWidth="1"/>
    <col min="2008" max="2038" width="4.5" style="17" customWidth="1"/>
    <col min="2039" max="2255" width="11" style="17"/>
    <col min="2256" max="2256" width="4.58203125" style="17" customWidth="1"/>
    <col min="2257" max="2257" width="10.25" style="17" customWidth="1"/>
    <col min="2258" max="2258" width="14.58203125" style="17" customWidth="1"/>
    <col min="2259" max="2259" width="13.5" style="17" customWidth="1"/>
    <col min="2260" max="2260" width="8.25" style="17" customWidth="1"/>
    <col min="2261" max="2261" width="10.33203125" style="17" customWidth="1"/>
    <col min="2262" max="2262" width="8.5" style="17" customWidth="1"/>
    <col min="2263" max="2263" width="8.83203125" style="17" customWidth="1"/>
    <col min="2264" max="2294" width="4.5" style="17" customWidth="1"/>
    <col min="2295" max="2511" width="11" style="17"/>
    <col min="2512" max="2512" width="4.58203125" style="17" customWidth="1"/>
    <col min="2513" max="2513" width="10.25" style="17" customWidth="1"/>
    <col min="2514" max="2514" width="14.58203125" style="17" customWidth="1"/>
    <col min="2515" max="2515" width="13.5" style="17" customWidth="1"/>
    <col min="2516" max="2516" width="8.25" style="17" customWidth="1"/>
    <col min="2517" max="2517" width="10.33203125" style="17" customWidth="1"/>
    <col min="2518" max="2518" width="8.5" style="17" customWidth="1"/>
    <col min="2519" max="2519" width="8.83203125" style="17" customWidth="1"/>
    <col min="2520" max="2550" width="4.5" style="17" customWidth="1"/>
    <col min="2551" max="2767" width="11" style="17"/>
    <col min="2768" max="2768" width="4.58203125" style="17" customWidth="1"/>
    <col min="2769" max="2769" width="10.25" style="17" customWidth="1"/>
    <col min="2770" max="2770" width="14.58203125" style="17" customWidth="1"/>
    <col min="2771" max="2771" width="13.5" style="17" customWidth="1"/>
    <col min="2772" max="2772" width="8.25" style="17" customWidth="1"/>
    <col min="2773" max="2773" width="10.33203125" style="17" customWidth="1"/>
    <col min="2774" max="2774" width="8.5" style="17" customWidth="1"/>
    <col min="2775" max="2775" width="8.83203125" style="17" customWidth="1"/>
    <col min="2776" max="2806" width="4.5" style="17" customWidth="1"/>
    <col min="2807" max="3023" width="11" style="17"/>
    <col min="3024" max="3024" width="4.58203125" style="17" customWidth="1"/>
    <col min="3025" max="3025" width="10.25" style="17" customWidth="1"/>
    <col min="3026" max="3026" width="14.58203125" style="17" customWidth="1"/>
    <col min="3027" max="3027" width="13.5" style="17" customWidth="1"/>
    <col min="3028" max="3028" width="8.25" style="17" customWidth="1"/>
    <col min="3029" max="3029" width="10.33203125" style="17" customWidth="1"/>
    <col min="3030" max="3030" width="8.5" style="17" customWidth="1"/>
    <col min="3031" max="3031" width="8.83203125" style="17" customWidth="1"/>
    <col min="3032" max="3062" width="4.5" style="17" customWidth="1"/>
    <col min="3063" max="3279" width="11" style="17"/>
    <col min="3280" max="3280" width="4.58203125" style="17" customWidth="1"/>
    <col min="3281" max="3281" width="10.25" style="17" customWidth="1"/>
    <col min="3282" max="3282" width="14.58203125" style="17" customWidth="1"/>
    <col min="3283" max="3283" width="13.5" style="17" customWidth="1"/>
    <col min="3284" max="3284" width="8.25" style="17" customWidth="1"/>
    <col min="3285" max="3285" width="10.33203125" style="17" customWidth="1"/>
    <col min="3286" max="3286" width="8.5" style="17" customWidth="1"/>
    <col min="3287" max="3287" width="8.83203125" style="17" customWidth="1"/>
    <col min="3288" max="3318" width="4.5" style="17" customWidth="1"/>
    <col min="3319" max="3535" width="11" style="17"/>
    <col min="3536" max="3536" width="4.58203125" style="17" customWidth="1"/>
    <col min="3537" max="3537" width="10.25" style="17" customWidth="1"/>
    <col min="3538" max="3538" width="14.58203125" style="17" customWidth="1"/>
    <col min="3539" max="3539" width="13.5" style="17" customWidth="1"/>
    <col min="3540" max="3540" width="8.25" style="17" customWidth="1"/>
    <col min="3541" max="3541" width="10.33203125" style="17" customWidth="1"/>
    <col min="3542" max="3542" width="8.5" style="17" customWidth="1"/>
    <col min="3543" max="3543" width="8.83203125" style="17" customWidth="1"/>
    <col min="3544" max="3574" width="4.5" style="17" customWidth="1"/>
    <col min="3575" max="3791" width="11" style="17"/>
    <col min="3792" max="3792" width="4.58203125" style="17" customWidth="1"/>
    <col min="3793" max="3793" width="10.25" style="17" customWidth="1"/>
    <col min="3794" max="3794" width="14.58203125" style="17" customWidth="1"/>
    <col min="3795" max="3795" width="13.5" style="17" customWidth="1"/>
    <col min="3796" max="3796" width="8.25" style="17" customWidth="1"/>
    <col min="3797" max="3797" width="10.33203125" style="17" customWidth="1"/>
    <col min="3798" max="3798" width="8.5" style="17" customWidth="1"/>
    <col min="3799" max="3799" width="8.83203125" style="17" customWidth="1"/>
    <col min="3800" max="3830" width="4.5" style="17" customWidth="1"/>
    <col min="3831" max="4047" width="11" style="17"/>
    <col min="4048" max="4048" width="4.58203125" style="17" customWidth="1"/>
    <col min="4049" max="4049" width="10.25" style="17" customWidth="1"/>
    <col min="4050" max="4050" width="14.58203125" style="17" customWidth="1"/>
    <col min="4051" max="4051" width="13.5" style="17" customWidth="1"/>
    <col min="4052" max="4052" width="8.25" style="17" customWidth="1"/>
    <col min="4053" max="4053" width="10.33203125" style="17" customWidth="1"/>
    <col min="4054" max="4054" width="8.5" style="17" customWidth="1"/>
    <col min="4055" max="4055" width="8.83203125" style="17" customWidth="1"/>
    <col min="4056" max="4086" width="4.5" style="17" customWidth="1"/>
    <col min="4087" max="4303" width="11" style="17"/>
    <col min="4304" max="4304" width="4.58203125" style="17" customWidth="1"/>
    <col min="4305" max="4305" width="10.25" style="17" customWidth="1"/>
    <col min="4306" max="4306" width="14.58203125" style="17" customWidth="1"/>
    <col min="4307" max="4307" width="13.5" style="17" customWidth="1"/>
    <col min="4308" max="4308" width="8.25" style="17" customWidth="1"/>
    <col min="4309" max="4309" width="10.33203125" style="17" customWidth="1"/>
    <col min="4310" max="4310" width="8.5" style="17" customWidth="1"/>
    <col min="4311" max="4311" width="8.83203125" style="17" customWidth="1"/>
    <col min="4312" max="4342" width="4.5" style="17" customWidth="1"/>
    <col min="4343" max="4559" width="11" style="17"/>
    <col min="4560" max="4560" width="4.58203125" style="17" customWidth="1"/>
    <col min="4561" max="4561" width="10.25" style="17" customWidth="1"/>
    <col min="4562" max="4562" width="14.58203125" style="17" customWidth="1"/>
    <col min="4563" max="4563" width="13.5" style="17" customWidth="1"/>
    <col min="4564" max="4564" width="8.25" style="17" customWidth="1"/>
    <col min="4565" max="4565" width="10.33203125" style="17" customWidth="1"/>
    <col min="4566" max="4566" width="8.5" style="17" customWidth="1"/>
    <col min="4567" max="4567" width="8.83203125" style="17" customWidth="1"/>
    <col min="4568" max="4598" width="4.5" style="17" customWidth="1"/>
    <col min="4599" max="4815" width="11" style="17"/>
    <col min="4816" max="4816" width="4.58203125" style="17" customWidth="1"/>
    <col min="4817" max="4817" width="10.25" style="17" customWidth="1"/>
    <col min="4818" max="4818" width="14.58203125" style="17" customWidth="1"/>
    <col min="4819" max="4819" width="13.5" style="17" customWidth="1"/>
    <col min="4820" max="4820" width="8.25" style="17" customWidth="1"/>
    <col min="4821" max="4821" width="10.33203125" style="17" customWidth="1"/>
    <col min="4822" max="4822" width="8.5" style="17" customWidth="1"/>
    <col min="4823" max="4823" width="8.83203125" style="17" customWidth="1"/>
    <col min="4824" max="4854" width="4.5" style="17" customWidth="1"/>
    <col min="4855" max="5071" width="11" style="17"/>
    <col min="5072" max="5072" width="4.58203125" style="17" customWidth="1"/>
    <col min="5073" max="5073" width="10.25" style="17" customWidth="1"/>
    <col min="5074" max="5074" width="14.58203125" style="17" customWidth="1"/>
    <col min="5075" max="5075" width="13.5" style="17" customWidth="1"/>
    <col min="5076" max="5076" width="8.25" style="17" customWidth="1"/>
    <col min="5077" max="5077" width="10.33203125" style="17" customWidth="1"/>
    <col min="5078" max="5078" width="8.5" style="17" customWidth="1"/>
    <col min="5079" max="5079" width="8.83203125" style="17" customWidth="1"/>
    <col min="5080" max="5110" width="4.5" style="17" customWidth="1"/>
    <col min="5111" max="5327" width="11" style="17"/>
    <col min="5328" max="5328" width="4.58203125" style="17" customWidth="1"/>
    <col min="5329" max="5329" width="10.25" style="17" customWidth="1"/>
    <col min="5330" max="5330" width="14.58203125" style="17" customWidth="1"/>
    <col min="5331" max="5331" width="13.5" style="17" customWidth="1"/>
    <col min="5332" max="5332" width="8.25" style="17" customWidth="1"/>
    <col min="5333" max="5333" width="10.33203125" style="17" customWidth="1"/>
    <col min="5334" max="5334" width="8.5" style="17" customWidth="1"/>
    <col min="5335" max="5335" width="8.83203125" style="17" customWidth="1"/>
    <col min="5336" max="5366" width="4.5" style="17" customWidth="1"/>
    <col min="5367" max="5583" width="11" style="17"/>
    <col min="5584" max="5584" width="4.58203125" style="17" customWidth="1"/>
    <col min="5585" max="5585" width="10.25" style="17" customWidth="1"/>
    <col min="5586" max="5586" width="14.58203125" style="17" customWidth="1"/>
    <col min="5587" max="5587" width="13.5" style="17" customWidth="1"/>
    <col min="5588" max="5588" width="8.25" style="17" customWidth="1"/>
    <col min="5589" max="5589" width="10.33203125" style="17" customWidth="1"/>
    <col min="5590" max="5590" width="8.5" style="17" customWidth="1"/>
    <col min="5591" max="5591" width="8.83203125" style="17" customWidth="1"/>
    <col min="5592" max="5622" width="4.5" style="17" customWidth="1"/>
    <col min="5623" max="5839" width="11" style="17"/>
    <col min="5840" max="5840" width="4.58203125" style="17" customWidth="1"/>
    <col min="5841" max="5841" width="10.25" style="17" customWidth="1"/>
    <col min="5842" max="5842" width="14.58203125" style="17" customWidth="1"/>
    <col min="5843" max="5843" width="13.5" style="17" customWidth="1"/>
    <col min="5844" max="5844" width="8.25" style="17" customWidth="1"/>
    <col min="5845" max="5845" width="10.33203125" style="17" customWidth="1"/>
    <col min="5846" max="5846" width="8.5" style="17" customWidth="1"/>
    <col min="5847" max="5847" width="8.83203125" style="17" customWidth="1"/>
    <col min="5848" max="5878" width="4.5" style="17" customWidth="1"/>
    <col min="5879" max="6095" width="11" style="17"/>
    <col min="6096" max="6096" width="4.58203125" style="17" customWidth="1"/>
    <col min="6097" max="6097" width="10.25" style="17" customWidth="1"/>
    <col min="6098" max="6098" width="14.58203125" style="17" customWidth="1"/>
    <col min="6099" max="6099" width="13.5" style="17" customWidth="1"/>
    <col min="6100" max="6100" width="8.25" style="17" customWidth="1"/>
    <col min="6101" max="6101" width="10.33203125" style="17" customWidth="1"/>
    <col min="6102" max="6102" width="8.5" style="17" customWidth="1"/>
    <col min="6103" max="6103" width="8.83203125" style="17" customWidth="1"/>
    <col min="6104" max="6134" width="4.5" style="17" customWidth="1"/>
    <col min="6135" max="6351" width="11" style="17"/>
    <col min="6352" max="6352" width="4.58203125" style="17" customWidth="1"/>
    <col min="6353" max="6353" width="10.25" style="17" customWidth="1"/>
    <col min="6354" max="6354" width="14.58203125" style="17" customWidth="1"/>
    <col min="6355" max="6355" width="13.5" style="17" customWidth="1"/>
    <col min="6356" max="6356" width="8.25" style="17" customWidth="1"/>
    <col min="6357" max="6357" width="10.33203125" style="17" customWidth="1"/>
    <col min="6358" max="6358" width="8.5" style="17" customWidth="1"/>
    <col min="6359" max="6359" width="8.83203125" style="17" customWidth="1"/>
    <col min="6360" max="6390" width="4.5" style="17" customWidth="1"/>
    <col min="6391" max="6607" width="11" style="17"/>
    <col min="6608" max="6608" width="4.58203125" style="17" customWidth="1"/>
    <col min="6609" max="6609" width="10.25" style="17" customWidth="1"/>
    <col min="6610" max="6610" width="14.58203125" style="17" customWidth="1"/>
    <col min="6611" max="6611" width="13.5" style="17" customWidth="1"/>
    <col min="6612" max="6612" width="8.25" style="17" customWidth="1"/>
    <col min="6613" max="6613" width="10.33203125" style="17" customWidth="1"/>
    <col min="6614" max="6614" width="8.5" style="17" customWidth="1"/>
    <col min="6615" max="6615" width="8.83203125" style="17" customWidth="1"/>
    <col min="6616" max="6646" width="4.5" style="17" customWidth="1"/>
    <col min="6647" max="6863" width="11" style="17"/>
    <col min="6864" max="6864" width="4.58203125" style="17" customWidth="1"/>
    <col min="6865" max="6865" width="10.25" style="17" customWidth="1"/>
    <col min="6866" max="6866" width="14.58203125" style="17" customWidth="1"/>
    <col min="6867" max="6867" width="13.5" style="17" customWidth="1"/>
    <col min="6868" max="6868" width="8.25" style="17" customWidth="1"/>
    <col min="6869" max="6869" width="10.33203125" style="17" customWidth="1"/>
    <col min="6870" max="6870" width="8.5" style="17" customWidth="1"/>
    <col min="6871" max="6871" width="8.83203125" style="17" customWidth="1"/>
    <col min="6872" max="6902" width="4.5" style="17" customWidth="1"/>
    <col min="6903" max="7119" width="11" style="17"/>
    <col min="7120" max="7120" width="4.58203125" style="17" customWidth="1"/>
    <col min="7121" max="7121" width="10.25" style="17" customWidth="1"/>
    <col min="7122" max="7122" width="14.58203125" style="17" customWidth="1"/>
    <col min="7123" max="7123" width="13.5" style="17" customWidth="1"/>
    <col min="7124" max="7124" width="8.25" style="17" customWidth="1"/>
    <col min="7125" max="7125" width="10.33203125" style="17" customWidth="1"/>
    <col min="7126" max="7126" width="8.5" style="17" customWidth="1"/>
    <col min="7127" max="7127" width="8.83203125" style="17" customWidth="1"/>
    <col min="7128" max="7158" width="4.5" style="17" customWidth="1"/>
    <col min="7159" max="7375" width="11" style="17"/>
    <col min="7376" max="7376" width="4.58203125" style="17" customWidth="1"/>
    <col min="7377" max="7377" width="10.25" style="17" customWidth="1"/>
    <col min="7378" max="7378" width="14.58203125" style="17" customWidth="1"/>
    <col min="7379" max="7379" width="13.5" style="17" customWidth="1"/>
    <col min="7380" max="7380" width="8.25" style="17" customWidth="1"/>
    <col min="7381" max="7381" width="10.33203125" style="17" customWidth="1"/>
    <col min="7382" max="7382" width="8.5" style="17" customWidth="1"/>
    <col min="7383" max="7383" width="8.83203125" style="17" customWidth="1"/>
    <col min="7384" max="7414" width="4.5" style="17" customWidth="1"/>
    <col min="7415" max="7631" width="11" style="17"/>
    <col min="7632" max="7632" width="4.58203125" style="17" customWidth="1"/>
    <col min="7633" max="7633" width="10.25" style="17" customWidth="1"/>
    <col min="7634" max="7634" width="14.58203125" style="17" customWidth="1"/>
    <col min="7635" max="7635" width="13.5" style="17" customWidth="1"/>
    <col min="7636" max="7636" width="8.25" style="17" customWidth="1"/>
    <col min="7637" max="7637" width="10.33203125" style="17" customWidth="1"/>
    <col min="7638" max="7638" width="8.5" style="17" customWidth="1"/>
    <col min="7639" max="7639" width="8.83203125" style="17" customWidth="1"/>
    <col min="7640" max="7670" width="4.5" style="17" customWidth="1"/>
    <col min="7671" max="7887" width="11" style="17"/>
    <col min="7888" max="7888" width="4.58203125" style="17" customWidth="1"/>
    <col min="7889" max="7889" width="10.25" style="17" customWidth="1"/>
    <col min="7890" max="7890" width="14.58203125" style="17" customWidth="1"/>
    <col min="7891" max="7891" width="13.5" style="17" customWidth="1"/>
    <col min="7892" max="7892" width="8.25" style="17" customWidth="1"/>
    <col min="7893" max="7893" width="10.33203125" style="17" customWidth="1"/>
    <col min="7894" max="7894" width="8.5" style="17" customWidth="1"/>
    <col min="7895" max="7895" width="8.83203125" style="17" customWidth="1"/>
    <col min="7896" max="7926" width="4.5" style="17" customWidth="1"/>
    <col min="7927" max="8143" width="11" style="17"/>
    <col min="8144" max="8144" width="4.58203125" style="17" customWidth="1"/>
    <col min="8145" max="8145" width="10.25" style="17" customWidth="1"/>
    <col min="8146" max="8146" width="14.58203125" style="17" customWidth="1"/>
    <col min="8147" max="8147" width="13.5" style="17" customWidth="1"/>
    <col min="8148" max="8148" width="8.25" style="17" customWidth="1"/>
    <col min="8149" max="8149" width="10.33203125" style="17" customWidth="1"/>
    <col min="8150" max="8150" width="8.5" style="17" customWidth="1"/>
    <col min="8151" max="8151" width="8.83203125" style="17" customWidth="1"/>
    <col min="8152" max="8182" width="4.5" style="17" customWidth="1"/>
    <col min="8183" max="8399" width="11" style="17"/>
    <col min="8400" max="8400" width="4.58203125" style="17" customWidth="1"/>
    <col min="8401" max="8401" width="10.25" style="17" customWidth="1"/>
    <col min="8402" max="8402" width="14.58203125" style="17" customWidth="1"/>
    <col min="8403" max="8403" width="13.5" style="17" customWidth="1"/>
    <col min="8404" max="8404" width="8.25" style="17" customWidth="1"/>
    <col min="8405" max="8405" width="10.33203125" style="17" customWidth="1"/>
    <col min="8406" max="8406" width="8.5" style="17" customWidth="1"/>
    <col min="8407" max="8407" width="8.83203125" style="17" customWidth="1"/>
    <col min="8408" max="8438" width="4.5" style="17" customWidth="1"/>
    <col min="8439" max="8655" width="11" style="17"/>
    <col min="8656" max="8656" width="4.58203125" style="17" customWidth="1"/>
    <col min="8657" max="8657" width="10.25" style="17" customWidth="1"/>
    <col min="8658" max="8658" width="14.58203125" style="17" customWidth="1"/>
    <col min="8659" max="8659" width="13.5" style="17" customWidth="1"/>
    <col min="8660" max="8660" width="8.25" style="17" customWidth="1"/>
    <col min="8661" max="8661" width="10.33203125" style="17" customWidth="1"/>
    <col min="8662" max="8662" width="8.5" style="17" customWidth="1"/>
    <col min="8663" max="8663" width="8.83203125" style="17" customWidth="1"/>
    <col min="8664" max="8694" width="4.5" style="17" customWidth="1"/>
    <col min="8695" max="8911" width="11" style="17"/>
    <col min="8912" max="8912" width="4.58203125" style="17" customWidth="1"/>
    <col min="8913" max="8913" width="10.25" style="17" customWidth="1"/>
    <col min="8914" max="8914" width="14.58203125" style="17" customWidth="1"/>
    <col min="8915" max="8915" width="13.5" style="17" customWidth="1"/>
    <col min="8916" max="8916" width="8.25" style="17" customWidth="1"/>
    <col min="8917" max="8917" width="10.33203125" style="17" customWidth="1"/>
    <col min="8918" max="8918" width="8.5" style="17" customWidth="1"/>
    <col min="8919" max="8919" width="8.83203125" style="17" customWidth="1"/>
    <col min="8920" max="8950" width="4.5" style="17" customWidth="1"/>
    <col min="8951" max="9167" width="11" style="17"/>
    <col min="9168" max="9168" width="4.58203125" style="17" customWidth="1"/>
    <col min="9169" max="9169" width="10.25" style="17" customWidth="1"/>
    <col min="9170" max="9170" width="14.58203125" style="17" customWidth="1"/>
    <col min="9171" max="9171" width="13.5" style="17" customWidth="1"/>
    <col min="9172" max="9172" width="8.25" style="17" customWidth="1"/>
    <col min="9173" max="9173" width="10.33203125" style="17" customWidth="1"/>
    <col min="9174" max="9174" width="8.5" style="17" customWidth="1"/>
    <col min="9175" max="9175" width="8.83203125" style="17" customWidth="1"/>
    <col min="9176" max="9206" width="4.5" style="17" customWidth="1"/>
    <col min="9207" max="9423" width="11" style="17"/>
    <col min="9424" max="9424" width="4.58203125" style="17" customWidth="1"/>
    <col min="9425" max="9425" width="10.25" style="17" customWidth="1"/>
    <col min="9426" max="9426" width="14.58203125" style="17" customWidth="1"/>
    <col min="9427" max="9427" width="13.5" style="17" customWidth="1"/>
    <col min="9428" max="9428" width="8.25" style="17" customWidth="1"/>
    <col min="9429" max="9429" width="10.33203125" style="17" customWidth="1"/>
    <col min="9430" max="9430" width="8.5" style="17" customWidth="1"/>
    <col min="9431" max="9431" width="8.83203125" style="17" customWidth="1"/>
    <col min="9432" max="9462" width="4.5" style="17" customWidth="1"/>
    <col min="9463" max="9679" width="11" style="17"/>
    <col min="9680" max="9680" width="4.58203125" style="17" customWidth="1"/>
    <col min="9681" max="9681" width="10.25" style="17" customWidth="1"/>
    <col min="9682" max="9682" width="14.58203125" style="17" customWidth="1"/>
    <col min="9683" max="9683" width="13.5" style="17" customWidth="1"/>
    <col min="9684" max="9684" width="8.25" style="17" customWidth="1"/>
    <col min="9685" max="9685" width="10.33203125" style="17" customWidth="1"/>
    <col min="9686" max="9686" width="8.5" style="17" customWidth="1"/>
    <col min="9687" max="9687" width="8.83203125" style="17" customWidth="1"/>
    <col min="9688" max="9718" width="4.5" style="17" customWidth="1"/>
    <col min="9719" max="9935" width="11" style="17"/>
    <col min="9936" max="9936" width="4.58203125" style="17" customWidth="1"/>
    <col min="9937" max="9937" width="10.25" style="17" customWidth="1"/>
    <col min="9938" max="9938" width="14.58203125" style="17" customWidth="1"/>
    <col min="9939" max="9939" width="13.5" style="17" customWidth="1"/>
    <col min="9940" max="9940" width="8.25" style="17" customWidth="1"/>
    <col min="9941" max="9941" width="10.33203125" style="17" customWidth="1"/>
    <col min="9942" max="9942" width="8.5" style="17" customWidth="1"/>
    <col min="9943" max="9943" width="8.83203125" style="17" customWidth="1"/>
    <col min="9944" max="9974" width="4.5" style="17" customWidth="1"/>
    <col min="9975" max="10191" width="11" style="17"/>
    <col min="10192" max="10192" width="4.58203125" style="17" customWidth="1"/>
    <col min="10193" max="10193" width="10.25" style="17" customWidth="1"/>
    <col min="10194" max="10194" width="14.58203125" style="17" customWidth="1"/>
    <col min="10195" max="10195" width="13.5" style="17" customWidth="1"/>
    <col min="10196" max="10196" width="8.25" style="17" customWidth="1"/>
    <col min="10197" max="10197" width="10.33203125" style="17" customWidth="1"/>
    <col min="10198" max="10198" width="8.5" style="17" customWidth="1"/>
    <col min="10199" max="10199" width="8.83203125" style="17" customWidth="1"/>
    <col min="10200" max="10230" width="4.5" style="17" customWidth="1"/>
    <col min="10231" max="10447" width="11" style="17"/>
    <col min="10448" max="10448" width="4.58203125" style="17" customWidth="1"/>
    <col min="10449" max="10449" width="10.25" style="17" customWidth="1"/>
    <col min="10450" max="10450" width="14.58203125" style="17" customWidth="1"/>
    <col min="10451" max="10451" width="13.5" style="17" customWidth="1"/>
    <col min="10452" max="10452" width="8.25" style="17" customWidth="1"/>
    <col min="10453" max="10453" width="10.33203125" style="17" customWidth="1"/>
    <col min="10454" max="10454" width="8.5" style="17" customWidth="1"/>
    <col min="10455" max="10455" width="8.83203125" style="17" customWidth="1"/>
    <col min="10456" max="10486" width="4.5" style="17" customWidth="1"/>
    <col min="10487" max="10703" width="11" style="17"/>
    <col min="10704" max="10704" width="4.58203125" style="17" customWidth="1"/>
    <col min="10705" max="10705" width="10.25" style="17" customWidth="1"/>
    <col min="10706" max="10706" width="14.58203125" style="17" customWidth="1"/>
    <col min="10707" max="10707" width="13.5" style="17" customWidth="1"/>
    <col min="10708" max="10708" width="8.25" style="17" customWidth="1"/>
    <col min="10709" max="10709" width="10.33203125" style="17" customWidth="1"/>
    <col min="10710" max="10710" width="8.5" style="17" customWidth="1"/>
    <col min="10711" max="10711" width="8.83203125" style="17" customWidth="1"/>
    <col min="10712" max="10742" width="4.5" style="17" customWidth="1"/>
    <col min="10743" max="10959" width="11" style="17"/>
    <col min="10960" max="10960" width="4.58203125" style="17" customWidth="1"/>
    <col min="10961" max="10961" width="10.25" style="17" customWidth="1"/>
    <col min="10962" max="10962" width="14.58203125" style="17" customWidth="1"/>
    <col min="10963" max="10963" width="13.5" style="17" customWidth="1"/>
    <col min="10964" max="10964" width="8.25" style="17" customWidth="1"/>
    <col min="10965" max="10965" width="10.33203125" style="17" customWidth="1"/>
    <col min="10966" max="10966" width="8.5" style="17" customWidth="1"/>
    <col min="10967" max="10967" width="8.83203125" style="17" customWidth="1"/>
    <col min="10968" max="10998" width="4.5" style="17" customWidth="1"/>
    <col min="10999" max="11215" width="11" style="17"/>
    <col min="11216" max="11216" width="4.58203125" style="17" customWidth="1"/>
    <col min="11217" max="11217" width="10.25" style="17" customWidth="1"/>
    <col min="11218" max="11218" width="14.58203125" style="17" customWidth="1"/>
    <col min="11219" max="11219" width="13.5" style="17" customWidth="1"/>
    <col min="11220" max="11220" width="8.25" style="17" customWidth="1"/>
    <col min="11221" max="11221" width="10.33203125" style="17" customWidth="1"/>
    <col min="11222" max="11222" width="8.5" style="17" customWidth="1"/>
    <col min="11223" max="11223" width="8.83203125" style="17" customWidth="1"/>
    <col min="11224" max="11254" width="4.5" style="17" customWidth="1"/>
    <col min="11255" max="11471" width="11" style="17"/>
    <col min="11472" max="11472" width="4.58203125" style="17" customWidth="1"/>
    <col min="11473" max="11473" width="10.25" style="17" customWidth="1"/>
    <col min="11474" max="11474" width="14.58203125" style="17" customWidth="1"/>
    <col min="11475" max="11475" width="13.5" style="17" customWidth="1"/>
    <col min="11476" max="11476" width="8.25" style="17" customWidth="1"/>
    <col min="11477" max="11477" width="10.33203125" style="17" customWidth="1"/>
    <col min="11478" max="11478" width="8.5" style="17" customWidth="1"/>
    <col min="11479" max="11479" width="8.83203125" style="17" customWidth="1"/>
    <col min="11480" max="11510" width="4.5" style="17" customWidth="1"/>
    <col min="11511" max="11727" width="11" style="17"/>
    <col min="11728" max="11728" width="4.58203125" style="17" customWidth="1"/>
    <col min="11729" max="11729" width="10.25" style="17" customWidth="1"/>
    <col min="11730" max="11730" width="14.58203125" style="17" customWidth="1"/>
    <col min="11731" max="11731" width="13.5" style="17" customWidth="1"/>
    <col min="11732" max="11732" width="8.25" style="17" customWidth="1"/>
    <col min="11733" max="11733" width="10.33203125" style="17" customWidth="1"/>
    <col min="11734" max="11734" width="8.5" style="17" customWidth="1"/>
    <col min="11735" max="11735" width="8.83203125" style="17" customWidth="1"/>
    <col min="11736" max="11766" width="4.5" style="17" customWidth="1"/>
    <col min="11767" max="11983" width="11" style="17"/>
    <col min="11984" max="11984" width="4.58203125" style="17" customWidth="1"/>
    <col min="11985" max="11985" width="10.25" style="17" customWidth="1"/>
    <col min="11986" max="11986" width="14.58203125" style="17" customWidth="1"/>
    <col min="11987" max="11987" width="13.5" style="17" customWidth="1"/>
    <col min="11988" max="11988" width="8.25" style="17" customWidth="1"/>
    <col min="11989" max="11989" width="10.33203125" style="17" customWidth="1"/>
    <col min="11990" max="11990" width="8.5" style="17" customWidth="1"/>
    <col min="11991" max="11991" width="8.83203125" style="17" customWidth="1"/>
    <col min="11992" max="12022" width="4.5" style="17" customWidth="1"/>
    <col min="12023" max="12239" width="11" style="17"/>
    <col min="12240" max="12240" width="4.58203125" style="17" customWidth="1"/>
    <col min="12241" max="12241" width="10.25" style="17" customWidth="1"/>
    <col min="12242" max="12242" width="14.58203125" style="17" customWidth="1"/>
    <col min="12243" max="12243" width="13.5" style="17" customWidth="1"/>
    <col min="12244" max="12244" width="8.25" style="17" customWidth="1"/>
    <col min="12245" max="12245" width="10.33203125" style="17" customWidth="1"/>
    <col min="12246" max="12246" width="8.5" style="17" customWidth="1"/>
    <col min="12247" max="12247" width="8.83203125" style="17" customWidth="1"/>
    <col min="12248" max="12278" width="4.5" style="17" customWidth="1"/>
    <col min="12279" max="12495" width="11" style="17"/>
    <col min="12496" max="12496" width="4.58203125" style="17" customWidth="1"/>
    <col min="12497" max="12497" width="10.25" style="17" customWidth="1"/>
    <col min="12498" max="12498" width="14.58203125" style="17" customWidth="1"/>
    <col min="12499" max="12499" width="13.5" style="17" customWidth="1"/>
    <col min="12500" max="12500" width="8.25" style="17" customWidth="1"/>
    <col min="12501" max="12501" width="10.33203125" style="17" customWidth="1"/>
    <col min="12502" max="12502" width="8.5" style="17" customWidth="1"/>
    <col min="12503" max="12503" width="8.83203125" style="17" customWidth="1"/>
    <col min="12504" max="12534" width="4.5" style="17" customWidth="1"/>
    <col min="12535" max="12751" width="11" style="17"/>
    <col min="12752" max="12752" width="4.58203125" style="17" customWidth="1"/>
    <col min="12753" max="12753" width="10.25" style="17" customWidth="1"/>
    <col min="12754" max="12754" width="14.58203125" style="17" customWidth="1"/>
    <col min="12755" max="12755" width="13.5" style="17" customWidth="1"/>
    <col min="12756" max="12756" width="8.25" style="17" customWidth="1"/>
    <col min="12757" max="12757" width="10.33203125" style="17" customWidth="1"/>
    <col min="12758" max="12758" width="8.5" style="17" customWidth="1"/>
    <col min="12759" max="12759" width="8.83203125" style="17" customWidth="1"/>
    <col min="12760" max="12790" width="4.5" style="17" customWidth="1"/>
    <col min="12791" max="13007" width="11" style="17"/>
    <col min="13008" max="13008" width="4.58203125" style="17" customWidth="1"/>
    <col min="13009" max="13009" width="10.25" style="17" customWidth="1"/>
    <col min="13010" max="13010" width="14.58203125" style="17" customWidth="1"/>
    <col min="13011" max="13011" width="13.5" style="17" customWidth="1"/>
    <col min="13012" max="13012" width="8.25" style="17" customWidth="1"/>
    <col min="13013" max="13013" width="10.33203125" style="17" customWidth="1"/>
    <col min="13014" max="13014" width="8.5" style="17" customWidth="1"/>
    <col min="13015" max="13015" width="8.83203125" style="17" customWidth="1"/>
    <col min="13016" max="13046" width="4.5" style="17" customWidth="1"/>
    <col min="13047" max="13263" width="11" style="17"/>
    <col min="13264" max="13264" width="4.58203125" style="17" customWidth="1"/>
    <col min="13265" max="13265" width="10.25" style="17" customWidth="1"/>
    <col min="13266" max="13266" width="14.58203125" style="17" customWidth="1"/>
    <col min="13267" max="13267" width="13.5" style="17" customWidth="1"/>
    <col min="13268" max="13268" width="8.25" style="17" customWidth="1"/>
    <col min="13269" max="13269" width="10.33203125" style="17" customWidth="1"/>
    <col min="13270" max="13270" width="8.5" style="17" customWidth="1"/>
    <col min="13271" max="13271" width="8.83203125" style="17" customWidth="1"/>
    <col min="13272" max="13302" width="4.5" style="17" customWidth="1"/>
    <col min="13303" max="13519" width="11" style="17"/>
    <col min="13520" max="13520" width="4.58203125" style="17" customWidth="1"/>
    <col min="13521" max="13521" width="10.25" style="17" customWidth="1"/>
    <col min="13522" max="13522" width="14.58203125" style="17" customWidth="1"/>
    <col min="13523" max="13523" width="13.5" style="17" customWidth="1"/>
    <col min="13524" max="13524" width="8.25" style="17" customWidth="1"/>
    <col min="13525" max="13525" width="10.33203125" style="17" customWidth="1"/>
    <col min="13526" max="13526" width="8.5" style="17" customWidth="1"/>
    <col min="13527" max="13527" width="8.83203125" style="17" customWidth="1"/>
    <col min="13528" max="13558" width="4.5" style="17" customWidth="1"/>
    <col min="13559" max="13775" width="11" style="17"/>
    <col min="13776" max="13776" width="4.58203125" style="17" customWidth="1"/>
    <col min="13777" max="13777" width="10.25" style="17" customWidth="1"/>
    <col min="13778" max="13778" width="14.58203125" style="17" customWidth="1"/>
    <col min="13779" max="13779" width="13.5" style="17" customWidth="1"/>
    <col min="13780" max="13780" width="8.25" style="17" customWidth="1"/>
    <col min="13781" max="13781" width="10.33203125" style="17" customWidth="1"/>
    <col min="13782" max="13782" width="8.5" style="17" customWidth="1"/>
    <col min="13783" max="13783" width="8.83203125" style="17" customWidth="1"/>
    <col min="13784" max="13814" width="4.5" style="17" customWidth="1"/>
    <col min="13815" max="14031" width="11" style="17"/>
    <col min="14032" max="14032" width="4.58203125" style="17" customWidth="1"/>
    <col min="14033" max="14033" width="10.25" style="17" customWidth="1"/>
    <col min="14034" max="14034" width="14.58203125" style="17" customWidth="1"/>
    <col min="14035" max="14035" width="13.5" style="17" customWidth="1"/>
    <col min="14036" max="14036" width="8.25" style="17" customWidth="1"/>
    <col min="14037" max="14037" width="10.33203125" style="17" customWidth="1"/>
    <col min="14038" max="14038" width="8.5" style="17" customWidth="1"/>
    <col min="14039" max="14039" width="8.83203125" style="17" customWidth="1"/>
    <col min="14040" max="14070" width="4.5" style="17" customWidth="1"/>
    <col min="14071" max="14287" width="11" style="17"/>
    <col min="14288" max="14288" width="4.58203125" style="17" customWidth="1"/>
    <col min="14289" max="14289" width="10.25" style="17" customWidth="1"/>
    <col min="14290" max="14290" width="14.58203125" style="17" customWidth="1"/>
    <col min="14291" max="14291" width="13.5" style="17" customWidth="1"/>
    <col min="14292" max="14292" width="8.25" style="17" customWidth="1"/>
    <col min="14293" max="14293" width="10.33203125" style="17" customWidth="1"/>
    <col min="14294" max="14294" width="8.5" style="17" customWidth="1"/>
    <col min="14295" max="14295" width="8.83203125" style="17" customWidth="1"/>
    <col min="14296" max="14326" width="4.5" style="17" customWidth="1"/>
    <col min="14327" max="14543" width="11" style="17"/>
    <col min="14544" max="14544" width="4.58203125" style="17" customWidth="1"/>
    <col min="14545" max="14545" width="10.25" style="17" customWidth="1"/>
    <col min="14546" max="14546" width="14.58203125" style="17" customWidth="1"/>
    <col min="14547" max="14547" width="13.5" style="17" customWidth="1"/>
    <col min="14548" max="14548" width="8.25" style="17" customWidth="1"/>
    <col min="14549" max="14549" width="10.33203125" style="17" customWidth="1"/>
    <col min="14550" max="14550" width="8.5" style="17" customWidth="1"/>
    <col min="14551" max="14551" width="8.83203125" style="17" customWidth="1"/>
    <col min="14552" max="14582" width="4.5" style="17" customWidth="1"/>
    <col min="14583" max="14799" width="11" style="17"/>
    <col min="14800" max="14800" width="4.58203125" style="17" customWidth="1"/>
    <col min="14801" max="14801" width="10.25" style="17" customWidth="1"/>
    <col min="14802" max="14802" width="14.58203125" style="17" customWidth="1"/>
    <col min="14803" max="14803" width="13.5" style="17" customWidth="1"/>
    <col min="14804" max="14804" width="8.25" style="17" customWidth="1"/>
    <col min="14805" max="14805" width="10.33203125" style="17" customWidth="1"/>
    <col min="14806" max="14806" width="8.5" style="17" customWidth="1"/>
    <col min="14807" max="14807" width="8.83203125" style="17" customWidth="1"/>
    <col min="14808" max="14838" width="4.5" style="17" customWidth="1"/>
    <col min="14839" max="15055" width="11" style="17"/>
    <col min="15056" max="15056" width="4.58203125" style="17" customWidth="1"/>
    <col min="15057" max="15057" width="10.25" style="17" customWidth="1"/>
    <col min="15058" max="15058" width="14.58203125" style="17" customWidth="1"/>
    <col min="15059" max="15059" width="13.5" style="17" customWidth="1"/>
    <col min="15060" max="15060" width="8.25" style="17" customWidth="1"/>
    <col min="15061" max="15061" width="10.33203125" style="17" customWidth="1"/>
    <col min="15062" max="15062" width="8.5" style="17" customWidth="1"/>
    <col min="15063" max="15063" width="8.83203125" style="17" customWidth="1"/>
    <col min="15064" max="15094" width="4.5" style="17" customWidth="1"/>
    <col min="15095" max="15311" width="11" style="17"/>
    <col min="15312" max="15312" width="4.58203125" style="17" customWidth="1"/>
    <col min="15313" max="15313" width="10.25" style="17" customWidth="1"/>
    <col min="15314" max="15314" width="14.58203125" style="17" customWidth="1"/>
    <col min="15315" max="15315" width="13.5" style="17" customWidth="1"/>
    <col min="15316" max="15316" width="8.25" style="17" customWidth="1"/>
    <col min="15317" max="15317" width="10.33203125" style="17" customWidth="1"/>
    <col min="15318" max="15318" width="8.5" style="17" customWidth="1"/>
    <col min="15319" max="15319" width="8.83203125" style="17" customWidth="1"/>
    <col min="15320" max="15350" width="4.5" style="17" customWidth="1"/>
    <col min="15351" max="15567" width="11" style="17"/>
    <col min="15568" max="15568" width="4.58203125" style="17" customWidth="1"/>
    <col min="15569" max="15569" width="10.25" style="17" customWidth="1"/>
    <col min="15570" max="15570" width="14.58203125" style="17" customWidth="1"/>
    <col min="15571" max="15571" width="13.5" style="17" customWidth="1"/>
    <col min="15572" max="15572" width="8.25" style="17" customWidth="1"/>
    <col min="15573" max="15573" width="10.33203125" style="17" customWidth="1"/>
    <col min="15574" max="15574" width="8.5" style="17" customWidth="1"/>
    <col min="15575" max="15575" width="8.83203125" style="17" customWidth="1"/>
    <col min="15576" max="15606" width="4.5" style="17" customWidth="1"/>
    <col min="15607" max="15823" width="11" style="17"/>
    <col min="15824" max="15824" width="4.58203125" style="17" customWidth="1"/>
    <col min="15825" max="15825" width="10.25" style="17" customWidth="1"/>
    <col min="15826" max="15826" width="14.58203125" style="17" customWidth="1"/>
    <col min="15827" max="15827" width="13.5" style="17" customWidth="1"/>
    <col min="15828" max="15828" width="8.25" style="17" customWidth="1"/>
    <col min="15829" max="15829" width="10.33203125" style="17" customWidth="1"/>
    <col min="15830" max="15830" width="8.5" style="17" customWidth="1"/>
    <col min="15831" max="15831" width="8.83203125" style="17" customWidth="1"/>
    <col min="15832" max="15862" width="4.5" style="17" customWidth="1"/>
    <col min="15863" max="16079" width="11" style="17"/>
    <col min="16080" max="16080" width="4.58203125" style="17" customWidth="1"/>
    <col min="16081" max="16081" width="10.25" style="17" customWidth="1"/>
    <col min="16082" max="16082" width="14.58203125" style="17" customWidth="1"/>
    <col min="16083" max="16083" width="13.5" style="17" customWidth="1"/>
    <col min="16084" max="16084" width="8.25" style="17" customWidth="1"/>
    <col min="16085" max="16085" width="10.33203125" style="17" customWidth="1"/>
    <col min="16086" max="16086" width="8.5" style="17" customWidth="1"/>
    <col min="16087" max="16087" width="8.83203125" style="17" customWidth="1"/>
    <col min="16088" max="16118" width="4.5" style="17" customWidth="1"/>
    <col min="16119" max="16384" width="11" style="17"/>
  </cols>
  <sheetData>
    <row r="1" spans="1:39" ht="27" customHeight="1" thickBot="1">
      <c r="A1" s="1" t="s">
        <v>0</v>
      </c>
      <c r="B1" s="2"/>
      <c r="C1" s="3"/>
      <c r="D1" s="3"/>
      <c r="E1" s="3"/>
      <c r="F1" s="4" t="s">
        <v>73</v>
      </c>
      <c r="G1" s="5"/>
      <c r="H1" s="6"/>
      <c r="I1" s="7"/>
      <c r="J1" s="8"/>
      <c r="L1" s="10" t="s">
        <v>1</v>
      </c>
      <c r="M1" s="643" t="s">
        <v>111</v>
      </c>
      <c r="N1" s="644"/>
      <c r="Q1" s="11" t="s">
        <v>2</v>
      </c>
      <c r="R1" s="645" t="s">
        <v>118</v>
      </c>
      <c r="S1" s="645"/>
      <c r="T1" s="645"/>
      <c r="U1" s="645"/>
      <c r="V1" s="12" t="s">
        <v>3</v>
      </c>
      <c r="X1" s="14"/>
      <c r="Y1" s="15"/>
      <c r="Z1" s="16"/>
      <c r="AA1" s="16"/>
      <c r="AB1" s="16"/>
      <c r="AI1" s="18"/>
      <c r="AJ1" s="19" t="s">
        <v>4</v>
      </c>
      <c r="AK1" s="19" t="s">
        <v>4</v>
      </c>
      <c r="AL1" s="20" t="s">
        <v>4</v>
      </c>
      <c r="AM1" s="21"/>
    </row>
    <row r="2" spans="1:39" s="25" customFormat="1" ht="17.25" customHeight="1">
      <c r="A2" s="24"/>
      <c r="B2" s="23" t="s">
        <v>4</v>
      </c>
      <c r="C2" s="23"/>
      <c r="D2" s="23" t="s">
        <v>4</v>
      </c>
      <c r="E2" s="646" t="s">
        <v>5</v>
      </c>
      <c r="F2" s="647"/>
      <c r="G2" s="647"/>
      <c r="H2" s="648"/>
      <c r="I2" s="649" t="s">
        <v>6</v>
      </c>
      <c r="J2" s="650"/>
      <c r="K2" s="650"/>
      <c r="L2" s="650"/>
      <c r="M2" s="650"/>
      <c r="N2" s="650"/>
      <c r="O2" s="651"/>
      <c r="P2" s="655" t="s">
        <v>7</v>
      </c>
      <c r="Q2" s="656"/>
      <c r="R2" s="659" t="s">
        <v>8</v>
      </c>
      <c r="S2" s="656"/>
      <c r="T2" s="659" t="s">
        <v>8</v>
      </c>
      <c r="U2" s="656"/>
      <c r="V2" s="659" t="s">
        <v>9</v>
      </c>
      <c r="W2" s="656"/>
      <c r="X2" s="659" t="s">
        <v>9</v>
      </c>
      <c r="Y2" s="656"/>
      <c r="Z2" s="659" t="s">
        <v>10</v>
      </c>
      <c r="AA2" s="656"/>
      <c r="AB2" s="659" t="s">
        <v>11</v>
      </c>
      <c r="AC2" s="656"/>
      <c r="AD2" s="659" t="s">
        <v>12</v>
      </c>
      <c r="AE2" s="656"/>
      <c r="AF2" s="659" t="s">
        <v>13</v>
      </c>
      <c r="AG2" s="656"/>
      <c r="AH2" s="659" t="s">
        <v>14</v>
      </c>
      <c r="AI2" s="660"/>
      <c r="AJ2" s="659" t="s">
        <v>14</v>
      </c>
      <c r="AK2" s="661"/>
    </row>
    <row r="3" spans="1:39" s="25" customFormat="1" ht="17.25" customHeight="1">
      <c r="A3" s="26" t="s">
        <v>15</v>
      </c>
      <c r="B3" s="27" t="s">
        <v>16</v>
      </c>
      <c r="C3" s="27" t="s">
        <v>17</v>
      </c>
      <c r="D3" s="27" t="s">
        <v>18</v>
      </c>
      <c r="E3" s="662" t="s">
        <v>19</v>
      </c>
      <c r="F3" s="663"/>
      <c r="G3" s="663"/>
      <c r="H3" s="664"/>
      <c r="I3" s="652"/>
      <c r="J3" s="653"/>
      <c r="K3" s="653"/>
      <c r="L3" s="653"/>
      <c r="M3" s="653"/>
      <c r="N3" s="653"/>
      <c r="O3" s="654"/>
      <c r="P3" s="657"/>
      <c r="Q3" s="658"/>
      <c r="R3" s="665" t="s">
        <v>20</v>
      </c>
      <c r="S3" s="658"/>
      <c r="T3" s="665" t="s">
        <v>21</v>
      </c>
      <c r="U3" s="658"/>
      <c r="V3" s="665" t="s">
        <v>20</v>
      </c>
      <c r="W3" s="658"/>
      <c r="X3" s="665" t="s">
        <v>21</v>
      </c>
      <c r="Y3" s="658"/>
      <c r="Z3" s="665" t="s">
        <v>22</v>
      </c>
      <c r="AA3" s="658"/>
      <c r="AB3" s="665" t="s">
        <v>23</v>
      </c>
      <c r="AC3" s="658"/>
      <c r="AD3" s="665"/>
      <c r="AE3" s="658"/>
      <c r="AF3" s="665"/>
      <c r="AG3" s="658"/>
      <c r="AH3" s="665">
        <v>1</v>
      </c>
      <c r="AI3" s="663"/>
      <c r="AJ3" s="665">
        <v>2</v>
      </c>
      <c r="AK3" s="664"/>
    </row>
    <row r="4" spans="1:39" s="25" customFormat="1" ht="17.25" customHeight="1" thickBot="1">
      <c r="A4" s="28"/>
      <c r="B4" s="29"/>
      <c r="C4" s="29"/>
      <c r="D4" s="27"/>
      <c r="E4" s="30" t="s">
        <v>28</v>
      </c>
      <c r="F4" s="31" t="s">
        <v>24</v>
      </c>
      <c r="G4" s="31" t="s">
        <v>25</v>
      </c>
      <c r="H4" s="32" t="s">
        <v>29</v>
      </c>
      <c r="I4" s="652"/>
      <c r="J4" s="653"/>
      <c r="K4" s="653"/>
      <c r="L4" s="653"/>
      <c r="M4" s="653"/>
      <c r="N4" s="653"/>
      <c r="O4" s="654"/>
      <c r="P4" s="670" t="s">
        <v>30</v>
      </c>
      <c r="Q4" s="626"/>
      <c r="R4" s="624" t="s">
        <v>30</v>
      </c>
      <c r="S4" s="626"/>
      <c r="T4" s="624" t="s">
        <v>30</v>
      </c>
      <c r="U4" s="626"/>
      <c r="V4" s="624" t="s">
        <v>30</v>
      </c>
      <c r="W4" s="626"/>
      <c r="X4" s="624" t="s">
        <v>30</v>
      </c>
      <c r="Y4" s="626"/>
      <c r="Z4" s="624" t="s">
        <v>31</v>
      </c>
      <c r="AA4" s="626"/>
      <c r="AB4" s="624" t="s">
        <v>31</v>
      </c>
      <c r="AC4" s="626"/>
      <c r="AD4" s="624" t="s">
        <v>31</v>
      </c>
      <c r="AE4" s="626"/>
      <c r="AF4" s="624" t="s">
        <v>32</v>
      </c>
      <c r="AG4" s="626"/>
      <c r="AH4" s="624" t="s">
        <v>32</v>
      </c>
      <c r="AI4" s="666"/>
      <c r="AJ4" s="624" t="s">
        <v>32</v>
      </c>
      <c r="AK4" s="625"/>
    </row>
    <row r="5" spans="1:39" ht="20.25" customHeight="1">
      <c r="A5" s="33"/>
      <c r="B5" s="119"/>
      <c r="C5" s="129" t="s">
        <v>74</v>
      </c>
      <c r="D5" s="121"/>
      <c r="E5" s="122">
        <f>'1'!E5+'2'!E5+'3'!E5+'4'!E5+'5'!E5+'6'!E5+'7'!E5+'8'!E5+'9'!E5+'10'!E5+'11'!E5+'12'!E5+'13'!E5+'14'!E5+'15'!E5+'16'!E5+'17'!E5+'18'!E5+'19'!E5+'20'!E5+'21'!E5+'22'!E5+'23'!E5+'24'!E5+'25'!E5+'26'!E5+'27'!E5+'28'!E5+'29'!E5+'30'!E5+'31'!E5</f>
        <v>38600</v>
      </c>
      <c r="F5" s="122">
        <f>'1'!F5+'2'!F5+'3'!F5+'4'!F5+'5'!F5+'6'!F5+'7'!F5+'8'!F5+'9'!F5+'10'!F5+'11'!F5+'12'!F5+'13'!F5+'14'!F5+'15'!F5+'16'!F5+'17'!F5+'18'!F5+'19'!F5+'20'!F5+'21'!F5+'22'!F5+'23'!F5+'24'!F5+'25'!F5+'26'!F5+'27'!F5+'28'!F5+'29'!F5+'30'!F5+'31'!F5</f>
        <v>48626</v>
      </c>
      <c r="G5" s="123">
        <f>'1'!G5+'2'!G5+'3'!G5+'4'!G5+'5'!G5+'6'!G5+'7'!G5+'8'!G5+'9'!G5+'10'!G5+'11'!G5+'12'!G5+'13'!G5+'14'!G5+'15'!G5+'16'!G5+'17'!G5+'18'!G5+'19'!G5+'20'!G5+'21'!G5+'22'!G5+'23'!G5+'24'!G5+'25'!G5+'26'!G5+'27'!G5+'28'!G5+'29'!G5+'30'!G5+'31'!G5</f>
        <v>43307</v>
      </c>
      <c r="H5" s="110">
        <f t="shared" ref="H5:H28" si="0">IF(F5=0,"",(F5-G5)/F5)</f>
        <v>0.10938592522518817</v>
      </c>
      <c r="I5" s="675" t="s">
        <v>33</v>
      </c>
      <c r="J5" s="676"/>
      <c r="K5" s="676"/>
      <c r="L5" s="676"/>
      <c r="M5" s="676"/>
      <c r="N5" s="676"/>
      <c r="O5" s="677"/>
      <c r="P5" s="678">
        <f>'1'!P5:Q5+'2'!P5:Q5+'3'!P5:Q5+'4'!P5:Q5+'5'!P5:Q5+'6'!P5:Q5+'7'!P5:Q5+'8'!P5:Q5+'9'!P5:Q5+'10'!P5:Q5+'11'!P5:Q5+'12'!P5:Q5+'13'!P5:Q5+'14'!P5:Q5+'15'!P5:Q5+'16'!P5:Q5+'17'!P5:Q5+'18'!P5:Q5+'19'!P5:Q5+'20'!P5:Q5+'21'!P5:Q5+'22'!P5:Q5+'23'!P5:Q5+'24'!P5:Q5+'25'!P5:Q5+'26'!P5:Q5+'27'!P5:Q5+'28'!P5:Q5+'29'!P5:Q5+'30'!P5:Q5+'31'!P5:Q5</f>
        <v>47.323999999999998</v>
      </c>
      <c r="Q5" s="679"/>
      <c r="R5" s="680">
        <f>'1'!R5:S5+'2'!R5:S5+'3'!R5:S5+'4'!R5:S5+'5'!R5:S5+'6'!R5:S5+'7'!R5:S5+'8'!R5:S5+'9'!R5:S5+'10'!R5:S5+'11'!R5:S5+'12'!R5:S5+'13'!R5:S5+'14'!R5:S5+'15'!R5:S5+'16'!R5:S5+'17'!R5:S5+'18'!R5:S5+'19'!R5:S5+'20'!R5:S5+'21'!R5:S5+'22'!R5:S5+'23'!R5:S5+'24'!R5:S5+'25'!R5:S5+'26'!R5:S5+'27'!R5:S5+'28'!R5:S5+'29'!R5:S5+'30'!R5:S5+'31'!R5:S5</f>
        <v>162.09299999999999</v>
      </c>
      <c r="S5" s="679"/>
      <c r="T5" s="681">
        <f>'1'!T5:U5+'2'!T5:U5+'3'!T5:U5+'4'!T5:U5+'5'!T5:U5+'6'!T5:U5+'7'!T5:U5+'8'!T5:U5+'9'!T5:U5+'10'!T5:U5+'11'!T5:U5+'12'!T5:U5+'13'!T5:U5+'14'!T5:U5+'15'!T5:U5+'16'!T5:U5+'17'!T5:U5+'18'!T5:U5+'19'!T5:U5+'20'!T5:U5+'21'!T5:U5+'22'!T5:U5+'23'!T5:U5+'24'!T5:U5+'25'!T5:U5+'26'!T5:U5+'27'!T5:U5+'28'!T5:U5+'29'!T5:U5+'30'!T5:U5+'31'!T5:U5</f>
        <v>16.277999999999999</v>
      </c>
      <c r="U5" s="682"/>
      <c r="V5" s="680">
        <f>'1'!V5:W5+'2'!V5:W5+'3'!V5:W5+'4'!V5:W5+'5'!V5:W5+'6'!V5:W5+'7'!V5:W5+'8'!V5:W5+'9'!V5:W5+'10'!V5:W5+'11'!V5:W5+'12'!V5:W5+'13'!V5:W5+'14'!V5:W5+'15'!V5:W5+'16'!V5:W5+'17'!V5:W5+'18'!V5:W5+'19'!V5:W5+'20'!V5:W5+'21'!V5:W5+'22'!V5:W5+'23'!V5:W5+'24'!V5:W5+'25'!V5:W5+'26'!V5:W5+'27'!V5:W5+'28'!V5:W5+'29'!V5:W5+'30'!V5:W5+'31'!V5:W5</f>
        <v>415.47300000000001</v>
      </c>
      <c r="W5" s="679"/>
      <c r="X5" s="681">
        <f>'1'!X5:Y5+'2'!X5:Y5+'3'!X5:Y5+'4'!X5:Y5+'5'!X5:Y5+'6'!X5:Y5+'7'!X5:Y5+'8'!X5:Y5+'9'!X5:Y5+'10'!X5:Y5+'11'!X5:Y5+'12'!X5:Y5+'13'!X5:Y5+'14'!X5:Y5+'15'!X5:Y5+'16'!X5:Y5+'17'!X5:Y5+'18'!X5:Y5+'19'!X5:Y5+'20'!X5:Y5+'21'!X5:Y5+'22'!X5:Y5+'23'!X5:Y5+'24'!X5:Y5+'25'!X5:Y5+'26'!X5:Y5+'27'!X5:Y5+'28'!X5:Y5+'29'!X5:Y5+'30'!X5:Y5+'31'!X5:Y5</f>
        <v>9.0990000000000002</v>
      </c>
      <c r="Y5" s="682"/>
      <c r="Z5" s="687">
        <f>'1'!Z5:AA5+'2'!Z5:AA5+'3'!Z5:AA5+'4'!Z5:AA5+'5'!Z5:AA5+'6'!Z5:AA5+'7'!Z5:AA5+'8'!Z5:AA5+'9'!Z5:AA5+'10'!Z5:AA5+'11'!Z5:AA5+'12'!Z5:AA5+'13'!Z5:AA5+'14'!Z5:AA5+'15'!Z5:AA5+'16'!Z5:AA5+'17'!Z5:AA5+'18'!Z5:AA5+'19'!Z5:AA5+'20'!Z5:AA5+'21'!Z5:AA5+'22'!Z5:AA5+'23'!Z5:AA5+'24'!Z5:AA5+'25'!Z5:AA5+'26'!Z5:AA5+'27'!Z5:AA5+'28'!Z5:AA5+'29'!Z5:AA5+'30'!Z5:AA5+'31'!Z5:AA5</f>
        <v>6167</v>
      </c>
      <c r="AA5" s="912"/>
      <c r="AB5" s="913">
        <f>'1'!AB5:AC5+'2'!AB5:AC5+'3'!AB5:AC5+'4'!AB5:AC5+'5'!AB5:AC5+'6'!AB5:AC5+'7'!AB5:AC5+'8'!AB5:AC5+'9'!AB5:AC5+'10'!AB5:AC5+'11'!AB5:AC5+'12'!AB5:AC5+'13'!AB5:AC5+'14'!AB5:AC5+'15'!AB5:AC5+'16'!AB5:AC5+'17'!AB5:AC5+'18'!AB5:AC5+'19'!AB5:AC5+'20'!AB5:AC5+'21'!AB5:AC5+'22'!AB5:AC5+'23'!AB5:AC5+'24'!AB5:AC5+'25'!AB5:AC5+'26'!AB5:AC5+'27'!AB5:AC5+'28'!AB5:AC5+'29'!AB5:AC5+'30'!AB5:AC5+'31'!AB5:AC5</f>
        <v>866</v>
      </c>
      <c r="AC5" s="914"/>
      <c r="AD5" s="689">
        <f>SUM(AF5:AK5)*0.025</f>
        <v>33.475000000000001</v>
      </c>
      <c r="AE5" s="689"/>
      <c r="AF5" s="674">
        <f>'1'!AF5:AG5+'2'!AF5:AG5+'3'!AF5:AG5+'4'!AF5:AG5+'5'!AF5:AG5+'6'!AF5:AG5+'7'!AF5:AG5+'8'!AF5:AG5+'9'!AF5:AG5+'10'!AF5:AG5+'11'!AF5:AG5+'12'!AF5:AG5+'13'!AF5:AG5+'14'!AF5:AG5+'15'!AF5:AG5+'16'!AF5:AG5+'17'!AF5:AG5+'18'!AF5:AG5+'19'!AF5:AG5+'20'!AF5:AG5+'21'!AF5:AG5+'22'!AF5:AG5+'23'!AF5:AG5+'24'!AF5:AG5+'25'!AF5:AG5+'26'!AF5:AG5+'27'!AF5:AG5+'28'!AF5:AG5+'29'!AF5:AG5+'30'!AF5:AG5+'31'!AF5:AG5</f>
        <v>1339</v>
      </c>
      <c r="AG5" s="674"/>
      <c r="AH5" s="674">
        <f>'1'!AH5:AI5+'32'!AH5:AI5+'2'!AH5:AI5+'3'!AH5:AI5+'4'!AH5:AI5+'5'!AH5:AI5+'6'!AH5:AI5+'8'!AH5:AI5+'9'!AH5:AI5+'7'!AH5:AI5+'11'!AH5:AI5+'12'!AH5:AI5+'13'!AH5:AI5+'14'!AH5:AI5+'15'!AH5:AI5+'16'!AH5:AI5+'17'!AH5:AI5+'18'!AH5:AI5+'19'!AH5:AI5+'20'!AH5:AI5+'21'!AH5:AI5+'22'!AH5:AI5+'23'!AH5:AI5+'24'!AH5:AI5+'25'!AH5:AI5+'26'!AH5:AI5+'27'!AH5:AI5+'28'!AH5:AI5+'29'!AH5:AI5+'30'!AH5:AI5+'31'!AH5:AI5</f>
        <v>0</v>
      </c>
      <c r="AI5" s="674"/>
      <c r="AJ5" s="629">
        <f>'1'!AJ5:AK5+'32'!AJ5:AK5+'2'!AJ5:AK5+'3'!AJ5:AK5+'4'!AJ5:AK5+'5'!AJ5:AK5+'6'!AJ5:AK5+'8'!AJ5:AK5+'9'!AJ5:AK5+'7'!AJ5:AK5+'11'!AJ5:AK5+'12'!AJ5:AK5+'13'!AJ5:AK5+'14'!AJ5:AK5+'15'!AJ5:AK5+'16'!AJ5:AK5+'17'!AJ5:AK5+'18'!AJ5:AK5+'19'!AJ5:AK5+'20'!AJ5:AK5+'21'!AJ5:AK5+'22'!AJ5:AK5+'23'!AJ5:AK5+'24'!AJ5:AK5+'25'!AJ5:AK5+'26'!AJ5:AK5+'27'!AJ5:AK5+'28'!AJ5:AK5+'29'!AJ5:AK5+'30'!AJ5:AK5+'31'!AJ5:AK5</f>
        <v>0</v>
      </c>
      <c r="AK5" s="630"/>
    </row>
    <row r="6" spans="1:39" ht="20.25" customHeight="1">
      <c r="A6" s="34">
        <v>1</v>
      </c>
      <c r="B6" s="120"/>
      <c r="C6" s="129" t="s">
        <v>75</v>
      </c>
      <c r="D6" s="124"/>
      <c r="E6" s="125">
        <f>'1'!E6+'2'!E6+'3'!E6+'4'!E6+'5'!E6+'6'!E6+'7'!E6+'8'!E6+'9'!E6+'10'!E6+'11'!E6+'12'!E6+'13'!E6+'14'!E6+'15'!E6+'16'!E6+'17'!E6+'18'!E6+'19'!E6+'20'!E6+'21'!E6+'22'!E6+'23'!E6+'24'!E6+'25'!E6+'26'!E6+'27'!E6+'28'!E6+'29'!E6+'30'!E6+'31'!E6</f>
        <v>190</v>
      </c>
      <c r="F6" s="125">
        <f>'1'!F6+'2'!F6+'3'!F6+'4'!F6+'5'!F6+'6'!F6+'7'!F6+'8'!F6+'9'!F6+'10'!F6+'11'!F6+'12'!F6+'13'!F6+'14'!F6+'15'!F6+'16'!F6+'17'!F6+'18'!F6+'19'!F6+'20'!F6+'21'!F6+'22'!F6+'23'!F6+'24'!F6+'25'!F6+'26'!F6+'27'!F6+'28'!F6+'29'!F6+'30'!F6+'31'!F6</f>
        <v>797</v>
      </c>
      <c r="G6" s="126">
        <f>'1'!G6+'2'!G6+'3'!G6+'4'!G6+'5'!G6+'6'!G6+'7'!G6+'8'!G6+'9'!G6+'10'!G6+'11'!G6+'12'!G6+'13'!G6+'14'!G6+'15'!G6+'16'!G6+'17'!G6+'18'!G6+'19'!G6+'20'!G6+'21'!G6+'22'!G6+'23'!G6+'24'!G6+'25'!G6+'26'!G6+'27'!G6+'28'!G6+'29'!G6+'30'!G6+'31'!G6</f>
        <v>797</v>
      </c>
      <c r="H6" s="111">
        <f t="shared" si="0"/>
        <v>0</v>
      </c>
      <c r="I6" s="635" t="s">
        <v>34</v>
      </c>
      <c r="J6" s="636"/>
      <c r="K6" s="636"/>
      <c r="L6" s="636"/>
      <c r="M6" s="636"/>
      <c r="N6" s="636"/>
      <c r="O6" s="637"/>
      <c r="P6" s="672">
        <f>IF($F$15=0,0,P5*1000/$F$15)</f>
        <v>0.23003859577488067</v>
      </c>
      <c r="Q6" s="673"/>
      <c r="R6" s="673">
        <f>IF($F$15=0,0,R5*1000/$F$15)</f>
        <v>0.78792253623822439</v>
      </c>
      <c r="S6" s="673"/>
      <c r="T6" s="673">
        <f>IF($F$15=0,0,T5*1000/$F$15)</f>
        <v>7.9126199434187874E-2</v>
      </c>
      <c r="U6" s="673"/>
      <c r="V6" s="673">
        <f>IF($F$15=0,0,V5*1000/$F$15)</f>
        <v>2.0195846822410828</v>
      </c>
      <c r="W6" s="673"/>
      <c r="X6" s="673">
        <f>IF($F$15=0,0,X5*1000/$F$15)</f>
        <v>4.4229591390322863E-2</v>
      </c>
      <c r="Y6" s="673"/>
      <c r="Z6" s="673">
        <f>IF($F$15=0,0,Z5*1000/$F$15)</f>
        <v>29.977348071669535</v>
      </c>
      <c r="AA6" s="673"/>
      <c r="AB6" s="632">
        <f>IF($F$15=0,0,AB5*1000/$F$15)</f>
        <v>4.2095643635585889</v>
      </c>
      <c r="AC6" s="632"/>
      <c r="AD6" s="632">
        <f>IF($F$15=0,0,AD5*1000/$F$15)</f>
        <v>0.1627195924597272</v>
      </c>
      <c r="AE6" s="632"/>
      <c r="AF6" s="915">
        <f>IF(AF5=0,0,F15/AF5)</f>
        <v>153.63853622106049</v>
      </c>
      <c r="AG6" s="916"/>
      <c r="AH6" s="627">
        <f>IF($F$15=0,0,AH5*1000/$F$15)</f>
        <v>0</v>
      </c>
      <c r="AI6" s="671"/>
      <c r="AJ6" s="627">
        <f>IF($F$15=0,0,AJ5*1000/$F$15)</f>
        <v>0</v>
      </c>
      <c r="AK6" s="628"/>
    </row>
    <row r="7" spans="1:39" ht="20.25" customHeight="1">
      <c r="A7" s="35"/>
      <c r="B7" s="120" t="str">
        <f>IF(ISBLANK([1]Data!I27),"",[1]Data!I27)</f>
        <v/>
      </c>
      <c r="C7" s="129" t="s">
        <v>76</v>
      </c>
      <c r="D7" s="124"/>
      <c r="E7" s="125">
        <f>'1'!E7+'2'!E7+'3'!E7+'4'!E7+'5'!E7+'6'!E7+'7'!E7+'8'!E7+'9'!E7+'10'!E7+'11'!E7+'12'!E7+'13'!E7+'14'!E7+'15'!E7+'16'!E7+'17'!E7+'18'!E7+'19'!E7+'20'!E7+'21'!E7+'22'!E7+'23'!E7+'24'!E7+'25'!E7+'26'!E7+'27'!E7+'28'!E7+'29'!E7+'30'!E7+'31'!E7</f>
        <v>82380</v>
      </c>
      <c r="F7" s="125">
        <f>'1'!F7+'2'!F7+'3'!F7+'4'!F7+'5'!F7+'6'!F7+'7'!F7+'8'!F7+'9'!F7+'10'!F7+'11'!F7+'12'!F7+'13'!F7+'14'!F7+'15'!F7+'16'!F7+'17'!F7+'18'!F7+'19'!F7+'20'!F7+'21'!F7+'22'!F7+'23'!F7+'24'!F7+'25'!F7+'26'!F7+'27'!F7+'28'!F7+'29'!F7+'30'!F7+'31'!F7</f>
        <v>108645</v>
      </c>
      <c r="G7" s="126">
        <f>'1'!G7+'2'!G7+'3'!G7+'4'!G7+'5'!G7+'6'!G7+'7'!G7+'8'!G7+'9'!G7+'10'!G7+'11'!G7+'12'!G7+'13'!G7+'14'!G7+'15'!G7+'16'!G7+'17'!G7+'18'!G7+'19'!G7+'20'!G7+'21'!G7+'22'!G7+'23'!G7+'24'!G7+'25'!G7+'26'!G7+'27'!G7+'28'!G7+'29'!G7+'30'!G7+'31'!G7</f>
        <v>97451</v>
      </c>
      <c r="H7" s="111">
        <f t="shared" si="0"/>
        <v>0.10303281329099361</v>
      </c>
      <c r="I7" s="635" t="s">
        <v>35</v>
      </c>
      <c r="J7" s="636"/>
      <c r="K7" s="636"/>
      <c r="L7" s="636"/>
      <c r="M7" s="636"/>
      <c r="N7" s="636"/>
      <c r="O7" s="637"/>
      <c r="P7" s="638">
        <f>IF($G$15=0,0,P5*1000/$G$15)</f>
        <v>0.25536231727650943</v>
      </c>
      <c r="Q7" s="639"/>
      <c r="R7" s="639">
        <f>IF($G$15=0,0,R5*1000/$G$15)</f>
        <v>0.87466072382514659</v>
      </c>
      <c r="S7" s="639"/>
      <c r="T7" s="639">
        <f>IF($G$15=0,0,T5*1000/$G$15)</f>
        <v>8.7836780505177486E-2</v>
      </c>
      <c r="U7" s="639"/>
      <c r="V7" s="639">
        <f>IF($G$15=0,0,V5*1000/$G$15)</f>
        <v>2.2419099832183078</v>
      </c>
      <c r="W7" s="639"/>
      <c r="X7" s="639">
        <f>IF($G$15=0,0,X5*1000/$G$15)</f>
        <v>4.9098591093292177E-2</v>
      </c>
      <c r="Y7" s="639"/>
      <c r="Z7" s="639">
        <f>IF($G$15=0,0,Z5*1000/$G$15)</f>
        <v>33.277394358977126</v>
      </c>
      <c r="AA7" s="639"/>
      <c r="AB7" s="632">
        <f>IF($G$15=0,0,AB5*1000/$G$15)</f>
        <v>4.6729728417178844</v>
      </c>
      <c r="AC7" s="632"/>
      <c r="AD7" s="632">
        <f>IF($G$15=0,0,AD5*1000/$G$15)</f>
        <v>0.18063252410682007</v>
      </c>
      <c r="AE7" s="632"/>
      <c r="AF7" s="915">
        <f>IF(AF5=0,0,G15/AF5)</f>
        <v>138.40253920836446</v>
      </c>
      <c r="AG7" s="916"/>
      <c r="AH7" s="627">
        <f>IF($G$15=0,0,AH5*1000/$G$15)</f>
        <v>0</v>
      </c>
      <c r="AI7" s="671"/>
      <c r="AJ7" s="627">
        <f>IF($G$15=0,0,AJ5*1000/$G$15)</f>
        <v>0</v>
      </c>
      <c r="AK7" s="628"/>
    </row>
    <row r="8" spans="1:39" ht="20.25" customHeight="1">
      <c r="A8" s="35"/>
      <c r="B8" s="120"/>
      <c r="C8" s="129" t="s">
        <v>77</v>
      </c>
      <c r="D8" s="124"/>
      <c r="E8" s="125">
        <f>'1'!E8+'2'!E8+'3'!E8+'4'!E8+'5'!E8+'6'!E8+'7'!E8+'8'!E8+'9'!E8+'10'!E8+'11'!E8+'12'!E8+'13'!E8+'14'!E8+'15'!E8+'16'!E8+'17'!E8+'18'!E8+'19'!E8+'20'!E8+'21'!E8+'22'!E8+'23'!E8+'24'!E8+'25'!E8+'26'!E8+'27'!E8+'28'!E8+'29'!E8+'30'!E8+'31'!E8</f>
        <v>11600</v>
      </c>
      <c r="F8" s="125">
        <f>'1'!F8+'2'!F8+'3'!F8+'4'!F8+'5'!F8+'6'!F8+'7'!F8+'8'!F8+'9'!F8+'10'!F8+'11'!F8+'12'!F8+'13'!F8+'14'!F8+'15'!F8+'16'!F8+'17'!F8+'18'!F8+'19'!F8+'20'!F8+'21'!F8+'22'!F8+'23'!F8+'24'!F8+'25'!F8+'26'!F8+'27'!F8+'28'!F8+'29'!F8+'30'!F8+'31'!F8</f>
        <v>14196</v>
      </c>
      <c r="G8" s="126">
        <f>'1'!G8+'2'!G8+'3'!G8+'4'!G8+'5'!G8+'6'!G8+'7'!G8+'8'!G8+'9'!G8+'10'!G8+'11'!G8+'12'!G8+'13'!G8+'14'!G8+'15'!G8+'16'!G8+'17'!G8+'18'!G8+'19'!G8+'20'!G8+'21'!G8+'22'!G8+'23'!G8+'24'!G8+'25'!G8+'26'!G8+'27'!G8+'28'!G8+'29'!G8+'30'!G8+'31'!G8</f>
        <v>12777</v>
      </c>
      <c r="H8" s="111">
        <f t="shared" si="0"/>
        <v>9.9957734573119184E-2</v>
      </c>
      <c r="I8" s="691" t="s">
        <v>64</v>
      </c>
      <c r="J8" s="692"/>
      <c r="K8" s="692"/>
      <c r="L8" s="692"/>
      <c r="M8" s="692"/>
      <c r="N8" s="692"/>
      <c r="O8" s="693"/>
      <c r="P8" s="631">
        <f>'1'!P8:Q8+'32'!P8:Q8+'2'!P8:Q8+'3'!P8:Q8+'4'!P8:Q8+'5'!P8:Q8+'6'!P8:Q8+'8'!P8:Q8+'9'!P8:Q8+'7'!P8:Q8+'11'!P8:Q8+'12'!P8:Q8+'13'!P8:Q8+'14'!P8:Q8+'15'!P8:Q8+'16'!P8:Q8+'17'!P8:Q8+'18'!P8:Q8+'19'!P8:Q8+'20'!P8:Q8+'21'!P8:Q8+'22'!P8:Q8+'23'!P8:Q8+'24'!P8:Q8+'25'!P8:Q8+'26'!P8:Q8+'27'!P8:Q8+'28'!P8:Q8+'29'!P8:Q8+'30'!P8:Q8+'31'!P8:Q8</f>
        <v>2296</v>
      </c>
      <c r="Q8" s="632"/>
      <c r="R8" s="633"/>
      <c r="S8" s="634"/>
      <c r="T8" s="634"/>
      <c r="U8" s="634"/>
      <c r="V8" s="634"/>
      <c r="W8" s="634"/>
      <c r="X8" s="634"/>
      <c r="Y8" s="634"/>
      <c r="Z8" s="634"/>
      <c r="AA8" s="634"/>
      <c r="AB8" s="667"/>
      <c r="AC8" s="633"/>
      <c r="AD8" s="667"/>
      <c r="AE8" s="633"/>
      <c r="AF8" s="668"/>
      <c r="AG8" s="669"/>
      <c r="AH8" s="668"/>
      <c r="AI8" s="669"/>
      <c r="AJ8" s="668"/>
      <c r="AK8" s="690"/>
    </row>
    <row r="9" spans="1:39" ht="20.25" customHeight="1">
      <c r="A9" s="35"/>
      <c r="B9" s="120" t="str">
        <f>IF(ISBLANK([1]Data!I27),"",[1]Data!I27)</f>
        <v/>
      </c>
      <c r="C9" s="129" t="s">
        <v>78</v>
      </c>
      <c r="D9" s="124"/>
      <c r="E9" s="125">
        <f>'1'!E9+'2'!E9+'3'!E9+'4'!E9+'5'!E9+'6'!E9+'7'!E9+'8'!E9+'9'!E9+'10'!E9+'11'!E9+'12'!E9+'13'!E9+'14'!E9+'15'!E9+'16'!E9+'17'!E9+'18'!E9+'19'!E9+'20'!E9+'21'!E9+'22'!E9+'23'!E9+'24'!E9+'25'!E9+'26'!E9+'27'!E9+'28'!E9+'29'!E9+'30'!E9+'31'!E9</f>
        <v>22200</v>
      </c>
      <c r="F9" s="125">
        <f>'1'!F9+'2'!F9+'3'!F9+'4'!F9+'5'!F9+'6'!F9+'7'!F9+'8'!F9+'9'!F9+'10'!F9+'11'!F9+'12'!F9+'13'!F9+'14'!F9+'15'!F9+'16'!F9+'17'!F9+'18'!F9+'19'!F9+'20'!F9+'21'!F9+'22'!F9+'23'!F9+'24'!F9+'25'!F9+'26'!F9+'27'!F9+'28'!F9+'29'!F9+'30'!F9+'31'!F9</f>
        <v>28210</v>
      </c>
      <c r="G9" s="126">
        <f>'1'!G9+'2'!G9+'3'!G9+'4'!G9+'5'!G9+'6'!G9+'7'!G9+'8'!G9+'9'!G9+'10'!G9+'11'!G9+'12'!G9+'13'!G9+'14'!G9+'15'!G9+'16'!G9+'17'!G9+'18'!G9+'19'!G9+'20'!G9+'21'!G9+'22'!G9+'23'!G9+'24'!G9+'25'!G9+'26'!G9+'27'!G9+'28'!G9+'29'!G9+'30'!G9+'31'!G9</f>
        <v>26267</v>
      </c>
      <c r="H9" s="111">
        <f>IF(F9=0,"",(F9-G9)/F9)</f>
        <v>6.887628500531727E-2</v>
      </c>
      <c r="I9" s="691" t="s">
        <v>65</v>
      </c>
      <c r="J9" s="692"/>
      <c r="K9" s="692"/>
      <c r="L9" s="692"/>
      <c r="M9" s="692"/>
      <c r="N9" s="692"/>
      <c r="O9" s="693"/>
      <c r="P9" s="631">
        <f>'1'!P9:Q9+'32'!P9:Q9+'2'!P9:Q9+'3'!P9:Q9+'4'!P9:Q9+'5'!P9:Q9+'6'!P9:Q9+'8'!P9:Q9+'9'!P9:Q9+'7'!P9:Q9+'11'!P9:Q9+'12'!P9:Q9+'13'!P9:Q9+'14'!P9:Q9+'15'!P9:Q9+'16'!P9:Q9+'17'!P9:Q9+'18'!P9:Q9+'19'!P9:Q9+'20'!P9:Q9+'21'!P9:Q9+'22'!P9:Q9+'23'!P9:Q9+'24'!P9:Q9+'25'!P9:Q9+'26'!P9:Q9+'27'!P9:Q9+'28'!P9:Q9+'29'!P9:Q9+'30'!P9:Q9+'31'!P9:Q9</f>
        <v>0</v>
      </c>
      <c r="Q9" s="632"/>
      <c r="R9" s="642"/>
      <c r="S9" s="640"/>
      <c r="T9" s="640"/>
      <c r="U9" s="640"/>
      <c r="V9" s="640"/>
      <c r="W9" s="640"/>
      <c r="X9" s="640"/>
      <c r="Y9" s="640"/>
      <c r="Z9" s="640"/>
      <c r="AA9" s="640"/>
      <c r="AB9" s="641"/>
      <c r="AC9" s="642"/>
      <c r="AD9" s="641"/>
      <c r="AE9" s="642"/>
      <c r="AF9" s="694"/>
      <c r="AG9" s="695"/>
      <c r="AH9" s="694"/>
      <c r="AI9" s="695"/>
      <c r="AJ9" s="694"/>
      <c r="AK9" s="696"/>
    </row>
    <row r="10" spans="1:39" ht="20.25" customHeight="1">
      <c r="A10" s="35"/>
      <c r="B10" s="120" t="str">
        <f>IF(ISBLANK([1]Data!I28),"",[1]Data!I28)</f>
        <v/>
      </c>
      <c r="C10" s="129" t="s">
        <v>79</v>
      </c>
      <c r="D10" s="124"/>
      <c r="E10" s="125">
        <f>'1'!E10+'2'!E10+'3'!E10+'4'!E10+'5'!E10+'6'!E10+'7'!E10+'8'!E10+'9'!E10+'10'!E10+'11'!E10+'12'!E10+'13'!E10+'14'!E10+'15'!E10+'16'!E10+'17'!E10+'18'!E10+'19'!E10+'20'!E10+'21'!E10+'22'!E10+'23'!E10+'24'!E10+'25'!E10+'26'!E10+'27'!E10+'28'!E10+'29'!E10+'30'!E10+'31'!E10</f>
        <v>4000</v>
      </c>
      <c r="F10" s="125">
        <f>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3495</v>
      </c>
      <c r="G10" s="126">
        <f>'1'!G10+'2'!G10+'3'!G10+'4'!G10+'5'!G10+'6'!G10+'7'!G10+'8'!G10+'9'!G10+'10'!G10+'11'!G10+'12'!G10+'13'!G10+'14'!G10+'15'!G10+'16'!G10+'17'!G10+'18'!G10+'19'!G10+'20'!G10+'21'!G10+'22'!G10+'23'!G10+'24'!G10+'25'!G10+'26'!G10+'27'!G10+'28'!G10+'29'!G10+'30'!G10+'31'!G10</f>
        <v>3106</v>
      </c>
      <c r="H10" s="111">
        <f>IF(F10=0,"",(F10-G10)/F10)</f>
        <v>0.11130185979971388</v>
      </c>
      <c r="I10" s="691" t="s">
        <v>66</v>
      </c>
      <c r="J10" s="692"/>
      <c r="K10" s="692"/>
      <c r="L10" s="692"/>
      <c r="M10" s="692"/>
      <c r="N10" s="692"/>
      <c r="O10" s="693"/>
      <c r="P10" s="697">
        <f>'1'!P10:Q10+'32'!P10:Q10+'2'!P10:Q10+'3'!P10:Q10+'4'!P10:Q10+'5'!P10:Q10+'6'!P10:Q10+'8'!P10:Q10+'9'!P10:Q10+'7'!P10:Q10+'11'!P10:Q10+'12'!P10:Q10+'13'!P10:Q10+'14'!P10:Q10+'15'!P10:Q10+'16'!P10:Q10+'17'!P10:Q10+'18'!P10:Q10+'19'!P10:Q10+'20'!P10:Q10+'21'!P10:Q10+'22'!P10:Q10+'23'!P10:Q10+'24'!P10:Q10+'25'!P10:Q10+'26'!P10:Q10+'27'!P10:Q10+'28'!P10:Q10+'29'!P10:Q10+'30'!P10:Q10+'31'!P10:Q10</f>
        <v>0</v>
      </c>
      <c r="Q10" s="698"/>
      <c r="R10" s="642"/>
      <c r="S10" s="640"/>
      <c r="T10" s="640"/>
      <c r="U10" s="640"/>
      <c r="V10" s="640"/>
      <c r="W10" s="640"/>
      <c r="X10" s="640"/>
      <c r="Y10" s="640"/>
      <c r="Z10" s="640"/>
      <c r="AA10" s="640"/>
      <c r="AB10" s="641"/>
      <c r="AC10" s="642"/>
      <c r="AD10" s="641"/>
      <c r="AE10" s="642"/>
      <c r="AF10" s="694"/>
      <c r="AG10" s="695"/>
      <c r="AH10" s="694"/>
      <c r="AI10" s="695"/>
      <c r="AJ10" s="694"/>
      <c r="AK10" s="696"/>
    </row>
    <row r="11" spans="1:39" ht="20.25" customHeight="1">
      <c r="A11" s="35"/>
      <c r="B11" s="120" t="str">
        <f>IF(ISBLANK([1]Data!I29),"",[1]Data!I29)</f>
        <v/>
      </c>
      <c r="C11" s="129" t="s">
        <v>80</v>
      </c>
      <c r="D11" s="124"/>
      <c r="E11" s="125">
        <f>'1'!E11+'2'!E11+'3'!E11+'4'!E11+'5'!E11+'6'!E11+'7'!E11+'8'!E11+'9'!E11+'10'!E11+'11'!E11+'12'!E11+'13'!E11+'14'!E11+'15'!E11+'16'!E11+'17'!E11+'18'!E11+'19'!E11+'20'!E11+'21'!E11+'22'!E11+'23'!E11+'24'!E11+'25'!E11+'26'!E11+'27'!E11+'28'!E11+'29'!E11+'30'!E11+'31'!E11</f>
        <v>1500</v>
      </c>
      <c r="F11" s="125">
        <f>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1753</v>
      </c>
      <c r="G11" s="126">
        <f>'1'!G11+'2'!G11+'3'!G11+'4'!G11+'5'!G11+'6'!G11+'7'!G11+'8'!G11+'9'!G11+'10'!G11+'11'!G11+'12'!G11+'13'!G11+'14'!G11+'15'!G11+'16'!G11+'17'!G11+'18'!G11+'19'!G11+'20'!G11+'21'!G11+'22'!G11+'23'!G11+'24'!G11+'25'!G11+'26'!G11+'27'!G11+'28'!G11+'29'!G11+'30'!G11+'31'!G11</f>
        <v>1616</v>
      </c>
      <c r="H11" s="111">
        <f>IF(F11=0,"",(F11-G11)/F11)</f>
        <v>7.8151739874500858E-2</v>
      </c>
      <c r="I11" s="691" t="s">
        <v>67</v>
      </c>
      <c r="J11" s="692"/>
      <c r="K11" s="692"/>
      <c r="L11" s="692"/>
      <c r="M11" s="692"/>
      <c r="N11" s="692"/>
      <c r="O11" s="693"/>
      <c r="P11" s="631">
        <f>'1'!P11:Q11+'32'!P11:Q11+'2'!P11:Q11+'3'!P11:Q11+'4'!P11:Q11+'5'!P11:Q11+'6'!P11:Q11+'8'!P11:Q11+'9'!P11:Q11+'7'!P11:Q11+'11'!P11:Q11+'12'!P11:Q11+'13'!P11:Q11+'14'!P11:Q11+'15'!P11:Q11+'16'!P11:Q11+'17'!P11:Q11+'18'!P11:Q11+'19'!P11:Q11+'20'!P11:Q11+'21'!P11:Q11+'22'!P11:Q11+'23'!P11:Q11+'24'!P11:Q11+'25'!P11:Q11+'26'!P11:Q11+'27'!P11:Q11+'28'!P11:Q11+'29'!P11:Q11+'30'!P11:Q11+'31'!P11:Q11</f>
        <v>0</v>
      </c>
      <c r="Q11" s="632"/>
      <c r="R11" s="642"/>
      <c r="S11" s="640"/>
      <c r="T11" s="640"/>
      <c r="U11" s="640"/>
      <c r="V11" s="640"/>
      <c r="W11" s="640"/>
      <c r="X11" s="640"/>
      <c r="Y11" s="640"/>
      <c r="Z11" s="640"/>
      <c r="AA11" s="640"/>
      <c r="AB11" s="641"/>
      <c r="AC11" s="642"/>
      <c r="AD11" s="641"/>
      <c r="AE11" s="642"/>
      <c r="AF11" s="694"/>
      <c r="AG11" s="695"/>
      <c r="AH11" s="694"/>
      <c r="AI11" s="695"/>
      <c r="AJ11" s="694"/>
      <c r="AK11" s="696"/>
    </row>
    <row r="12" spans="1:39" ht="20.25" customHeight="1">
      <c r="A12" s="35"/>
      <c r="B12" s="120" t="str">
        <f>IF(ISBLANK([1]Data!I30),"",[1]Data!I30)</f>
        <v/>
      </c>
      <c r="C12" s="129" t="s">
        <v>63</v>
      </c>
      <c r="D12" s="124"/>
      <c r="E12" s="125">
        <f>'1'!E12+'2'!E12+'3'!E12+'4'!E12+'5'!E12+'6'!E12+'7'!E12+'8'!E12+'9'!E12+'10'!E12+'11'!E12+'12'!E12+'13'!E12+'14'!E12+'15'!E12+'16'!E12+'17'!E12+'18'!E12+'19'!E12+'20'!E12+'21'!E12+'22'!E12+'23'!E12+'24'!E12+'25'!E12+'26'!E12+'27'!E12+'28'!E12+'29'!E12+'30'!E12+'31'!E12</f>
        <v>0</v>
      </c>
      <c r="F12" s="125">
        <f>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126">
        <f>'1'!G12+'2'!G12+'3'!G12+'4'!G12+'5'!G12+'6'!G12+'7'!G12+'8'!G12+'9'!G12+'10'!G12+'11'!G12+'12'!G12+'13'!G12+'14'!G12+'15'!G12+'16'!G12+'17'!G12+'18'!G12+'19'!G12+'20'!G12+'21'!G12+'22'!G12+'23'!G12+'24'!G12+'25'!G12+'26'!G12+'27'!G12+'28'!G12+'29'!G12+'30'!G12+'31'!G12</f>
        <v>0</v>
      </c>
      <c r="H12" s="111" t="str">
        <f>IF(F12=0,"",(F12-G12)/F12)</f>
        <v/>
      </c>
      <c r="I12" s="699" t="s">
        <v>68</v>
      </c>
      <c r="J12" s="700"/>
      <c r="K12" s="700"/>
      <c r="L12" s="700"/>
      <c r="M12" s="700"/>
      <c r="N12" s="700"/>
      <c r="O12" s="701"/>
      <c r="P12" s="697">
        <f>'1'!P12:Q12+'32'!P12:Q12+'2'!P12:Q12+'3'!P12:Q12+'4'!P12:Q12+'5'!P12:Q12+'6'!P12:Q12+'8'!P12:Q12+'9'!P12:Q12+'7'!P12:Q12+'11'!P12:Q12+'12'!P12:Q12+'13'!P12:Q12+'14'!P12:Q12+'15'!P12:Q12+'16'!P12:Q12+'17'!P12:Q12+'18'!P12:Q12+'19'!P12:Q12+'20'!P12:Q12+'21'!P12:Q12+'22'!P12:Q12+'23'!P12:Q12+'24'!P12:Q12+'25'!P12:Q12+'26'!P12:Q12+'27'!P12:Q12+'28'!P12:Q12+'29'!P12:Q12+'30'!P12:Q12+'31'!P12:Q12</f>
        <v>773</v>
      </c>
      <c r="Q12" s="698"/>
      <c r="R12" s="642"/>
      <c r="S12" s="640"/>
      <c r="T12" s="640"/>
      <c r="U12" s="640"/>
      <c r="V12" s="640"/>
      <c r="W12" s="640"/>
      <c r="X12" s="640"/>
      <c r="Y12" s="640"/>
      <c r="Z12" s="640"/>
      <c r="AA12" s="640"/>
      <c r="AB12" s="641"/>
      <c r="AC12" s="642"/>
      <c r="AD12" s="641"/>
      <c r="AE12" s="642"/>
      <c r="AF12" s="694"/>
      <c r="AG12" s="695"/>
      <c r="AH12" s="694"/>
      <c r="AI12" s="695"/>
      <c r="AJ12" s="694"/>
      <c r="AK12" s="696"/>
    </row>
    <row r="13" spans="1:39" ht="20.25" customHeight="1">
      <c r="A13" s="35"/>
      <c r="B13" s="120" t="str">
        <f>IF(ISBLANK([1]Data!I29),"",[1]Data!I29)</f>
        <v/>
      </c>
      <c r="C13" s="129" t="s">
        <v>81</v>
      </c>
      <c r="D13" s="124"/>
      <c r="E13" s="125">
        <f>'1'!E13+'2'!E13+'3'!E13+'4'!E13+'5'!E13+'6'!E13+'7'!E13+'8'!E13+'9'!E13+'10'!E13+'11'!E13+'12'!E13+'13'!E13+'14'!E13+'15'!E13+'16'!E13+'17'!E13+'18'!E13+'19'!E13+'20'!E13+'21'!E13+'22'!E13+'23'!E13+'24'!E13+'25'!E13+'26'!E13+'27'!E13+'28'!E13+'29'!E13+'30'!E13+'31'!E13</f>
        <v>0</v>
      </c>
      <c r="F13" s="125">
        <f>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126">
        <f>'1'!G13+'2'!G13+'3'!G13+'4'!G13+'5'!G13+'6'!G13+'7'!G13+'8'!G13+'9'!G13+'10'!G13+'11'!G13+'12'!G13+'13'!G13+'14'!G13+'15'!G13+'16'!G13+'17'!G13+'18'!G13+'19'!G13+'20'!G13+'21'!G13+'22'!G13+'23'!G13+'24'!G13+'25'!G13+'26'!G13+'27'!G13+'28'!G13+'29'!G13+'30'!G13+'31'!G13</f>
        <v>0</v>
      </c>
      <c r="H13" s="189" t="str">
        <f t="shared" si="0"/>
        <v/>
      </c>
      <c r="I13" s="710" t="s">
        <v>69</v>
      </c>
      <c r="J13" s="711"/>
      <c r="K13" s="711"/>
      <c r="L13" s="711"/>
      <c r="M13" s="711"/>
      <c r="N13" s="711"/>
      <c r="O13" s="712"/>
      <c r="P13" s="713">
        <f>F15/P12</f>
        <v>266.13454075032342</v>
      </c>
      <c r="Q13" s="714"/>
      <c r="R13" s="715"/>
      <c r="S13" s="716"/>
      <c r="T13" s="702"/>
      <c r="U13" s="702"/>
      <c r="V13" s="717"/>
      <c r="W13" s="717"/>
      <c r="X13" s="718"/>
      <c r="Y13" s="718"/>
      <c r="Z13" s="702"/>
      <c r="AA13" s="702"/>
      <c r="AB13" s="702"/>
      <c r="AC13" s="702"/>
      <c r="AD13" s="703"/>
      <c r="AE13" s="703"/>
      <c r="AF13" s="705"/>
      <c r="AG13" s="705"/>
      <c r="AH13" s="703"/>
      <c r="AI13" s="703"/>
      <c r="AJ13" s="705"/>
      <c r="AK13" s="706"/>
    </row>
    <row r="14" spans="1:39" ht="20.25" customHeight="1" thickBot="1">
      <c r="A14" s="192"/>
      <c r="B14" s="193"/>
      <c r="C14" s="195" t="s">
        <v>82</v>
      </c>
      <c r="D14" s="194"/>
      <c r="E14" s="211">
        <f>'1'!E14+'2'!E14+'3'!E14+'4'!E14+'5'!E14+'6'!E14+'7'!E14+'8'!E14+'9'!E14+'10'!E14+'11'!E14+'12'!E14+'13'!E14+'14'!E14+'15'!E14+'16'!E14+'17'!E14+'18'!E14+'19'!E14+'20'!E14+'21'!E14+'22'!E14+'23'!E14+'24'!E14+'25'!E14+'26'!E14+'27'!E14+'28'!E14+'29'!E14+'30'!E14+'31'!E14</f>
        <v>0</v>
      </c>
      <c r="F14" s="211">
        <f>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211">
        <f>'1'!G14+'2'!G14+'3'!G14+'4'!G14+'5'!G14+'6'!G14+'7'!G14+'8'!G14+'9'!G14+'10'!G14+'11'!G14+'12'!G14+'13'!G14+'14'!G14+'15'!G14+'16'!G14+'17'!G14+'18'!G14+'19'!G14+'20'!G14+'21'!G14+'22'!G14+'23'!G14+'24'!G14+'25'!G14+'26'!G14+'27'!G14+'28'!G14+'29'!G14+'30'!G14+'31'!G14</f>
        <v>0</v>
      </c>
      <c r="H14" s="191" t="str">
        <f t="shared" si="0"/>
        <v/>
      </c>
      <c r="I14" s="710" t="s">
        <v>72</v>
      </c>
      <c r="J14" s="711"/>
      <c r="K14" s="711"/>
      <c r="L14" s="711"/>
      <c r="M14" s="711"/>
      <c r="N14" s="711"/>
      <c r="O14" s="712"/>
      <c r="P14" s="713">
        <f>'1'!P14:Q14+'32'!P14:Q14+'2'!P14:Q14+'3'!P14:Q14+'4'!P14:Q14+'5'!P14:Q14+'6'!P14:Q14+'8'!P14:Q14+'9'!P14:Q14+'7'!P14:Q14+'11'!P14:Q14+'12'!P14:Q14+'13'!P14:Q14+'14'!P14:Q14+'15'!P14:Q14+'16'!P14:Q14+'17'!P14:Q14+'18'!P14:Q14+'19'!P14:Q14+'20'!P14:Q14+'21'!P14:Q14+'22'!P14:Q14+'23'!P14:Q14+'24'!P14:Q14+'25'!P14:Q14+'26'!P14:Q14+'27'!P14:Q14+'28'!P14:Q14+'29'!P14:Q14+'30'!P14:Q14+'31'!P14:Q14</f>
        <v>116</v>
      </c>
      <c r="Q14" s="714"/>
      <c r="R14" s="168"/>
      <c r="S14" s="168"/>
      <c r="T14" s="169"/>
      <c r="U14" s="169"/>
      <c r="V14" s="170"/>
      <c r="W14" s="170"/>
      <c r="X14" s="171"/>
      <c r="Y14" s="171"/>
      <c r="Z14" s="169"/>
      <c r="AA14" s="169"/>
      <c r="AB14" s="169"/>
      <c r="AC14" s="169"/>
      <c r="AD14" s="172"/>
      <c r="AE14" s="172"/>
      <c r="AF14" s="173"/>
      <c r="AG14" s="173"/>
      <c r="AH14" s="172"/>
      <c r="AI14" s="172"/>
      <c r="AJ14" s="173"/>
      <c r="AK14" s="174"/>
    </row>
    <row r="15" spans="1:39" ht="20.25" customHeight="1" thickBot="1">
      <c r="A15" s="787" t="s">
        <v>37</v>
      </c>
      <c r="B15" s="788"/>
      <c r="C15" s="788"/>
      <c r="D15" s="789"/>
      <c r="E15" s="204">
        <f>SUM(E5:E14)</f>
        <v>160470</v>
      </c>
      <c r="F15" s="204">
        <f>SUM(F5:F14)</f>
        <v>205722</v>
      </c>
      <c r="G15" s="204">
        <f>SUM(G5:G14)</f>
        <v>185321</v>
      </c>
      <c r="H15" s="188">
        <f>IF(F15=0,"",(F15-G15)/F15)</f>
        <v>9.9167808984940847E-2</v>
      </c>
      <c r="I15" s="719" t="s">
        <v>70</v>
      </c>
      <c r="J15" s="720"/>
      <c r="K15" s="720"/>
      <c r="L15" s="720"/>
      <c r="M15" s="720"/>
      <c r="N15" s="720"/>
      <c r="O15" s="721"/>
      <c r="P15" s="722">
        <f>F15/P14</f>
        <v>1773.4655172413793</v>
      </c>
      <c r="Q15" s="723"/>
      <c r="R15" s="724"/>
      <c r="S15" s="724"/>
      <c r="T15" s="709"/>
      <c r="U15" s="709"/>
      <c r="V15" s="709"/>
      <c r="W15" s="709"/>
      <c r="X15" s="36"/>
      <c r="Y15" s="36"/>
      <c r="Z15" s="709"/>
      <c r="AA15" s="709"/>
      <c r="AB15" s="709"/>
      <c r="AC15" s="709"/>
      <c r="AD15" s="704"/>
      <c r="AE15" s="704"/>
      <c r="AF15" s="704"/>
      <c r="AG15" s="704"/>
      <c r="AH15" s="704"/>
      <c r="AI15" s="704"/>
      <c r="AJ15" s="707"/>
      <c r="AK15" s="708"/>
    </row>
    <row r="16" spans="1:39" ht="20.25" customHeight="1">
      <c r="A16" s="37" t="s">
        <v>4</v>
      </c>
      <c r="B16" s="119"/>
      <c r="C16" s="130" t="s">
        <v>74</v>
      </c>
      <c r="D16" s="127"/>
      <c r="E16" s="122">
        <f>'1'!E16+'2'!E16+'3'!E16+'4'!E16+'5'!E16+'6'!E16+'7'!E16+'8'!E16+'9'!E16+'10'!E16+'11'!E16+'12'!E16+'13'!E16+'14'!E16+'15'!E16+'16'!E16+'17'!E16+'18'!E16+'19'!E16+'20'!E16+'21'!E16+'22'!E16+'23'!E16+'24'!E16+'25'!E16+'26'!E16+'27'!E16+'28'!E16+'29'!E16+'30'!E16+'31'!E16</f>
        <v>6200</v>
      </c>
      <c r="F16" s="122">
        <f>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6283</v>
      </c>
      <c r="G16" s="123">
        <f>'1'!G16+'2'!G16+'3'!G16+'4'!G16+'5'!G16+'6'!G16+'7'!G16+'8'!G16+'9'!G16+'10'!G16+'11'!G16+'12'!G16+'13'!G16+'14'!G16+'15'!G16+'16'!G16+'17'!G16+'18'!G16+'19'!G16+'20'!G16+'21'!G16+'22'!G16+'23'!G16+'24'!G16+'25'!G16+'26'!G16+'27'!G16+'28'!G16+'29'!G16+'30'!G16+'31'!G16</f>
        <v>5485</v>
      </c>
      <c r="H16" s="110">
        <f t="shared" si="0"/>
        <v>0.12700939041858986</v>
      </c>
      <c r="I16" s="727" t="s">
        <v>71</v>
      </c>
      <c r="J16" s="728"/>
      <c r="K16" s="728"/>
      <c r="L16" s="728"/>
      <c r="M16" s="728"/>
      <c r="N16" s="728"/>
      <c r="O16" s="729"/>
      <c r="P16" s="730">
        <f>'1'!P16:Q16+'32'!P16:Q16+'2'!P16:Q16+'3'!P16:Q16+'4'!P16:Q16+'5'!P16:Q16+'6'!P16:Q16+'8'!P16:Q16+'9'!P16:Q16+'7'!P16:Q16+'11'!P16:Q16+'12'!P16:Q16+'13'!P16:Q16+'14'!P16:Q16+'15'!P16:Q16+'16'!P16:Q16+'17'!P16:Q16+'18'!P16:Q16+'19'!P16:Q16+'20'!P16:Q16+'21'!P16:Q16+'22'!P16:Q16+'23'!P16:Q16+'24'!P16:Q16+'25'!P16:Q16+'26'!P16:Q16+'27'!P16:Q16+'28'!P16:Q16+'29'!P16:Q16+'30'!P16:Q16+'31'!P16:Q16</f>
        <v>8.0139999999999993</v>
      </c>
      <c r="Q16" s="731"/>
      <c r="R16" s="732">
        <f>'1'!R16:S16+'32'!R16:S16+'2'!R16:S16+'3'!R16:S16+'4'!R16:S16+'5'!R16:S16+'6'!R16:S16+'8'!R16:S16+'9'!R16:S16+'7'!R16:S16+'11'!R16:S16+'12'!R16:S16+'13'!R16:S16+'14'!R16:S16+'15'!R16:S16+'16'!R16:S16+'17'!R16:S16+'18'!R16:S16+'19'!R16:S16+'20'!R16:S16+'21'!R16:S16+'22'!R16:S16+'23'!R16:S16+'24'!R16:S16+'25'!R16:S16+'26'!R16:S16+'27'!R16:S16+'28'!R16:S16+'29'!R16:S16+'30'!R16:S16+'31'!R16:S16</f>
        <v>52.169999999999995</v>
      </c>
      <c r="S16" s="731"/>
      <c r="T16" s="733">
        <f>'1'!T16:U16+'32'!T16:U16+'2'!T16:U16+'3'!T16:U16+'4'!T16:U16+'5'!T16:U16+'6'!T16:U16+'8'!T16:U16+'9'!T16:U16+'7'!T16:U16+'11'!T16:U16+'12'!T16:U16+'13'!T16:U16+'14'!T16:U16+'15'!T16:U16+'16'!T16:U16+'17'!T16:U16+'18'!T16:U16+'19'!T16:U16+'20'!T16:U16+'21'!T16:U16+'22'!T16:U16+'23'!T16:U16+'24'!T16:U16+'25'!T16:U16+'26'!T16:U16+'27'!T16:U16+'28'!T16:U16+'29'!T16:U16+'30'!T16:U16+'31'!T16:U16</f>
        <v>5.0620000000000012</v>
      </c>
      <c r="U16" s="734"/>
      <c r="V16" s="735">
        <f>'1'!V16:W16+'32'!V16:W16+'2'!V16:W16+'3'!V16:W16+'4'!V16:W16+'5'!V16:W16+'6'!V16:W16+'8'!V16:W16+'9'!V16:W16+'7'!V16:W16+'11'!V16:W16+'12'!V16:W16+'13'!V16:W16+'14'!V16:W16+'15'!V16:W16+'16'!V16:W16+'17'!V16:W16+'18'!V16:W16+'19'!V16:W16+'20'!V16:W16+'21'!V16:W16+'22'!V16:W16+'23'!V16:W16+'24'!V16:W16+'25'!V16:W16+'26'!V16:W16+'27'!V16:W16+'28'!V16:W16+'29'!V16:W16+'30'!V16:W16+'31'!V16:W16</f>
        <v>128.05799999999999</v>
      </c>
      <c r="W16" s="736"/>
      <c r="X16" s="737">
        <f>'1'!X16:Y16+'32'!X16:Y16+'2'!X16:Y16+'3'!X16:Y16+'4'!X16:Y16+'5'!X16:Y16+'6'!X16:Y16+'8'!X16:Y16+'9'!X16:Y16+'7'!X16:Y16+'11'!X16:Y16+'12'!X16:Y16+'13'!X16:Y16+'14'!X16:Y16+'15'!X16:Y16+'16'!X16:Y16+'17'!X16:Y16+'18'!X16:Y16+'19'!X16:Y16+'20'!X16:Y16+'21'!X16:Y16+'22'!X16:Y16+'23'!X16:Y16+'24'!X16:Y16+'25'!X16:Y16+'26'!X16:Y16+'27'!X16:Y16+'28'!X16:Y16+'29'!X16:Y16+'30'!X16:Y16+'31'!X16:Y16</f>
        <v>2.7589999999999999</v>
      </c>
      <c r="Y16" s="738"/>
      <c r="Z16" s="740">
        <f>'1'!Z16:AA16+'32'!Z16:AA16+'2'!Z16:AA16+'3'!Z16:AA16+'4'!Z16:AA16+'5'!Z16:AA16+'6'!Z16:AA16+'8'!Z16:AA16+'9'!Z16:AA16+'7'!Z16:AA16+'11'!Z16:AA16+'12'!Z16:AA16+'13'!Z16:AA16+'14'!Z16:AA16+'15'!Z16:AA16+'16'!Z16:AA16+'17'!Z16:AA16+'18'!Z16:AA16+'19'!Z16:AA16+'20'!Z16:AA16+'21'!Z16:AA16+'22'!Z16:AA16+'23'!Z16:AA16+'24'!Z16:AA16+'25'!Z16:AA16+'26'!Z16:AA16+'27'!Z16:AA16+'28'!Z16:AA16+'29'!Z16:AA16+'30'!Z16:AA16+'31'!Z16:AA16</f>
        <v>2065</v>
      </c>
      <c r="AA16" s="741"/>
      <c r="AB16" s="739">
        <f>'1'!AB16:AC16+'32'!AB16:AC16+'2'!AB16:AC16+'3'!AB16:AC16+'4'!AB16:AC16+'5'!AB16:AC16+'6'!AB16:AC16+'8'!AB16:AC16+'9'!AB16:AC16+'7'!AB16:AC16+'11'!AB16:AC16+'12'!AB16:AC16+'13'!AB16:AC16+'14'!AB16:AC16+'15'!AB16:AC16+'16'!AB16:AC16+'17'!AB16:AC16+'18'!AB16:AC16+'19'!AB16:AC16+'20'!AB16:AC16+'21'!AB16:AC16+'22'!AB16:AC16+'23'!AB16:AC16+'24'!AB16:AC16+'25'!AB16:AC16+'26'!AB16:AC16+'27'!AB16:AC16+'28'!AB16:AC16+'29'!AB16:AC16+'30'!AB16:AC16+'31'!AB16:AC16</f>
        <v>327</v>
      </c>
      <c r="AC16" s="739"/>
      <c r="AD16" s="725">
        <f>SUM(AF16:AK16)*0.025</f>
        <v>10.100000000000001</v>
      </c>
      <c r="AE16" s="725"/>
      <c r="AF16" s="913">
        <f>'1'!AF16:AG16+'32'!AF16:AG16+'2'!AF16:AG16+'3'!AF16:AG16+'4'!AF16:AG16+'5'!AF16:AG16+'6'!AF16:AG16+'8'!AF16:AG16+'9'!AF16:AG16+'7'!AF16:AG16+'11'!AF16:AG16+'12'!AF16:AG16+'13'!AF16:AG16+'14'!AF16:AG16+'15'!AF16:AG16+'16'!AF16:AG16+'17'!AF16:AG16+'18'!AF16:AG16+'19'!AF16:AG16+'20'!AF16:AG16+'21'!AF16:AG16+'22'!AF16:AG16+'23'!AF16:AG16+'24'!AF16:AG16+'25'!AF16:AG16+'26'!AF16:AG16+'27'!AF16:AG16+'28'!AF16:AG16+'29'!AF16:AG16+'30'!AF16:AG16+'31'!AF16:AG16</f>
        <v>404</v>
      </c>
      <c r="AG16" s="914"/>
      <c r="AH16" s="726">
        <f>'1'!AH16:AI16+'32'!AH16:AI16+'2'!AH16:AI16+'3'!AH16:AI16+'4'!AH16:AI16+'5'!AH16:AI16+'6'!AH16:AI16+'8'!AH16:AI16+'9'!AH16:AI16+'7'!AH16:AI16+'11'!AH16:AI16+'12'!AH16:AI16+'13'!AH16:AI16+'14'!AH16:AI16+'15'!AH16:AI16+'16'!AH16:AI16+'17'!AH16:AI16+'18'!AH16:AI16+'19'!AH16:AI16+'20'!AH16:AI16+'21'!AH16:AI16+'22'!AH16:AI16+'23'!AH16:AI16+'24'!AH16:AI16+'25'!AH16:AI16+'26'!AH16:AI16+'27'!AH16:AI16+'28'!AH16:AI16+'29'!AH16:AI16+'30'!AH16:AI16+'31'!AH16:AI16</f>
        <v>0</v>
      </c>
      <c r="AI16" s="726"/>
      <c r="AJ16" s="629">
        <f>'1'!AJ16:AK16+'32'!AJ16:AK16+'2'!AJ16:AK16+'3'!AJ16:AK16+'4'!AJ16:AK16+'5'!AJ16:AK16+'6'!AJ16:AK16+'8'!AJ16:AK16+'9'!AJ16:AK16+'7'!AJ16:AK16+'11'!AJ16:AK16+'12'!AJ16:AK16+'13'!AJ16:AK16+'14'!AJ16:AK16+'15'!AJ16:AK16+'16'!AJ16:AK16+'17'!AJ16:AK16+'18'!AJ16:AK16+'19'!AJ16:AK16+'20'!AJ16:AK16+'21'!AJ16:AK16+'22'!AJ16:AK16+'23'!AJ16:AK16+'24'!AJ16:AK16+'25'!AJ16:AK16+'26'!AJ16:AK16+'27'!AJ16:AK16+'28'!AJ16:AK16+'29'!AJ16:AK16+'30'!AJ16:AK16+'31'!AJ16:AK16</f>
        <v>0</v>
      </c>
      <c r="AK16" s="630"/>
    </row>
    <row r="17" spans="1:39" ht="20.25" customHeight="1">
      <c r="A17" s="39">
        <v>2</v>
      </c>
      <c r="B17" s="120"/>
      <c r="C17" s="131" t="s">
        <v>75</v>
      </c>
      <c r="D17" s="128"/>
      <c r="E17" s="125">
        <f>'1'!E17+'2'!E17+'3'!E17+'4'!E17+'5'!E17+'6'!E17+'7'!E17+'8'!E17+'9'!E17+'10'!E17+'11'!E17+'12'!E17+'13'!E17+'14'!E17+'15'!E17+'16'!E17+'17'!E17+'18'!E17+'19'!E17+'20'!E17+'21'!E17+'22'!E17+'23'!E17+'24'!E17+'25'!E17+'26'!E17+'27'!E17+'28'!E17+'29'!E17+'30'!E17+'31'!E17</f>
        <v>10</v>
      </c>
      <c r="F17" s="125">
        <f>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22</v>
      </c>
      <c r="G17" s="126">
        <f>'1'!G17+'2'!G17+'3'!G17+'4'!G17+'5'!G17+'6'!G17+'7'!G17+'8'!G17+'9'!G17+'10'!G17+'11'!G17+'12'!G17+'13'!G17+'14'!G17+'15'!G17+'16'!G17+'17'!G17+'18'!G17+'19'!G17+'20'!G17+'21'!G17+'22'!G17+'23'!G17+'24'!G17+'25'!G17+'26'!G17+'27'!G17+'28'!G17+'29'!G17+'30'!G17+'31'!G17</f>
        <v>22</v>
      </c>
      <c r="H17" s="111">
        <f t="shared" si="0"/>
        <v>0</v>
      </c>
      <c r="I17" s="710" t="s">
        <v>34</v>
      </c>
      <c r="J17" s="711"/>
      <c r="K17" s="711"/>
      <c r="L17" s="711"/>
      <c r="M17" s="711"/>
      <c r="N17" s="711"/>
      <c r="O17" s="712"/>
      <c r="P17" s="744">
        <f>IF($F$26=0,0,P16*1000/$F$26)</f>
        <v>0.12381805821642666</v>
      </c>
      <c r="Q17" s="745"/>
      <c r="R17" s="746">
        <f>IF($F$26=0,0,R16*1000/$F$26)</f>
        <v>0.80603794573882936</v>
      </c>
      <c r="S17" s="745"/>
      <c r="T17" s="746">
        <f>IF($F$26=0,0,T16*1000/$F$26)</f>
        <v>7.8209010567950085E-2</v>
      </c>
      <c r="U17" s="744"/>
      <c r="V17" s="632">
        <f>IF($F$26=0,0,V16*1000/$F$26)</f>
        <v>1.9785241950435697</v>
      </c>
      <c r="W17" s="632"/>
      <c r="X17" s="632">
        <f>IF($F$26=0,0,X16*1000/$F$26)</f>
        <v>4.262715530560534E-2</v>
      </c>
      <c r="Y17" s="632"/>
      <c r="Z17" s="744">
        <f>IF($F$26=0,0,Z16*1000/$F$26)</f>
        <v>31.904703046783265</v>
      </c>
      <c r="AA17" s="744"/>
      <c r="AB17" s="632">
        <f>IF($F$26=0,0,AB16*1000/$F$26)</f>
        <v>5.0522217415487303</v>
      </c>
      <c r="AC17" s="632"/>
      <c r="AD17" s="632">
        <f>IF($F$26=0,0,AD16*1000/$F$26)</f>
        <v>0.15604721587046538</v>
      </c>
      <c r="AE17" s="632"/>
      <c r="AF17" s="915">
        <f>IF(AF16=0,0,F26/AF16)</f>
        <v>160.20792079207922</v>
      </c>
      <c r="AG17" s="916"/>
      <c r="AH17" s="742">
        <f>IF($F$26=0,0,AH16*1000/$F$26)</f>
        <v>0</v>
      </c>
      <c r="AI17" s="742"/>
      <c r="AJ17" s="742">
        <f>IF($F$26=0,0,AJ16*1000/$F$26)</f>
        <v>0</v>
      </c>
      <c r="AK17" s="743"/>
    </row>
    <row r="18" spans="1:39" ht="20.25" customHeight="1">
      <c r="A18" s="35"/>
      <c r="B18" s="120" t="str">
        <f>IF(ISBLANK([1]Data!I35),"",[1]Data!I35)</f>
        <v/>
      </c>
      <c r="C18" s="131" t="s">
        <v>76</v>
      </c>
      <c r="D18" s="128"/>
      <c r="E18" s="125">
        <f>'1'!E18+'2'!E18+'3'!E18+'4'!E18+'5'!E18+'6'!E18+'7'!E18+'8'!E18+'9'!E18+'10'!E18+'11'!E18+'12'!E18+'13'!E18+'14'!E18+'15'!E18+'16'!E18+'17'!E18+'18'!E18+'19'!E18+'20'!E18+'21'!E18+'22'!E18+'23'!E18+'24'!E18+'25'!E18+'26'!E18+'27'!E18+'28'!E18+'29'!E18+'30'!E18+'31'!E18</f>
        <v>38520</v>
      </c>
      <c r="F18" s="125">
        <f>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50964</v>
      </c>
      <c r="G18" s="126">
        <f>'1'!G18+'2'!G18+'3'!G18+'4'!G18+'5'!G18+'6'!G18+'7'!G18+'8'!G18+'9'!G18+'10'!G18+'11'!G18+'12'!G18+'13'!G18+'14'!G18+'15'!G18+'16'!G18+'17'!G18+'18'!G18+'19'!G18+'20'!G18+'21'!G18+'22'!G18+'23'!G18+'24'!G18+'25'!G18+'26'!G18+'27'!G18+'28'!G18+'29'!G18+'30'!G18+'31'!G18</f>
        <v>44101</v>
      </c>
      <c r="H18" s="111">
        <f t="shared" si="0"/>
        <v>0.13466368416921748</v>
      </c>
      <c r="I18" s="710" t="s">
        <v>35</v>
      </c>
      <c r="J18" s="711"/>
      <c r="K18" s="711"/>
      <c r="L18" s="711"/>
      <c r="M18" s="711"/>
      <c r="N18" s="711"/>
      <c r="O18" s="712"/>
      <c r="P18" s="751">
        <f>IF($G$26=0,0,P16*1000/$G$26)</f>
        <v>0.14215016762154778</v>
      </c>
      <c r="Q18" s="752"/>
      <c r="R18" s="746">
        <f>IF($G$26=0,0,R16*1000/$G$26)</f>
        <v>0.92537737020416111</v>
      </c>
      <c r="S18" s="745"/>
      <c r="T18" s="746">
        <f>IF($G$26=0,0,T16*1000/$G$26)</f>
        <v>8.9788388881990894E-2</v>
      </c>
      <c r="U18" s="745"/>
      <c r="V18" s="753">
        <f>IF($G$26=0,0,V16*1000/$G$26)</f>
        <v>2.2714582187771608</v>
      </c>
      <c r="W18" s="754"/>
      <c r="X18" s="753">
        <f>IF($G$26=0,0,X16*1000/$G$26)</f>
        <v>4.893839686396935E-2</v>
      </c>
      <c r="Y18" s="754"/>
      <c r="Z18" s="746">
        <f>IF($G$26=0,0,Z16*1000/$G$26)</f>
        <v>36.628412295794384</v>
      </c>
      <c r="AA18" s="744"/>
      <c r="AB18" s="632">
        <f>IF($G$26=0,0,AB16*1000/$G$26)</f>
        <v>5.8002376855809992</v>
      </c>
      <c r="AC18" s="632"/>
      <c r="AD18" s="632">
        <f>IF($G$26=0,0,AD16*1000/$G$26)</f>
        <v>0.17915107224577401</v>
      </c>
      <c r="AE18" s="632"/>
      <c r="AF18" s="917">
        <f>IF(AF16=0,0,G26/AF16)</f>
        <v>139.54702970297029</v>
      </c>
      <c r="AG18" s="917"/>
      <c r="AH18" s="747">
        <f>IF($G$26=0,0,AH16*1000/$G$26)</f>
        <v>0</v>
      </c>
      <c r="AI18" s="748"/>
      <c r="AJ18" s="749">
        <f>IF($G$26=0,0,AJ16*1000/$G$26)</f>
        <v>0</v>
      </c>
      <c r="AK18" s="750"/>
    </row>
    <row r="19" spans="1:39" ht="20.25" customHeight="1">
      <c r="A19" s="35"/>
      <c r="B19" s="120"/>
      <c r="C19" s="131" t="s">
        <v>77</v>
      </c>
      <c r="D19" s="128"/>
      <c r="E19" s="125">
        <f>'1'!E19+'2'!E19+'3'!E19+'4'!E19+'5'!E19+'6'!E19+'7'!E19+'8'!E19+'9'!E19+'10'!E19+'11'!E19+'12'!E19+'13'!E19+'14'!E19+'15'!E19+'16'!E19+'17'!E19+'18'!E19+'19'!E19+'20'!E19+'21'!E19+'22'!E19+'23'!E19+'24'!E19+'25'!E19+'26'!E19+'27'!E19+'28'!E19+'29'!E19+'30'!E19+'31'!E19</f>
        <v>1000</v>
      </c>
      <c r="F19" s="125">
        <f>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1209</v>
      </c>
      <c r="G19" s="126">
        <f>'1'!G19+'2'!G19+'3'!G19+'4'!G19+'5'!G19+'6'!G19+'7'!G19+'8'!G19+'9'!G19+'10'!G19+'11'!G19+'12'!G19+'13'!G19+'14'!G19+'15'!G19+'16'!G19+'17'!G19+'18'!G19+'19'!G19+'20'!G19+'21'!G19+'22'!G19+'23'!G19+'24'!G19+'25'!G19+'26'!G19+'27'!G19+'28'!G19+'29'!G19+'30'!G19+'31'!G19</f>
        <v>1122</v>
      </c>
      <c r="H19" s="111">
        <f t="shared" si="0"/>
        <v>7.1960297766749379E-2</v>
      </c>
      <c r="I19" s="710" t="s">
        <v>64</v>
      </c>
      <c r="J19" s="711"/>
      <c r="K19" s="711"/>
      <c r="L19" s="711"/>
      <c r="M19" s="711"/>
      <c r="N19" s="711"/>
      <c r="O19" s="712"/>
      <c r="P19" s="755">
        <f>'1'!P19:Q19+'32'!P19:Q19+'2'!P19:Q19+'3'!P19:Q19+'4'!P19:Q19+'5'!P19:Q19+'6'!P19:Q19+'8'!P19:Q19+'9'!P19:Q19+'7'!P19:Q19+'11'!P19:Q19+'12'!P19:Q19+'13'!P19:Q19+'14'!P19:Q19+'15'!P19:Q19+'16'!P19:Q19+'17'!P19:Q19+'18'!P19:Q19+'19'!P19:Q19+'20'!P19:Q19+'21'!P19:Q19+'22'!P19:Q19+'23'!P19:Q19+'24'!P19:Q19+'25'!P19:Q19+'26'!P19:Q19+'27'!P19:Q19+'28'!P19:Q19+'29'!P19:Q19+'30'!P19:Q19+'31'!P19:Q19</f>
        <v>704</v>
      </c>
      <c r="Q19" s="756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66"/>
      <c r="AD19" s="177"/>
      <c r="AE19" s="166"/>
      <c r="AF19" s="177"/>
      <c r="AG19" s="166"/>
      <c r="AH19" s="177"/>
      <c r="AI19" s="166"/>
      <c r="AJ19" s="177"/>
      <c r="AK19" s="186"/>
      <c r="AL19" s="178"/>
    </row>
    <row r="20" spans="1:39" ht="20.25" customHeight="1">
      <c r="A20" s="35"/>
      <c r="B20" s="120"/>
      <c r="C20" s="131" t="s">
        <v>78</v>
      </c>
      <c r="D20" s="128"/>
      <c r="E20" s="125">
        <f>'1'!E20+'2'!E20+'3'!E20+'4'!E20+'5'!E20+'6'!E20+'7'!E20+'8'!E20+'9'!E20+'10'!E20+'11'!E20+'12'!E20+'13'!E20+'14'!E20+'15'!E20+'16'!E20+'17'!E20+'18'!E20+'19'!E20+'20'!E20+'21'!E20+'22'!E20+'23'!E20+'24'!E20+'25'!E20+'26'!E20+'27'!E20+'28'!E20+'29'!E20+'30'!E20+'31'!E20</f>
        <v>2400</v>
      </c>
      <c r="F20" s="125">
        <f>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4397</v>
      </c>
      <c r="G20" s="126">
        <f>'1'!G20+'2'!G20+'3'!G20+'4'!G20+'5'!G20+'6'!G20+'7'!G20+'8'!G20+'9'!G20+'10'!G20+'11'!G20+'12'!G20+'13'!G20+'14'!G20+'15'!G20+'16'!G20+'17'!G20+'18'!G20+'19'!G20+'20'!G20+'21'!G20+'22'!G20+'23'!G20+'24'!G20+'25'!G20+'26'!G20+'27'!G20+'28'!G20+'29'!G20+'30'!G20+'31'!G20</f>
        <v>3994</v>
      </c>
      <c r="H20" s="111">
        <f t="shared" si="0"/>
        <v>9.1653400045485556E-2</v>
      </c>
      <c r="I20" s="710" t="s">
        <v>65</v>
      </c>
      <c r="J20" s="711"/>
      <c r="K20" s="711"/>
      <c r="L20" s="711"/>
      <c r="M20" s="711"/>
      <c r="N20" s="711"/>
      <c r="O20" s="712"/>
      <c r="P20" s="755">
        <f>'1'!P20:Q20+'32'!P20:Q20+'2'!P20:Q20+'3'!P20:Q20+'4'!P20:Q20+'5'!P20:Q20+'6'!P20:Q20+'8'!P20:Q20+'9'!P20:Q20+'7'!P20:Q20+'11'!P20:Q20+'12'!P20:Q20+'13'!P20:Q20+'14'!P20:Q20+'15'!P20:Q20+'16'!P20:Q20+'17'!P20:Q20+'18'!P20:Q20+'19'!P20:Q20+'20'!P20:Q20+'21'!P20:Q20+'22'!P20:Q20+'23'!P20:Q20+'24'!P20:Q20+'25'!P20:Q20+'26'!P20:Q20+'27'!P20:Q20+'28'!P20:Q20+'29'!P20:Q20+'30'!P20:Q20+'31'!P20:Q20</f>
        <v>0</v>
      </c>
      <c r="Q20" s="756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87"/>
      <c r="AL20" s="178"/>
    </row>
    <row r="21" spans="1:39" ht="20.25" customHeight="1">
      <c r="A21" s="35"/>
      <c r="B21" s="120"/>
      <c r="C21" s="131" t="s">
        <v>79</v>
      </c>
      <c r="D21" s="128"/>
      <c r="E21" s="125">
        <f>'1'!E21+'2'!E21+'3'!E21+'4'!E21+'5'!E21+'6'!E21+'7'!E21+'8'!E21+'9'!E21+'10'!E21+'11'!E21+'12'!E21+'13'!E21+'14'!E21+'15'!E21+'16'!E21+'17'!E21+'18'!E21+'19'!E21+'20'!E21+'21'!E21+'22'!E21+'23'!E21+'24'!E21+'25'!E21+'26'!E21+'27'!E21+'28'!E21+'29'!E21+'30'!E21+'31'!E21</f>
        <v>2020</v>
      </c>
      <c r="F21" s="125">
        <f>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1319</v>
      </c>
      <c r="G21" s="126">
        <f>'1'!G21+'2'!G21+'3'!G21+'4'!G21+'5'!G21+'6'!G21+'7'!G21+'8'!G21+'9'!G21+'10'!G21+'11'!G21+'12'!G21+'13'!G21+'14'!G21+'15'!G21+'16'!G21+'17'!G21+'18'!G21+'19'!G21+'20'!G21+'21'!G21+'22'!G21+'23'!G21+'24'!G21+'25'!G21+'26'!G21+'27'!G21+'28'!G21+'29'!G21+'30'!G21+'31'!G21</f>
        <v>1155</v>
      </c>
      <c r="H21" s="111">
        <f t="shared" si="0"/>
        <v>0.12433661865049279</v>
      </c>
      <c r="I21" s="710" t="s">
        <v>66</v>
      </c>
      <c r="J21" s="711"/>
      <c r="K21" s="711"/>
      <c r="L21" s="711"/>
      <c r="M21" s="711"/>
      <c r="N21" s="711"/>
      <c r="O21" s="712"/>
      <c r="P21" s="755">
        <f>'1'!P21:Q21+'32'!P21:Q21+'2'!P21:Q21+'3'!P21:Q21+'4'!P21:Q21+'5'!P21:Q21+'6'!P21:Q21+'8'!P21:Q21+'9'!P21:Q21+'7'!P21:Q21+'11'!P21:Q21+'12'!P21:Q21+'13'!P21:Q21+'14'!P21:Q21+'15'!P21:Q21+'16'!P21:Q21+'17'!P21:Q21+'18'!P21:Q21+'19'!P21:Q21+'20'!P21:Q21+'21'!P21:Q21+'22'!P21:Q21+'23'!P21:Q21+'24'!P21:Q21+'25'!P21:Q21+'26'!P21:Q21+'27'!P21:Q21+'28'!P21:Q21+'29'!P21:Q21+'30'!P21:Q21+'31'!P21:Q21</f>
        <v>0</v>
      </c>
      <c r="Q21" s="756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87"/>
      <c r="AL21" s="178"/>
    </row>
    <row r="22" spans="1:39" ht="20.25" customHeight="1">
      <c r="A22" s="35"/>
      <c r="B22" s="120"/>
      <c r="C22" s="131" t="s">
        <v>80</v>
      </c>
      <c r="D22" s="128"/>
      <c r="E22" s="125">
        <f>'1'!E22+'2'!E22+'3'!E22+'4'!E22+'5'!E22+'6'!E22+'7'!E22+'8'!E22+'9'!E22+'10'!E22+'11'!E22+'12'!E22+'13'!E22+'14'!E22+'15'!E22+'16'!E22+'17'!E22+'18'!E22+'19'!E22+'20'!E22+'21'!E22+'22'!E22+'23'!E22+'24'!E22+'25'!E22+'26'!E22+'27'!E22+'28'!E22+'29'!E22+'30'!E22+'31'!E22</f>
        <v>600</v>
      </c>
      <c r="F22" s="125">
        <f>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530</v>
      </c>
      <c r="G22" s="126">
        <f>'1'!G22+'2'!G22+'3'!G22+'4'!G22+'5'!G22+'6'!G22+'7'!G22+'8'!G22+'9'!G22+'10'!G22+'11'!G22+'12'!G22+'13'!G22+'14'!G22+'15'!G22+'16'!G22+'17'!G22+'18'!G22+'19'!G22+'20'!G22+'21'!G22+'22'!G22+'23'!G22+'24'!G22+'25'!G22+'26'!G22+'27'!G22+'28'!G22+'29'!G22+'30'!G22+'31'!G22</f>
        <v>498</v>
      </c>
      <c r="H22" s="111">
        <f t="shared" si="0"/>
        <v>6.0377358490566038E-2</v>
      </c>
      <c r="I22" s="710" t="s">
        <v>67</v>
      </c>
      <c r="J22" s="711"/>
      <c r="K22" s="711"/>
      <c r="L22" s="711"/>
      <c r="M22" s="711"/>
      <c r="N22" s="711"/>
      <c r="O22" s="712"/>
      <c r="P22" s="755">
        <f>'1'!P22:Q22+'32'!P22:Q22+'2'!P22:Q22+'3'!P22:Q22+'4'!P22:Q22+'5'!P22:Q22+'6'!P22:Q22+'8'!P22:Q22+'9'!P22:Q22+'7'!P22:Q22+'11'!P22:Q22+'12'!P22:Q22+'13'!P22:Q22+'14'!P22:Q22+'15'!P22:Q22+'16'!P22:Q22+'17'!P22:Q22+'18'!P22:Q22+'19'!P22:Q22+'20'!P22:Q22+'21'!P22:Q22+'22'!P22:Q22+'23'!P22:Q22+'24'!P22:Q22+'25'!P22:Q22+'26'!P22:Q22+'27'!P22:Q22+'28'!P22:Q22+'29'!P22:Q22+'30'!P22:Q22+'31'!P22:Q22</f>
        <v>0</v>
      </c>
      <c r="Q22" s="75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87"/>
      <c r="AL22" s="178"/>
    </row>
    <row r="23" spans="1:39" ht="20.25" customHeight="1">
      <c r="A23" s="35"/>
      <c r="B23" s="120"/>
      <c r="C23" s="131" t="s">
        <v>63</v>
      </c>
      <c r="D23" s="128"/>
      <c r="E23" s="125">
        <f>'1'!E23+'2'!E23+'3'!E23+'4'!E23+'5'!E23+'6'!E23+'7'!E23+'8'!E23+'9'!E23+'10'!E23+'11'!E23+'12'!E23+'13'!E23+'14'!E23+'15'!E23+'16'!E23+'17'!E23+'18'!E23+'19'!E23+'20'!E23+'21'!E23+'22'!E23+'23'!E23+'24'!E23+'25'!E23+'26'!E23+'27'!E23+'28'!E23+'29'!E23+'30'!E23+'31'!E23</f>
        <v>0</v>
      </c>
      <c r="F23" s="125">
        <f>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3" s="126">
        <f>'1'!G23+'2'!G23+'3'!G23+'4'!G23+'5'!G23+'6'!G23+'7'!G23+'8'!G23+'9'!G23+'10'!G23+'11'!G23+'12'!G23+'13'!G23+'14'!G23+'15'!G23+'16'!G23+'17'!G23+'18'!G23+'19'!G23+'20'!G23+'21'!G23+'22'!G23+'23'!G23+'24'!G23+'25'!G23+'26'!G23+'27'!G23+'28'!G23+'29'!G23+'30'!G23+'31'!G23</f>
        <v>0</v>
      </c>
      <c r="H23" s="111" t="str">
        <f t="shared" si="0"/>
        <v/>
      </c>
      <c r="I23" s="710" t="s">
        <v>68</v>
      </c>
      <c r="J23" s="711"/>
      <c r="K23" s="711"/>
      <c r="L23" s="711"/>
      <c r="M23" s="711"/>
      <c r="N23" s="711"/>
      <c r="O23" s="712"/>
      <c r="P23" s="755">
        <f>'1'!P23:Q23+'32'!P23:Q23+'2'!P23:Q23+'3'!P23:Q23+'4'!P23:Q23+'5'!P23:Q23+'6'!P23:Q23+'8'!P23:Q23+'9'!P23:Q23+'7'!P23:Q23+'11'!P23:Q23+'12'!P23:Q23+'13'!P23:Q23+'14'!P23:Q23+'15'!P23:Q23+'16'!P23:Q23+'17'!P23:Q23+'18'!P23:Q23+'19'!P23:Q23+'20'!P23:Q23+'21'!P23:Q23+'22'!P23:Q23+'23'!P23:Q23+'24'!P23:Q23+'25'!P23:Q23+'26'!P23:Q23+'27'!P23:Q23+'28'!P23:Q23+'29'!P23:Q23+'30'!P23:Q23+'31'!P23:Q23</f>
        <v>250</v>
      </c>
      <c r="Q23" s="75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87"/>
      <c r="AL23" s="178"/>
    </row>
    <row r="24" spans="1:39" ht="20.25" customHeight="1">
      <c r="A24" s="201"/>
      <c r="B24" s="132" t="str">
        <f>IF(ISBLANK([1]Data!I36),"",[1]Data!I36)</f>
        <v/>
      </c>
      <c r="C24" s="136" t="s">
        <v>81</v>
      </c>
      <c r="D24" s="137"/>
      <c r="E24" s="133">
        <f>'1'!E24+'2'!E24+'3'!E24+'4'!E24+'5'!E24+'6'!E24+'7'!E24+'8'!E24+'9'!E24+'10'!E24+'11'!E24+'12'!E24+'13'!E24+'14'!E24+'15'!E24+'16'!E24+'17'!E24+'18'!E24+'19'!E24+'20'!E24+'21'!E24+'22'!E24+'23'!E24+'24'!E24+'25'!E24+'26'!E24+'27'!E24+'28'!E24+'29'!E24+'30'!E24+'31'!E24</f>
        <v>0</v>
      </c>
      <c r="F24" s="133">
        <f>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134">
        <f>'1'!G24+'2'!G24+'3'!G24+'4'!G24+'5'!G24+'6'!G24+'7'!G24+'8'!G24+'9'!G24+'10'!G24+'11'!G24+'12'!G24+'13'!G24+'14'!G24+'15'!G24+'16'!G24+'17'!G24+'18'!G24+'19'!G24+'20'!G24+'21'!G24+'22'!G24+'23'!G24+'24'!G24+'25'!G24+'26'!G24+'27'!G24+'28'!G24+'29'!G24+'30'!G24+'31'!G24</f>
        <v>0</v>
      </c>
      <c r="H24" s="40" t="str">
        <f t="shared" si="0"/>
        <v/>
      </c>
      <c r="I24" s="710" t="s">
        <v>69</v>
      </c>
      <c r="J24" s="711"/>
      <c r="K24" s="711"/>
      <c r="L24" s="711"/>
      <c r="M24" s="711"/>
      <c r="N24" s="711"/>
      <c r="O24" s="712"/>
      <c r="P24" s="767">
        <f>F26/P23</f>
        <v>258.89600000000002</v>
      </c>
      <c r="Q24" s="768"/>
      <c r="R24" s="762"/>
      <c r="S24" s="762"/>
      <c r="T24" s="763"/>
      <c r="U24" s="763"/>
      <c r="V24" s="764"/>
      <c r="W24" s="764"/>
      <c r="X24" s="765"/>
      <c r="Y24" s="765"/>
      <c r="Z24" s="763"/>
      <c r="AA24" s="763"/>
      <c r="AB24" s="763"/>
      <c r="AC24" s="763"/>
      <c r="AD24" s="766"/>
      <c r="AE24" s="766"/>
      <c r="AF24" s="760"/>
      <c r="AG24" s="760"/>
      <c r="AH24" s="766"/>
      <c r="AI24" s="766"/>
      <c r="AJ24" s="760"/>
      <c r="AK24" s="761"/>
      <c r="AL24" s="178"/>
    </row>
    <row r="25" spans="1:39" ht="20.25" customHeight="1" thickBot="1">
      <c r="A25" s="200"/>
      <c r="B25" s="197"/>
      <c r="C25" s="202" t="s">
        <v>82</v>
      </c>
      <c r="D25" s="198"/>
      <c r="E25" s="212">
        <f>'1'!E25+'2'!E25+'3'!E25+'4'!E25+'5'!E25+'6'!E25+'7'!E25+'8'!E25+'9'!E25+'10'!E25+'11'!E25+'12'!E25+'13'!E25+'14'!E25+'15'!E25+'16'!E25+'17'!E25+'18'!E25+'19'!E25+'20'!E25+'21'!E25+'22'!E25+'23'!E25+'24'!E25+'25'!E25+'26'!E25+'27'!E25+'28'!E25+'29'!E25+'30'!E25+'31'!E25</f>
        <v>0</v>
      </c>
      <c r="F25" s="212">
        <f>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212">
        <f>'1'!G25+'2'!G25+'3'!G25+'4'!G25+'5'!G25+'6'!G25+'7'!G25+'8'!G25+'9'!G25+'10'!G25+'11'!G25+'12'!G25+'13'!G25+'14'!G25+'15'!G25+'16'!G25+'17'!G25+'18'!G25+'19'!G25+'20'!G25+'21'!G25+'22'!G25+'23'!G25+'24'!G25+'25'!G25+'26'!G25+'27'!G25+'28'!G25+'29'!G25+'30'!G25+'31'!G25</f>
        <v>0</v>
      </c>
      <c r="H25" s="199" t="str">
        <f t="shared" si="0"/>
        <v/>
      </c>
      <c r="I25" s="710" t="s">
        <v>72</v>
      </c>
      <c r="J25" s="711"/>
      <c r="K25" s="711"/>
      <c r="L25" s="711"/>
      <c r="M25" s="711"/>
      <c r="N25" s="711"/>
      <c r="O25" s="712"/>
      <c r="P25" s="713">
        <f>'1'!P25:Q25+'32'!P25:Q25+'2'!P25:Q25+'3'!P25:Q25+'4'!P25:Q25+'5'!P25:Q25+'6'!P25:Q25+'8'!P25:Q25+'9'!P25:Q25+'7'!P25:Q25+'11'!P25:Q25+'12'!P25:Q25+'13'!P25:Q25+'14'!P25:Q25+'15'!P25:Q25+'16'!P25:Q25+'17'!P25:Q25+'18'!P25:Q25+'19'!P25:Q25+'20'!P25:Q25+'21'!P25:Q25+'22'!P25:Q25+'23'!P25:Q25+'24'!P25:Q25+'25'!P25:Q25+'26'!P25:Q25+'27'!P25:Q25+'28'!P25:Q25+'29'!P25:Q25+'30'!P25:Q25+'31'!P25:Q25</f>
        <v>69</v>
      </c>
      <c r="Q25" s="714"/>
      <c r="R25" s="180"/>
      <c r="S25" s="180"/>
      <c r="T25" s="179"/>
      <c r="U25" s="179"/>
      <c r="V25" s="181"/>
      <c r="W25" s="181"/>
      <c r="X25" s="182"/>
      <c r="Y25" s="182"/>
      <c r="Z25" s="179"/>
      <c r="AA25" s="179"/>
      <c r="AB25" s="179"/>
      <c r="AC25" s="179"/>
      <c r="AD25" s="183"/>
      <c r="AE25" s="183"/>
      <c r="AF25" s="184"/>
      <c r="AG25" s="184"/>
      <c r="AH25" s="183"/>
      <c r="AI25" s="183"/>
      <c r="AJ25" s="184"/>
      <c r="AK25" s="185"/>
      <c r="AL25" s="178"/>
    </row>
    <row r="26" spans="1:39" ht="20.25" customHeight="1" thickBot="1">
      <c r="A26" s="790" t="s">
        <v>38</v>
      </c>
      <c r="B26" s="790"/>
      <c r="C26" s="790"/>
      <c r="D26" s="790"/>
      <c r="E26" s="205">
        <f>SUM(E16:E25)</f>
        <v>50750</v>
      </c>
      <c r="F26" s="205">
        <f>SUM(F16:F25)</f>
        <v>64724</v>
      </c>
      <c r="G26" s="205">
        <f>SUM(G16:G25)</f>
        <v>56377</v>
      </c>
      <c r="H26" s="196">
        <f>IF(F26=0,"",(F26-G26)/F26)</f>
        <v>0.12896298127433409</v>
      </c>
      <c r="I26" s="719" t="s">
        <v>70</v>
      </c>
      <c r="J26" s="720"/>
      <c r="K26" s="720"/>
      <c r="L26" s="720"/>
      <c r="M26" s="720"/>
      <c r="N26" s="720"/>
      <c r="O26" s="721"/>
      <c r="P26" s="785">
        <f>F26/P25</f>
        <v>938.02898550724638</v>
      </c>
      <c r="Q26" s="786"/>
      <c r="R26" s="724"/>
      <c r="S26" s="724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4"/>
      <c r="AE26" s="704"/>
      <c r="AF26" s="704"/>
      <c r="AG26" s="704"/>
      <c r="AH26" s="704"/>
      <c r="AI26" s="704"/>
      <c r="AJ26" s="707"/>
      <c r="AK26" s="708"/>
    </row>
    <row r="27" spans="1:39" ht="20.25" customHeight="1">
      <c r="A27" s="175"/>
      <c r="B27" s="176"/>
      <c r="C27" s="176"/>
      <c r="D27" s="176"/>
      <c r="E27" s="138"/>
      <c r="F27" s="139"/>
      <c r="G27" s="139"/>
      <c r="H27" s="139"/>
      <c r="I27" s="777" t="s">
        <v>61</v>
      </c>
      <c r="J27" s="778"/>
      <c r="K27" s="778"/>
      <c r="L27" s="778"/>
      <c r="M27" s="778"/>
      <c r="N27" s="778"/>
      <c r="O27" s="779"/>
      <c r="P27" s="780">
        <f>SUM(P5,P16)</f>
        <v>55.337999999999994</v>
      </c>
      <c r="Q27" s="781"/>
      <c r="R27" s="782">
        <f>SUM(R5,R16)</f>
        <v>214.26299999999998</v>
      </c>
      <c r="S27" s="781"/>
      <c r="T27" s="782">
        <f>SUM(T5,T16)</f>
        <v>21.34</v>
      </c>
      <c r="U27" s="781"/>
      <c r="V27" s="782">
        <f>SUM(V5,V16)</f>
        <v>543.53099999999995</v>
      </c>
      <c r="W27" s="781"/>
      <c r="X27" s="782">
        <f>SUM(X5,X16)</f>
        <v>11.858000000000001</v>
      </c>
      <c r="Y27" s="781"/>
      <c r="Z27" s="783">
        <f>SUM(Z5,Z16)</f>
        <v>8232</v>
      </c>
      <c r="AA27" s="784"/>
      <c r="AB27" s="770">
        <f>SUM(AB5,AB16)</f>
        <v>1193</v>
      </c>
      <c r="AC27" s="770"/>
      <c r="AD27" s="769">
        <f>SUM(AD5,AD16)</f>
        <v>43.575000000000003</v>
      </c>
      <c r="AE27" s="769"/>
      <c r="AF27" s="770">
        <f>SUM(AF5,AF16)</f>
        <v>1743</v>
      </c>
      <c r="AG27" s="770"/>
      <c r="AH27" s="770">
        <f>SUM(AH5,AH16)</f>
        <v>0</v>
      </c>
      <c r="AI27" s="770"/>
      <c r="AJ27" s="758">
        <f>SUM(AJ5,AJ16)</f>
        <v>0</v>
      </c>
      <c r="AK27" s="759"/>
    </row>
    <row r="28" spans="1:39" ht="20.25" customHeight="1">
      <c r="A28" s="797" t="s">
        <v>39</v>
      </c>
      <c r="B28" s="798"/>
      <c r="C28" s="798"/>
      <c r="D28" s="798"/>
      <c r="E28" s="140">
        <f>E15+E26</f>
        <v>211220</v>
      </c>
      <c r="F28" s="140">
        <f>F15+F26</f>
        <v>270446</v>
      </c>
      <c r="G28" s="140">
        <f>G15+G26</f>
        <v>241698</v>
      </c>
      <c r="H28" s="141">
        <f t="shared" si="0"/>
        <v>0.10629848472523165</v>
      </c>
      <c r="I28" s="710" t="s">
        <v>34</v>
      </c>
      <c r="J28" s="711"/>
      <c r="K28" s="711"/>
      <c r="L28" s="711"/>
      <c r="M28" s="711"/>
      <c r="N28" s="711"/>
      <c r="O28" s="712"/>
      <c r="P28" s="799">
        <f t="shared" ref="P28:AJ28" si="1">IF($F$28=0,0,P27*1000/$F$28)</f>
        <v>0.20461755766400683</v>
      </c>
      <c r="Q28" s="745"/>
      <c r="R28" s="746">
        <f t="shared" si="1"/>
        <v>0.79225797386539265</v>
      </c>
      <c r="S28" s="745"/>
      <c r="T28" s="746">
        <f t="shared" si="1"/>
        <v>7.8906694866997473E-2</v>
      </c>
      <c r="U28" s="745"/>
      <c r="V28" s="800">
        <f t="shared" si="1"/>
        <v>2.0097579553774136</v>
      </c>
      <c r="W28" s="801"/>
      <c r="X28" s="800">
        <f t="shared" si="1"/>
        <v>4.3846091271455299E-2</v>
      </c>
      <c r="Y28" s="801"/>
      <c r="Z28" s="746">
        <f t="shared" si="1"/>
        <v>30.438608816547482</v>
      </c>
      <c r="AA28" s="744"/>
      <c r="AB28" s="632">
        <f t="shared" si="1"/>
        <v>4.4112318170725393</v>
      </c>
      <c r="AC28" s="632"/>
      <c r="AD28" s="632">
        <f t="shared" si="1"/>
        <v>0.16112273799575516</v>
      </c>
      <c r="AE28" s="632"/>
      <c r="AF28" s="757">
        <f>IF(AF27=0,0,F28/AF27)</f>
        <v>155.16121629374641</v>
      </c>
      <c r="AG28" s="757"/>
      <c r="AH28" s="742">
        <f t="shared" si="1"/>
        <v>0</v>
      </c>
      <c r="AI28" s="742"/>
      <c r="AJ28" s="742">
        <f t="shared" si="1"/>
        <v>0</v>
      </c>
      <c r="AK28" s="743"/>
    </row>
    <row r="29" spans="1:39" ht="20.25" customHeight="1" thickBot="1">
      <c r="A29" s="41"/>
      <c r="B29" s="42"/>
      <c r="C29" s="43"/>
      <c r="D29" s="43"/>
      <c r="E29" s="142"/>
      <c r="F29" s="143"/>
      <c r="G29" s="143"/>
      <c r="H29" s="143"/>
      <c r="I29" s="719" t="s">
        <v>35</v>
      </c>
      <c r="J29" s="720"/>
      <c r="K29" s="720"/>
      <c r="L29" s="720"/>
      <c r="M29" s="720"/>
      <c r="N29" s="720"/>
      <c r="O29" s="721"/>
      <c r="P29" s="791">
        <f t="shared" ref="P29:AJ29" si="2">IF($G$28=0,0,P27*1000/$G$28)</f>
        <v>0.22895514236774814</v>
      </c>
      <c r="Q29" s="792"/>
      <c r="R29" s="771">
        <f t="shared" si="2"/>
        <v>0.88649057915249596</v>
      </c>
      <c r="S29" s="792"/>
      <c r="T29" s="771">
        <f t="shared" si="2"/>
        <v>8.8292000761280603E-2</v>
      </c>
      <c r="U29" s="792"/>
      <c r="V29" s="793">
        <f t="shared" si="2"/>
        <v>2.2488022242633368</v>
      </c>
      <c r="W29" s="794"/>
      <c r="X29" s="795">
        <f t="shared" si="2"/>
        <v>4.9061225165288914E-2</v>
      </c>
      <c r="Y29" s="796"/>
      <c r="Z29" s="771">
        <f t="shared" si="2"/>
        <v>34.059032346150978</v>
      </c>
      <c r="AA29" s="772"/>
      <c r="AB29" s="773">
        <f t="shared" si="2"/>
        <v>4.9359117576479736</v>
      </c>
      <c r="AC29" s="773"/>
      <c r="AD29" s="773">
        <f t="shared" si="2"/>
        <v>0.18028696968944716</v>
      </c>
      <c r="AE29" s="773"/>
      <c r="AF29" s="774">
        <f>IF(AF27=0,0,G28/AF27)</f>
        <v>138.66781411359725</v>
      </c>
      <c r="AG29" s="774"/>
      <c r="AH29" s="775">
        <f t="shared" si="2"/>
        <v>0</v>
      </c>
      <c r="AI29" s="775"/>
      <c r="AJ29" s="775">
        <f t="shared" si="2"/>
        <v>0</v>
      </c>
      <c r="AK29" s="776"/>
    </row>
    <row r="30" spans="1:39" ht="8.25" customHeight="1" thickBot="1">
      <c r="A30" s="44"/>
      <c r="B30" s="45"/>
      <c r="C30" s="46"/>
      <c r="D30" s="46"/>
      <c r="E30" s="46"/>
      <c r="F30" s="47"/>
      <c r="G30" s="47"/>
      <c r="H30" s="46"/>
      <c r="I30" s="44"/>
      <c r="J30" s="44"/>
      <c r="K30" s="44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C30" s="49"/>
      <c r="AD30" s="49"/>
      <c r="AE30" s="49"/>
      <c r="AF30" s="49"/>
      <c r="AG30" s="49"/>
      <c r="AH30" s="48"/>
      <c r="AI30" s="48"/>
      <c r="AJ30" s="48"/>
      <c r="AK30" s="50"/>
      <c r="AL30" s="50"/>
      <c r="AM30" s="50"/>
    </row>
    <row r="31" spans="1:39" s="59" customFormat="1" ht="20.25" customHeight="1" thickBot="1">
      <c r="A31" s="51" t="s">
        <v>40</v>
      </c>
      <c r="B31" s="52"/>
      <c r="C31" s="53"/>
      <c r="D31" s="53"/>
      <c r="E31" s="53"/>
      <c r="F31" s="53"/>
      <c r="G31" s="54"/>
      <c r="H31" s="55"/>
      <c r="I31" s="56" t="s">
        <v>41</v>
      </c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3"/>
      <c r="AB31" s="53"/>
      <c r="AC31" s="53"/>
      <c r="AD31" s="53"/>
      <c r="AE31" s="53"/>
      <c r="AF31" s="53"/>
      <c r="AG31" s="53"/>
      <c r="AH31" s="53"/>
      <c r="AI31" s="805" t="s">
        <v>62</v>
      </c>
      <c r="AJ31" s="806"/>
      <c r="AK31" s="649" t="s">
        <v>36</v>
      </c>
      <c r="AL31" s="650"/>
      <c r="AM31" s="651"/>
    </row>
    <row r="32" spans="1:39" s="61" customFormat="1" ht="108.75" customHeight="1" thickBot="1">
      <c r="A32" s="113" t="s">
        <v>15</v>
      </c>
      <c r="B32" s="114" t="s">
        <v>16</v>
      </c>
      <c r="C32" s="115" t="s">
        <v>17</v>
      </c>
      <c r="D32" s="115" t="s">
        <v>18</v>
      </c>
      <c r="E32" s="116" t="s">
        <v>42</v>
      </c>
      <c r="F32" s="258" t="s">
        <v>27</v>
      </c>
      <c r="G32" s="267" t="s">
        <v>43</v>
      </c>
      <c r="H32" s="272"/>
      <c r="I32" s="60" t="s">
        <v>26</v>
      </c>
      <c r="J32" s="112" t="s">
        <v>102</v>
      </c>
      <c r="K32" s="231" t="s">
        <v>103</v>
      </c>
      <c r="L32" s="112" t="s">
        <v>104</v>
      </c>
      <c r="M32" s="275" t="s">
        <v>105</v>
      </c>
      <c r="N32" s="275" t="s">
        <v>106</v>
      </c>
      <c r="O32" s="112" t="s">
        <v>107</v>
      </c>
      <c r="P32" s="112" t="s">
        <v>108</v>
      </c>
      <c r="Q32" s="112" t="s">
        <v>44</v>
      </c>
      <c r="R32" s="112" t="s">
        <v>91</v>
      </c>
      <c r="S32" s="112" t="s">
        <v>92</v>
      </c>
      <c r="T32" s="112" t="s">
        <v>93</v>
      </c>
      <c r="U32" s="112" t="s">
        <v>47</v>
      </c>
      <c r="V32" s="112" t="s">
        <v>45</v>
      </c>
      <c r="W32" s="112" t="s">
        <v>46</v>
      </c>
      <c r="X32" s="112" t="s">
        <v>94</v>
      </c>
      <c r="Y32" s="112" t="s">
        <v>95</v>
      </c>
      <c r="Z32" s="112" t="s">
        <v>48</v>
      </c>
      <c r="AA32" s="112" t="s">
        <v>96</v>
      </c>
      <c r="AB32" s="112" t="s">
        <v>49</v>
      </c>
      <c r="AC32" s="112" t="s">
        <v>51</v>
      </c>
      <c r="AD32" s="112" t="s">
        <v>50</v>
      </c>
      <c r="AE32" s="112" t="s">
        <v>97</v>
      </c>
      <c r="AF32" s="112" t="s">
        <v>98</v>
      </c>
      <c r="AG32" s="112" t="s">
        <v>99</v>
      </c>
      <c r="AH32" s="260" t="s">
        <v>52</v>
      </c>
      <c r="AI32" s="807"/>
      <c r="AJ32" s="808"/>
      <c r="AK32" s="809"/>
      <c r="AL32" s="810"/>
      <c r="AM32" s="811"/>
    </row>
    <row r="33" spans="1:39" ht="24.75" customHeight="1">
      <c r="A33" s="918" t="s">
        <v>100</v>
      </c>
      <c r="B33" s="159"/>
      <c r="C33" s="213" t="s">
        <v>74</v>
      </c>
      <c r="D33" s="254"/>
      <c r="E33" s="161">
        <f>'1'!E33+'1'!E44+'2'!E33+'2'!E44+'3'!E33+'3'!E44+'4'!E33+'4'!E44+'5'!E33+'5'!E44+'6'!E33+'6'!E44+'7'!E33+'7'!E44+'8'!E33+'8'!E44+'9'!E33+'9'!E44+'10'!E33+'10'!E44+'11'!E33+'11'!E44+'12'!E33+'12'!E44+'13'!E33+'13'!E44+'14'!E33+'14'!E44+'15'!E33+'15'!E44+'16'!E33+'16'!E44+'17'!E33+'17'!E44+'18'!E33+'18'!E44+'19'!E33+'19'!E44+'20'!E33+'20'!E44+'21'!E33+'21'!E44+'22'!E33+'22'!E44+'23'!E33+'23'!E44+'24'!E33+'24'!E44+'25'!E33+'25'!E44+'26'!E33+'26'!E44+'27'!E33+'27'!E44+'28'!E33+'28'!E44+'29'!E33+'29'!E44+'30'!E33+'30'!E44+'31'!E33+'31'!E44</f>
        <v>44193</v>
      </c>
      <c r="F33" s="161">
        <f>'1'!F33+'1'!F44+'2'!F33+'2'!F44+'3'!F33+'3'!F44+'4'!F33+'4'!F44+'5'!F33+'5'!F44+'6'!F33+'6'!F44+'7'!F33+'7'!F44+'8'!F33+'8'!F44+'9'!F33+'9'!F44+'10'!F33+'10'!F44+'11'!F33+'11'!F44+'12'!F33+'12'!F44+'13'!F33+'13'!F44+'14'!F33+'14'!F44+'15'!F33+'15'!F44+'16'!F33+'16'!F44+'17'!F33+'17'!F44+'18'!F33+'18'!F44+'19'!F33+'19'!F44+'20'!F33+'20'!F44+'21'!F33+'21'!F44+'22'!F33+'22'!F44+'23'!F33+'23'!F44+'24'!F33+'24'!F44+'25'!F33+'25'!F44+'26'!F33+'26'!F44+'27'!F33+'27'!F44+'28'!F33+'28'!F44+'29'!F33+'29'!F44+'30'!F33+'30'!F44+'31'!F33+'31'!F44</f>
        <v>37497</v>
      </c>
      <c r="G33" s="268">
        <f t="shared" ref="G33:G44" si="3">IF(E33=0,"",(E33-F33)/E33)</f>
        <v>0.15151720860769805</v>
      </c>
      <c r="H33" s="273"/>
      <c r="I33" s="64">
        <f t="shared" ref="I33:I43" si="4">SUM(J33:AH33)</f>
        <v>6696</v>
      </c>
      <c r="J33" s="259">
        <f>'1'!J33+'1'!J44+'2'!J33+'2'!J44+'3'!J33+'3'!J44+'4'!J33+'4'!J44+'5'!J33+'5'!J44+'6'!J33+'6'!J44+'7'!J33+'7'!J44+'8'!J33+'8'!J44+'9'!J33+'9'!J44+'10'!J33+'10'!J44+'11'!J33+'11'!J44+'12'!J33+'12'!J44+'13'!J33+'13'!J44+'14'!J33+'14'!J44+'15'!J33+'15'!J44+'16'!J33+'16'!J44+'17'!J33+'17'!J44+'18'!J33+'18'!J44+'19'!J33+'19'!J44+'20'!J33+'20'!J44+'21'!J33+'21'!J44+'22'!J33+'22'!J44+'23'!J33+'23'!J44+'24'!J33+'24'!J44+'25'!J33+'25'!J44+'26'!J33+'26'!J44+'27'!J33+'27'!J44+'28'!J33+'28'!J44+'29'!J33+'29'!J44+'30'!J33+'30'!J44+'31'!J33+'31'!J44</f>
        <v>53</v>
      </c>
      <c r="K33" s="259">
        <f>'1'!K33+'1'!K44+'2'!K33+'2'!K44+'3'!K33+'3'!K44+'4'!K33+'4'!K44+'5'!K33+'5'!K44+'6'!K33+'6'!K44+'7'!K33+'7'!K44+'8'!K33+'8'!K44+'9'!K33+'9'!K44+'10'!K33+'10'!K44+'11'!K33+'11'!K44+'12'!K33+'12'!K44+'13'!K33+'13'!K44+'14'!K33+'14'!K44+'15'!K33+'15'!K44+'16'!K33+'16'!K44+'17'!K33+'17'!K44+'18'!K33+'18'!K44+'19'!K33+'19'!K44+'20'!K33+'20'!K44+'21'!K33+'21'!K44+'22'!K33+'22'!K44+'23'!K33+'23'!K44+'24'!K33+'24'!K44+'25'!K33+'25'!K44+'26'!K33+'26'!K44+'27'!K33+'27'!K44+'28'!K33+'28'!K44+'29'!K33+'29'!K44+'30'!K33+'30'!K44+'31'!K33+'31'!K44</f>
        <v>872</v>
      </c>
      <c r="L33" s="259">
        <f>'1'!L33+'1'!L44+'2'!L33+'2'!L44+'3'!L33+'3'!L44+'4'!L33+'4'!L44+'5'!L33+'5'!L44+'6'!L33+'6'!L44+'7'!L33+'7'!L44+'8'!L33+'8'!L44+'9'!L33+'9'!L44+'10'!L33+'10'!L44+'11'!L33+'11'!L44+'12'!L33+'12'!L44+'13'!L33+'13'!L44+'14'!L33+'14'!L44+'15'!L33+'15'!L44+'16'!L33+'16'!L44+'17'!L33+'17'!L44+'18'!L33+'18'!L44+'19'!L33+'19'!L44+'20'!L33+'20'!L44+'21'!L33+'21'!L44+'22'!L33+'22'!L44+'23'!L33+'23'!L44+'24'!L33+'24'!L44+'25'!L33+'25'!L44+'26'!L33+'26'!L44+'27'!L33+'27'!L44+'28'!L33+'28'!L44+'29'!L33+'29'!L44+'30'!L33+'30'!L44+'31'!L33+'31'!L44</f>
        <v>1885</v>
      </c>
      <c r="M33" s="259">
        <f>'1'!M33+'1'!M44+'2'!M33+'2'!M44+'3'!M33+'3'!M44+'4'!M33+'4'!M44+'5'!M33+'5'!M44+'6'!M33+'6'!M44+'7'!M33+'7'!M44+'8'!M33+'8'!M44+'9'!M33+'9'!M44+'10'!M33+'10'!M44+'11'!M33+'11'!M44+'12'!M33+'12'!M44+'13'!M33+'13'!M44+'14'!M33+'14'!M44+'15'!M33+'15'!M44+'16'!M33+'16'!M44+'17'!M33+'17'!M44+'18'!M33+'18'!M44+'19'!M33+'19'!M44+'20'!M33+'20'!M44+'21'!M33+'21'!M44+'22'!M33+'22'!M44+'23'!M33+'23'!M44+'24'!M33+'24'!M44+'25'!M33+'25'!M44+'26'!M33+'26'!M44+'27'!M33+'27'!M44+'28'!M33+'28'!M44+'29'!M33+'29'!M44+'30'!M33+'30'!M44+'31'!M33+'31'!M44</f>
        <v>614</v>
      </c>
      <c r="N33" s="259">
        <f>'1'!N33+'1'!N44+'2'!N33+'2'!N44+'3'!N33+'3'!N44+'4'!N33+'4'!N44+'5'!N33+'5'!N44+'6'!N33+'6'!N44+'7'!N33+'7'!N44+'8'!N33+'8'!N44+'9'!N33+'9'!N44+'10'!N33+'10'!N44+'11'!N33+'11'!N44+'12'!N33+'12'!N44+'13'!N33+'13'!N44+'14'!N33+'14'!N44+'15'!N33+'15'!N44+'16'!N33+'16'!N44+'17'!N33+'17'!N44+'18'!N33+'18'!N44+'19'!N33+'19'!N44+'20'!N33+'20'!N44+'21'!N33+'21'!N44+'22'!N33+'22'!N44+'23'!N33+'23'!N44+'24'!N33+'24'!N44+'25'!N33+'25'!N44+'26'!N33+'26'!N44+'27'!N33+'27'!N44+'28'!N33+'28'!N44+'29'!N33+'29'!N44+'30'!N33+'30'!N44+'31'!N33+'31'!N44</f>
        <v>0</v>
      </c>
      <c r="O33" s="259">
        <f>'1'!O33+'1'!O44+'2'!O33+'2'!O44+'3'!O33+'3'!O44+'4'!O33+'4'!O44+'5'!O33+'5'!O44+'6'!O33+'6'!O44+'7'!O33+'7'!O44+'8'!O33+'8'!O44+'9'!O33+'9'!O44+'10'!O33+'10'!O44+'11'!O33+'11'!O44+'12'!O33+'12'!O44+'13'!O33+'13'!O44+'14'!O33+'14'!O44+'15'!O33+'15'!O44+'16'!O33+'16'!O44+'17'!O33+'17'!O44+'18'!O33+'18'!O44+'19'!O33+'19'!O44+'20'!O33+'20'!O44+'21'!O33+'21'!O44+'22'!O33+'22'!O44+'23'!O33+'23'!O44+'24'!O33+'24'!O44+'25'!O33+'25'!O44+'26'!O33+'26'!O44+'27'!O33+'27'!O44+'28'!O33+'28'!O44+'29'!O33+'29'!O44+'30'!O33+'30'!O44+'31'!O33+'31'!O44</f>
        <v>10</v>
      </c>
      <c r="P33" s="259">
        <f>'1'!P33+'1'!P44+'2'!P33+'2'!P44+'3'!P33+'3'!P44+'4'!P33+'4'!P44+'5'!P33+'5'!P44+'6'!P33+'6'!P44+'7'!P33+'7'!P44+'8'!P33+'8'!P44+'9'!P33+'9'!P44+'10'!P33+'10'!P44+'11'!P33+'11'!P44+'12'!P33+'12'!P44+'13'!P33+'13'!P44+'14'!P33+'14'!P44+'15'!P33+'15'!P44+'16'!P33+'16'!P44+'17'!P33+'17'!P44+'18'!P33+'18'!P44+'19'!P33+'19'!P44+'20'!P33+'20'!P44+'21'!P33+'21'!P44+'22'!P33+'22'!P44+'23'!P33+'23'!P44+'24'!P33+'24'!P44+'25'!P33+'25'!P44+'26'!P33+'26'!P44+'27'!P33+'27'!P44+'28'!P33+'28'!P44+'29'!P33+'29'!P44+'30'!P33+'30'!P44+'31'!P33+'31'!P44</f>
        <v>42</v>
      </c>
      <c r="Q33" s="259">
        <f>'1'!Q33+'1'!Q44+'2'!Q33+'2'!Q44+'3'!Q33+'3'!Q44+'4'!Q33+'4'!Q44+'5'!Q33+'5'!Q44+'6'!Q33+'6'!Q44+'7'!Q33+'7'!Q44+'8'!Q33+'8'!Q44+'9'!Q33+'9'!Q44+'10'!Q33+'10'!Q44+'11'!Q33+'11'!Q44+'12'!Q33+'12'!Q44+'13'!Q33+'13'!Q44+'14'!Q33+'14'!Q44+'15'!Q33+'15'!Q44+'16'!Q33+'16'!Q44+'17'!Q33+'17'!Q44+'18'!Q33+'18'!Q44+'19'!Q33+'19'!Q44+'20'!Q33+'20'!Q44+'21'!Q33+'21'!Q44+'22'!Q33+'22'!Q44+'23'!Q33+'23'!Q44+'24'!Q33+'24'!Q44+'25'!Q33+'25'!Q44+'26'!Q33+'26'!Q44+'27'!Q33+'27'!Q44+'28'!Q33+'28'!Q44+'29'!Q33+'29'!Q44+'30'!Q33+'30'!Q44+'31'!Q33+'31'!Q44</f>
        <v>28</v>
      </c>
      <c r="R33" s="259">
        <f>'1'!R33+'1'!R44+'2'!R33+'2'!R44+'3'!R33+'3'!R44+'4'!R33+'4'!R44+'5'!R33+'5'!R44+'6'!R33+'6'!R44+'7'!R33+'7'!R44+'8'!R33+'8'!R44+'9'!R33+'9'!R44+'10'!R33+'10'!R44+'11'!R33+'11'!R44+'12'!R33+'12'!R44+'13'!R33+'13'!R44+'14'!R33+'14'!R44+'15'!R33+'15'!R44+'16'!R33+'16'!R44+'17'!R33+'17'!R44+'18'!R33+'18'!R44+'19'!R33+'19'!R44+'20'!R33+'20'!R44+'21'!R33+'21'!R44+'22'!R33+'22'!R44+'23'!R33+'23'!R44+'24'!R33+'24'!R44+'25'!R33+'25'!R44+'26'!R33+'26'!R44+'27'!R33+'27'!R44+'28'!R33+'28'!R44+'29'!R33+'29'!R44+'30'!R33+'30'!R44+'31'!R33+'31'!R44</f>
        <v>74</v>
      </c>
      <c r="S33" s="259">
        <f>'1'!S33+'1'!S44+'2'!S33+'2'!S44+'3'!S33+'3'!S44+'4'!S33+'4'!S44+'5'!S33+'5'!S44+'6'!S33+'6'!S44+'7'!S33+'7'!S44+'8'!S33+'8'!S44+'9'!S33+'9'!S44+'10'!S33+'10'!S44+'11'!S33+'11'!S44+'12'!S33+'12'!S44+'13'!S33+'13'!S44+'14'!S33+'14'!S44+'15'!S33+'15'!S44+'16'!S33+'16'!S44+'17'!S33+'17'!S44+'18'!S33+'18'!S44+'19'!S33+'19'!S44+'20'!S33+'20'!S44+'21'!S33+'21'!S44+'22'!S33+'22'!S44+'23'!S33+'23'!S44+'24'!S33+'24'!S44+'25'!S33+'25'!S44+'26'!S33+'26'!S44+'27'!S33+'27'!S44+'28'!S33+'28'!S44+'29'!S33+'29'!S44+'30'!S33+'30'!S44+'31'!S33+'31'!S44</f>
        <v>0</v>
      </c>
      <c r="T33" s="259">
        <f>'1'!T33+'1'!T44+'2'!T33+'2'!T44+'3'!T33+'3'!T44+'4'!T33+'4'!T44+'5'!T33+'5'!T44+'6'!T33+'6'!T44+'7'!T33+'7'!T44+'8'!T33+'8'!T44+'9'!T33+'9'!T44+'10'!T33+'10'!T44+'11'!T33+'11'!T44+'12'!T33+'12'!T44+'13'!T33+'13'!T44+'14'!T33+'14'!T44+'15'!T33+'15'!T44+'16'!T33+'16'!T44+'17'!T33+'17'!T44+'18'!T33+'18'!T44+'19'!T33+'19'!T44+'20'!T33+'20'!T44+'21'!T33+'21'!T44+'22'!T33+'22'!T44+'23'!T33+'23'!T44+'24'!T33+'24'!T44+'25'!T33+'25'!T44+'26'!T33+'26'!T44+'27'!T33+'27'!T44+'28'!T33+'28'!T44+'29'!T33+'29'!T44+'30'!T33+'30'!T44+'31'!T33+'31'!T44</f>
        <v>0</v>
      </c>
      <c r="U33" s="259">
        <f>'1'!U33+'1'!U44+'2'!U33+'2'!U44+'3'!U33+'3'!U44+'4'!U33+'4'!U44+'5'!U33+'5'!U44+'6'!U33+'6'!U44+'7'!U33+'7'!U44+'8'!U33+'8'!U44+'9'!U33+'9'!U44+'10'!U33+'10'!U44+'11'!U33+'11'!U44+'12'!U33+'12'!U44+'13'!U33+'13'!U44+'14'!U33+'14'!U44+'15'!U33+'15'!U44+'16'!U33+'16'!U44+'17'!U33+'17'!U44+'18'!U33+'18'!U44+'19'!U33+'19'!U44+'20'!U33+'20'!U44+'21'!U33+'21'!U44+'22'!U33+'22'!U44+'23'!U33+'23'!U44+'24'!U33+'24'!U44+'25'!U33+'25'!U44+'26'!U33+'26'!U44+'27'!U33+'27'!U44+'28'!U33+'28'!U44+'29'!U33+'29'!U44+'30'!U33+'30'!U44+'31'!U33+'31'!U44</f>
        <v>50</v>
      </c>
      <c r="V33" s="259">
        <f>'1'!V33+'1'!V44+'2'!V33+'2'!V44+'3'!V33+'3'!V44+'4'!V33+'4'!V44+'5'!V33+'5'!V44+'6'!V33+'6'!V44+'7'!V33+'7'!V44+'8'!V33+'8'!V44+'9'!V33+'9'!V44+'10'!V33+'10'!V44+'11'!V33+'11'!V44+'12'!V33+'12'!V44+'13'!V33+'13'!V44+'14'!V33+'14'!V44+'15'!V33+'15'!V44+'16'!V33+'16'!V44+'17'!V33+'17'!V44+'18'!V33+'18'!V44+'19'!V33+'19'!V44+'20'!V33+'20'!V44+'21'!V33+'21'!V44+'22'!V33+'22'!V44+'23'!V33+'23'!V44+'24'!V33+'24'!V44+'25'!V33+'25'!V44+'26'!V33+'26'!V44+'27'!V33+'27'!V44+'28'!V33+'28'!V44+'29'!V33+'29'!V44+'30'!V33+'30'!V44+'31'!V33+'31'!V44</f>
        <v>1880</v>
      </c>
      <c r="W33" s="259">
        <f>'1'!W33+'1'!W44+'2'!W33+'2'!W44+'3'!W33+'3'!W44+'4'!W33+'4'!W44+'5'!W33+'5'!W44+'6'!W33+'6'!W44+'7'!W33+'7'!W44+'8'!W33+'8'!W44+'9'!W33+'9'!W44+'10'!W33+'10'!W44+'11'!W33+'11'!W44+'12'!W33+'12'!W44+'13'!W33+'13'!W44+'14'!W33+'14'!W44+'15'!W33+'15'!W44+'16'!W33+'16'!W44+'17'!W33+'17'!W44+'18'!W33+'18'!W44+'19'!W33+'19'!W44+'20'!W33+'20'!W44+'21'!W33+'21'!W44+'22'!W33+'22'!W44+'23'!W33+'23'!W44+'24'!W33+'24'!W44+'25'!W33+'25'!W44+'26'!W33+'26'!W44+'27'!W33+'27'!W44+'28'!W33+'28'!W44+'29'!W33+'29'!W44+'30'!W33+'30'!W44+'31'!W33+'31'!W44</f>
        <v>629</v>
      </c>
      <c r="X33" s="259">
        <f>'1'!X33+'1'!X44+'2'!X33+'2'!X44+'3'!X33+'3'!X44+'4'!X33+'4'!X44+'5'!X33+'5'!X44+'6'!X33+'6'!X44+'7'!X33+'7'!X44+'8'!X33+'8'!X44+'9'!X33+'9'!X44+'10'!X33+'10'!X44+'11'!X33+'11'!X44+'12'!X33+'12'!X44+'13'!X33+'13'!X44+'14'!X33+'14'!X44+'15'!X33+'15'!X44+'16'!X33+'16'!X44+'17'!X33+'17'!X44+'18'!X33+'18'!X44+'19'!X33+'19'!X44+'20'!X33+'20'!X44+'21'!X33+'21'!X44+'22'!X33+'22'!X44+'23'!X33+'23'!X44+'24'!X33+'24'!X44+'25'!X33+'25'!X44+'26'!X33+'26'!X44+'27'!X33+'27'!X44+'28'!X33+'28'!X44+'29'!X33+'29'!X44+'30'!X33+'30'!X44+'31'!X33+'31'!X44</f>
        <v>45</v>
      </c>
      <c r="Y33" s="259">
        <f>'1'!Y33+'1'!Y44+'2'!Y33+'2'!Y44+'3'!Y33+'3'!Y44+'4'!Y33+'4'!Y44+'5'!Y33+'5'!Y44+'6'!Y33+'6'!Y44+'7'!Y33+'7'!Y44+'8'!Y33+'8'!Y44+'9'!Y33+'9'!Y44+'10'!Y33+'10'!Y44+'11'!Y33+'11'!Y44+'12'!Y33+'12'!Y44+'13'!Y33+'13'!Y44+'14'!Y33+'14'!Y44+'15'!Y33+'15'!Y44+'16'!Y33+'16'!Y44+'17'!Y33+'17'!Y44+'18'!Y33+'18'!Y44+'19'!Y33+'19'!Y44+'20'!Y33+'20'!Y44+'21'!Y33+'21'!Y44+'22'!Y33+'22'!Y44+'23'!Y33+'23'!Y44+'24'!Y33+'24'!Y44+'25'!Y33+'25'!Y44+'26'!Y33+'26'!Y44+'27'!Y33+'27'!Y44+'28'!Y33+'28'!Y44+'29'!Y33+'29'!Y44+'30'!Y33+'30'!Y44+'31'!Y33+'31'!Y44</f>
        <v>36</v>
      </c>
      <c r="Z33" s="259">
        <f>'1'!Z33+'1'!Z44+'2'!Z33+'2'!Z44+'3'!Z33+'3'!Z44+'4'!Z33+'4'!Z44+'5'!Z33+'5'!Z44+'6'!Z33+'6'!Z44+'7'!Z33+'7'!Z44+'8'!Z33+'8'!Z44+'9'!Z33+'9'!Z44+'10'!Z33+'10'!Z44+'11'!Z33+'11'!Z44+'12'!Z33+'12'!Z44+'13'!Z33+'13'!Z44+'14'!Z33+'14'!Z44+'15'!Z33+'15'!Z44+'16'!Z33+'16'!Z44+'17'!Z33+'17'!Z44+'18'!Z33+'18'!Z44+'19'!Z33+'19'!Z44+'20'!Z33+'20'!Z44+'21'!Z33+'21'!Z44+'22'!Z33+'22'!Z44+'23'!Z33+'23'!Z44+'24'!Z33+'24'!Z44+'25'!Z33+'25'!Z44+'26'!Z33+'26'!Z44+'27'!Z33+'27'!Z44+'28'!Z33+'28'!Z44+'29'!Z33+'29'!Z44+'30'!Z33+'30'!Z44+'31'!Z33+'31'!Z44</f>
        <v>0</v>
      </c>
      <c r="AA33" s="259">
        <f>'1'!AA33+'1'!AA44+'2'!AA33+'2'!AA44+'3'!AA33+'3'!AA44+'4'!AA33+'4'!AA44+'5'!AA33+'5'!AA44+'6'!AA33+'6'!AA44+'7'!AA33+'7'!AA44+'8'!AA33+'8'!AA44+'9'!AA33+'9'!AA44+'10'!AA33+'10'!AA44+'11'!AA33+'11'!AA44+'12'!AA33+'12'!AA44+'13'!AA33+'13'!AA44+'14'!AA33+'14'!AA44+'15'!AA33+'15'!AA44+'16'!AA33+'16'!AA44+'17'!AA33+'17'!AA44+'18'!AA33+'18'!AA44+'19'!AA33+'19'!AA44+'20'!AA33+'20'!AA44+'21'!AA33+'21'!AA44+'22'!AA33+'22'!AA44+'23'!AA33+'23'!AA44+'24'!AA33+'24'!AA44+'25'!AA33+'25'!AA44+'26'!AA33+'26'!AA44+'27'!AA33+'27'!AA44+'28'!AA33+'28'!AA44+'29'!AA33+'29'!AA44+'30'!AA33+'30'!AA44+'31'!AA33+'31'!AA44</f>
        <v>0</v>
      </c>
      <c r="AB33" s="259">
        <f>'1'!AB33+'1'!AB44+'2'!AB33+'2'!AB44+'3'!AB33+'3'!AB44+'4'!AB33+'4'!AB44+'5'!AB33+'5'!AB44+'6'!AB33+'6'!AB44+'7'!AB33+'7'!AB44+'8'!AB33+'8'!AB44+'9'!AB33+'9'!AB44+'10'!AB33+'10'!AB44+'11'!AB33+'11'!AB44+'12'!AB33+'12'!AB44+'13'!AB33+'13'!AB44+'14'!AB33+'14'!AB44+'15'!AB33+'15'!AB44+'16'!AB33+'16'!AB44+'17'!AB33+'17'!AB44+'18'!AB33+'18'!AB44+'19'!AB33+'19'!AB44+'20'!AB33+'20'!AB44+'21'!AB33+'21'!AB44+'22'!AB33+'22'!AB44+'23'!AB33+'23'!AB44+'24'!AB33+'24'!AB44+'25'!AB33+'25'!AB44+'26'!AB33+'26'!AB44+'27'!AB33+'27'!AB44+'28'!AB33+'28'!AB44+'29'!AB33+'29'!AB44+'30'!AB33+'30'!AB44+'31'!AB33+'31'!AB44</f>
        <v>176</v>
      </c>
      <c r="AC33" s="259">
        <f>'1'!AC33+'1'!AC44+'2'!AC33+'2'!AC44+'3'!AC33+'3'!AC44+'4'!AC33+'4'!AC44+'5'!AC33+'5'!AC44+'6'!AC33+'6'!AC44+'7'!AC33+'7'!AC44+'8'!AC33+'8'!AC44+'9'!AC33+'9'!AC44+'10'!AC33+'10'!AC44+'11'!AC33+'11'!AC44+'12'!AC33+'12'!AC44+'13'!AC33+'13'!AC44+'14'!AC33+'14'!AC44+'15'!AC33+'15'!AC44+'16'!AC33+'16'!AC44+'17'!AC33+'17'!AC44+'18'!AC33+'18'!AC44+'19'!AC33+'19'!AC44+'20'!AC33+'20'!AC44+'21'!AC33+'21'!AC44+'22'!AC33+'22'!AC44+'23'!AC33+'23'!AC44+'24'!AC33+'24'!AC44+'25'!AC33+'25'!AC44+'26'!AC33+'26'!AC44+'27'!AC33+'27'!AC44+'28'!AC33+'28'!AC44+'29'!AC33+'29'!AC44+'30'!AC33+'30'!AC44+'31'!AC33+'31'!AC44</f>
        <v>77</v>
      </c>
      <c r="AD33" s="259">
        <f>'1'!AD33+'1'!AD44+'2'!AD33+'2'!AD44+'3'!AD33+'3'!AD44+'4'!AD33+'4'!AD44+'5'!AD33+'5'!AD44+'6'!AD33+'6'!AD44+'7'!AD33+'7'!AD44+'8'!AD33+'8'!AD44+'9'!AD33+'9'!AD44+'10'!AD33+'10'!AD44+'11'!AD33+'11'!AD44+'12'!AD33+'12'!AD44+'13'!AD33+'13'!AD44+'14'!AD33+'14'!AD44+'15'!AD33+'15'!AD44+'16'!AD33+'16'!AD44+'17'!AD33+'17'!AD44+'18'!AD33+'18'!AD44+'19'!AD33+'19'!AD44+'20'!AD33+'20'!AD44+'21'!AD33+'21'!AD44+'22'!AD33+'22'!AD44+'23'!AD33+'23'!AD44+'24'!AD33+'24'!AD44+'25'!AD33+'25'!AD44+'26'!AD33+'26'!AD44+'27'!AD33+'27'!AD44+'28'!AD33+'28'!AD44+'29'!AD33+'29'!AD44+'30'!AD33+'30'!AD44+'31'!AD33+'31'!AD44</f>
        <v>8</v>
      </c>
      <c r="AE33" s="259">
        <f>'1'!AE33+'1'!AE44+'2'!AE33+'2'!AE44+'3'!AE33+'3'!AE44+'4'!AE33+'4'!AE44+'5'!AE33+'5'!AE44+'6'!AE33+'6'!AE44+'7'!AE33+'7'!AE44+'8'!AE33+'8'!AE44+'9'!AE33+'9'!AE44+'10'!AE33+'10'!AE44+'11'!AE33+'11'!AE44+'12'!AE33+'12'!AE44+'13'!AE33+'13'!AE44+'14'!AE33+'14'!AE44+'15'!AE33+'15'!AE44+'16'!AE33+'16'!AE44+'17'!AE33+'17'!AE44+'18'!AE33+'18'!AE44+'19'!AE33+'19'!AE44+'20'!AE33+'20'!AE44+'21'!AE33+'21'!AE44+'22'!AE33+'22'!AE44+'23'!AE33+'23'!AE44+'24'!AE33+'24'!AE44+'25'!AE33+'25'!AE44+'26'!AE33+'26'!AE44+'27'!AE33+'27'!AE44+'28'!AE33+'28'!AE44+'29'!AE33+'29'!AE44+'30'!AE33+'30'!AE44+'31'!AE33+'31'!AE44</f>
        <v>25</v>
      </c>
      <c r="AF33" s="259">
        <f>'1'!AF33+'1'!AF44+'2'!AF33+'2'!AF44+'3'!AF33+'3'!AF44+'4'!AF33+'4'!AF44+'5'!AF33+'5'!AF44+'6'!AF33+'6'!AF44+'7'!AF33+'7'!AF44+'8'!AF33+'8'!AF44+'9'!AF33+'9'!AF44+'10'!AF33+'10'!AF44+'11'!AF33+'11'!AF44+'12'!AF33+'12'!AF44+'13'!AF33+'13'!AF44+'14'!AF33+'14'!AF44+'15'!AF33+'15'!AF44+'16'!AF33+'16'!AF44+'17'!AF33+'17'!AF44+'18'!AF33+'18'!AF44+'19'!AF33+'19'!AF44+'20'!AF33+'20'!AF44+'21'!AF33+'21'!AF44+'22'!AF33+'22'!AF44+'23'!AF33+'23'!AF44+'24'!AF33+'24'!AF44+'25'!AF33+'25'!AF44+'26'!AF33+'26'!AF44+'27'!AF33+'27'!AF44+'28'!AF33+'28'!AF44+'29'!AF33+'29'!AF44+'30'!AF33+'30'!AF44+'31'!AF33+'31'!AF44</f>
        <v>159</v>
      </c>
      <c r="AG33" s="259">
        <f>'1'!AG33+'1'!AG44+'2'!AG33+'2'!AG44+'3'!AG33+'3'!AG44+'4'!AG33+'4'!AG44+'5'!AG33+'5'!AG44+'6'!AG33+'6'!AG44+'7'!AG33+'7'!AG44+'8'!AG33+'8'!AG44+'9'!AG33+'9'!AG44+'10'!AG33+'10'!AG44+'11'!AG33+'11'!AG44+'12'!AG33+'12'!AG44+'13'!AG33+'13'!AG44+'14'!AG33+'14'!AG44+'15'!AG33+'15'!AG44+'16'!AG33+'16'!AG44+'17'!AG33+'17'!AG44+'18'!AG33+'18'!AG44+'19'!AG33+'19'!AG44+'20'!AG33+'20'!AG44+'21'!AG33+'21'!AG44+'22'!AG33+'22'!AG44+'23'!AG33+'23'!AG44+'24'!AG33+'24'!AG44+'25'!AG33+'25'!AG44+'26'!AG33+'26'!AG44+'27'!AG33+'27'!AG44+'28'!AG33+'28'!AG44+'29'!AG33+'29'!AG44+'30'!AG33+'30'!AG44+'31'!AG33+'31'!AG44</f>
        <v>0</v>
      </c>
      <c r="AH33" s="261">
        <f>'1'!AH33+'1'!AH44+'2'!AH33+'2'!AH44+'3'!AH33+'3'!AH44+'4'!AH33+'4'!AH44+'5'!AH33+'5'!AH44+'6'!AH33+'6'!AH44+'7'!AH33+'7'!AH44+'8'!AH33+'8'!AH44+'9'!AH33+'9'!AH44+'10'!AH33+'10'!AH44+'11'!AH33+'11'!AH44+'12'!AH33+'12'!AH44+'13'!AH33+'13'!AH44+'14'!AH33+'14'!AH44+'15'!AH33+'15'!AH44+'16'!AH33+'16'!AH44+'17'!AH33+'17'!AH44+'18'!AH33+'18'!AH44+'19'!AH33+'19'!AH44+'20'!AH33+'20'!AH44+'21'!AH33+'21'!AH44+'22'!AH33+'22'!AH44+'23'!AH33+'23'!AH44+'24'!AH33+'24'!AH44+'25'!AH33+'25'!AH44+'26'!AH33+'26'!AH44+'27'!AH33+'27'!AH44+'28'!AH33+'28'!AH44+'29'!AH33+'29'!AH44+'30'!AH33+'30'!AH44+'31'!AH33+'31'!AH44</f>
        <v>33</v>
      </c>
      <c r="AI33" s="65"/>
      <c r="AJ33" s="265"/>
      <c r="AK33" s="67"/>
      <c r="AL33" s="68"/>
      <c r="AM33" s="69"/>
    </row>
    <row r="34" spans="1:39" ht="24.75" customHeight="1">
      <c r="A34" s="919"/>
      <c r="B34" s="160"/>
      <c r="C34" s="214" t="s">
        <v>75</v>
      </c>
      <c r="D34" s="255"/>
      <c r="E34" s="125">
        <f>'1'!E34+'1'!E45+'2'!E34+'2'!E45+'3'!E34+'3'!E45+'4'!E34+'4'!E45+'5'!E34+'5'!E45+'6'!E34+'6'!E45+'7'!E34+'7'!E45+'8'!E34+'8'!E45+'9'!E34+'9'!E45+'10'!E34+'10'!E45+'11'!E34+'11'!E45+'12'!E34+'12'!E45+'13'!E34+'13'!E45+'14'!E34+'14'!E45+'15'!E34+'15'!E45+'16'!E34+'16'!E45+'17'!E34+'17'!E45+'18'!E34+'18'!E45+'19'!E34+'19'!E45+'20'!E34+'20'!E45+'21'!E34+'21'!E45+'22'!E34+'22'!E45+'23'!E34+'23'!E45+'24'!E34+'24'!E45+'25'!E34+'25'!E45+'26'!E34+'26'!E45+'27'!E34+'27'!E45+'28'!E34+'28'!E45+'29'!E34+'29'!E45+'30'!E34+'30'!E45+'31'!E34+'31'!E45</f>
        <v>807</v>
      </c>
      <c r="F34" s="125">
        <f>'1'!F34+'1'!F45+'2'!F34+'2'!F45+'3'!F34+'3'!F45+'4'!F34+'4'!F45+'5'!F34+'5'!F45+'6'!F34+'6'!F45+'7'!F34+'7'!F45+'8'!F34+'8'!F45+'9'!F34+'9'!F45+'10'!F34+'10'!F45+'11'!F34+'11'!F45+'12'!F34+'12'!F45+'13'!F34+'13'!F45+'14'!F34+'14'!F45+'15'!F34+'15'!F45+'16'!F34+'16'!F45+'17'!F34+'17'!F45+'18'!F34+'18'!F45+'19'!F34+'19'!F45+'20'!F34+'20'!F45+'21'!F34+'21'!F45+'22'!F34+'22'!F45+'23'!F34+'23'!F45+'24'!F34+'24'!F45+'25'!F34+'25'!F45+'26'!F34+'26'!F45+'27'!F34+'27'!F45+'28'!F34+'28'!F45+'29'!F34+'29'!F45+'30'!F34+'30'!F45+'31'!F34+'31'!F45</f>
        <v>801</v>
      </c>
      <c r="G34" s="269">
        <f t="shared" si="3"/>
        <v>7.4349442379182153E-3</v>
      </c>
      <c r="H34" s="273"/>
      <c r="I34" s="64">
        <f t="shared" si="4"/>
        <v>6</v>
      </c>
      <c r="J34" s="125">
        <f>'1'!J34+'1'!J45+'2'!J34+'2'!J45+'3'!J34+'3'!J45+'4'!J34+'4'!J45+'5'!J34+'5'!J45+'6'!J34+'6'!J45+'7'!J34+'7'!J45+'8'!J34+'8'!J45+'9'!J34+'9'!J45+'10'!J34+'10'!J45+'11'!J34+'11'!J45+'12'!J34+'12'!J45+'13'!J34+'13'!J45+'14'!J34+'14'!J45+'15'!J34+'15'!J45+'16'!J34+'16'!J45+'17'!J34+'17'!J45+'18'!J34+'18'!J45+'19'!J34+'19'!J45+'20'!J34+'20'!J45+'21'!J34+'21'!J45+'22'!J34+'22'!J45+'23'!J34+'23'!J45+'24'!J34+'24'!J45+'25'!J34+'25'!J45+'26'!J34+'26'!J45+'27'!J34+'27'!J45+'28'!J34+'28'!J45+'29'!J34+'29'!J45+'30'!J34+'30'!J45+'31'!J34+'31'!J45</f>
        <v>0</v>
      </c>
      <c r="K34" s="125">
        <f>'1'!K34+'1'!K45+'2'!K34+'2'!K45+'3'!K34+'3'!K45+'4'!K34+'4'!K45+'5'!K34+'5'!K45+'6'!K34+'6'!K45+'7'!K34+'7'!K45+'8'!K34+'8'!K45+'9'!K34+'9'!K45+'10'!K34+'10'!K45+'11'!K34+'11'!K45+'12'!K34+'12'!K45+'13'!K34+'13'!K45+'14'!K34+'14'!K45+'15'!K34+'15'!K45+'16'!K34+'16'!K45+'17'!K34+'17'!K45+'18'!K34+'18'!K45+'19'!K34+'19'!K45+'20'!K34+'20'!K45+'21'!K34+'21'!K45+'22'!K34+'22'!K45+'23'!K34+'23'!K45+'24'!K34+'24'!K45+'25'!K34+'25'!K45+'26'!K34+'26'!K45+'27'!K34+'27'!K45+'28'!K34+'28'!K45+'29'!K34+'29'!K45+'30'!K34+'30'!K45+'31'!K34+'31'!K45</f>
        <v>0</v>
      </c>
      <c r="L34" s="125">
        <f>'1'!L34+'1'!L45+'2'!L34+'2'!L45+'3'!L34+'3'!L45+'4'!L34+'4'!L45+'5'!L34+'5'!L45+'6'!L34+'6'!L45+'7'!L34+'7'!L45+'8'!L34+'8'!L45+'9'!L34+'9'!L45+'10'!L34+'10'!L45+'11'!L34+'11'!L45+'12'!L34+'12'!L45+'13'!L34+'13'!L45+'14'!L34+'14'!L45+'15'!L34+'15'!L45+'16'!L34+'16'!L45+'17'!L34+'17'!L45+'18'!L34+'18'!L45+'19'!L34+'19'!L45+'20'!L34+'20'!L45+'21'!L34+'21'!L45+'22'!L34+'22'!L45+'23'!L34+'23'!L45+'24'!L34+'24'!L45+'25'!L34+'25'!L45+'26'!L34+'26'!L45+'27'!L34+'27'!L45+'28'!L34+'28'!L45+'29'!L34+'29'!L45+'30'!L34+'30'!L45+'31'!L34+'31'!L45</f>
        <v>0</v>
      </c>
      <c r="M34" s="125">
        <f>'1'!M34+'1'!M45+'2'!M34+'2'!M45+'3'!M34+'3'!M45+'4'!M34+'4'!M45+'5'!M34+'5'!M45+'6'!M34+'6'!M45+'7'!M34+'7'!M45+'8'!M34+'8'!M45+'9'!M34+'9'!M45+'10'!M34+'10'!M45+'11'!M34+'11'!M45+'12'!M34+'12'!M45+'13'!M34+'13'!M45+'14'!M34+'14'!M45+'15'!M34+'15'!M45+'16'!M34+'16'!M45+'17'!M34+'17'!M45+'18'!M34+'18'!M45+'19'!M34+'19'!M45+'20'!M34+'20'!M45+'21'!M34+'21'!M45+'22'!M34+'22'!M45+'23'!M34+'23'!M45+'24'!M34+'24'!M45+'25'!M34+'25'!M45+'26'!M34+'26'!M45+'27'!M34+'27'!M45+'28'!M34+'28'!M45+'29'!M34+'29'!M45+'30'!M34+'30'!M45+'31'!M34+'31'!M45</f>
        <v>0</v>
      </c>
      <c r="N34" s="125">
        <f>'1'!N34+'1'!N45+'2'!N34+'2'!N45+'3'!N34+'3'!N45+'4'!N34+'4'!N45+'5'!N34+'5'!N45+'6'!N34+'6'!N45+'7'!N34+'7'!N45+'8'!N34+'8'!N45+'9'!N34+'9'!N45+'10'!N34+'10'!N45+'11'!N34+'11'!N45+'12'!N34+'12'!N45+'13'!N34+'13'!N45+'14'!N34+'14'!N45+'15'!N34+'15'!N45+'16'!N34+'16'!N45+'17'!N34+'17'!N45+'18'!N34+'18'!N45+'19'!N34+'19'!N45+'20'!N34+'20'!N45+'21'!N34+'21'!N45+'22'!N34+'22'!N45+'23'!N34+'23'!N45+'24'!N34+'24'!N45+'25'!N34+'25'!N45+'26'!N34+'26'!N45+'27'!N34+'27'!N45+'28'!N34+'28'!N45+'29'!N34+'29'!N45+'30'!N34+'30'!N45+'31'!N34+'31'!N45</f>
        <v>0</v>
      </c>
      <c r="O34" s="125">
        <f>'1'!O34+'1'!O45+'2'!O34+'2'!O45+'3'!O34+'3'!O45+'4'!O34+'4'!O45+'5'!O34+'5'!O45+'6'!O34+'6'!O45+'7'!O34+'7'!O45+'8'!O34+'8'!O45+'9'!O34+'9'!O45+'10'!O34+'10'!O45+'11'!O34+'11'!O45+'12'!O34+'12'!O45+'13'!O34+'13'!O45+'14'!O34+'14'!O45+'15'!O34+'15'!O45+'16'!O34+'16'!O45+'17'!O34+'17'!O45+'18'!O34+'18'!O45+'19'!O34+'19'!O45+'20'!O34+'20'!O45+'21'!O34+'21'!O45+'22'!O34+'22'!O45+'23'!O34+'23'!O45+'24'!O34+'24'!O45+'25'!O34+'25'!O45+'26'!O34+'26'!O45+'27'!O34+'27'!O45+'28'!O34+'28'!O45+'29'!O34+'29'!O45+'30'!O34+'30'!O45+'31'!O34+'31'!O45</f>
        <v>0</v>
      </c>
      <c r="P34" s="125">
        <f>'1'!P34+'1'!P45+'2'!P34+'2'!P45+'3'!P34+'3'!P45+'4'!P34+'4'!P45+'5'!P34+'5'!P45+'6'!P34+'6'!P45+'7'!P34+'7'!P45+'8'!P34+'8'!P45+'9'!P34+'9'!P45+'10'!P34+'10'!P45+'11'!P34+'11'!P45+'12'!P34+'12'!P45+'13'!P34+'13'!P45+'14'!P34+'14'!P45+'15'!P34+'15'!P45+'16'!P34+'16'!P45+'17'!P34+'17'!P45+'18'!P34+'18'!P45+'19'!P34+'19'!P45+'20'!P34+'20'!P45+'21'!P34+'21'!P45+'22'!P34+'22'!P45+'23'!P34+'23'!P45+'24'!P34+'24'!P45+'25'!P34+'25'!P45+'26'!P34+'26'!P45+'27'!P34+'27'!P45+'28'!P34+'28'!P45+'29'!P34+'29'!P45+'30'!P34+'30'!P45+'31'!P34+'31'!P45</f>
        <v>0</v>
      </c>
      <c r="Q34" s="125">
        <f>'1'!Q34+'1'!Q45+'2'!Q34+'2'!Q45+'3'!Q34+'3'!Q45+'4'!Q34+'4'!Q45+'5'!Q34+'5'!Q45+'6'!Q34+'6'!Q45+'7'!Q34+'7'!Q45+'8'!Q34+'8'!Q45+'9'!Q34+'9'!Q45+'10'!Q34+'10'!Q45+'11'!Q34+'11'!Q45+'12'!Q34+'12'!Q45+'13'!Q34+'13'!Q45+'14'!Q34+'14'!Q45+'15'!Q34+'15'!Q45+'16'!Q34+'16'!Q45+'17'!Q34+'17'!Q45+'18'!Q34+'18'!Q45+'19'!Q34+'19'!Q45+'20'!Q34+'20'!Q45+'21'!Q34+'21'!Q45+'22'!Q34+'22'!Q45+'23'!Q34+'23'!Q45+'24'!Q34+'24'!Q45+'25'!Q34+'25'!Q45+'26'!Q34+'26'!Q45+'27'!Q34+'27'!Q45+'28'!Q34+'28'!Q45+'29'!Q34+'29'!Q45+'30'!Q34+'30'!Q45+'31'!Q34+'31'!Q45</f>
        <v>6</v>
      </c>
      <c r="R34" s="125">
        <f>'1'!R34+'1'!R45+'2'!R34+'2'!R45+'3'!R34+'3'!R45+'4'!R34+'4'!R45+'5'!R34+'5'!R45+'6'!R34+'6'!R45+'7'!R34+'7'!R45+'8'!R34+'8'!R45+'9'!R34+'9'!R45+'10'!R34+'10'!R45+'11'!R34+'11'!R45+'12'!R34+'12'!R45+'13'!R34+'13'!R45+'14'!R34+'14'!R45+'15'!R34+'15'!R45+'16'!R34+'16'!R45+'17'!R34+'17'!R45+'18'!R34+'18'!R45+'19'!R34+'19'!R45+'20'!R34+'20'!R45+'21'!R34+'21'!R45+'22'!R34+'22'!R45+'23'!R34+'23'!R45+'24'!R34+'24'!R45+'25'!R34+'25'!R45+'26'!R34+'26'!R45+'27'!R34+'27'!R45+'28'!R34+'28'!R45+'29'!R34+'29'!R45+'30'!R34+'30'!R45+'31'!R34+'31'!R45</f>
        <v>0</v>
      </c>
      <c r="S34" s="125">
        <f>'1'!S34+'1'!S45+'2'!S34+'2'!S45+'3'!S34+'3'!S45+'4'!S34+'4'!S45+'5'!S34+'5'!S45+'6'!S34+'6'!S45+'7'!S34+'7'!S45+'8'!S34+'8'!S45+'9'!S34+'9'!S45+'10'!S34+'10'!S45+'11'!S34+'11'!S45+'12'!S34+'12'!S45+'13'!S34+'13'!S45+'14'!S34+'14'!S45+'15'!S34+'15'!S45+'16'!S34+'16'!S45+'17'!S34+'17'!S45+'18'!S34+'18'!S45+'19'!S34+'19'!S45+'20'!S34+'20'!S45+'21'!S34+'21'!S45+'22'!S34+'22'!S45+'23'!S34+'23'!S45+'24'!S34+'24'!S45+'25'!S34+'25'!S45+'26'!S34+'26'!S45+'27'!S34+'27'!S45+'28'!S34+'28'!S45+'29'!S34+'29'!S45+'30'!S34+'30'!S45+'31'!S34+'31'!S45</f>
        <v>0</v>
      </c>
      <c r="T34" s="125">
        <f>'1'!T34+'1'!T45+'2'!T34+'2'!T45+'3'!T34+'3'!T45+'4'!T34+'4'!T45+'5'!T34+'5'!T45+'6'!T34+'6'!T45+'7'!T34+'7'!T45+'8'!T34+'8'!T45+'9'!T34+'9'!T45+'10'!T34+'10'!T45+'11'!T34+'11'!T45+'12'!T34+'12'!T45+'13'!T34+'13'!T45+'14'!T34+'14'!T45+'15'!T34+'15'!T45+'16'!T34+'16'!T45+'17'!T34+'17'!T45+'18'!T34+'18'!T45+'19'!T34+'19'!T45+'20'!T34+'20'!T45+'21'!T34+'21'!T45+'22'!T34+'22'!T45+'23'!T34+'23'!T45+'24'!T34+'24'!T45+'25'!T34+'25'!T45+'26'!T34+'26'!T45+'27'!T34+'27'!T45+'28'!T34+'28'!T45+'29'!T34+'29'!T45+'30'!T34+'30'!T45+'31'!T34+'31'!T45</f>
        <v>0</v>
      </c>
      <c r="U34" s="125">
        <f>'1'!U34+'1'!U45+'2'!U34+'2'!U45+'3'!U34+'3'!U45+'4'!U34+'4'!U45+'5'!U34+'5'!U45+'6'!U34+'6'!U45+'7'!U34+'7'!U45+'8'!U34+'8'!U45+'9'!U34+'9'!U45+'10'!U34+'10'!U45+'11'!U34+'11'!U45+'12'!U34+'12'!U45+'13'!U34+'13'!U45+'14'!U34+'14'!U45+'15'!U34+'15'!U45+'16'!U34+'16'!U45+'17'!U34+'17'!U45+'18'!U34+'18'!U45+'19'!U34+'19'!U45+'20'!U34+'20'!U45+'21'!U34+'21'!U45+'22'!U34+'22'!U45+'23'!U34+'23'!U45+'24'!U34+'24'!U45+'25'!U34+'25'!U45+'26'!U34+'26'!U45+'27'!U34+'27'!U45+'28'!U34+'28'!U45+'29'!U34+'29'!U45+'30'!U34+'30'!U45+'31'!U34+'31'!U45</f>
        <v>0</v>
      </c>
      <c r="V34" s="125">
        <f>'1'!V34+'1'!V45+'2'!V34+'2'!V45+'3'!V34+'3'!V45+'4'!V34+'4'!V45+'5'!V34+'5'!V45+'6'!V34+'6'!V45+'7'!V34+'7'!V45+'8'!V34+'8'!V45+'9'!V34+'9'!V45+'10'!V34+'10'!V45+'11'!V34+'11'!V45+'12'!V34+'12'!V45+'13'!V34+'13'!V45+'14'!V34+'14'!V45+'15'!V34+'15'!V45+'16'!V34+'16'!V45+'17'!V34+'17'!V45+'18'!V34+'18'!V45+'19'!V34+'19'!V45+'20'!V34+'20'!V45+'21'!V34+'21'!V45+'22'!V34+'22'!V45+'23'!V34+'23'!V45+'24'!V34+'24'!V45+'25'!V34+'25'!V45+'26'!V34+'26'!V45+'27'!V34+'27'!V45+'28'!V34+'28'!V45+'29'!V34+'29'!V45+'30'!V34+'30'!V45+'31'!V34+'31'!V45</f>
        <v>0</v>
      </c>
      <c r="W34" s="125">
        <f>'1'!W34+'1'!W45+'2'!W34+'2'!W45+'3'!W34+'3'!W45+'4'!W34+'4'!W45+'5'!W34+'5'!W45+'6'!W34+'6'!W45+'7'!W34+'7'!W45+'8'!W34+'8'!W45+'9'!W34+'9'!W45+'10'!W34+'10'!W45+'11'!W34+'11'!W45+'12'!W34+'12'!W45+'13'!W34+'13'!W45+'14'!W34+'14'!W45+'15'!W34+'15'!W45+'16'!W34+'16'!W45+'17'!W34+'17'!W45+'18'!W34+'18'!W45+'19'!W34+'19'!W45+'20'!W34+'20'!W45+'21'!W34+'21'!W45+'22'!W34+'22'!W45+'23'!W34+'23'!W45+'24'!W34+'24'!W45+'25'!W34+'25'!W45+'26'!W34+'26'!W45+'27'!W34+'27'!W45+'28'!W34+'28'!W45+'29'!W34+'29'!W45+'30'!W34+'30'!W45+'31'!W34+'31'!W45</f>
        <v>0</v>
      </c>
      <c r="X34" s="125">
        <f>'1'!X34+'1'!X45+'2'!X34+'2'!X45+'3'!X34+'3'!X45+'4'!X34+'4'!X45+'5'!X34+'5'!X45+'6'!X34+'6'!X45+'7'!X34+'7'!X45+'8'!X34+'8'!X45+'9'!X34+'9'!X45+'10'!X34+'10'!X45+'11'!X34+'11'!X45+'12'!X34+'12'!X45+'13'!X34+'13'!X45+'14'!X34+'14'!X45+'15'!X34+'15'!X45+'16'!X34+'16'!X45+'17'!X34+'17'!X45+'18'!X34+'18'!X45+'19'!X34+'19'!X45+'20'!X34+'20'!X45+'21'!X34+'21'!X45+'22'!X34+'22'!X45+'23'!X34+'23'!X45+'24'!X34+'24'!X45+'25'!X34+'25'!X45+'26'!X34+'26'!X45+'27'!X34+'27'!X45+'28'!X34+'28'!X45+'29'!X34+'29'!X45+'30'!X34+'30'!X45+'31'!X34+'31'!X45</f>
        <v>0</v>
      </c>
      <c r="Y34" s="125">
        <f>'1'!Y34+'1'!Y45+'2'!Y34+'2'!Y45+'3'!Y34+'3'!Y45+'4'!Y34+'4'!Y45+'5'!Y34+'5'!Y45+'6'!Y34+'6'!Y45+'7'!Y34+'7'!Y45+'8'!Y34+'8'!Y45+'9'!Y34+'9'!Y45+'10'!Y34+'10'!Y45+'11'!Y34+'11'!Y45+'12'!Y34+'12'!Y45+'13'!Y34+'13'!Y45+'14'!Y34+'14'!Y45+'15'!Y34+'15'!Y45+'16'!Y34+'16'!Y45+'17'!Y34+'17'!Y45+'18'!Y34+'18'!Y45+'19'!Y34+'19'!Y45+'20'!Y34+'20'!Y45+'21'!Y34+'21'!Y45+'22'!Y34+'22'!Y45+'23'!Y34+'23'!Y45+'24'!Y34+'24'!Y45+'25'!Y34+'25'!Y45+'26'!Y34+'26'!Y45+'27'!Y34+'27'!Y45+'28'!Y34+'28'!Y45+'29'!Y34+'29'!Y45+'30'!Y34+'30'!Y45+'31'!Y34+'31'!Y45</f>
        <v>0</v>
      </c>
      <c r="Z34" s="125">
        <f>'1'!Z34+'1'!Z45+'2'!Z34+'2'!Z45+'3'!Z34+'3'!Z45+'4'!Z34+'4'!Z45+'5'!Z34+'5'!Z45+'6'!Z34+'6'!Z45+'7'!Z34+'7'!Z45+'8'!Z34+'8'!Z45+'9'!Z34+'9'!Z45+'10'!Z34+'10'!Z45+'11'!Z34+'11'!Z45+'12'!Z34+'12'!Z45+'13'!Z34+'13'!Z45+'14'!Z34+'14'!Z45+'15'!Z34+'15'!Z45+'16'!Z34+'16'!Z45+'17'!Z34+'17'!Z45+'18'!Z34+'18'!Z45+'19'!Z34+'19'!Z45+'20'!Z34+'20'!Z45+'21'!Z34+'21'!Z45+'22'!Z34+'22'!Z45+'23'!Z34+'23'!Z45+'24'!Z34+'24'!Z45+'25'!Z34+'25'!Z45+'26'!Z34+'26'!Z45+'27'!Z34+'27'!Z45+'28'!Z34+'28'!Z45+'29'!Z34+'29'!Z45+'30'!Z34+'30'!Z45+'31'!Z34+'31'!Z45</f>
        <v>0</v>
      </c>
      <c r="AA34" s="125">
        <f>'1'!AA34+'1'!AA45+'2'!AA34+'2'!AA45+'3'!AA34+'3'!AA45+'4'!AA34+'4'!AA45+'5'!AA34+'5'!AA45+'6'!AA34+'6'!AA45+'7'!AA34+'7'!AA45+'8'!AA34+'8'!AA45+'9'!AA34+'9'!AA45+'10'!AA34+'10'!AA45+'11'!AA34+'11'!AA45+'12'!AA34+'12'!AA45+'13'!AA34+'13'!AA45+'14'!AA34+'14'!AA45+'15'!AA34+'15'!AA45+'16'!AA34+'16'!AA45+'17'!AA34+'17'!AA45+'18'!AA34+'18'!AA45+'19'!AA34+'19'!AA45+'20'!AA34+'20'!AA45+'21'!AA34+'21'!AA45+'22'!AA34+'22'!AA45+'23'!AA34+'23'!AA45+'24'!AA34+'24'!AA45+'25'!AA34+'25'!AA45+'26'!AA34+'26'!AA45+'27'!AA34+'27'!AA45+'28'!AA34+'28'!AA45+'29'!AA34+'29'!AA45+'30'!AA34+'30'!AA45+'31'!AA34+'31'!AA45</f>
        <v>0</v>
      </c>
      <c r="AB34" s="125">
        <f>'1'!AB34+'1'!AB45+'2'!AB34+'2'!AB45+'3'!AB34+'3'!AB45+'4'!AB34+'4'!AB45+'5'!AB34+'5'!AB45+'6'!AB34+'6'!AB45+'7'!AB34+'7'!AB45+'8'!AB34+'8'!AB45+'9'!AB34+'9'!AB45+'10'!AB34+'10'!AB45+'11'!AB34+'11'!AB45+'12'!AB34+'12'!AB45+'13'!AB34+'13'!AB45+'14'!AB34+'14'!AB45+'15'!AB34+'15'!AB45+'16'!AB34+'16'!AB45+'17'!AB34+'17'!AB45+'18'!AB34+'18'!AB45+'19'!AB34+'19'!AB45+'20'!AB34+'20'!AB45+'21'!AB34+'21'!AB45+'22'!AB34+'22'!AB45+'23'!AB34+'23'!AB45+'24'!AB34+'24'!AB45+'25'!AB34+'25'!AB45+'26'!AB34+'26'!AB45+'27'!AB34+'27'!AB45+'28'!AB34+'28'!AB45+'29'!AB34+'29'!AB45+'30'!AB34+'30'!AB45+'31'!AB34+'31'!AB45</f>
        <v>0</v>
      </c>
      <c r="AC34" s="125">
        <f>'1'!AC34+'1'!AC45+'2'!AC34+'2'!AC45+'3'!AC34+'3'!AC45+'4'!AC34+'4'!AC45+'5'!AC34+'5'!AC45+'6'!AC34+'6'!AC45+'7'!AC34+'7'!AC45+'8'!AC34+'8'!AC45+'9'!AC34+'9'!AC45+'10'!AC34+'10'!AC45+'11'!AC34+'11'!AC45+'12'!AC34+'12'!AC45+'13'!AC34+'13'!AC45+'14'!AC34+'14'!AC45+'15'!AC34+'15'!AC45+'16'!AC34+'16'!AC45+'17'!AC34+'17'!AC45+'18'!AC34+'18'!AC45+'19'!AC34+'19'!AC45+'20'!AC34+'20'!AC45+'21'!AC34+'21'!AC45+'22'!AC34+'22'!AC45+'23'!AC34+'23'!AC45+'24'!AC34+'24'!AC45+'25'!AC34+'25'!AC45+'26'!AC34+'26'!AC45+'27'!AC34+'27'!AC45+'28'!AC34+'28'!AC45+'29'!AC34+'29'!AC45+'30'!AC34+'30'!AC45+'31'!AC34+'31'!AC45</f>
        <v>0</v>
      </c>
      <c r="AD34" s="125">
        <f>'1'!AD34+'1'!AD45+'2'!AD34+'2'!AD45+'3'!AD34+'3'!AD45+'4'!AD34+'4'!AD45+'5'!AD34+'5'!AD45+'6'!AD34+'6'!AD45+'7'!AD34+'7'!AD45+'8'!AD34+'8'!AD45+'9'!AD34+'9'!AD45+'10'!AD34+'10'!AD45+'11'!AD34+'11'!AD45+'12'!AD34+'12'!AD45+'13'!AD34+'13'!AD45+'14'!AD34+'14'!AD45+'15'!AD34+'15'!AD45+'16'!AD34+'16'!AD45+'17'!AD34+'17'!AD45+'18'!AD34+'18'!AD45+'19'!AD34+'19'!AD45+'20'!AD34+'20'!AD45+'21'!AD34+'21'!AD45+'22'!AD34+'22'!AD45+'23'!AD34+'23'!AD45+'24'!AD34+'24'!AD45+'25'!AD34+'25'!AD45+'26'!AD34+'26'!AD45+'27'!AD34+'27'!AD45+'28'!AD34+'28'!AD45+'29'!AD34+'29'!AD45+'30'!AD34+'30'!AD45+'31'!AD34+'31'!AD45</f>
        <v>0</v>
      </c>
      <c r="AE34" s="125">
        <f>'1'!AE34+'1'!AE45+'2'!AE34+'2'!AE45+'3'!AE34+'3'!AE45+'4'!AE34+'4'!AE45+'5'!AE34+'5'!AE45+'6'!AE34+'6'!AE45+'7'!AE34+'7'!AE45+'8'!AE34+'8'!AE45+'9'!AE34+'9'!AE45+'10'!AE34+'10'!AE45+'11'!AE34+'11'!AE45+'12'!AE34+'12'!AE45+'13'!AE34+'13'!AE45+'14'!AE34+'14'!AE45+'15'!AE34+'15'!AE45+'16'!AE34+'16'!AE45+'17'!AE34+'17'!AE45+'18'!AE34+'18'!AE45+'19'!AE34+'19'!AE45+'20'!AE34+'20'!AE45+'21'!AE34+'21'!AE45+'22'!AE34+'22'!AE45+'23'!AE34+'23'!AE45+'24'!AE34+'24'!AE45+'25'!AE34+'25'!AE45+'26'!AE34+'26'!AE45+'27'!AE34+'27'!AE45+'28'!AE34+'28'!AE45+'29'!AE34+'29'!AE45+'30'!AE34+'30'!AE45+'31'!AE34+'31'!AE45</f>
        <v>0</v>
      </c>
      <c r="AF34" s="125">
        <f>'1'!AF34+'1'!AF45+'2'!AF34+'2'!AF45+'3'!AF34+'3'!AF45+'4'!AF34+'4'!AF45+'5'!AF34+'5'!AF45+'6'!AF34+'6'!AF45+'7'!AF34+'7'!AF45+'8'!AF34+'8'!AF45+'9'!AF34+'9'!AF45+'10'!AF34+'10'!AF45+'11'!AF34+'11'!AF45+'12'!AF34+'12'!AF45+'13'!AF34+'13'!AF45+'14'!AF34+'14'!AF45+'15'!AF34+'15'!AF45+'16'!AF34+'16'!AF45+'17'!AF34+'17'!AF45+'18'!AF34+'18'!AF45+'19'!AF34+'19'!AF45+'20'!AF34+'20'!AF45+'21'!AF34+'21'!AF45+'22'!AF34+'22'!AF45+'23'!AF34+'23'!AF45+'24'!AF34+'24'!AF45+'25'!AF34+'25'!AF45+'26'!AF34+'26'!AF45+'27'!AF34+'27'!AF45+'28'!AF34+'28'!AF45+'29'!AF34+'29'!AF45+'30'!AF34+'30'!AF45+'31'!AF34+'31'!AF45</f>
        <v>0</v>
      </c>
      <c r="AG34" s="125">
        <f>'1'!AG34+'1'!AG45+'2'!AG34+'2'!AG45+'3'!AG34+'3'!AG45+'4'!AG34+'4'!AG45+'5'!AG34+'5'!AG45+'6'!AG34+'6'!AG45+'7'!AG34+'7'!AG45+'8'!AG34+'8'!AG45+'9'!AG34+'9'!AG45+'10'!AG34+'10'!AG45+'11'!AG34+'11'!AG45+'12'!AG34+'12'!AG45+'13'!AG34+'13'!AG45+'14'!AG34+'14'!AG45+'15'!AG34+'15'!AG45+'16'!AG34+'16'!AG45+'17'!AG34+'17'!AG45+'18'!AG34+'18'!AG45+'19'!AG34+'19'!AG45+'20'!AG34+'20'!AG45+'21'!AG34+'21'!AG45+'22'!AG34+'22'!AG45+'23'!AG34+'23'!AG45+'24'!AG34+'24'!AG45+'25'!AG34+'25'!AG45+'26'!AG34+'26'!AG45+'27'!AG34+'27'!AG45+'28'!AG34+'28'!AG45+'29'!AG34+'29'!AG45+'30'!AG34+'30'!AG45+'31'!AG34+'31'!AG45</f>
        <v>0</v>
      </c>
      <c r="AH34" s="126">
        <f>'1'!AH34+'1'!AH45+'2'!AH34+'2'!AH45+'3'!AH34+'3'!AH45+'4'!AH34+'4'!AH45+'5'!AH34+'5'!AH45+'6'!AH34+'6'!AH45+'7'!AH34+'7'!AH45+'8'!AH34+'8'!AH45+'9'!AH34+'9'!AH45+'10'!AH34+'10'!AH45+'11'!AH34+'11'!AH45+'12'!AH34+'12'!AH45+'13'!AH34+'13'!AH45+'14'!AH34+'14'!AH45+'15'!AH34+'15'!AH45+'16'!AH34+'16'!AH45+'17'!AH34+'17'!AH45+'18'!AH34+'18'!AH45+'19'!AH34+'19'!AH45+'20'!AH34+'20'!AH45+'21'!AH34+'21'!AH45+'22'!AH34+'22'!AH45+'23'!AH34+'23'!AH45+'24'!AH34+'24'!AH45+'25'!AH34+'25'!AH45+'26'!AH34+'26'!AH45+'27'!AH34+'27'!AH45+'28'!AH34+'28'!AH45+'29'!AH34+'29'!AH45+'30'!AH34+'30'!AH45+'31'!AH34+'31'!AH45</f>
        <v>0</v>
      </c>
      <c r="AI34" s="252"/>
      <c r="AJ34" s="253"/>
      <c r="AK34" s="73"/>
      <c r="AL34" s="74"/>
      <c r="AM34" s="75"/>
    </row>
    <row r="35" spans="1:39" ht="24.75" customHeight="1">
      <c r="A35" s="919"/>
      <c r="B35" s="162"/>
      <c r="C35" s="214" t="s">
        <v>76</v>
      </c>
      <c r="D35" s="163"/>
      <c r="E35" s="125">
        <f>'1'!E35+'1'!E46+'2'!E35+'2'!E46+'3'!E35+'3'!E46+'4'!E35+'4'!E46+'5'!E35+'5'!E46+'6'!E35+'6'!E46+'7'!E35+'7'!E46+'8'!E35+'8'!E46+'9'!E35+'9'!E46+'10'!E35+'10'!E46+'11'!E35+'11'!E46+'12'!E35+'12'!E46+'13'!E35+'13'!E46+'14'!E35+'14'!E46+'15'!E35+'15'!E46+'16'!E35+'16'!E46+'17'!E35+'17'!E46+'18'!E35+'18'!E46+'19'!E35+'19'!E46+'20'!E35+'20'!E46+'21'!E35+'21'!E46+'22'!E35+'22'!E46+'23'!E35+'23'!E46+'24'!E35+'24'!E46+'25'!E35+'25'!E46+'26'!E35+'26'!E46+'27'!E35+'27'!E46+'28'!E35+'28'!E46+'29'!E35+'29'!E46+'30'!E35+'30'!E46+'31'!E35+'31'!E46</f>
        <v>124149</v>
      </c>
      <c r="F35" s="125">
        <f>'1'!F35+'1'!F46+'2'!F35+'2'!F46+'3'!F35+'3'!F46+'4'!F35+'4'!F46+'5'!F35+'5'!F46+'6'!F35+'6'!F46+'7'!F35+'7'!F46+'8'!F35+'8'!F46+'9'!F35+'9'!F46+'10'!F35+'10'!F46+'11'!F35+'11'!F46+'12'!F35+'12'!F46+'13'!F35+'13'!F46+'14'!F35+'14'!F46+'15'!F35+'15'!F46+'16'!F35+'16'!F46+'17'!F35+'17'!F46+'18'!F35+'18'!F46+'19'!F35+'19'!F46+'20'!F35+'20'!F46+'21'!F35+'21'!F46+'22'!F35+'22'!F46+'23'!F35+'23'!F46+'24'!F35+'24'!F46+'25'!F35+'25'!F46+'26'!F35+'26'!F46+'27'!F35+'27'!F46+'28'!F35+'28'!F46+'29'!F35+'29'!F46+'30'!F35+'30'!F46+'31'!F35+'31'!F46</f>
        <v>116878</v>
      </c>
      <c r="G35" s="269">
        <f t="shared" si="3"/>
        <v>5.8566722245044264E-2</v>
      </c>
      <c r="H35" s="273"/>
      <c r="I35" s="64">
        <f>SUM(J35:AH35)</f>
        <v>7271</v>
      </c>
      <c r="J35" s="125">
        <f>'1'!J35+'1'!J46+'2'!J35+'2'!J46+'3'!J35+'3'!J46+'4'!J35+'4'!J46+'5'!J35+'5'!J46+'6'!J35+'6'!J46+'7'!J35+'7'!J46+'8'!J35+'8'!J46+'9'!J35+'9'!J46+'10'!J35+'10'!J46+'11'!J35+'11'!J46+'12'!J35+'12'!J46+'13'!J35+'13'!J46+'14'!J35+'14'!J46+'15'!J35+'15'!J46+'16'!J35+'16'!J46+'17'!J35+'17'!J46+'18'!J35+'18'!J46+'19'!J35+'19'!J46+'20'!J35+'20'!J46+'21'!J35+'21'!J46+'22'!J35+'22'!J46+'23'!J35+'23'!J46+'24'!J35+'24'!J46+'25'!J35+'25'!J46+'26'!J35+'26'!J46+'27'!J35+'27'!J46+'28'!J35+'28'!J46+'29'!J35+'29'!J46+'30'!J35+'30'!J46+'31'!J35+'31'!J46</f>
        <v>155</v>
      </c>
      <c r="K35" s="125">
        <f>'1'!K35+'1'!K46+'2'!K35+'2'!K46+'3'!K35+'3'!K46+'4'!K35+'4'!K46+'5'!K35+'5'!K46+'6'!K35+'6'!K46+'7'!K35+'7'!K46+'8'!K35+'8'!K46+'9'!K35+'9'!K46+'10'!K35+'10'!K46+'11'!K35+'11'!K46+'12'!K35+'12'!K46+'13'!K35+'13'!K46+'14'!K35+'14'!K46+'15'!K35+'15'!K46+'16'!K35+'16'!K46+'17'!K35+'17'!K46+'18'!K35+'18'!K46+'19'!K35+'19'!K46+'20'!K35+'20'!K46+'21'!K35+'21'!K46+'22'!K35+'22'!K46+'23'!K35+'23'!K46+'24'!K35+'24'!K46+'25'!K35+'25'!K46+'26'!K35+'26'!K46+'27'!K35+'27'!K46+'28'!K35+'28'!K46+'29'!K35+'29'!K46+'30'!K35+'30'!K46+'31'!K35+'31'!K46</f>
        <v>800</v>
      </c>
      <c r="L35" s="125">
        <f>'1'!L35+'1'!L46+'2'!L35+'2'!L46+'3'!L35+'3'!L46+'4'!L35+'4'!L46+'5'!L35+'5'!L46+'6'!L35+'6'!L46+'7'!L35+'7'!L46+'8'!L35+'8'!L46+'9'!L35+'9'!L46+'10'!L35+'10'!L46+'11'!L35+'11'!L46+'12'!L35+'12'!L46+'13'!L35+'13'!L46+'14'!L35+'14'!L46+'15'!L35+'15'!L46+'16'!L35+'16'!L46+'17'!L35+'17'!L46+'18'!L35+'18'!L46+'19'!L35+'19'!L46+'20'!L35+'20'!L46+'21'!L35+'21'!L46+'22'!L35+'22'!L46+'23'!L35+'23'!L46+'24'!L35+'24'!L46+'25'!L35+'25'!L46+'26'!L35+'26'!L46+'27'!L35+'27'!L46+'28'!L35+'28'!L46+'29'!L35+'29'!L46+'30'!L35+'30'!L46+'31'!L35+'31'!L46</f>
        <v>1362</v>
      </c>
      <c r="M35" s="125">
        <f>'1'!M35+'1'!M46+'2'!M35+'2'!M46+'3'!M35+'3'!M46+'4'!M35+'4'!M46+'5'!M35+'5'!M46+'6'!M35+'6'!M46+'7'!M35+'7'!M46+'8'!M35+'8'!M46+'9'!M35+'9'!M46+'10'!M35+'10'!M46+'11'!M35+'11'!M46+'12'!M35+'12'!M46+'13'!M35+'13'!M46+'14'!M35+'14'!M46+'15'!M35+'15'!M46+'16'!M35+'16'!M46+'17'!M35+'17'!M46+'18'!M35+'18'!M46+'19'!M35+'19'!M46+'20'!M35+'20'!M46+'21'!M35+'21'!M46+'22'!M35+'22'!M46+'23'!M35+'23'!M46+'24'!M35+'24'!M46+'25'!M35+'25'!M46+'26'!M35+'26'!M46+'27'!M35+'27'!M46+'28'!M35+'28'!M46+'29'!M35+'29'!M46+'30'!M35+'30'!M46+'31'!M35+'31'!M46</f>
        <v>87</v>
      </c>
      <c r="N35" s="125">
        <f>'1'!N35+'1'!N46+'2'!N35+'2'!N46+'3'!N35+'3'!N46+'4'!N35+'4'!N46+'5'!N35+'5'!N46+'6'!N35+'6'!N46+'7'!N35+'7'!N46+'8'!N35+'8'!N46+'9'!N35+'9'!N46+'10'!N35+'10'!N46+'11'!N35+'11'!N46+'12'!N35+'12'!N46+'13'!N35+'13'!N46+'14'!N35+'14'!N46+'15'!N35+'15'!N46+'16'!N35+'16'!N46+'17'!N35+'17'!N46+'18'!N35+'18'!N46+'19'!N35+'19'!N46+'20'!N35+'20'!N46+'21'!N35+'21'!N46+'22'!N35+'22'!N46+'23'!N35+'23'!N46+'24'!N35+'24'!N46+'25'!N35+'25'!N46+'26'!N35+'26'!N46+'27'!N35+'27'!N46+'28'!N35+'28'!N46+'29'!N35+'29'!N46+'30'!N35+'30'!N46+'31'!N35+'31'!N46</f>
        <v>0</v>
      </c>
      <c r="O35" s="125">
        <f>'1'!O35+'1'!O46+'2'!O35+'2'!O46+'3'!O35+'3'!O46+'4'!O35+'4'!O46+'5'!O35+'5'!O46+'6'!O35+'6'!O46+'7'!O35+'7'!O46+'8'!O35+'8'!O46+'9'!O35+'9'!O46+'10'!O35+'10'!O46+'11'!O35+'11'!O46+'12'!O35+'12'!O46+'13'!O35+'13'!O46+'14'!O35+'14'!O46+'15'!O35+'15'!O46+'16'!O35+'16'!O46+'17'!O35+'17'!O46+'18'!O35+'18'!O46+'19'!O35+'19'!O46+'20'!O35+'20'!O46+'21'!O35+'21'!O46+'22'!O35+'22'!O46+'23'!O35+'23'!O46+'24'!O35+'24'!O46+'25'!O35+'25'!O46+'26'!O35+'26'!O46+'27'!O35+'27'!O46+'28'!O35+'28'!O46+'29'!O35+'29'!O46+'30'!O35+'30'!O46+'31'!O35+'31'!O46</f>
        <v>310</v>
      </c>
      <c r="P35" s="125">
        <f>'1'!P35+'1'!P46+'2'!P35+'2'!P46+'3'!P35+'3'!P46+'4'!P35+'4'!P46+'5'!P35+'5'!P46+'6'!P35+'6'!P46+'7'!P35+'7'!P46+'8'!P35+'8'!P46+'9'!P35+'9'!P46+'10'!P35+'10'!P46+'11'!P35+'11'!P46+'12'!P35+'12'!P46+'13'!P35+'13'!P46+'14'!P35+'14'!P46+'15'!P35+'15'!P46+'16'!P35+'16'!P46+'17'!P35+'17'!P46+'18'!P35+'18'!P46+'19'!P35+'19'!P46+'20'!P35+'20'!P46+'21'!P35+'21'!P46+'22'!P35+'22'!P46+'23'!P35+'23'!P46+'24'!P35+'24'!P46+'25'!P35+'25'!P46+'26'!P35+'26'!P46+'27'!P35+'27'!P46+'28'!P35+'28'!P46+'29'!P35+'29'!P46+'30'!P35+'30'!P46+'31'!P35+'31'!P46</f>
        <v>5</v>
      </c>
      <c r="Q35" s="125">
        <f>'1'!Q35+'1'!Q46+'2'!Q35+'2'!Q46+'3'!Q35+'3'!Q46+'4'!Q35+'4'!Q46+'5'!Q35+'5'!Q46+'6'!Q35+'6'!Q46+'7'!Q35+'7'!Q46+'8'!Q35+'8'!Q46+'9'!Q35+'9'!Q46+'10'!Q35+'10'!Q46+'11'!Q35+'11'!Q46+'12'!Q35+'12'!Q46+'13'!Q35+'13'!Q46+'14'!Q35+'14'!Q46+'15'!Q35+'15'!Q46+'16'!Q35+'16'!Q46+'17'!Q35+'17'!Q46+'18'!Q35+'18'!Q46+'19'!Q35+'19'!Q46+'20'!Q35+'20'!Q46+'21'!Q35+'21'!Q46+'22'!Q35+'22'!Q46+'23'!Q35+'23'!Q46+'24'!Q35+'24'!Q46+'25'!Q35+'25'!Q46+'26'!Q35+'26'!Q46+'27'!Q35+'27'!Q46+'28'!Q35+'28'!Q46+'29'!Q35+'29'!Q46+'30'!Q35+'30'!Q46+'31'!Q35+'31'!Q46</f>
        <v>97</v>
      </c>
      <c r="R35" s="125">
        <f>'1'!R35+'1'!R46+'2'!R35+'2'!R46+'3'!R35+'3'!R46+'4'!R35+'4'!R46+'5'!R35+'5'!R46+'6'!R35+'6'!R46+'7'!R35+'7'!R46+'8'!R35+'8'!R46+'9'!R35+'9'!R46+'10'!R35+'10'!R46+'11'!R35+'11'!R46+'12'!R35+'12'!R46+'13'!R35+'13'!R46+'14'!R35+'14'!R46+'15'!R35+'15'!R46+'16'!R35+'16'!R46+'17'!R35+'17'!R46+'18'!R35+'18'!R46+'19'!R35+'19'!R46+'20'!R35+'20'!R46+'21'!R35+'21'!R46+'22'!R35+'22'!R46+'23'!R35+'23'!R46+'24'!R35+'24'!R46+'25'!R35+'25'!R46+'26'!R35+'26'!R46+'27'!R35+'27'!R46+'28'!R35+'28'!R46+'29'!R35+'29'!R46+'30'!R35+'30'!R46+'31'!R35+'31'!R46</f>
        <v>820</v>
      </c>
      <c r="S35" s="125">
        <f>'1'!S35+'1'!S46+'2'!S35+'2'!S46+'3'!S35+'3'!S46+'4'!S35+'4'!S46+'5'!S35+'5'!S46+'6'!S35+'6'!S46+'7'!S35+'7'!S46+'8'!S35+'8'!S46+'9'!S35+'9'!S46+'10'!S35+'10'!S46+'11'!S35+'11'!S46+'12'!S35+'12'!S46+'13'!S35+'13'!S46+'14'!S35+'14'!S46+'15'!S35+'15'!S46+'16'!S35+'16'!S46+'17'!S35+'17'!S46+'18'!S35+'18'!S46+'19'!S35+'19'!S46+'20'!S35+'20'!S46+'21'!S35+'21'!S46+'22'!S35+'22'!S46+'23'!S35+'23'!S46+'24'!S35+'24'!S46+'25'!S35+'25'!S46+'26'!S35+'26'!S46+'27'!S35+'27'!S46+'28'!S35+'28'!S46+'29'!S35+'29'!S46+'30'!S35+'30'!S46+'31'!S35+'31'!S46</f>
        <v>2</v>
      </c>
      <c r="T35" s="125">
        <f>'1'!T35+'1'!T46+'2'!T35+'2'!T46+'3'!T35+'3'!T46+'4'!T35+'4'!T46+'5'!T35+'5'!T46+'6'!T35+'6'!T46+'7'!T35+'7'!T46+'8'!T35+'8'!T46+'9'!T35+'9'!T46+'10'!T35+'10'!T46+'11'!T35+'11'!T46+'12'!T35+'12'!T46+'13'!T35+'13'!T46+'14'!T35+'14'!T46+'15'!T35+'15'!T46+'16'!T35+'16'!T46+'17'!T35+'17'!T46+'18'!T35+'18'!T46+'19'!T35+'19'!T46+'20'!T35+'20'!T46+'21'!T35+'21'!T46+'22'!T35+'22'!T46+'23'!T35+'23'!T46+'24'!T35+'24'!T46+'25'!T35+'25'!T46+'26'!T35+'26'!T46+'27'!T35+'27'!T46+'28'!T35+'28'!T46+'29'!T35+'29'!T46+'30'!T35+'30'!T46+'31'!T35+'31'!T46</f>
        <v>0</v>
      </c>
      <c r="U35" s="125">
        <f>'1'!U35+'1'!U46+'2'!U35+'2'!U46+'3'!U35+'3'!U46+'4'!U35+'4'!U46+'5'!U35+'5'!U46+'6'!U35+'6'!U46+'7'!U35+'7'!U46+'8'!U35+'8'!U46+'9'!U35+'9'!U46+'10'!U35+'10'!U46+'11'!U35+'11'!U46+'12'!U35+'12'!U46+'13'!U35+'13'!U46+'14'!U35+'14'!U46+'15'!U35+'15'!U46+'16'!U35+'16'!U46+'17'!U35+'17'!U46+'18'!U35+'18'!U46+'19'!U35+'19'!U46+'20'!U35+'20'!U46+'21'!U35+'21'!U46+'22'!U35+'22'!U46+'23'!U35+'23'!U46+'24'!U35+'24'!U46+'25'!U35+'25'!U46+'26'!U35+'26'!U46+'27'!U35+'27'!U46+'28'!U35+'28'!U46+'29'!U35+'29'!U46+'30'!U35+'30'!U46+'31'!U35+'31'!U46</f>
        <v>0</v>
      </c>
      <c r="V35" s="125">
        <f>'1'!V35+'1'!V46+'2'!V35+'2'!V46+'3'!V35+'3'!V46+'4'!V35+'4'!V46+'5'!V35+'5'!V46+'6'!V35+'6'!V46+'7'!V35+'7'!V46+'8'!V35+'8'!V46+'9'!V35+'9'!V46+'10'!V35+'10'!V46+'11'!V35+'11'!V46+'12'!V35+'12'!V46+'13'!V35+'13'!V46+'14'!V35+'14'!V46+'15'!V35+'15'!V46+'16'!V35+'16'!V46+'17'!V35+'17'!V46+'18'!V35+'18'!V46+'19'!V35+'19'!V46+'20'!V35+'20'!V46+'21'!V35+'21'!V46+'22'!V35+'22'!V46+'23'!V35+'23'!V46+'24'!V35+'24'!V46+'25'!V35+'25'!V46+'26'!V35+'26'!V46+'27'!V35+'27'!V46+'28'!V35+'28'!V46+'29'!V35+'29'!V46+'30'!V35+'30'!V46+'31'!V35+'31'!V46</f>
        <v>402</v>
      </c>
      <c r="W35" s="125">
        <f>'1'!W35+'1'!W46+'2'!W35+'2'!W46+'3'!W35+'3'!W46+'4'!W35+'4'!W46+'5'!W35+'5'!W46+'6'!W35+'6'!W46+'7'!W35+'7'!W46+'8'!W35+'8'!W46+'9'!W35+'9'!W46+'10'!W35+'10'!W46+'11'!W35+'11'!W46+'12'!W35+'12'!W46+'13'!W35+'13'!W46+'14'!W35+'14'!W46+'15'!W35+'15'!W46+'16'!W35+'16'!W46+'17'!W35+'17'!W46+'18'!W35+'18'!W46+'19'!W35+'19'!W46+'20'!W35+'20'!W46+'21'!W35+'21'!W46+'22'!W35+'22'!W46+'23'!W35+'23'!W46+'24'!W35+'24'!W46+'25'!W35+'25'!W46+'26'!W35+'26'!W46+'27'!W35+'27'!W46+'28'!W35+'28'!W46+'29'!W35+'29'!W46+'30'!W35+'30'!W46+'31'!W35+'31'!W46</f>
        <v>994</v>
      </c>
      <c r="X35" s="125">
        <f>'1'!X35+'1'!X46+'2'!X35+'2'!X46+'3'!X35+'3'!X46+'4'!X35+'4'!X46+'5'!X35+'5'!X46+'6'!X35+'6'!X46+'7'!X35+'7'!X46+'8'!X35+'8'!X46+'9'!X35+'9'!X46+'10'!X35+'10'!X46+'11'!X35+'11'!X46+'12'!X35+'12'!X46+'13'!X35+'13'!X46+'14'!X35+'14'!X46+'15'!X35+'15'!X46+'16'!X35+'16'!X46+'17'!X35+'17'!X46+'18'!X35+'18'!X46+'19'!X35+'19'!X46+'20'!X35+'20'!X46+'21'!X35+'21'!X46+'22'!X35+'22'!X46+'23'!X35+'23'!X46+'24'!X35+'24'!X46+'25'!X35+'25'!X46+'26'!X35+'26'!X46+'27'!X35+'27'!X46+'28'!X35+'28'!X46+'29'!X35+'29'!X46+'30'!X35+'30'!X46+'31'!X35+'31'!X46</f>
        <v>4</v>
      </c>
      <c r="Y35" s="125">
        <f>'1'!Y35+'1'!Y46+'2'!Y35+'2'!Y46+'3'!Y35+'3'!Y46+'4'!Y35+'4'!Y46+'5'!Y35+'5'!Y46+'6'!Y35+'6'!Y46+'7'!Y35+'7'!Y46+'8'!Y35+'8'!Y46+'9'!Y35+'9'!Y46+'10'!Y35+'10'!Y46+'11'!Y35+'11'!Y46+'12'!Y35+'12'!Y46+'13'!Y35+'13'!Y46+'14'!Y35+'14'!Y46+'15'!Y35+'15'!Y46+'16'!Y35+'16'!Y46+'17'!Y35+'17'!Y46+'18'!Y35+'18'!Y46+'19'!Y35+'19'!Y46+'20'!Y35+'20'!Y46+'21'!Y35+'21'!Y46+'22'!Y35+'22'!Y46+'23'!Y35+'23'!Y46+'24'!Y35+'24'!Y46+'25'!Y35+'25'!Y46+'26'!Y35+'26'!Y46+'27'!Y35+'27'!Y46+'28'!Y35+'28'!Y46+'29'!Y35+'29'!Y46+'30'!Y35+'30'!Y46+'31'!Y35+'31'!Y46</f>
        <v>54</v>
      </c>
      <c r="Z35" s="125">
        <f>'1'!Z35+'1'!Z46+'2'!Z35+'2'!Z46+'3'!Z35+'3'!Z46+'4'!Z35+'4'!Z46+'5'!Z35+'5'!Z46+'6'!Z35+'6'!Z46+'7'!Z35+'7'!Z46+'8'!Z35+'8'!Z46+'9'!Z35+'9'!Z46+'10'!Z35+'10'!Z46+'11'!Z35+'11'!Z46+'12'!Z35+'12'!Z46+'13'!Z35+'13'!Z46+'14'!Z35+'14'!Z46+'15'!Z35+'15'!Z46+'16'!Z35+'16'!Z46+'17'!Z35+'17'!Z46+'18'!Z35+'18'!Z46+'19'!Z35+'19'!Z46+'20'!Z35+'20'!Z46+'21'!Z35+'21'!Z46+'22'!Z35+'22'!Z46+'23'!Z35+'23'!Z46+'24'!Z35+'24'!Z46+'25'!Z35+'25'!Z46+'26'!Z35+'26'!Z46+'27'!Z35+'27'!Z46+'28'!Z35+'28'!Z46+'29'!Z35+'29'!Z46+'30'!Z35+'30'!Z46+'31'!Z35+'31'!Z46</f>
        <v>12</v>
      </c>
      <c r="AA35" s="125">
        <f>'1'!AA35+'1'!AA46+'2'!AA35+'2'!AA46+'3'!AA35+'3'!AA46+'4'!AA35+'4'!AA46+'5'!AA35+'5'!AA46+'6'!AA35+'6'!AA46+'7'!AA35+'7'!AA46+'8'!AA35+'8'!AA46+'9'!AA35+'9'!AA46+'10'!AA35+'10'!AA46+'11'!AA35+'11'!AA46+'12'!AA35+'12'!AA46+'13'!AA35+'13'!AA46+'14'!AA35+'14'!AA46+'15'!AA35+'15'!AA46+'16'!AA35+'16'!AA46+'17'!AA35+'17'!AA46+'18'!AA35+'18'!AA46+'19'!AA35+'19'!AA46+'20'!AA35+'20'!AA46+'21'!AA35+'21'!AA46+'22'!AA35+'22'!AA46+'23'!AA35+'23'!AA46+'24'!AA35+'24'!AA46+'25'!AA35+'25'!AA46+'26'!AA35+'26'!AA46+'27'!AA35+'27'!AA46+'28'!AA35+'28'!AA46+'29'!AA35+'29'!AA46+'30'!AA35+'30'!AA46+'31'!AA35+'31'!AA46</f>
        <v>5</v>
      </c>
      <c r="AB35" s="125">
        <f>'1'!AB35+'1'!AB46+'2'!AB35+'2'!AB46+'3'!AB35+'3'!AB46+'4'!AB35+'4'!AB46+'5'!AB35+'5'!AB46+'6'!AB35+'6'!AB46+'7'!AB35+'7'!AB46+'8'!AB35+'8'!AB46+'9'!AB35+'9'!AB46+'10'!AB35+'10'!AB46+'11'!AB35+'11'!AB46+'12'!AB35+'12'!AB46+'13'!AB35+'13'!AB46+'14'!AB35+'14'!AB46+'15'!AB35+'15'!AB46+'16'!AB35+'16'!AB46+'17'!AB35+'17'!AB46+'18'!AB35+'18'!AB46+'19'!AB35+'19'!AB46+'20'!AB35+'20'!AB46+'21'!AB35+'21'!AB46+'22'!AB35+'22'!AB46+'23'!AB35+'23'!AB46+'24'!AB35+'24'!AB46+'25'!AB35+'25'!AB46+'26'!AB35+'26'!AB46+'27'!AB35+'27'!AB46+'28'!AB35+'28'!AB46+'29'!AB35+'29'!AB46+'30'!AB35+'30'!AB46+'31'!AB35+'31'!AB46</f>
        <v>536</v>
      </c>
      <c r="AC35" s="125">
        <f>'1'!AC35+'1'!AC46+'2'!AC35+'2'!AC46+'3'!AC35+'3'!AC46+'4'!AC35+'4'!AC46+'5'!AC35+'5'!AC46+'6'!AC35+'6'!AC46+'7'!AC35+'7'!AC46+'8'!AC35+'8'!AC46+'9'!AC35+'9'!AC46+'10'!AC35+'10'!AC46+'11'!AC35+'11'!AC46+'12'!AC35+'12'!AC46+'13'!AC35+'13'!AC46+'14'!AC35+'14'!AC46+'15'!AC35+'15'!AC46+'16'!AC35+'16'!AC46+'17'!AC35+'17'!AC46+'18'!AC35+'18'!AC46+'19'!AC35+'19'!AC46+'20'!AC35+'20'!AC46+'21'!AC35+'21'!AC46+'22'!AC35+'22'!AC46+'23'!AC35+'23'!AC46+'24'!AC35+'24'!AC46+'25'!AC35+'25'!AC46+'26'!AC35+'26'!AC46+'27'!AC35+'27'!AC46+'28'!AC35+'28'!AC46+'29'!AC35+'29'!AC46+'30'!AC35+'30'!AC46+'31'!AC35+'31'!AC46</f>
        <v>878</v>
      </c>
      <c r="AD35" s="125">
        <f>'1'!AD35+'1'!AD46+'2'!AD35+'2'!AD46+'3'!AD35+'3'!AD46+'4'!AD35+'4'!AD46+'5'!AD35+'5'!AD46+'6'!AD35+'6'!AD46+'7'!AD35+'7'!AD46+'8'!AD35+'8'!AD46+'9'!AD35+'9'!AD46+'10'!AD35+'10'!AD46+'11'!AD35+'11'!AD46+'12'!AD35+'12'!AD46+'13'!AD35+'13'!AD46+'14'!AD35+'14'!AD46+'15'!AD35+'15'!AD46+'16'!AD35+'16'!AD46+'17'!AD35+'17'!AD46+'18'!AD35+'18'!AD46+'19'!AD35+'19'!AD46+'20'!AD35+'20'!AD46+'21'!AD35+'21'!AD46+'22'!AD35+'22'!AD46+'23'!AD35+'23'!AD46+'24'!AD35+'24'!AD46+'25'!AD35+'25'!AD46+'26'!AD35+'26'!AD46+'27'!AD35+'27'!AD46+'28'!AD35+'28'!AD46+'29'!AD35+'29'!AD46+'30'!AD35+'30'!AD46+'31'!AD35+'31'!AD46</f>
        <v>102</v>
      </c>
      <c r="AE35" s="125">
        <f>'1'!AE35+'1'!AE46+'2'!AE35+'2'!AE46+'3'!AE35+'3'!AE46+'4'!AE35+'4'!AE46+'5'!AE35+'5'!AE46+'6'!AE35+'6'!AE46+'7'!AE35+'7'!AE46+'8'!AE35+'8'!AE46+'9'!AE35+'9'!AE46+'10'!AE35+'10'!AE46+'11'!AE35+'11'!AE46+'12'!AE35+'12'!AE46+'13'!AE35+'13'!AE46+'14'!AE35+'14'!AE46+'15'!AE35+'15'!AE46+'16'!AE35+'16'!AE46+'17'!AE35+'17'!AE46+'18'!AE35+'18'!AE46+'19'!AE35+'19'!AE46+'20'!AE35+'20'!AE46+'21'!AE35+'21'!AE46+'22'!AE35+'22'!AE46+'23'!AE35+'23'!AE46+'24'!AE35+'24'!AE46+'25'!AE35+'25'!AE46+'26'!AE35+'26'!AE46+'27'!AE35+'27'!AE46+'28'!AE35+'28'!AE46+'29'!AE35+'29'!AE46+'30'!AE35+'30'!AE46+'31'!AE35+'31'!AE46</f>
        <v>336</v>
      </c>
      <c r="AF35" s="125">
        <f>'1'!AF35+'1'!AF46+'2'!AF35+'2'!AF46+'3'!AF35+'3'!AF46+'4'!AF35+'4'!AF46+'5'!AF35+'5'!AF46+'6'!AF35+'6'!AF46+'7'!AF35+'7'!AF46+'8'!AF35+'8'!AF46+'9'!AF35+'9'!AF46+'10'!AF35+'10'!AF46+'11'!AF35+'11'!AF46+'12'!AF35+'12'!AF46+'13'!AF35+'13'!AF46+'14'!AF35+'14'!AF46+'15'!AF35+'15'!AF46+'16'!AF35+'16'!AF46+'17'!AF35+'17'!AF46+'18'!AF35+'18'!AF46+'19'!AF35+'19'!AF46+'20'!AF35+'20'!AF46+'21'!AF35+'21'!AF46+'22'!AF35+'22'!AF46+'23'!AF35+'23'!AF46+'24'!AF35+'24'!AF46+'25'!AF35+'25'!AF46+'26'!AF35+'26'!AF46+'27'!AF35+'27'!AF46+'28'!AF35+'28'!AF46+'29'!AF35+'29'!AF46+'30'!AF35+'30'!AF46+'31'!AF35+'31'!AF46</f>
        <v>120</v>
      </c>
      <c r="AG35" s="125">
        <f>'1'!AG35+'1'!AG46+'2'!AG35+'2'!AG46+'3'!AG35+'3'!AG46+'4'!AG35+'4'!AG46+'5'!AG35+'5'!AG46+'6'!AG35+'6'!AG46+'7'!AG35+'7'!AG46+'8'!AG35+'8'!AG46+'9'!AG35+'9'!AG46+'10'!AG35+'10'!AG46+'11'!AG35+'11'!AG46+'12'!AG35+'12'!AG46+'13'!AG35+'13'!AG46+'14'!AG35+'14'!AG46+'15'!AG35+'15'!AG46+'16'!AG35+'16'!AG46+'17'!AG35+'17'!AG46+'18'!AG35+'18'!AG46+'19'!AG35+'19'!AG46+'20'!AG35+'20'!AG46+'21'!AG35+'21'!AG46+'22'!AG35+'22'!AG46+'23'!AG35+'23'!AG46+'24'!AG35+'24'!AG46+'25'!AG35+'25'!AG46+'26'!AG35+'26'!AG46+'27'!AG35+'27'!AG46+'28'!AG35+'28'!AG46+'29'!AG35+'29'!AG46+'30'!AG35+'30'!AG46+'31'!AG35+'31'!AG46</f>
        <v>16</v>
      </c>
      <c r="AH35" s="126">
        <f>'1'!AH35+'1'!AH46+'2'!AH35+'2'!AH46+'3'!AH35+'3'!AH46+'4'!AH35+'4'!AH46+'5'!AH35+'5'!AH46+'6'!AH35+'6'!AH46+'7'!AH35+'7'!AH46+'8'!AH35+'8'!AH46+'9'!AH35+'9'!AH46+'10'!AH35+'10'!AH46+'11'!AH35+'11'!AH46+'12'!AH35+'12'!AH46+'13'!AH35+'13'!AH46+'14'!AH35+'14'!AH46+'15'!AH35+'15'!AH46+'16'!AH35+'16'!AH46+'17'!AH35+'17'!AH46+'18'!AH35+'18'!AH46+'19'!AH35+'19'!AH46+'20'!AH35+'20'!AH46+'21'!AH35+'21'!AH46+'22'!AH35+'22'!AH46+'23'!AH35+'23'!AH46+'24'!AH35+'24'!AH46+'25'!AH35+'25'!AH46+'26'!AH35+'26'!AH46+'27'!AH35+'27'!AH46+'28'!AH35+'28'!AH46+'29'!AH35+'29'!AH46+'30'!AH35+'30'!AH46+'31'!AH35+'31'!AH46</f>
        <v>174</v>
      </c>
      <c r="AI35" s="76"/>
      <c r="AJ35" s="86"/>
      <c r="AK35" s="73"/>
      <c r="AL35" s="74"/>
      <c r="AM35" s="75"/>
    </row>
    <row r="36" spans="1:39" ht="24.75" customHeight="1">
      <c r="A36" s="919"/>
      <c r="B36" s="160"/>
      <c r="C36" s="215" t="s">
        <v>77</v>
      </c>
      <c r="D36" s="207"/>
      <c r="E36" s="125">
        <f>'1'!E36+'1'!E47+'2'!E36+'2'!E47+'3'!E36+'3'!E47+'4'!E36+'4'!E47+'5'!E36+'5'!E47+'6'!E36+'6'!E47+'7'!E36+'7'!E47+'8'!E36+'8'!E47+'9'!E36+'9'!E47+'10'!E36+'10'!E47+'11'!E36+'11'!E47+'12'!E36+'12'!E47+'13'!E36+'13'!E47+'14'!E36+'14'!E47+'15'!E36+'15'!E47+'16'!E36+'16'!E47+'17'!E36+'17'!E47+'18'!E36+'18'!E47+'19'!E36+'19'!E47+'20'!E36+'20'!E47+'21'!E36+'21'!E47+'22'!E36+'22'!E47+'23'!E36+'23'!E47+'24'!E36+'24'!E47+'25'!E36+'25'!E47+'26'!E36+'26'!E47+'27'!E36+'27'!E47+'28'!E36+'28'!E47+'29'!E36+'29'!E47+'30'!E36+'30'!E47+'31'!E36+'31'!E47</f>
        <v>13899</v>
      </c>
      <c r="F36" s="125">
        <f>'1'!F36+'1'!F47+'2'!F36+'2'!F47+'3'!F36+'3'!F47+'4'!F36+'4'!F47+'5'!F36+'5'!F47+'6'!F36+'6'!F47+'7'!F36+'7'!F47+'8'!F36+'8'!F47+'9'!F36+'9'!F47+'10'!F36+'10'!F47+'11'!F36+'11'!F47+'12'!F36+'12'!F47+'13'!F36+'13'!F47+'14'!F36+'14'!F47+'15'!F36+'15'!F47+'16'!F36+'16'!F47+'17'!F36+'17'!F47+'18'!F36+'18'!F47+'19'!F36+'19'!F47+'20'!F36+'20'!F47+'21'!F36+'21'!F47+'22'!F36+'22'!F47+'23'!F36+'23'!F47+'24'!F36+'24'!F47+'25'!F36+'25'!F47+'26'!F36+'26'!F47+'27'!F36+'27'!F47+'28'!F36+'28'!F47+'29'!F36+'29'!F47+'30'!F36+'30'!F47+'31'!F36+'31'!F47</f>
        <v>12269</v>
      </c>
      <c r="G36" s="269">
        <f t="shared" si="3"/>
        <v>0.11727462407367437</v>
      </c>
      <c r="H36" s="273"/>
      <c r="I36" s="243">
        <f t="shared" si="4"/>
        <v>1630</v>
      </c>
      <c r="J36" s="125">
        <f>'1'!J36+'1'!J47+'2'!J36+'2'!J47+'3'!J36+'3'!J47+'4'!J36+'4'!J47+'5'!J36+'5'!J47+'6'!J36+'6'!J47+'7'!J36+'7'!J47+'8'!J36+'8'!J47+'9'!J36+'9'!J47+'10'!J36+'10'!J47+'11'!J36+'11'!J47+'12'!J36+'12'!J47+'13'!J36+'13'!J47+'14'!J36+'14'!J47+'15'!J36+'15'!J47+'16'!J36+'16'!J47+'17'!J36+'17'!J47+'18'!J36+'18'!J47+'19'!J36+'19'!J47+'20'!J36+'20'!J47+'21'!J36+'21'!J47+'22'!J36+'22'!J47+'23'!J36+'23'!J47+'24'!J36+'24'!J47+'25'!J36+'25'!J47+'26'!J36+'26'!J47+'27'!J36+'27'!J47+'28'!J36+'28'!J47+'29'!J36+'29'!J47+'30'!J36+'30'!J47+'31'!J36+'31'!J47</f>
        <v>105</v>
      </c>
      <c r="K36" s="125">
        <f>'1'!K36+'1'!K47+'2'!K36+'2'!K47+'3'!K36+'3'!K47+'4'!K36+'4'!K47+'5'!K36+'5'!K47+'6'!K36+'6'!K47+'7'!K36+'7'!K47+'8'!K36+'8'!K47+'9'!K36+'9'!K47+'10'!K36+'10'!K47+'11'!K36+'11'!K47+'12'!K36+'12'!K47+'13'!K36+'13'!K47+'14'!K36+'14'!K47+'15'!K36+'15'!K47+'16'!K36+'16'!K47+'17'!K36+'17'!K47+'18'!K36+'18'!K47+'19'!K36+'19'!K47+'20'!K36+'20'!K47+'21'!K36+'21'!K47+'22'!K36+'22'!K47+'23'!K36+'23'!K47+'24'!K36+'24'!K47+'25'!K36+'25'!K47+'26'!K36+'26'!K47+'27'!K36+'27'!K47+'28'!K36+'28'!K47+'29'!K36+'29'!K47+'30'!K36+'30'!K47+'31'!K36+'31'!K47</f>
        <v>557</v>
      </c>
      <c r="L36" s="125">
        <f>'1'!L36+'1'!L47+'2'!L36+'2'!L47+'3'!L36+'3'!L47+'4'!L36+'4'!L47+'5'!L36+'5'!L47+'6'!L36+'6'!L47+'7'!L36+'7'!L47+'8'!L36+'8'!L47+'9'!L36+'9'!L47+'10'!L36+'10'!L47+'11'!L36+'11'!L47+'12'!L36+'12'!L47+'13'!L36+'13'!L47+'14'!L36+'14'!L47+'15'!L36+'15'!L47+'16'!L36+'16'!L47+'17'!L36+'17'!L47+'18'!L36+'18'!L47+'19'!L36+'19'!L47+'20'!L36+'20'!L47+'21'!L36+'21'!L47+'22'!L36+'22'!L47+'23'!L36+'23'!L47+'24'!L36+'24'!L47+'25'!L36+'25'!L47+'26'!L36+'26'!L47+'27'!L36+'27'!L47+'28'!L36+'28'!L47+'29'!L36+'29'!L47+'30'!L36+'30'!L47+'31'!L36+'31'!L47</f>
        <v>224</v>
      </c>
      <c r="M36" s="125">
        <f>'1'!M36+'1'!M47+'2'!M36+'2'!M47+'3'!M36+'3'!M47+'4'!M36+'4'!M47+'5'!M36+'5'!M47+'6'!M36+'6'!M47+'7'!M36+'7'!M47+'8'!M36+'8'!M47+'9'!M36+'9'!M47+'10'!M36+'10'!M47+'11'!M36+'11'!M47+'12'!M36+'12'!M47+'13'!M36+'13'!M47+'14'!M36+'14'!M47+'15'!M36+'15'!M47+'16'!M36+'16'!M47+'17'!M36+'17'!M47+'18'!M36+'18'!M47+'19'!M36+'19'!M47+'20'!M36+'20'!M47+'21'!M36+'21'!M47+'22'!M36+'22'!M47+'23'!M36+'23'!M47+'24'!M36+'24'!M47+'25'!M36+'25'!M47+'26'!M36+'26'!M47+'27'!M36+'27'!M47+'28'!M36+'28'!M47+'29'!M36+'29'!M47+'30'!M36+'30'!M47+'31'!M36+'31'!M47</f>
        <v>0</v>
      </c>
      <c r="N36" s="125">
        <f>'1'!N36+'1'!N47+'2'!N36+'2'!N47+'3'!N36+'3'!N47+'4'!N36+'4'!N47+'5'!N36+'5'!N47+'6'!N36+'6'!N47+'7'!N36+'7'!N47+'8'!N36+'8'!N47+'9'!N36+'9'!N47+'10'!N36+'10'!N47+'11'!N36+'11'!N47+'12'!N36+'12'!N47+'13'!N36+'13'!N47+'14'!N36+'14'!N47+'15'!N36+'15'!N47+'16'!N36+'16'!N47+'17'!N36+'17'!N47+'18'!N36+'18'!N47+'19'!N36+'19'!N47+'20'!N36+'20'!N47+'21'!N36+'21'!N47+'22'!N36+'22'!N47+'23'!N36+'23'!N47+'24'!N36+'24'!N47+'25'!N36+'25'!N47+'26'!N36+'26'!N47+'27'!N36+'27'!N47+'28'!N36+'28'!N47+'29'!N36+'29'!N47+'30'!N36+'30'!N47+'31'!N36+'31'!N47</f>
        <v>0</v>
      </c>
      <c r="O36" s="125">
        <f>'1'!O36+'1'!O47+'2'!O36+'2'!O47+'3'!O36+'3'!O47+'4'!O36+'4'!O47+'5'!O36+'5'!O47+'6'!O36+'6'!O47+'7'!O36+'7'!O47+'8'!O36+'8'!O47+'9'!O36+'9'!O47+'10'!O36+'10'!O47+'11'!O36+'11'!O47+'12'!O36+'12'!O47+'13'!O36+'13'!O47+'14'!O36+'14'!O47+'15'!O36+'15'!O47+'16'!O36+'16'!O47+'17'!O36+'17'!O47+'18'!O36+'18'!O47+'19'!O36+'19'!O47+'20'!O36+'20'!O47+'21'!O36+'21'!O47+'22'!O36+'22'!O47+'23'!O36+'23'!O47+'24'!O36+'24'!O47+'25'!O36+'25'!O47+'26'!O36+'26'!O47+'27'!O36+'27'!O47+'28'!O36+'28'!O47+'29'!O36+'29'!O47+'30'!O36+'30'!O47+'31'!O36+'31'!O47</f>
        <v>20</v>
      </c>
      <c r="P36" s="125">
        <f>'1'!P36+'1'!P47+'2'!P36+'2'!P47+'3'!P36+'3'!P47+'4'!P36+'4'!P47+'5'!P36+'5'!P47+'6'!P36+'6'!P47+'7'!P36+'7'!P47+'8'!P36+'8'!P47+'9'!P36+'9'!P47+'10'!P36+'10'!P47+'11'!P36+'11'!P47+'12'!P36+'12'!P47+'13'!P36+'13'!P47+'14'!P36+'14'!P47+'15'!P36+'15'!P47+'16'!P36+'16'!P47+'17'!P36+'17'!P47+'18'!P36+'18'!P47+'19'!P36+'19'!P47+'20'!P36+'20'!P47+'21'!P36+'21'!P47+'22'!P36+'22'!P47+'23'!P36+'23'!P47+'24'!P36+'24'!P47+'25'!P36+'25'!P47+'26'!P36+'26'!P47+'27'!P36+'27'!P47+'28'!P36+'28'!P47+'29'!P36+'29'!P47+'30'!P36+'30'!P47+'31'!P36+'31'!P47</f>
        <v>17</v>
      </c>
      <c r="Q36" s="125">
        <f>'1'!Q36+'1'!Q47+'2'!Q36+'2'!Q47+'3'!Q36+'3'!Q47+'4'!Q36+'4'!Q47+'5'!Q36+'5'!Q47+'6'!Q36+'6'!Q47+'7'!Q36+'7'!Q47+'8'!Q36+'8'!Q47+'9'!Q36+'9'!Q47+'10'!Q36+'10'!Q47+'11'!Q36+'11'!Q47+'12'!Q36+'12'!Q47+'13'!Q36+'13'!Q47+'14'!Q36+'14'!Q47+'15'!Q36+'15'!Q47+'16'!Q36+'16'!Q47+'17'!Q36+'17'!Q47+'18'!Q36+'18'!Q47+'19'!Q36+'19'!Q47+'20'!Q36+'20'!Q47+'21'!Q36+'21'!Q47+'22'!Q36+'22'!Q47+'23'!Q36+'23'!Q47+'24'!Q36+'24'!Q47+'25'!Q36+'25'!Q47+'26'!Q36+'26'!Q47+'27'!Q36+'27'!Q47+'28'!Q36+'28'!Q47+'29'!Q36+'29'!Q47+'30'!Q36+'30'!Q47+'31'!Q36+'31'!Q47</f>
        <v>52</v>
      </c>
      <c r="R36" s="125">
        <f>'1'!R36+'1'!R47+'2'!R36+'2'!R47+'3'!R36+'3'!R47+'4'!R36+'4'!R47+'5'!R36+'5'!R47+'6'!R36+'6'!R47+'7'!R36+'7'!R47+'8'!R36+'8'!R47+'9'!R36+'9'!R47+'10'!R36+'10'!R47+'11'!R36+'11'!R47+'12'!R36+'12'!R47+'13'!R36+'13'!R47+'14'!R36+'14'!R47+'15'!R36+'15'!R47+'16'!R36+'16'!R47+'17'!R36+'17'!R47+'18'!R36+'18'!R47+'19'!R36+'19'!R47+'20'!R36+'20'!R47+'21'!R36+'21'!R47+'22'!R36+'22'!R47+'23'!R36+'23'!R47+'24'!R36+'24'!R47+'25'!R36+'25'!R47+'26'!R36+'26'!R47+'27'!R36+'27'!R47+'28'!R36+'28'!R47+'29'!R36+'29'!R47+'30'!R36+'30'!R47+'31'!R36+'31'!R47</f>
        <v>5</v>
      </c>
      <c r="S36" s="125">
        <f>'1'!S36+'1'!S47+'2'!S36+'2'!S47+'3'!S36+'3'!S47+'4'!S36+'4'!S47+'5'!S36+'5'!S47+'6'!S36+'6'!S47+'7'!S36+'7'!S47+'8'!S36+'8'!S47+'9'!S36+'9'!S47+'10'!S36+'10'!S47+'11'!S36+'11'!S47+'12'!S36+'12'!S47+'13'!S36+'13'!S47+'14'!S36+'14'!S47+'15'!S36+'15'!S47+'16'!S36+'16'!S47+'17'!S36+'17'!S47+'18'!S36+'18'!S47+'19'!S36+'19'!S47+'20'!S36+'20'!S47+'21'!S36+'21'!S47+'22'!S36+'22'!S47+'23'!S36+'23'!S47+'24'!S36+'24'!S47+'25'!S36+'25'!S47+'26'!S36+'26'!S47+'27'!S36+'27'!S47+'28'!S36+'28'!S47+'29'!S36+'29'!S47+'30'!S36+'30'!S47+'31'!S36+'31'!S47</f>
        <v>0</v>
      </c>
      <c r="T36" s="125">
        <f>'1'!T36+'1'!T47+'2'!T36+'2'!T47+'3'!T36+'3'!T47+'4'!T36+'4'!T47+'5'!T36+'5'!T47+'6'!T36+'6'!T47+'7'!T36+'7'!T47+'8'!T36+'8'!T47+'9'!T36+'9'!T47+'10'!T36+'10'!T47+'11'!T36+'11'!T47+'12'!T36+'12'!T47+'13'!T36+'13'!T47+'14'!T36+'14'!T47+'15'!T36+'15'!T47+'16'!T36+'16'!T47+'17'!T36+'17'!T47+'18'!T36+'18'!T47+'19'!T36+'19'!T47+'20'!T36+'20'!T47+'21'!T36+'21'!T47+'22'!T36+'22'!T47+'23'!T36+'23'!T47+'24'!T36+'24'!T47+'25'!T36+'25'!T47+'26'!T36+'26'!T47+'27'!T36+'27'!T47+'28'!T36+'28'!T47+'29'!T36+'29'!T47+'30'!T36+'30'!T47+'31'!T36+'31'!T47</f>
        <v>0</v>
      </c>
      <c r="U36" s="125">
        <f>'1'!U36+'1'!U47+'2'!U36+'2'!U47+'3'!U36+'3'!U47+'4'!U36+'4'!U47+'5'!U36+'5'!U47+'6'!U36+'6'!U47+'7'!U36+'7'!U47+'8'!U36+'8'!U47+'9'!U36+'9'!U47+'10'!U36+'10'!U47+'11'!U36+'11'!U47+'12'!U36+'12'!U47+'13'!U36+'13'!U47+'14'!U36+'14'!U47+'15'!U36+'15'!U47+'16'!U36+'16'!U47+'17'!U36+'17'!U47+'18'!U36+'18'!U47+'19'!U36+'19'!U47+'20'!U36+'20'!U47+'21'!U36+'21'!U47+'22'!U36+'22'!U47+'23'!U36+'23'!U47+'24'!U36+'24'!U47+'25'!U36+'25'!U47+'26'!U36+'26'!U47+'27'!U36+'27'!U47+'28'!U36+'28'!U47+'29'!U36+'29'!U47+'30'!U36+'30'!U47+'31'!U36+'31'!U47</f>
        <v>0</v>
      </c>
      <c r="V36" s="125">
        <f>'1'!V36+'1'!V47+'2'!V36+'2'!V47+'3'!V36+'3'!V47+'4'!V36+'4'!V47+'5'!V36+'5'!V47+'6'!V36+'6'!V47+'7'!V36+'7'!V47+'8'!V36+'8'!V47+'9'!V36+'9'!V47+'10'!V36+'10'!V47+'11'!V36+'11'!V47+'12'!V36+'12'!V47+'13'!V36+'13'!V47+'14'!V36+'14'!V47+'15'!V36+'15'!V47+'16'!V36+'16'!V47+'17'!V36+'17'!V47+'18'!V36+'18'!V47+'19'!V36+'19'!V47+'20'!V36+'20'!V47+'21'!V36+'21'!V47+'22'!V36+'22'!V47+'23'!V36+'23'!V47+'24'!V36+'24'!V47+'25'!V36+'25'!V47+'26'!V36+'26'!V47+'27'!V36+'27'!V47+'28'!V36+'28'!V47+'29'!V36+'29'!V47+'30'!V36+'30'!V47+'31'!V36+'31'!V47</f>
        <v>17</v>
      </c>
      <c r="W36" s="125">
        <f>'1'!W36+'1'!W47+'2'!W36+'2'!W47+'3'!W36+'3'!W47+'4'!W36+'4'!W47+'5'!W36+'5'!W47+'6'!W36+'6'!W47+'7'!W36+'7'!W47+'8'!W36+'8'!W47+'9'!W36+'9'!W47+'10'!W36+'10'!W47+'11'!W36+'11'!W47+'12'!W36+'12'!W47+'13'!W36+'13'!W47+'14'!W36+'14'!W47+'15'!W36+'15'!W47+'16'!W36+'16'!W47+'17'!W36+'17'!W47+'18'!W36+'18'!W47+'19'!W36+'19'!W47+'20'!W36+'20'!W47+'21'!W36+'21'!W47+'22'!W36+'22'!W47+'23'!W36+'23'!W47+'24'!W36+'24'!W47+'25'!W36+'25'!W47+'26'!W36+'26'!W47+'27'!W36+'27'!W47+'28'!W36+'28'!W47+'29'!W36+'29'!W47+'30'!W36+'30'!W47+'31'!W36+'31'!W47</f>
        <v>344</v>
      </c>
      <c r="X36" s="125">
        <f>'1'!X36+'1'!X47+'2'!X36+'2'!X47+'3'!X36+'3'!X47+'4'!X36+'4'!X47+'5'!X36+'5'!X47+'6'!X36+'6'!X47+'7'!X36+'7'!X47+'8'!X36+'8'!X47+'9'!X36+'9'!X47+'10'!X36+'10'!X47+'11'!X36+'11'!X47+'12'!X36+'12'!X47+'13'!X36+'13'!X47+'14'!X36+'14'!X47+'15'!X36+'15'!X47+'16'!X36+'16'!X47+'17'!X36+'17'!X47+'18'!X36+'18'!X47+'19'!X36+'19'!X47+'20'!X36+'20'!X47+'21'!X36+'21'!X47+'22'!X36+'22'!X47+'23'!X36+'23'!X47+'24'!X36+'24'!X47+'25'!X36+'25'!X47+'26'!X36+'26'!X47+'27'!X36+'27'!X47+'28'!X36+'28'!X47+'29'!X36+'29'!X47+'30'!X36+'30'!X47+'31'!X36+'31'!X47</f>
        <v>45</v>
      </c>
      <c r="Y36" s="125">
        <f>'1'!Y36+'1'!Y47+'2'!Y36+'2'!Y47+'3'!Y36+'3'!Y47+'4'!Y36+'4'!Y47+'5'!Y36+'5'!Y47+'6'!Y36+'6'!Y47+'7'!Y36+'7'!Y47+'8'!Y36+'8'!Y47+'9'!Y36+'9'!Y47+'10'!Y36+'10'!Y47+'11'!Y36+'11'!Y47+'12'!Y36+'12'!Y47+'13'!Y36+'13'!Y47+'14'!Y36+'14'!Y47+'15'!Y36+'15'!Y47+'16'!Y36+'16'!Y47+'17'!Y36+'17'!Y47+'18'!Y36+'18'!Y47+'19'!Y36+'19'!Y47+'20'!Y36+'20'!Y47+'21'!Y36+'21'!Y47+'22'!Y36+'22'!Y47+'23'!Y36+'23'!Y47+'24'!Y36+'24'!Y47+'25'!Y36+'25'!Y47+'26'!Y36+'26'!Y47+'27'!Y36+'27'!Y47+'28'!Y36+'28'!Y47+'29'!Y36+'29'!Y47+'30'!Y36+'30'!Y47+'31'!Y36+'31'!Y47</f>
        <v>6</v>
      </c>
      <c r="Z36" s="125">
        <f>'1'!Z36+'1'!Z47+'2'!Z36+'2'!Z47+'3'!Z36+'3'!Z47+'4'!Z36+'4'!Z47+'5'!Z36+'5'!Z47+'6'!Z36+'6'!Z47+'7'!Z36+'7'!Z47+'8'!Z36+'8'!Z47+'9'!Z36+'9'!Z47+'10'!Z36+'10'!Z47+'11'!Z36+'11'!Z47+'12'!Z36+'12'!Z47+'13'!Z36+'13'!Z47+'14'!Z36+'14'!Z47+'15'!Z36+'15'!Z47+'16'!Z36+'16'!Z47+'17'!Z36+'17'!Z47+'18'!Z36+'18'!Z47+'19'!Z36+'19'!Z47+'20'!Z36+'20'!Z47+'21'!Z36+'21'!Z47+'22'!Z36+'22'!Z47+'23'!Z36+'23'!Z47+'24'!Z36+'24'!Z47+'25'!Z36+'25'!Z47+'26'!Z36+'26'!Z47+'27'!Z36+'27'!Z47+'28'!Z36+'28'!Z47+'29'!Z36+'29'!Z47+'30'!Z36+'30'!Z47+'31'!Z36+'31'!Z47</f>
        <v>0</v>
      </c>
      <c r="AA36" s="125">
        <f>'1'!AA36+'1'!AA47+'2'!AA36+'2'!AA47+'3'!AA36+'3'!AA47+'4'!AA36+'4'!AA47+'5'!AA36+'5'!AA47+'6'!AA36+'6'!AA47+'7'!AA36+'7'!AA47+'8'!AA36+'8'!AA47+'9'!AA36+'9'!AA47+'10'!AA36+'10'!AA47+'11'!AA36+'11'!AA47+'12'!AA36+'12'!AA47+'13'!AA36+'13'!AA47+'14'!AA36+'14'!AA47+'15'!AA36+'15'!AA47+'16'!AA36+'16'!AA47+'17'!AA36+'17'!AA47+'18'!AA36+'18'!AA47+'19'!AA36+'19'!AA47+'20'!AA36+'20'!AA47+'21'!AA36+'21'!AA47+'22'!AA36+'22'!AA47+'23'!AA36+'23'!AA47+'24'!AA36+'24'!AA47+'25'!AA36+'25'!AA47+'26'!AA36+'26'!AA47+'27'!AA36+'27'!AA47+'28'!AA36+'28'!AA47+'29'!AA36+'29'!AA47+'30'!AA36+'30'!AA47+'31'!AA36+'31'!AA47</f>
        <v>0</v>
      </c>
      <c r="AB36" s="125">
        <f>'1'!AB36+'1'!AB47+'2'!AB36+'2'!AB47+'3'!AB36+'3'!AB47+'4'!AB36+'4'!AB47+'5'!AB36+'5'!AB47+'6'!AB36+'6'!AB47+'7'!AB36+'7'!AB47+'8'!AB36+'8'!AB47+'9'!AB36+'9'!AB47+'10'!AB36+'10'!AB47+'11'!AB36+'11'!AB47+'12'!AB36+'12'!AB47+'13'!AB36+'13'!AB47+'14'!AB36+'14'!AB47+'15'!AB36+'15'!AB47+'16'!AB36+'16'!AB47+'17'!AB36+'17'!AB47+'18'!AB36+'18'!AB47+'19'!AB36+'19'!AB47+'20'!AB36+'20'!AB47+'21'!AB36+'21'!AB47+'22'!AB36+'22'!AB47+'23'!AB36+'23'!AB47+'24'!AB36+'24'!AB47+'25'!AB36+'25'!AB47+'26'!AB36+'26'!AB47+'27'!AB36+'27'!AB47+'28'!AB36+'28'!AB47+'29'!AB36+'29'!AB47+'30'!AB36+'30'!AB47+'31'!AB36+'31'!AB47</f>
        <v>48</v>
      </c>
      <c r="AC36" s="125">
        <f>'1'!AC36+'1'!AC47+'2'!AC36+'2'!AC47+'3'!AC36+'3'!AC47+'4'!AC36+'4'!AC47+'5'!AC36+'5'!AC47+'6'!AC36+'6'!AC47+'7'!AC36+'7'!AC47+'8'!AC36+'8'!AC47+'9'!AC36+'9'!AC47+'10'!AC36+'10'!AC47+'11'!AC36+'11'!AC47+'12'!AC36+'12'!AC47+'13'!AC36+'13'!AC47+'14'!AC36+'14'!AC47+'15'!AC36+'15'!AC47+'16'!AC36+'16'!AC47+'17'!AC36+'17'!AC47+'18'!AC36+'18'!AC47+'19'!AC36+'19'!AC47+'20'!AC36+'20'!AC47+'21'!AC36+'21'!AC47+'22'!AC36+'22'!AC47+'23'!AC36+'23'!AC47+'24'!AC36+'24'!AC47+'25'!AC36+'25'!AC47+'26'!AC36+'26'!AC47+'27'!AC36+'27'!AC47+'28'!AC36+'28'!AC47+'29'!AC36+'29'!AC47+'30'!AC36+'30'!AC47+'31'!AC36+'31'!AC47</f>
        <v>61</v>
      </c>
      <c r="AD36" s="125">
        <f>'1'!AD36+'1'!AD47+'2'!AD36+'2'!AD47+'3'!AD36+'3'!AD47+'4'!AD36+'4'!AD47+'5'!AD36+'5'!AD47+'6'!AD36+'6'!AD47+'7'!AD36+'7'!AD47+'8'!AD36+'8'!AD47+'9'!AD36+'9'!AD47+'10'!AD36+'10'!AD47+'11'!AD36+'11'!AD47+'12'!AD36+'12'!AD47+'13'!AD36+'13'!AD47+'14'!AD36+'14'!AD47+'15'!AD36+'15'!AD47+'16'!AD36+'16'!AD47+'17'!AD36+'17'!AD47+'18'!AD36+'18'!AD47+'19'!AD36+'19'!AD47+'20'!AD36+'20'!AD47+'21'!AD36+'21'!AD47+'22'!AD36+'22'!AD47+'23'!AD36+'23'!AD47+'24'!AD36+'24'!AD47+'25'!AD36+'25'!AD47+'26'!AD36+'26'!AD47+'27'!AD36+'27'!AD47+'28'!AD36+'28'!AD47+'29'!AD36+'29'!AD47+'30'!AD36+'30'!AD47+'31'!AD36+'31'!AD47</f>
        <v>0</v>
      </c>
      <c r="AE36" s="125">
        <f>'1'!AE36+'1'!AE47+'2'!AE36+'2'!AE47+'3'!AE36+'3'!AE47+'4'!AE36+'4'!AE47+'5'!AE36+'5'!AE47+'6'!AE36+'6'!AE47+'7'!AE36+'7'!AE47+'8'!AE36+'8'!AE47+'9'!AE36+'9'!AE47+'10'!AE36+'10'!AE47+'11'!AE36+'11'!AE47+'12'!AE36+'12'!AE47+'13'!AE36+'13'!AE47+'14'!AE36+'14'!AE47+'15'!AE36+'15'!AE47+'16'!AE36+'16'!AE47+'17'!AE36+'17'!AE47+'18'!AE36+'18'!AE47+'19'!AE36+'19'!AE47+'20'!AE36+'20'!AE47+'21'!AE36+'21'!AE47+'22'!AE36+'22'!AE47+'23'!AE36+'23'!AE47+'24'!AE36+'24'!AE47+'25'!AE36+'25'!AE47+'26'!AE36+'26'!AE47+'27'!AE36+'27'!AE47+'28'!AE36+'28'!AE47+'29'!AE36+'29'!AE47+'30'!AE36+'30'!AE47+'31'!AE36+'31'!AE47</f>
        <v>4</v>
      </c>
      <c r="AF36" s="125">
        <f>'1'!AF36+'1'!AF47+'2'!AF36+'2'!AF47+'3'!AF36+'3'!AF47+'4'!AF36+'4'!AF47+'5'!AF36+'5'!AF47+'6'!AF36+'6'!AF47+'7'!AF36+'7'!AF47+'8'!AF36+'8'!AF47+'9'!AF36+'9'!AF47+'10'!AF36+'10'!AF47+'11'!AF36+'11'!AF47+'12'!AF36+'12'!AF47+'13'!AF36+'13'!AF47+'14'!AF36+'14'!AF47+'15'!AF36+'15'!AF47+'16'!AF36+'16'!AF47+'17'!AF36+'17'!AF47+'18'!AF36+'18'!AF47+'19'!AF36+'19'!AF47+'20'!AF36+'20'!AF47+'21'!AF36+'21'!AF47+'22'!AF36+'22'!AF47+'23'!AF36+'23'!AF47+'24'!AF36+'24'!AF47+'25'!AF36+'25'!AF47+'26'!AF36+'26'!AF47+'27'!AF36+'27'!AF47+'28'!AF36+'28'!AF47+'29'!AF36+'29'!AF47+'30'!AF36+'30'!AF47+'31'!AF36+'31'!AF47</f>
        <v>34</v>
      </c>
      <c r="AG36" s="125">
        <f>'1'!AG36+'1'!AG47+'2'!AG36+'2'!AG47+'3'!AG36+'3'!AG47+'4'!AG36+'4'!AG47+'5'!AG36+'5'!AG47+'6'!AG36+'6'!AG47+'7'!AG36+'7'!AG47+'8'!AG36+'8'!AG47+'9'!AG36+'9'!AG47+'10'!AG36+'10'!AG47+'11'!AG36+'11'!AG47+'12'!AG36+'12'!AG47+'13'!AG36+'13'!AG47+'14'!AG36+'14'!AG47+'15'!AG36+'15'!AG47+'16'!AG36+'16'!AG47+'17'!AG36+'17'!AG47+'18'!AG36+'18'!AG47+'19'!AG36+'19'!AG47+'20'!AG36+'20'!AG47+'21'!AG36+'21'!AG47+'22'!AG36+'22'!AG47+'23'!AG36+'23'!AG47+'24'!AG36+'24'!AG47+'25'!AG36+'25'!AG47+'26'!AG36+'26'!AG47+'27'!AG36+'27'!AG47+'28'!AG36+'28'!AG47+'29'!AG36+'29'!AG47+'30'!AG36+'30'!AG47+'31'!AG36+'31'!AG47</f>
        <v>0</v>
      </c>
      <c r="AH36" s="126">
        <f>'1'!AH36+'1'!AH47+'2'!AH36+'2'!AH47+'3'!AH36+'3'!AH47+'4'!AH36+'4'!AH47+'5'!AH36+'5'!AH47+'6'!AH36+'6'!AH47+'7'!AH36+'7'!AH47+'8'!AH36+'8'!AH47+'9'!AH36+'9'!AH47+'10'!AH36+'10'!AH47+'11'!AH36+'11'!AH47+'12'!AH36+'12'!AH47+'13'!AH36+'13'!AH47+'14'!AH36+'14'!AH47+'15'!AH36+'15'!AH47+'16'!AH36+'16'!AH47+'17'!AH36+'17'!AH47+'18'!AH36+'18'!AH47+'19'!AH36+'19'!AH47+'20'!AH36+'20'!AH47+'21'!AH36+'21'!AH47+'22'!AH36+'22'!AH47+'23'!AH36+'23'!AH47+'24'!AH36+'24'!AH47+'25'!AH36+'25'!AH47+'26'!AH36+'26'!AH47+'27'!AH36+'27'!AH47+'28'!AH36+'28'!AH47+'29'!AH36+'29'!AH47+'30'!AH36+'30'!AH47+'31'!AH36+'31'!AH47</f>
        <v>91</v>
      </c>
      <c r="AI36" s="76"/>
      <c r="AJ36" s="86"/>
      <c r="AK36" s="73"/>
      <c r="AL36" s="74"/>
      <c r="AM36" s="75"/>
    </row>
    <row r="37" spans="1:39" ht="24.75" customHeight="1">
      <c r="A37" s="919"/>
      <c r="B37" s="149"/>
      <c r="C37" s="217" t="s">
        <v>78</v>
      </c>
      <c r="D37" s="207"/>
      <c r="E37" s="125">
        <f>'1'!E37+'1'!E48+'2'!E37+'2'!E48+'3'!E37+'3'!E48+'4'!E37+'4'!E48+'5'!E37+'5'!E48+'6'!E37+'6'!E48+'7'!E37+'7'!E48+'8'!E37+'8'!E48+'9'!E37+'9'!E48+'10'!E37+'10'!E48+'11'!E37+'11'!E48+'12'!E37+'12'!E48+'13'!E37+'13'!E48+'14'!E37+'14'!E48+'15'!E37+'15'!E48+'16'!E37+'16'!E48+'17'!E37+'17'!E48+'18'!E37+'18'!E48+'19'!E37+'19'!E48+'20'!E37+'20'!E48+'21'!E37+'21'!E48+'22'!E37+'22'!E48+'23'!E37+'23'!E48+'24'!E37+'24'!E48+'25'!E37+'25'!E48+'26'!E37+'26'!E48+'27'!E37+'27'!E48+'28'!E37+'28'!E48+'29'!E37+'29'!E48+'30'!E37+'30'!E48+'31'!E37+'31'!E48</f>
        <v>27979</v>
      </c>
      <c r="F37" s="125">
        <f>'1'!F37+'1'!F48+'2'!F37+'2'!F48+'3'!F37+'3'!F48+'4'!F37+'4'!F48+'5'!F37+'5'!F48+'6'!F37+'6'!F48+'7'!F37+'7'!F48+'8'!F37+'8'!F48+'9'!F37+'9'!F48+'10'!F37+'10'!F48+'11'!F37+'11'!F48+'12'!F37+'12'!F48+'13'!F37+'13'!F48+'14'!F37+'14'!F48+'15'!F37+'15'!F48+'16'!F37+'16'!F48+'17'!F37+'17'!F48+'18'!F37+'18'!F48+'19'!F37+'19'!F48+'20'!F37+'20'!F48+'21'!F37+'21'!F48+'22'!F37+'22'!F48+'23'!F37+'23'!F48+'24'!F37+'24'!F48+'25'!F37+'25'!F48+'26'!F37+'26'!F48+'27'!F37+'27'!F48+'28'!F37+'28'!F48+'29'!F37+'29'!F48+'30'!F37+'30'!F48+'31'!F37+'31'!F48</f>
        <v>26251</v>
      </c>
      <c r="G37" s="269">
        <f t="shared" si="3"/>
        <v>6.1760606168912401E-2</v>
      </c>
      <c r="H37" s="273"/>
      <c r="I37" s="64">
        <f t="shared" si="4"/>
        <v>1728</v>
      </c>
      <c r="J37" s="125">
        <f>'1'!J37+'1'!J48+'2'!J37+'2'!J48+'3'!J37+'3'!J48+'4'!J37+'4'!J48+'5'!J37+'5'!J48+'6'!J37+'6'!J48+'7'!J37+'7'!J48+'8'!J37+'8'!J48+'9'!J37+'9'!J48+'10'!J37+'10'!J48+'11'!J37+'11'!J48+'12'!J37+'12'!J48+'13'!J37+'13'!J48+'14'!J37+'14'!J48+'15'!J37+'15'!J48+'16'!J37+'16'!J48+'17'!J37+'17'!J48+'18'!J37+'18'!J48+'19'!J37+'19'!J48+'20'!J37+'20'!J48+'21'!J37+'21'!J48+'22'!J37+'22'!J48+'23'!J37+'23'!J48+'24'!J37+'24'!J48+'25'!J37+'25'!J48+'26'!J37+'26'!J48+'27'!J37+'27'!J48+'28'!J37+'28'!J48+'29'!J37+'29'!J48+'30'!J37+'30'!J48+'31'!J37+'31'!J48</f>
        <v>47</v>
      </c>
      <c r="K37" s="125">
        <f>'1'!K37+'1'!K48+'2'!K37+'2'!K48+'3'!K37+'3'!K48+'4'!K37+'4'!K48+'5'!K37+'5'!K48+'6'!K37+'6'!K48+'7'!K37+'7'!K48+'8'!K37+'8'!K48+'9'!K37+'9'!K48+'10'!K37+'10'!K48+'11'!K37+'11'!K48+'12'!K37+'12'!K48+'13'!K37+'13'!K48+'14'!K37+'14'!K48+'15'!K37+'15'!K48+'16'!K37+'16'!K48+'17'!K37+'17'!K48+'18'!K37+'18'!K48+'19'!K37+'19'!K48+'20'!K37+'20'!K48+'21'!K37+'21'!K48+'22'!K37+'22'!K48+'23'!K37+'23'!K48+'24'!K37+'24'!K48+'25'!K37+'25'!K48+'26'!K37+'26'!K48+'27'!K37+'27'!K48+'28'!K37+'28'!K48+'29'!K37+'29'!K48+'30'!K37+'30'!K48+'31'!K37+'31'!K48</f>
        <v>693</v>
      </c>
      <c r="L37" s="125">
        <f>'1'!L37+'1'!L48+'2'!L37+'2'!L48+'3'!L37+'3'!L48+'4'!L37+'4'!L48+'5'!L37+'5'!L48+'6'!L37+'6'!L48+'7'!L37+'7'!L48+'8'!L37+'8'!L48+'9'!L37+'9'!L48+'10'!L37+'10'!L48+'11'!L37+'11'!L48+'12'!L37+'12'!L48+'13'!L37+'13'!L48+'14'!L37+'14'!L48+'15'!L37+'15'!L48+'16'!L37+'16'!L48+'17'!L37+'17'!L48+'18'!L37+'18'!L48+'19'!L37+'19'!L48+'20'!L37+'20'!L48+'21'!L37+'21'!L48+'22'!L37+'22'!L48+'23'!L37+'23'!L48+'24'!L37+'24'!L48+'25'!L37+'25'!L48+'26'!L37+'26'!L48+'27'!L37+'27'!L48+'28'!L37+'28'!L48+'29'!L37+'29'!L48+'30'!L37+'30'!L48+'31'!L37+'31'!L48</f>
        <v>392</v>
      </c>
      <c r="M37" s="125">
        <f>'1'!M37+'1'!M48+'2'!M37+'2'!M48+'3'!M37+'3'!M48+'4'!M37+'4'!M48+'5'!M37+'5'!M48+'6'!M37+'6'!M48+'7'!M37+'7'!M48+'8'!M37+'8'!M48+'9'!M37+'9'!M48+'10'!M37+'10'!M48+'11'!M37+'11'!M48+'12'!M37+'12'!M48+'13'!M37+'13'!M48+'14'!M37+'14'!M48+'15'!M37+'15'!M48+'16'!M37+'16'!M48+'17'!M37+'17'!M48+'18'!M37+'18'!M48+'19'!M37+'19'!M48+'20'!M37+'20'!M48+'21'!M37+'21'!M48+'22'!M37+'22'!M48+'23'!M37+'23'!M48+'24'!M37+'24'!M48+'25'!M37+'25'!M48+'26'!M37+'26'!M48+'27'!M37+'27'!M48+'28'!M37+'28'!M48+'29'!M37+'29'!M48+'30'!M37+'30'!M48+'31'!M37+'31'!M48</f>
        <v>20</v>
      </c>
      <c r="N37" s="125">
        <f>'1'!N37+'1'!N48+'2'!N37+'2'!N48+'3'!N37+'3'!N48+'4'!N37+'4'!N48+'5'!N37+'5'!N48+'6'!N37+'6'!N48+'7'!N37+'7'!N48+'8'!N37+'8'!N48+'9'!N37+'9'!N48+'10'!N37+'10'!N48+'11'!N37+'11'!N48+'12'!N37+'12'!N48+'13'!N37+'13'!N48+'14'!N37+'14'!N48+'15'!N37+'15'!N48+'16'!N37+'16'!N48+'17'!N37+'17'!N48+'18'!N37+'18'!N48+'19'!N37+'19'!N48+'20'!N37+'20'!N48+'21'!N37+'21'!N48+'22'!N37+'22'!N48+'23'!N37+'23'!N48+'24'!N37+'24'!N48+'25'!N37+'25'!N48+'26'!N37+'26'!N48+'27'!N37+'27'!N48+'28'!N37+'28'!N48+'29'!N37+'29'!N48+'30'!N37+'30'!N48+'31'!N37+'31'!N48</f>
        <v>0</v>
      </c>
      <c r="O37" s="125">
        <f>'1'!O37+'1'!O48+'2'!O37+'2'!O48+'3'!O37+'3'!O48+'4'!O37+'4'!O48+'5'!O37+'5'!O48+'6'!O37+'6'!O48+'7'!O37+'7'!O48+'8'!O37+'8'!O48+'9'!O37+'9'!O48+'10'!O37+'10'!O48+'11'!O37+'11'!O48+'12'!O37+'12'!O48+'13'!O37+'13'!O48+'14'!O37+'14'!O48+'15'!O37+'15'!O48+'16'!O37+'16'!O48+'17'!O37+'17'!O48+'18'!O37+'18'!O48+'19'!O37+'19'!O48+'20'!O37+'20'!O48+'21'!O37+'21'!O48+'22'!O37+'22'!O48+'23'!O37+'23'!O48+'24'!O37+'24'!O48+'25'!O37+'25'!O48+'26'!O37+'26'!O48+'27'!O37+'27'!O48+'28'!O37+'28'!O48+'29'!O37+'29'!O48+'30'!O37+'30'!O48+'31'!O37+'31'!O48</f>
        <v>0</v>
      </c>
      <c r="P37" s="125">
        <f>'1'!P37+'1'!P48+'2'!P37+'2'!P48+'3'!P37+'3'!P48+'4'!P37+'4'!P48+'5'!P37+'5'!P48+'6'!P37+'6'!P48+'7'!P37+'7'!P48+'8'!P37+'8'!P48+'9'!P37+'9'!P48+'10'!P37+'10'!P48+'11'!P37+'11'!P48+'12'!P37+'12'!P48+'13'!P37+'13'!P48+'14'!P37+'14'!P48+'15'!P37+'15'!P48+'16'!P37+'16'!P48+'17'!P37+'17'!P48+'18'!P37+'18'!P48+'19'!P37+'19'!P48+'20'!P37+'20'!P48+'21'!P37+'21'!P48+'22'!P37+'22'!P48+'23'!P37+'23'!P48+'24'!P37+'24'!P48+'25'!P37+'25'!P48+'26'!P37+'26'!P48+'27'!P37+'27'!P48+'28'!P37+'28'!P48+'29'!P37+'29'!P48+'30'!P37+'30'!P48+'31'!P37+'31'!P48</f>
        <v>0</v>
      </c>
      <c r="Q37" s="125">
        <f>'1'!Q37+'1'!Q48+'2'!Q37+'2'!Q48+'3'!Q37+'3'!Q48+'4'!Q37+'4'!Q48+'5'!Q37+'5'!Q48+'6'!Q37+'6'!Q48+'7'!Q37+'7'!Q48+'8'!Q37+'8'!Q48+'9'!Q37+'9'!Q48+'10'!Q37+'10'!Q48+'11'!Q37+'11'!Q48+'12'!Q37+'12'!Q48+'13'!Q37+'13'!Q48+'14'!Q37+'14'!Q48+'15'!Q37+'15'!Q48+'16'!Q37+'16'!Q48+'17'!Q37+'17'!Q48+'18'!Q37+'18'!Q48+'19'!Q37+'19'!Q48+'20'!Q37+'20'!Q48+'21'!Q37+'21'!Q48+'22'!Q37+'22'!Q48+'23'!Q37+'23'!Q48+'24'!Q37+'24'!Q48+'25'!Q37+'25'!Q48+'26'!Q37+'26'!Q48+'27'!Q37+'27'!Q48+'28'!Q37+'28'!Q48+'29'!Q37+'29'!Q48+'30'!Q37+'30'!Q48+'31'!Q37+'31'!Q48</f>
        <v>35</v>
      </c>
      <c r="R37" s="125">
        <f>'1'!R37+'1'!R48+'2'!R37+'2'!R48+'3'!R37+'3'!R48+'4'!R37+'4'!R48+'5'!R37+'5'!R48+'6'!R37+'6'!R48+'7'!R37+'7'!R48+'8'!R37+'8'!R48+'9'!R37+'9'!R48+'10'!R37+'10'!R48+'11'!R37+'11'!R48+'12'!R37+'12'!R48+'13'!R37+'13'!R48+'14'!R37+'14'!R48+'15'!R37+'15'!R48+'16'!R37+'16'!R48+'17'!R37+'17'!R48+'18'!R37+'18'!R48+'19'!R37+'19'!R48+'20'!R37+'20'!R48+'21'!R37+'21'!R48+'22'!R37+'22'!R48+'23'!R37+'23'!R48+'24'!R37+'24'!R48+'25'!R37+'25'!R48+'26'!R37+'26'!R48+'27'!R37+'27'!R48+'28'!R37+'28'!R48+'29'!R37+'29'!R48+'30'!R37+'30'!R48+'31'!R37+'31'!R48</f>
        <v>70</v>
      </c>
      <c r="S37" s="125">
        <f>'1'!S37+'1'!S48+'2'!S37+'2'!S48+'3'!S37+'3'!S48+'4'!S37+'4'!S48+'5'!S37+'5'!S48+'6'!S37+'6'!S48+'7'!S37+'7'!S48+'8'!S37+'8'!S48+'9'!S37+'9'!S48+'10'!S37+'10'!S48+'11'!S37+'11'!S48+'12'!S37+'12'!S48+'13'!S37+'13'!S48+'14'!S37+'14'!S48+'15'!S37+'15'!S48+'16'!S37+'16'!S48+'17'!S37+'17'!S48+'18'!S37+'18'!S48+'19'!S37+'19'!S48+'20'!S37+'20'!S48+'21'!S37+'21'!S48+'22'!S37+'22'!S48+'23'!S37+'23'!S48+'24'!S37+'24'!S48+'25'!S37+'25'!S48+'26'!S37+'26'!S48+'27'!S37+'27'!S48+'28'!S37+'28'!S48+'29'!S37+'29'!S48+'30'!S37+'30'!S48+'31'!S37+'31'!S48</f>
        <v>0</v>
      </c>
      <c r="T37" s="125">
        <f>'1'!T37+'1'!T48+'2'!T37+'2'!T48+'3'!T37+'3'!T48+'4'!T37+'4'!T48+'5'!T37+'5'!T48+'6'!T37+'6'!T48+'7'!T37+'7'!T48+'8'!T37+'8'!T48+'9'!T37+'9'!T48+'10'!T37+'10'!T48+'11'!T37+'11'!T48+'12'!T37+'12'!T48+'13'!T37+'13'!T48+'14'!T37+'14'!T48+'15'!T37+'15'!T48+'16'!T37+'16'!T48+'17'!T37+'17'!T48+'18'!T37+'18'!T48+'19'!T37+'19'!T48+'20'!T37+'20'!T48+'21'!T37+'21'!T48+'22'!T37+'22'!T48+'23'!T37+'23'!T48+'24'!T37+'24'!T48+'25'!T37+'25'!T48+'26'!T37+'26'!T48+'27'!T37+'27'!T48+'28'!T37+'28'!T48+'29'!T37+'29'!T48+'30'!T37+'30'!T48+'31'!T37+'31'!T48</f>
        <v>12</v>
      </c>
      <c r="U37" s="125">
        <f>'1'!U37+'1'!U48+'2'!U37+'2'!U48+'3'!U37+'3'!U48+'4'!U37+'4'!U48+'5'!U37+'5'!U48+'6'!U37+'6'!U48+'7'!U37+'7'!U48+'8'!U37+'8'!U48+'9'!U37+'9'!U48+'10'!U37+'10'!U48+'11'!U37+'11'!U48+'12'!U37+'12'!U48+'13'!U37+'13'!U48+'14'!U37+'14'!U48+'15'!U37+'15'!U48+'16'!U37+'16'!U48+'17'!U37+'17'!U48+'18'!U37+'18'!U48+'19'!U37+'19'!U48+'20'!U37+'20'!U48+'21'!U37+'21'!U48+'22'!U37+'22'!U48+'23'!U37+'23'!U48+'24'!U37+'24'!U48+'25'!U37+'25'!U48+'26'!U37+'26'!U48+'27'!U37+'27'!U48+'28'!U37+'28'!U48+'29'!U37+'29'!U48+'30'!U37+'30'!U48+'31'!U37+'31'!U48</f>
        <v>0</v>
      </c>
      <c r="V37" s="125">
        <f>'1'!V37+'1'!V48+'2'!V37+'2'!V48+'3'!V37+'3'!V48+'4'!V37+'4'!V48+'5'!V37+'5'!V48+'6'!V37+'6'!V48+'7'!V37+'7'!V48+'8'!V37+'8'!V48+'9'!V37+'9'!V48+'10'!V37+'10'!V48+'11'!V37+'11'!V48+'12'!V37+'12'!V48+'13'!V37+'13'!V48+'14'!V37+'14'!V48+'15'!V37+'15'!V48+'16'!V37+'16'!V48+'17'!V37+'17'!V48+'18'!V37+'18'!V48+'19'!V37+'19'!V48+'20'!V37+'20'!V48+'21'!V37+'21'!V48+'22'!V37+'22'!V48+'23'!V37+'23'!V48+'24'!V37+'24'!V48+'25'!V37+'25'!V48+'26'!V37+'26'!V48+'27'!V37+'27'!V48+'28'!V37+'28'!V48+'29'!V37+'29'!V48+'30'!V37+'30'!V48+'31'!V37+'31'!V48</f>
        <v>0</v>
      </c>
      <c r="W37" s="125">
        <f>'1'!W37+'1'!W48+'2'!W37+'2'!W48+'3'!W37+'3'!W48+'4'!W37+'4'!W48+'5'!W37+'5'!W48+'6'!W37+'6'!W48+'7'!W37+'7'!W48+'8'!W37+'8'!W48+'9'!W37+'9'!W48+'10'!W37+'10'!W48+'11'!W37+'11'!W48+'12'!W37+'12'!W48+'13'!W37+'13'!W48+'14'!W37+'14'!W48+'15'!W37+'15'!W48+'16'!W37+'16'!W48+'17'!W37+'17'!W48+'18'!W37+'18'!W48+'19'!W37+'19'!W48+'20'!W37+'20'!W48+'21'!W37+'21'!W48+'22'!W37+'22'!W48+'23'!W37+'23'!W48+'24'!W37+'24'!W48+'25'!W37+'25'!W48+'26'!W37+'26'!W48+'27'!W37+'27'!W48+'28'!W37+'28'!W48+'29'!W37+'29'!W48+'30'!W37+'30'!W48+'31'!W37+'31'!W48</f>
        <v>156</v>
      </c>
      <c r="X37" s="125">
        <f>'1'!X37+'1'!X48+'2'!X37+'2'!X48+'3'!X37+'3'!X48+'4'!X37+'4'!X48+'5'!X37+'5'!X48+'6'!X37+'6'!X48+'7'!X37+'7'!X48+'8'!X37+'8'!X48+'9'!X37+'9'!X48+'10'!X37+'10'!X48+'11'!X37+'11'!X48+'12'!X37+'12'!X48+'13'!X37+'13'!X48+'14'!X37+'14'!X48+'15'!X37+'15'!X48+'16'!X37+'16'!X48+'17'!X37+'17'!X48+'18'!X37+'18'!X48+'19'!X37+'19'!X48+'20'!X37+'20'!X48+'21'!X37+'21'!X48+'22'!X37+'22'!X48+'23'!X37+'23'!X48+'24'!X37+'24'!X48+'25'!X37+'25'!X48+'26'!X37+'26'!X48+'27'!X37+'27'!X48+'28'!X37+'28'!X48+'29'!X37+'29'!X48+'30'!X37+'30'!X48+'31'!X37+'31'!X48</f>
        <v>0</v>
      </c>
      <c r="Y37" s="125">
        <f>'1'!Y37+'1'!Y48+'2'!Y37+'2'!Y48+'3'!Y37+'3'!Y48+'4'!Y37+'4'!Y48+'5'!Y37+'5'!Y48+'6'!Y37+'6'!Y48+'7'!Y37+'7'!Y48+'8'!Y37+'8'!Y48+'9'!Y37+'9'!Y48+'10'!Y37+'10'!Y48+'11'!Y37+'11'!Y48+'12'!Y37+'12'!Y48+'13'!Y37+'13'!Y48+'14'!Y37+'14'!Y48+'15'!Y37+'15'!Y48+'16'!Y37+'16'!Y48+'17'!Y37+'17'!Y48+'18'!Y37+'18'!Y48+'19'!Y37+'19'!Y48+'20'!Y37+'20'!Y48+'21'!Y37+'21'!Y48+'22'!Y37+'22'!Y48+'23'!Y37+'23'!Y48+'24'!Y37+'24'!Y48+'25'!Y37+'25'!Y48+'26'!Y37+'26'!Y48+'27'!Y37+'27'!Y48+'28'!Y37+'28'!Y48+'29'!Y37+'29'!Y48+'30'!Y37+'30'!Y48+'31'!Y37+'31'!Y48</f>
        <v>3</v>
      </c>
      <c r="Z37" s="125">
        <f>'1'!Z37+'1'!Z48+'2'!Z37+'2'!Z48+'3'!Z37+'3'!Z48+'4'!Z37+'4'!Z48+'5'!Z37+'5'!Z48+'6'!Z37+'6'!Z48+'7'!Z37+'7'!Z48+'8'!Z37+'8'!Z48+'9'!Z37+'9'!Z48+'10'!Z37+'10'!Z48+'11'!Z37+'11'!Z48+'12'!Z37+'12'!Z48+'13'!Z37+'13'!Z48+'14'!Z37+'14'!Z48+'15'!Z37+'15'!Z48+'16'!Z37+'16'!Z48+'17'!Z37+'17'!Z48+'18'!Z37+'18'!Z48+'19'!Z37+'19'!Z48+'20'!Z37+'20'!Z48+'21'!Z37+'21'!Z48+'22'!Z37+'22'!Z48+'23'!Z37+'23'!Z48+'24'!Z37+'24'!Z48+'25'!Z37+'25'!Z48+'26'!Z37+'26'!Z48+'27'!Z37+'27'!Z48+'28'!Z37+'28'!Z48+'29'!Z37+'29'!Z48+'30'!Z37+'30'!Z48+'31'!Z37+'31'!Z48</f>
        <v>0</v>
      </c>
      <c r="AA37" s="125">
        <f>'1'!AA37+'1'!AA48+'2'!AA37+'2'!AA48+'3'!AA37+'3'!AA48+'4'!AA37+'4'!AA48+'5'!AA37+'5'!AA48+'6'!AA37+'6'!AA48+'7'!AA37+'7'!AA48+'8'!AA37+'8'!AA48+'9'!AA37+'9'!AA48+'10'!AA37+'10'!AA48+'11'!AA37+'11'!AA48+'12'!AA37+'12'!AA48+'13'!AA37+'13'!AA48+'14'!AA37+'14'!AA48+'15'!AA37+'15'!AA48+'16'!AA37+'16'!AA48+'17'!AA37+'17'!AA48+'18'!AA37+'18'!AA48+'19'!AA37+'19'!AA48+'20'!AA37+'20'!AA48+'21'!AA37+'21'!AA48+'22'!AA37+'22'!AA48+'23'!AA37+'23'!AA48+'24'!AA37+'24'!AA48+'25'!AA37+'25'!AA48+'26'!AA37+'26'!AA48+'27'!AA37+'27'!AA48+'28'!AA37+'28'!AA48+'29'!AA37+'29'!AA48+'30'!AA37+'30'!AA48+'31'!AA37+'31'!AA48</f>
        <v>0</v>
      </c>
      <c r="AB37" s="125">
        <f>'1'!AB37+'1'!AB48+'2'!AB37+'2'!AB48+'3'!AB37+'3'!AB48+'4'!AB37+'4'!AB48+'5'!AB37+'5'!AB48+'6'!AB37+'6'!AB48+'7'!AB37+'7'!AB48+'8'!AB37+'8'!AB48+'9'!AB37+'9'!AB48+'10'!AB37+'10'!AB48+'11'!AB37+'11'!AB48+'12'!AB37+'12'!AB48+'13'!AB37+'13'!AB48+'14'!AB37+'14'!AB48+'15'!AB37+'15'!AB48+'16'!AB37+'16'!AB48+'17'!AB37+'17'!AB48+'18'!AB37+'18'!AB48+'19'!AB37+'19'!AB48+'20'!AB37+'20'!AB48+'21'!AB37+'21'!AB48+'22'!AB37+'22'!AB48+'23'!AB37+'23'!AB48+'24'!AB37+'24'!AB48+'25'!AB37+'25'!AB48+'26'!AB37+'26'!AB48+'27'!AB37+'27'!AB48+'28'!AB37+'28'!AB48+'29'!AB37+'29'!AB48+'30'!AB37+'30'!AB48+'31'!AB37+'31'!AB48</f>
        <v>49</v>
      </c>
      <c r="AC37" s="125">
        <f>'1'!AC37+'1'!AC48+'2'!AC37+'2'!AC48+'3'!AC37+'3'!AC48+'4'!AC37+'4'!AC48+'5'!AC37+'5'!AC48+'6'!AC37+'6'!AC48+'7'!AC37+'7'!AC48+'8'!AC37+'8'!AC48+'9'!AC37+'9'!AC48+'10'!AC37+'10'!AC48+'11'!AC37+'11'!AC48+'12'!AC37+'12'!AC48+'13'!AC37+'13'!AC48+'14'!AC37+'14'!AC48+'15'!AC37+'15'!AC48+'16'!AC37+'16'!AC48+'17'!AC37+'17'!AC48+'18'!AC37+'18'!AC48+'19'!AC37+'19'!AC48+'20'!AC37+'20'!AC48+'21'!AC37+'21'!AC48+'22'!AC37+'22'!AC48+'23'!AC37+'23'!AC48+'24'!AC37+'24'!AC48+'25'!AC37+'25'!AC48+'26'!AC37+'26'!AC48+'27'!AC37+'27'!AC48+'28'!AC37+'28'!AC48+'29'!AC37+'29'!AC48+'30'!AC37+'30'!AC48+'31'!AC37+'31'!AC48</f>
        <v>73</v>
      </c>
      <c r="AD37" s="125">
        <f>'1'!AD37+'1'!AD48+'2'!AD37+'2'!AD48+'3'!AD37+'3'!AD48+'4'!AD37+'4'!AD48+'5'!AD37+'5'!AD48+'6'!AD37+'6'!AD48+'7'!AD37+'7'!AD48+'8'!AD37+'8'!AD48+'9'!AD37+'9'!AD48+'10'!AD37+'10'!AD48+'11'!AD37+'11'!AD48+'12'!AD37+'12'!AD48+'13'!AD37+'13'!AD48+'14'!AD37+'14'!AD48+'15'!AD37+'15'!AD48+'16'!AD37+'16'!AD48+'17'!AD37+'17'!AD48+'18'!AD37+'18'!AD48+'19'!AD37+'19'!AD48+'20'!AD37+'20'!AD48+'21'!AD37+'21'!AD48+'22'!AD37+'22'!AD48+'23'!AD37+'23'!AD48+'24'!AD37+'24'!AD48+'25'!AD37+'25'!AD48+'26'!AD37+'26'!AD48+'27'!AD37+'27'!AD48+'28'!AD37+'28'!AD48+'29'!AD37+'29'!AD48+'30'!AD37+'30'!AD48+'31'!AD37+'31'!AD48</f>
        <v>0</v>
      </c>
      <c r="AE37" s="125">
        <f>'1'!AE37+'1'!AE48+'2'!AE37+'2'!AE48+'3'!AE37+'3'!AE48+'4'!AE37+'4'!AE48+'5'!AE37+'5'!AE48+'6'!AE37+'6'!AE48+'7'!AE37+'7'!AE48+'8'!AE37+'8'!AE48+'9'!AE37+'9'!AE48+'10'!AE37+'10'!AE48+'11'!AE37+'11'!AE48+'12'!AE37+'12'!AE48+'13'!AE37+'13'!AE48+'14'!AE37+'14'!AE48+'15'!AE37+'15'!AE48+'16'!AE37+'16'!AE48+'17'!AE37+'17'!AE48+'18'!AE37+'18'!AE48+'19'!AE37+'19'!AE48+'20'!AE37+'20'!AE48+'21'!AE37+'21'!AE48+'22'!AE37+'22'!AE48+'23'!AE37+'23'!AE48+'24'!AE37+'24'!AE48+'25'!AE37+'25'!AE48+'26'!AE37+'26'!AE48+'27'!AE37+'27'!AE48+'28'!AE37+'28'!AE48+'29'!AE37+'29'!AE48+'30'!AE37+'30'!AE48+'31'!AE37+'31'!AE48</f>
        <v>7</v>
      </c>
      <c r="AF37" s="125">
        <f>'1'!AF37+'1'!AF48+'2'!AF37+'2'!AF48+'3'!AF37+'3'!AF48+'4'!AF37+'4'!AF48+'5'!AF37+'5'!AF48+'6'!AF37+'6'!AF48+'7'!AF37+'7'!AF48+'8'!AF37+'8'!AF48+'9'!AF37+'9'!AF48+'10'!AF37+'10'!AF48+'11'!AF37+'11'!AF48+'12'!AF37+'12'!AF48+'13'!AF37+'13'!AF48+'14'!AF37+'14'!AF48+'15'!AF37+'15'!AF48+'16'!AF37+'16'!AF48+'17'!AF37+'17'!AF48+'18'!AF37+'18'!AF48+'19'!AF37+'19'!AF48+'20'!AF37+'20'!AF48+'21'!AF37+'21'!AF48+'22'!AF37+'22'!AF48+'23'!AF37+'23'!AF48+'24'!AF37+'24'!AF48+'25'!AF37+'25'!AF48+'26'!AF37+'26'!AF48+'27'!AF37+'27'!AF48+'28'!AF37+'28'!AF48+'29'!AF37+'29'!AF48+'30'!AF37+'30'!AF48+'31'!AF37+'31'!AF48</f>
        <v>156</v>
      </c>
      <c r="AG37" s="125">
        <f>'1'!AG37+'1'!AG48+'2'!AG37+'2'!AG48+'3'!AG37+'3'!AG48+'4'!AG37+'4'!AG48+'5'!AG37+'5'!AG48+'6'!AG37+'6'!AG48+'7'!AG37+'7'!AG48+'8'!AG37+'8'!AG48+'9'!AG37+'9'!AG48+'10'!AG37+'10'!AG48+'11'!AG37+'11'!AG48+'12'!AG37+'12'!AG48+'13'!AG37+'13'!AG48+'14'!AG37+'14'!AG48+'15'!AG37+'15'!AG48+'16'!AG37+'16'!AG48+'17'!AG37+'17'!AG48+'18'!AG37+'18'!AG48+'19'!AG37+'19'!AG48+'20'!AG37+'20'!AG48+'21'!AG37+'21'!AG48+'22'!AG37+'22'!AG48+'23'!AG37+'23'!AG48+'24'!AG37+'24'!AG48+'25'!AG37+'25'!AG48+'26'!AG37+'26'!AG48+'27'!AG37+'27'!AG48+'28'!AG37+'28'!AG48+'29'!AG37+'29'!AG48+'30'!AG37+'30'!AG48+'31'!AG37+'31'!AG48</f>
        <v>0</v>
      </c>
      <c r="AH37" s="126">
        <f>'1'!AH37+'1'!AH48+'2'!AH37+'2'!AH48+'3'!AH37+'3'!AH48+'4'!AH37+'4'!AH48+'5'!AH37+'5'!AH48+'6'!AH37+'6'!AH48+'7'!AH37+'7'!AH48+'8'!AH37+'8'!AH48+'9'!AH37+'9'!AH48+'10'!AH37+'10'!AH48+'11'!AH37+'11'!AH48+'12'!AH37+'12'!AH48+'13'!AH37+'13'!AH48+'14'!AH37+'14'!AH48+'15'!AH37+'15'!AH48+'16'!AH37+'16'!AH48+'17'!AH37+'17'!AH48+'18'!AH37+'18'!AH48+'19'!AH37+'19'!AH48+'20'!AH37+'20'!AH48+'21'!AH37+'21'!AH48+'22'!AH37+'22'!AH48+'23'!AH37+'23'!AH48+'24'!AH37+'24'!AH48+'25'!AH37+'25'!AH48+'26'!AH37+'26'!AH48+'27'!AH37+'27'!AH48+'28'!AH37+'28'!AH48+'29'!AH37+'29'!AH48+'30'!AH37+'30'!AH48+'31'!AH37+'31'!AH48</f>
        <v>15</v>
      </c>
      <c r="AI37" s="922"/>
      <c r="AJ37" s="815"/>
      <c r="AK37" s="74"/>
      <c r="AL37" s="74"/>
      <c r="AM37" s="75"/>
    </row>
    <row r="38" spans="1:39" ht="24.75" customHeight="1">
      <c r="A38" s="919"/>
      <c r="B38" s="149"/>
      <c r="C38" s="217" t="s">
        <v>79</v>
      </c>
      <c r="D38" s="256"/>
      <c r="E38" s="125">
        <f>'1'!E38+'1'!E49+'2'!E38+'2'!E49+'3'!E38+'3'!E49+'4'!E38+'4'!E49+'5'!E38+'5'!E49+'6'!E38+'6'!E49+'7'!E38+'7'!E49+'8'!E38+'8'!E49+'9'!E38+'9'!E49+'10'!E38+'10'!E49+'11'!E38+'11'!E49+'12'!E38+'12'!E49+'13'!E38+'13'!E49+'14'!E38+'14'!E49+'15'!E38+'15'!E49+'16'!E38+'16'!E49+'17'!E38+'17'!E49+'18'!E38+'18'!E49+'19'!E38+'19'!E49+'20'!E38+'20'!E49+'21'!E38+'21'!E49+'22'!E38+'22'!E49+'23'!E38+'23'!E49+'24'!E38+'24'!E49+'25'!E38+'25'!E49+'26'!E38+'26'!E49+'27'!E38+'27'!E49+'28'!E38+'28'!E49+'29'!E38+'29'!E49+'30'!E38+'30'!E49+'31'!E38+'31'!E49</f>
        <v>2941</v>
      </c>
      <c r="F38" s="125">
        <f>'1'!F38+'1'!F49+'2'!F38+'2'!F49+'3'!F38+'3'!F49+'4'!F38+'4'!F49+'5'!F38+'5'!F49+'6'!F38+'6'!F49+'7'!F38+'7'!F49+'8'!F38+'8'!F49+'9'!F38+'9'!F49+'10'!F38+'10'!F49+'11'!F38+'11'!F49+'12'!F38+'12'!F49+'13'!F38+'13'!F49+'14'!F38+'14'!F49+'15'!F38+'15'!F49+'16'!F38+'16'!F49+'17'!F38+'17'!F49+'18'!F38+'18'!F49+'19'!F38+'19'!F49+'20'!F38+'20'!F49+'21'!F38+'21'!F49+'22'!F38+'22'!F49+'23'!F38+'23'!F49+'24'!F38+'24'!F49+'25'!F38+'25'!F49+'26'!F38+'26'!F49+'27'!F38+'27'!F49+'28'!F38+'28'!F49+'29'!F38+'29'!F49+'30'!F38+'30'!F49+'31'!F38+'31'!F49</f>
        <v>2640</v>
      </c>
      <c r="G38" s="269">
        <f t="shared" si="3"/>
        <v>0.1023461407684461</v>
      </c>
      <c r="H38" s="273"/>
      <c r="I38" s="64">
        <f t="shared" si="4"/>
        <v>301</v>
      </c>
      <c r="J38" s="125">
        <f>'1'!J38+'1'!J49+'2'!J38+'2'!J49+'3'!J38+'3'!J49+'4'!J38+'4'!J49+'5'!J38+'5'!J49+'6'!J38+'6'!J49+'7'!J38+'7'!J49+'8'!J38+'8'!J49+'9'!J38+'9'!J49+'10'!J38+'10'!J49+'11'!J38+'11'!J49+'12'!J38+'12'!J49+'13'!J38+'13'!J49+'14'!J38+'14'!J49+'15'!J38+'15'!J49+'16'!J38+'16'!J49+'17'!J38+'17'!J49+'18'!J38+'18'!J49+'19'!J38+'19'!J49+'20'!J38+'20'!J49+'21'!J38+'21'!J49+'22'!J38+'22'!J49+'23'!J38+'23'!J49+'24'!J38+'24'!J49+'25'!J38+'25'!J49+'26'!J38+'26'!J49+'27'!J38+'27'!J49+'28'!J38+'28'!J49+'29'!J38+'29'!J49+'30'!J38+'30'!J49+'31'!J38+'31'!J49</f>
        <v>0</v>
      </c>
      <c r="K38" s="125">
        <f>'1'!K38+'1'!K49+'2'!K38+'2'!K49+'3'!K38+'3'!K49+'4'!K38+'4'!K49+'5'!K38+'5'!K49+'6'!K38+'6'!K49+'7'!K38+'7'!K49+'8'!K38+'8'!K49+'9'!K38+'9'!K49+'10'!K38+'10'!K49+'11'!K38+'11'!K49+'12'!K38+'12'!K49+'13'!K38+'13'!K49+'14'!K38+'14'!K49+'15'!K38+'15'!K49+'16'!K38+'16'!K49+'17'!K38+'17'!K49+'18'!K38+'18'!K49+'19'!K38+'19'!K49+'20'!K38+'20'!K49+'21'!K38+'21'!K49+'22'!K38+'22'!K49+'23'!K38+'23'!K49+'24'!K38+'24'!K49+'25'!K38+'25'!K49+'26'!K38+'26'!K49+'27'!K38+'27'!K49+'28'!K38+'28'!K49+'29'!K38+'29'!K49+'30'!K38+'30'!K49+'31'!K38+'31'!K49</f>
        <v>87</v>
      </c>
      <c r="L38" s="125">
        <f>'1'!L38+'1'!L49+'2'!L38+'2'!L49+'3'!L38+'3'!L49+'4'!L38+'4'!L49+'5'!L38+'5'!L49+'6'!L38+'6'!L49+'7'!L38+'7'!L49+'8'!L38+'8'!L49+'9'!L38+'9'!L49+'10'!L38+'10'!L49+'11'!L38+'11'!L49+'12'!L38+'12'!L49+'13'!L38+'13'!L49+'14'!L38+'14'!L49+'15'!L38+'15'!L49+'16'!L38+'16'!L49+'17'!L38+'17'!L49+'18'!L38+'18'!L49+'19'!L38+'19'!L49+'20'!L38+'20'!L49+'21'!L38+'21'!L49+'22'!L38+'22'!L49+'23'!L38+'23'!L49+'24'!L38+'24'!L49+'25'!L38+'25'!L49+'26'!L38+'26'!L49+'27'!L38+'27'!L49+'28'!L38+'28'!L49+'29'!L38+'29'!L49+'30'!L38+'30'!L49+'31'!L38+'31'!L49</f>
        <v>8</v>
      </c>
      <c r="M38" s="125">
        <f>'1'!M38+'1'!M49+'2'!M38+'2'!M49+'3'!M38+'3'!M49+'4'!M38+'4'!M49+'5'!M38+'5'!M49+'6'!M38+'6'!M49+'7'!M38+'7'!M49+'8'!M38+'8'!M49+'9'!M38+'9'!M49+'10'!M38+'10'!M49+'11'!M38+'11'!M49+'12'!M38+'12'!M49+'13'!M38+'13'!M49+'14'!M38+'14'!M49+'15'!M38+'15'!M49+'16'!M38+'16'!M49+'17'!M38+'17'!M49+'18'!M38+'18'!M49+'19'!M38+'19'!M49+'20'!M38+'20'!M49+'21'!M38+'21'!M49+'22'!M38+'22'!M49+'23'!M38+'23'!M49+'24'!M38+'24'!M49+'25'!M38+'25'!M49+'26'!M38+'26'!M49+'27'!M38+'27'!M49+'28'!M38+'28'!M49+'29'!M38+'29'!M49+'30'!M38+'30'!M49+'31'!M38+'31'!M49</f>
        <v>0</v>
      </c>
      <c r="N38" s="125">
        <f>'1'!N38+'1'!N49+'2'!N38+'2'!N49+'3'!N38+'3'!N49+'4'!N38+'4'!N49+'5'!N38+'5'!N49+'6'!N38+'6'!N49+'7'!N38+'7'!N49+'8'!N38+'8'!N49+'9'!N38+'9'!N49+'10'!N38+'10'!N49+'11'!N38+'11'!N49+'12'!N38+'12'!N49+'13'!N38+'13'!N49+'14'!N38+'14'!N49+'15'!N38+'15'!N49+'16'!N38+'16'!N49+'17'!N38+'17'!N49+'18'!N38+'18'!N49+'19'!N38+'19'!N49+'20'!N38+'20'!N49+'21'!N38+'21'!N49+'22'!N38+'22'!N49+'23'!N38+'23'!N49+'24'!N38+'24'!N49+'25'!N38+'25'!N49+'26'!N38+'26'!N49+'27'!N38+'27'!N49+'28'!N38+'28'!N49+'29'!N38+'29'!N49+'30'!N38+'30'!N49+'31'!N38+'31'!N49</f>
        <v>0</v>
      </c>
      <c r="O38" s="125">
        <f>'1'!O38+'1'!O49+'2'!O38+'2'!O49+'3'!O38+'3'!O49+'4'!O38+'4'!O49+'5'!O38+'5'!O49+'6'!O38+'6'!O49+'7'!O38+'7'!O49+'8'!O38+'8'!O49+'9'!O38+'9'!O49+'10'!O38+'10'!O49+'11'!O38+'11'!O49+'12'!O38+'12'!O49+'13'!O38+'13'!O49+'14'!O38+'14'!O49+'15'!O38+'15'!O49+'16'!O38+'16'!O49+'17'!O38+'17'!O49+'18'!O38+'18'!O49+'19'!O38+'19'!O49+'20'!O38+'20'!O49+'21'!O38+'21'!O49+'22'!O38+'22'!O49+'23'!O38+'23'!O49+'24'!O38+'24'!O49+'25'!O38+'25'!O49+'26'!O38+'26'!O49+'27'!O38+'27'!O49+'28'!O38+'28'!O49+'29'!O38+'29'!O49+'30'!O38+'30'!O49+'31'!O38+'31'!O49</f>
        <v>0</v>
      </c>
      <c r="P38" s="125">
        <f>'1'!P38+'1'!P49+'2'!P38+'2'!P49+'3'!P38+'3'!P49+'4'!P38+'4'!P49+'5'!P38+'5'!P49+'6'!P38+'6'!P49+'7'!P38+'7'!P49+'8'!P38+'8'!P49+'9'!P38+'9'!P49+'10'!P38+'10'!P49+'11'!P38+'11'!P49+'12'!P38+'12'!P49+'13'!P38+'13'!P49+'14'!P38+'14'!P49+'15'!P38+'15'!P49+'16'!P38+'16'!P49+'17'!P38+'17'!P49+'18'!P38+'18'!P49+'19'!P38+'19'!P49+'20'!P38+'20'!P49+'21'!P38+'21'!P49+'22'!P38+'22'!P49+'23'!P38+'23'!P49+'24'!P38+'24'!P49+'25'!P38+'25'!P49+'26'!P38+'26'!P49+'27'!P38+'27'!P49+'28'!P38+'28'!P49+'29'!P38+'29'!P49+'30'!P38+'30'!P49+'31'!P38+'31'!P49</f>
        <v>0</v>
      </c>
      <c r="Q38" s="125">
        <f>'1'!Q38+'1'!Q49+'2'!Q38+'2'!Q49+'3'!Q38+'3'!Q49+'4'!Q38+'4'!Q49+'5'!Q38+'5'!Q49+'6'!Q38+'6'!Q49+'7'!Q38+'7'!Q49+'8'!Q38+'8'!Q49+'9'!Q38+'9'!Q49+'10'!Q38+'10'!Q49+'11'!Q38+'11'!Q49+'12'!Q38+'12'!Q49+'13'!Q38+'13'!Q49+'14'!Q38+'14'!Q49+'15'!Q38+'15'!Q49+'16'!Q38+'16'!Q49+'17'!Q38+'17'!Q49+'18'!Q38+'18'!Q49+'19'!Q38+'19'!Q49+'20'!Q38+'20'!Q49+'21'!Q38+'21'!Q49+'22'!Q38+'22'!Q49+'23'!Q38+'23'!Q49+'24'!Q38+'24'!Q49+'25'!Q38+'25'!Q49+'26'!Q38+'26'!Q49+'27'!Q38+'27'!Q49+'28'!Q38+'28'!Q49+'29'!Q38+'29'!Q49+'30'!Q38+'30'!Q49+'31'!Q38+'31'!Q49</f>
        <v>13</v>
      </c>
      <c r="R38" s="125">
        <f>'1'!R38+'1'!R49+'2'!R38+'2'!R49+'3'!R38+'3'!R49+'4'!R38+'4'!R49+'5'!R38+'5'!R49+'6'!R38+'6'!R49+'7'!R38+'7'!R49+'8'!R38+'8'!R49+'9'!R38+'9'!R49+'10'!R38+'10'!R49+'11'!R38+'11'!R49+'12'!R38+'12'!R49+'13'!R38+'13'!R49+'14'!R38+'14'!R49+'15'!R38+'15'!R49+'16'!R38+'16'!R49+'17'!R38+'17'!R49+'18'!R38+'18'!R49+'19'!R38+'19'!R49+'20'!R38+'20'!R49+'21'!R38+'21'!R49+'22'!R38+'22'!R49+'23'!R38+'23'!R49+'24'!R38+'24'!R49+'25'!R38+'25'!R49+'26'!R38+'26'!R49+'27'!R38+'27'!R49+'28'!R38+'28'!R49+'29'!R38+'29'!R49+'30'!R38+'30'!R49+'31'!R38+'31'!R49</f>
        <v>0</v>
      </c>
      <c r="S38" s="125">
        <f>'1'!S38+'1'!S49+'2'!S38+'2'!S49+'3'!S38+'3'!S49+'4'!S38+'4'!S49+'5'!S38+'5'!S49+'6'!S38+'6'!S49+'7'!S38+'7'!S49+'8'!S38+'8'!S49+'9'!S38+'9'!S49+'10'!S38+'10'!S49+'11'!S38+'11'!S49+'12'!S38+'12'!S49+'13'!S38+'13'!S49+'14'!S38+'14'!S49+'15'!S38+'15'!S49+'16'!S38+'16'!S49+'17'!S38+'17'!S49+'18'!S38+'18'!S49+'19'!S38+'19'!S49+'20'!S38+'20'!S49+'21'!S38+'21'!S49+'22'!S38+'22'!S49+'23'!S38+'23'!S49+'24'!S38+'24'!S49+'25'!S38+'25'!S49+'26'!S38+'26'!S49+'27'!S38+'27'!S49+'28'!S38+'28'!S49+'29'!S38+'29'!S49+'30'!S38+'30'!S49+'31'!S38+'31'!S49</f>
        <v>0</v>
      </c>
      <c r="T38" s="125">
        <f>'1'!T38+'1'!T49+'2'!T38+'2'!T49+'3'!T38+'3'!T49+'4'!T38+'4'!T49+'5'!T38+'5'!T49+'6'!T38+'6'!T49+'7'!T38+'7'!T49+'8'!T38+'8'!T49+'9'!T38+'9'!T49+'10'!T38+'10'!T49+'11'!T38+'11'!T49+'12'!T38+'12'!T49+'13'!T38+'13'!T49+'14'!T38+'14'!T49+'15'!T38+'15'!T49+'16'!T38+'16'!T49+'17'!T38+'17'!T49+'18'!T38+'18'!T49+'19'!T38+'19'!T49+'20'!T38+'20'!T49+'21'!T38+'21'!T49+'22'!T38+'22'!T49+'23'!T38+'23'!T49+'24'!T38+'24'!T49+'25'!T38+'25'!T49+'26'!T38+'26'!T49+'27'!T38+'27'!T49+'28'!T38+'28'!T49+'29'!T38+'29'!T49+'30'!T38+'30'!T49+'31'!T38+'31'!T49</f>
        <v>0</v>
      </c>
      <c r="U38" s="125">
        <f>'1'!U38+'1'!U49+'2'!U38+'2'!U49+'3'!U38+'3'!U49+'4'!U38+'4'!U49+'5'!U38+'5'!U49+'6'!U38+'6'!U49+'7'!U38+'7'!U49+'8'!U38+'8'!U49+'9'!U38+'9'!U49+'10'!U38+'10'!U49+'11'!U38+'11'!U49+'12'!U38+'12'!U49+'13'!U38+'13'!U49+'14'!U38+'14'!U49+'15'!U38+'15'!U49+'16'!U38+'16'!U49+'17'!U38+'17'!U49+'18'!U38+'18'!U49+'19'!U38+'19'!U49+'20'!U38+'20'!U49+'21'!U38+'21'!U49+'22'!U38+'22'!U49+'23'!U38+'23'!U49+'24'!U38+'24'!U49+'25'!U38+'25'!U49+'26'!U38+'26'!U49+'27'!U38+'27'!U49+'28'!U38+'28'!U49+'29'!U38+'29'!U49+'30'!U38+'30'!U49+'31'!U38+'31'!U49</f>
        <v>0</v>
      </c>
      <c r="V38" s="125">
        <f>'1'!V38+'1'!V49+'2'!V38+'2'!V49+'3'!V38+'3'!V49+'4'!V38+'4'!V49+'5'!V38+'5'!V49+'6'!V38+'6'!V49+'7'!V38+'7'!V49+'8'!V38+'8'!V49+'9'!V38+'9'!V49+'10'!V38+'10'!V49+'11'!V38+'11'!V49+'12'!V38+'12'!V49+'13'!V38+'13'!V49+'14'!V38+'14'!V49+'15'!V38+'15'!V49+'16'!V38+'16'!V49+'17'!V38+'17'!V49+'18'!V38+'18'!V49+'19'!V38+'19'!V49+'20'!V38+'20'!V49+'21'!V38+'21'!V49+'22'!V38+'22'!V49+'23'!V38+'23'!V49+'24'!V38+'24'!V49+'25'!V38+'25'!V49+'26'!V38+'26'!V49+'27'!V38+'27'!V49+'28'!V38+'28'!V49+'29'!V38+'29'!V49+'30'!V38+'30'!V49+'31'!V38+'31'!V49</f>
        <v>0</v>
      </c>
      <c r="W38" s="125">
        <f>'1'!W38+'1'!W49+'2'!W38+'2'!W49+'3'!W38+'3'!W49+'4'!W38+'4'!W49+'5'!W38+'5'!W49+'6'!W38+'6'!W49+'7'!W38+'7'!W49+'8'!W38+'8'!W49+'9'!W38+'9'!W49+'10'!W38+'10'!W49+'11'!W38+'11'!W49+'12'!W38+'12'!W49+'13'!W38+'13'!W49+'14'!W38+'14'!W49+'15'!W38+'15'!W49+'16'!W38+'16'!W49+'17'!W38+'17'!W49+'18'!W38+'18'!W49+'19'!W38+'19'!W49+'20'!W38+'20'!W49+'21'!W38+'21'!W49+'22'!W38+'22'!W49+'23'!W38+'23'!W49+'24'!W38+'24'!W49+'25'!W38+'25'!W49+'26'!W38+'26'!W49+'27'!W38+'27'!W49+'28'!W38+'28'!W49+'29'!W38+'29'!W49+'30'!W38+'30'!W49+'31'!W38+'31'!W49</f>
        <v>186</v>
      </c>
      <c r="X38" s="125">
        <f>'1'!X38+'1'!X49+'2'!X38+'2'!X49+'3'!X38+'3'!X49+'4'!X38+'4'!X49+'5'!X38+'5'!X49+'6'!X38+'6'!X49+'7'!X38+'7'!X49+'8'!X38+'8'!X49+'9'!X38+'9'!X49+'10'!X38+'10'!X49+'11'!X38+'11'!X49+'12'!X38+'12'!X49+'13'!X38+'13'!X49+'14'!X38+'14'!X49+'15'!X38+'15'!X49+'16'!X38+'16'!X49+'17'!X38+'17'!X49+'18'!X38+'18'!X49+'19'!X38+'19'!X49+'20'!X38+'20'!X49+'21'!X38+'21'!X49+'22'!X38+'22'!X49+'23'!X38+'23'!X49+'24'!X38+'24'!X49+'25'!X38+'25'!X49+'26'!X38+'26'!X49+'27'!X38+'27'!X49+'28'!X38+'28'!X49+'29'!X38+'29'!X49+'30'!X38+'30'!X49+'31'!X38+'31'!X49</f>
        <v>0</v>
      </c>
      <c r="Y38" s="125">
        <f>'1'!Y38+'1'!Y49+'2'!Y38+'2'!Y49+'3'!Y38+'3'!Y49+'4'!Y38+'4'!Y49+'5'!Y38+'5'!Y49+'6'!Y38+'6'!Y49+'7'!Y38+'7'!Y49+'8'!Y38+'8'!Y49+'9'!Y38+'9'!Y49+'10'!Y38+'10'!Y49+'11'!Y38+'11'!Y49+'12'!Y38+'12'!Y49+'13'!Y38+'13'!Y49+'14'!Y38+'14'!Y49+'15'!Y38+'15'!Y49+'16'!Y38+'16'!Y49+'17'!Y38+'17'!Y49+'18'!Y38+'18'!Y49+'19'!Y38+'19'!Y49+'20'!Y38+'20'!Y49+'21'!Y38+'21'!Y49+'22'!Y38+'22'!Y49+'23'!Y38+'23'!Y49+'24'!Y38+'24'!Y49+'25'!Y38+'25'!Y49+'26'!Y38+'26'!Y49+'27'!Y38+'27'!Y49+'28'!Y38+'28'!Y49+'29'!Y38+'29'!Y49+'30'!Y38+'30'!Y49+'31'!Y38+'31'!Y49</f>
        <v>0</v>
      </c>
      <c r="Z38" s="125">
        <f>'1'!Z38+'1'!Z49+'2'!Z38+'2'!Z49+'3'!Z38+'3'!Z49+'4'!Z38+'4'!Z49+'5'!Z38+'5'!Z49+'6'!Z38+'6'!Z49+'7'!Z38+'7'!Z49+'8'!Z38+'8'!Z49+'9'!Z38+'9'!Z49+'10'!Z38+'10'!Z49+'11'!Z38+'11'!Z49+'12'!Z38+'12'!Z49+'13'!Z38+'13'!Z49+'14'!Z38+'14'!Z49+'15'!Z38+'15'!Z49+'16'!Z38+'16'!Z49+'17'!Z38+'17'!Z49+'18'!Z38+'18'!Z49+'19'!Z38+'19'!Z49+'20'!Z38+'20'!Z49+'21'!Z38+'21'!Z49+'22'!Z38+'22'!Z49+'23'!Z38+'23'!Z49+'24'!Z38+'24'!Z49+'25'!Z38+'25'!Z49+'26'!Z38+'26'!Z49+'27'!Z38+'27'!Z49+'28'!Z38+'28'!Z49+'29'!Z38+'29'!Z49+'30'!Z38+'30'!Z49+'31'!Z38+'31'!Z49</f>
        <v>0</v>
      </c>
      <c r="AA38" s="125">
        <f>'1'!AA38+'1'!AA49+'2'!AA38+'2'!AA49+'3'!AA38+'3'!AA49+'4'!AA38+'4'!AA49+'5'!AA38+'5'!AA49+'6'!AA38+'6'!AA49+'7'!AA38+'7'!AA49+'8'!AA38+'8'!AA49+'9'!AA38+'9'!AA49+'10'!AA38+'10'!AA49+'11'!AA38+'11'!AA49+'12'!AA38+'12'!AA49+'13'!AA38+'13'!AA49+'14'!AA38+'14'!AA49+'15'!AA38+'15'!AA49+'16'!AA38+'16'!AA49+'17'!AA38+'17'!AA49+'18'!AA38+'18'!AA49+'19'!AA38+'19'!AA49+'20'!AA38+'20'!AA49+'21'!AA38+'21'!AA49+'22'!AA38+'22'!AA49+'23'!AA38+'23'!AA49+'24'!AA38+'24'!AA49+'25'!AA38+'25'!AA49+'26'!AA38+'26'!AA49+'27'!AA38+'27'!AA49+'28'!AA38+'28'!AA49+'29'!AA38+'29'!AA49+'30'!AA38+'30'!AA49+'31'!AA38+'31'!AA49</f>
        <v>0</v>
      </c>
      <c r="AB38" s="125">
        <f>'1'!AB38+'1'!AB49+'2'!AB38+'2'!AB49+'3'!AB38+'3'!AB49+'4'!AB38+'4'!AB49+'5'!AB38+'5'!AB49+'6'!AB38+'6'!AB49+'7'!AB38+'7'!AB49+'8'!AB38+'8'!AB49+'9'!AB38+'9'!AB49+'10'!AB38+'10'!AB49+'11'!AB38+'11'!AB49+'12'!AB38+'12'!AB49+'13'!AB38+'13'!AB49+'14'!AB38+'14'!AB49+'15'!AB38+'15'!AB49+'16'!AB38+'16'!AB49+'17'!AB38+'17'!AB49+'18'!AB38+'18'!AB49+'19'!AB38+'19'!AB49+'20'!AB38+'20'!AB49+'21'!AB38+'21'!AB49+'22'!AB38+'22'!AB49+'23'!AB38+'23'!AB49+'24'!AB38+'24'!AB49+'25'!AB38+'25'!AB49+'26'!AB38+'26'!AB49+'27'!AB38+'27'!AB49+'28'!AB38+'28'!AB49+'29'!AB38+'29'!AB49+'30'!AB38+'30'!AB49+'31'!AB38+'31'!AB49</f>
        <v>0</v>
      </c>
      <c r="AC38" s="125">
        <f>'1'!AC38+'1'!AC49+'2'!AC38+'2'!AC49+'3'!AC38+'3'!AC49+'4'!AC38+'4'!AC49+'5'!AC38+'5'!AC49+'6'!AC38+'6'!AC49+'7'!AC38+'7'!AC49+'8'!AC38+'8'!AC49+'9'!AC38+'9'!AC49+'10'!AC38+'10'!AC49+'11'!AC38+'11'!AC49+'12'!AC38+'12'!AC49+'13'!AC38+'13'!AC49+'14'!AC38+'14'!AC49+'15'!AC38+'15'!AC49+'16'!AC38+'16'!AC49+'17'!AC38+'17'!AC49+'18'!AC38+'18'!AC49+'19'!AC38+'19'!AC49+'20'!AC38+'20'!AC49+'21'!AC38+'21'!AC49+'22'!AC38+'22'!AC49+'23'!AC38+'23'!AC49+'24'!AC38+'24'!AC49+'25'!AC38+'25'!AC49+'26'!AC38+'26'!AC49+'27'!AC38+'27'!AC49+'28'!AC38+'28'!AC49+'29'!AC38+'29'!AC49+'30'!AC38+'30'!AC49+'31'!AC38+'31'!AC49</f>
        <v>0</v>
      </c>
      <c r="AD38" s="125">
        <f>'1'!AD38+'1'!AD49+'2'!AD38+'2'!AD49+'3'!AD38+'3'!AD49+'4'!AD38+'4'!AD49+'5'!AD38+'5'!AD49+'6'!AD38+'6'!AD49+'7'!AD38+'7'!AD49+'8'!AD38+'8'!AD49+'9'!AD38+'9'!AD49+'10'!AD38+'10'!AD49+'11'!AD38+'11'!AD49+'12'!AD38+'12'!AD49+'13'!AD38+'13'!AD49+'14'!AD38+'14'!AD49+'15'!AD38+'15'!AD49+'16'!AD38+'16'!AD49+'17'!AD38+'17'!AD49+'18'!AD38+'18'!AD49+'19'!AD38+'19'!AD49+'20'!AD38+'20'!AD49+'21'!AD38+'21'!AD49+'22'!AD38+'22'!AD49+'23'!AD38+'23'!AD49+'24'!AD38+'24'!AD49+'25'!AD38+'25'!AD49+'26'!AD38+'26'!AD49+'27'!AD38+'27'!AD49+'28'!AD38+'28'!AD49+'29'!AD38+'29'!AD49+'30'!AD38+'30'!AD49+'31'!AD38+'31'!AD49</f>
        <v>0</v>
      </c>
      <c r="AE38" s="125">
        <f>'1'!AE38+'1'!AE49+'2'!AE38+'2'!AE49+'3'!AE38+'3'!AE49+'4'!AE38+'4'!AE49+'5'!AE38+'5'!AE49+'6'!AE38+'6'!AE49+'7'!AE38+'7'!AE49+'8'!AE38+'8'!AE49+'9'!AE38+'9'!AE49+'10'!AE38+'10'!AE49+'11'!AE38+'11'!AE49+'12'!AE38+'12'!AE49+'13'!AE38+'13'!AE49+'14'!AE38+'14'!AE49+'15'!AE38+'15'!AE49+'16'!AE38+'16'!AE49+'17'!AE38+'17'!AE49+'18'!AE38+'18'!AE49+'19'!AE38+'19'!AE49+'20'!AE38+'20'!AE49+'21'!AE38+'21'!AE49+'22'!AE38+'22'!AE49+'23'!AE38+'23'!AE49+'24'!AE38+'24'!AE49+'25'!AE38+'25'!AE49+'26'!AE38+'26'!AE49+'27'!AE38+'27'!AE49+'28'!AE38+'28'!AE49+'29'!AE38+'29'!AE49+'30'!AE38+'30'!AE49+'31'!AE38+'31'!AE49</f>
        <v>0</v>
      </c>
      <c r="AF38" s="125">
        <f>'1'!AF38+'1'!AF49+'2'!AF38+'2'!AF49+'3'!AF38+'3'!AF49+'4'!AF38+'4'!AF49+'5'!AF38+'5'!AF49+'6'!AF38+'6'!AF49+'7'!AF38+'7'!AF49+'8'!AF38+'8'!AF49+'9'!AF38+'9'!AF49+'10'!AF38+'10'!AF49+'11'!AF38+'11'!AF49+'12'!AF38+'12'!AF49+'13'!AF38+'13'!AF49+'14'!AF38+'14'!AF49+'15'!AF38+'15'!AF49+'16'!AF38+'16'!AF49+'17'!AF38+'17'!AF49+'18'!AF38+'18'!AF49+'19'!AF38+'19'!AF49+'20'!AF38+'20'!AF49+'21'!AF38+'21'!AF49+'22'!AF38+'22'!AF49+'23'!AF38+'23'!AF49+'24'!AF38+'24'!AF49+'25'!AF38+'25'!AF49+'26'!AF38+'26'!AF49+'27'!AF38+'27'!AF49+'28'!AF38+'28'!AF49+'29'!AF38+'29'!AF49+'30'!AF38+'30'!AF49+'31'!AF38+'31'!AF49</f>
        <v>7</v>
      </c>
      <c r="AG38" s="125">
        <f>'1'!AG38+'1'!AG49+'2'!AG38+'2'!AG49+'3'!AG38+'3'!AG49+'4'!AG38+'4'!AG49+'5'!AG38+'5'!AG49+'6'!AG38+'6'!AG49+'7'!AG38+'7'!AG49+'8'!AG38+'8'!AG49+'9'!AG38+'9'!AG49+'10'!AG38+'10'!AG49+'11'!AG38+'11'!AG49+'12'!AG38+'12'!AG49+'13'!AG38+'13'!AG49+'14'!AG38+'14'!AG49+'15'!AG38+'15'!AG49+'16'!AG38+'16'!AG49+'17'!AG38+'17'!AG49+'18'!AG38+'18'!AG49+'19'!AG38+'19'!AG49+'20'!AG38+'20'!AG49+'21'!AG38+'21'!AG49+'22'!AG38+'22'!AG49+'23'!AG38+'23'!AG49+'24'!AG38+'24'!AG49+'25'!AG38+'25'!AG49+'26'!AG38+'26'!AG49+'27'!AG38+'27'!AG49+'28'!AG38+'28'!AG49+'29'!AG38+'29'!AG49+'30'!AG38+'30'!AG49+'31'!AG38+'31'!AG49</f>
        <v>0</v>
      </c>
      <c r="AH38" s="126">
        <f>'1'!AH38+'1'!AH49+'2'!AH38+'2'!AH49+'3'!AH38+'3'!AH49+'4'!AH38+'4'!AH49+'5'!AH38+'5'!AH49+'6'!AH38+'6'!AH49+'7'!AH38+'7'!AH49+'8'!AH38+'8'!AH49+'9'!AH38+'9'!AH49+'10'!AH38+'10'!AH49+'11'!AH38+'11'!AH49+'12'!AH38+'12'!AH49+'13'!AH38+'13'!AH49+'14'!AH38+'14'!AH49+'15'!AH38+'15'!AH49+'16'!AH38+'16'!AH49+'17'!AH38+'17'!AH49+'18'!AH38+'18'!AH49+'19'!AH38+'19'!AH49+'20'!AH38+'20'!AH49+'21'!AH38+'21'!AH49+'22'!AH38+'22'!AH49+'23'!AH38+'23'!AH49+'24'!AH38+'24'!AH49+'25'!AH38+'25'!AH49+'26'!AH38+'26'!AH49+'27'!AH38+'27'!AH49+'28'!AH38+'28'!AH49+'29'!AH38+'29'!AH49+'30'!AH38+'30'!AH49+'31'!AH38+'31'!AH49</f>
        <v>0</v>
      </c>
      <c r="AI38" s="76"/>
      <c r="AJ38" s="86"/>
      <c r="AK38" s="73"/>
      <c r="AL38" s="74"/>
      <c r="AM38" s="75"/>
    </row>
    <row r="39" spans="1:39" ht="24.75" customHeight="1">
      <c r="A39" s="919"/>
      <c r="B39" s="149"/>
      <c r="C39" s="216" t="s">
        <v>80</v>
      </c>
      <c r="D39" s="257"/>
      <c r="E39" s="125">
        <f>'1'!E39+'1'!E50+'2'!E39+'2'!E50+'3'!E39+'3'!E50+'4'!E39+'4'!E50+'5'!E39+'5'!E50+'6'!E39+'6'!E50+'7'!E39+'7'!E50+'8'!E39+'8'!E50+'9'!E39+'9'!E50+'10'!E39+'10'!E50+'11'!E39+'11'!E50+'12'!E39+'12'!E50+'13'!E39+'13'!E50+'14'!E39+'14'!E50+'15'!E39+'15'!E50+'16'!E39+'16'!E50+'17'!E39+'17'!E50+'18'!E39+'18'!E50+'19'!E39+'19'!E50+'20'!E39+'20'!E50+'21'!E39+'21'!E50+'22'!E39+'22'!E50+'23'!E39+'23'!E50+'24'!E39+'24'!E50+'25'!E39+'25'!E50+'26'!E39+'26'!E50+'27'!E39+'27'!E50+'28'!E39+'28'!E50+'29'!E39+'29'!E50+'30'!E39+'30'!E50+'31'!E39+'31'!E50</f>
        <v>490</v>
      </c>
      <c r="F39" s="125">
        <f>'1'!F39+'1'!F50+'2'!F39+'2'!F50+'3'!F39+'3'!F50+'4'!F39+'4'!F50+'5'!F39+'5'!F50+'6'!F39+'6'!F50+'7'!F39+'7'!F50+'8'!F39+'8'!F50+'9'!F39+'9'!F50+'10'!F39+'10'!F50+'11'!F39+'11'!F50+'12'!F39+'12'!F50+'13'!F39+'13'!F50+'14'!F39+'14'!F50+'15'!F39+'15'!F50+'16'!F39+'16'!F50+'17'!F39+'17'!F50+'18'!F39+'18'!F50+'19'!F39+'19'!F50+'20'!F39+'20'!F50+'21'!F39+'21'!F50+'22'!F39+'22'!F50+'23'!F39+'23'!F50+'24'!F39+'24'!F50+'25'!F39+'25'!F50+'26'!F39+'26'!F50+'27'!F39+'27'!F50+'28'!F39+'28'!F50+'29'!F39+'29'!F50+'30'!F39+'30'!F50+'31'!F39+'31'!F50</f>
        <v>435</v>
      </c>
      <c r="G39" s="269">
        <f t="shared" si="3"/>
        <v>0.11224489795918367</v>
      </c>
      <c r="H39" s="273"/>
      <c r="I39" s="64">
        <f t="shared" si="4"/>
        <v>55</v>
      </c>
      <c r="J39" s="125">
        <f>'1'!J39+'1'!J50+'2'!J39+'2'!J50+'3'!J39+'3'!J50+'4'!J39+'4'!J50+'5'!J39+'5'!J50+'6'!J39+'6'!J50+'7'!J39+'7'!J50+'8'!J39+'8'!J50+'9'!J39+'9'!J50+'10'!J39+'10'!J50+'11'!J39+'11'!J50+'12'!J39+'12'!J50+'13'!J39+'13'!J50+'14'!J39+'14'!J50+'15'!J39+'15'!J50+'16'!J39+'16'!J50+'17'!J39+'17'!J50+'18'!J39+'18'!J50+'19'!J39+'19'!J50+'20'!J39+'20'!J50+'21'!J39+'21'!J50+'22'!J39+'22'!J50+'23'!J39+'23'!J50+'24'!J39+'24'!J50+'25'!J39+'25'!J50+'26'!J39+'26'!J50+'27'!J39+'27'!J50+'28'!J39+'28'!J50+'29'!J39+'29'!J50+'30'!J39+'30'!J50+'31'!J39+'31'!J50</f>
        <v>0</v>
      </c>
      <c r="K39" s="125">
        <f>'1'!K39+'1'!K50+'2'!K39+'2'!K50+'3'!K39+'3'!K50+'4'!K39+'4'!K50+'5'!K39+'5'!K50+'6'!K39+'6'!K50+'7'!K39+'7'!K50+'8'!K39+'8'!K50+'9'!K39+'9'!K50+'10'!K39+'10'!K50+'11'!K39+'11'!K50+'12'!K39+'12'!K50+'13'!K39+'13'!K50+'14'!K39+'14'!K50+'15'!K39+'15'!K50+'16'!K39+'16'!K50+'17'!K39+'17'!K50+'18'!K39+'18'!K50+'19'!K39+'19'!K50+'20'!K39+'20'!K50+'21'!K39+'21'!K50+'22'!K39+'22'!K50+'23'!K39+'23'!K50+'24'!K39+'24'!K50+'25'!K39+'25'!K50+'26'!K39+'26'!K50+'27'!K39+'27'!K50+'28'!K39+'28'!K50+'29'!K39+'29'!K50+'30'!K39+'30'!K50+'31'!K39+'31'!K50</f>
        <v>0</v>
      </c>
      <c r="L39" s="125">
        <f>'1'!L39+'1'!L50+'2'!L39+'2'!L50+'3'!L39+'3'!L50+'4'!L39+'4'!L50+'5'!L39+'5'!L50+'6'!L39+'6'!L50+'7'!L39+'7'!L50+'8'!L39+'8'!L50+'9'!L39+'9'!L50+'10'!L39+'10'!L50+'11'!L39+'11'!L50+'12'!L39+'12'!L50+'13'!L39+'13'!L50+'14'!L39+'14'!L50+'15'!L39+'15'!L50+'16'!L39+'16'!L50+'17'!L39+'17'!L50+'18'!L39+'18'!L50+'19'!L39+'19'!L50+'20'!L39+'20'!L50+'21'!L39+'21'!L50+'22'!L39+'22'!L50+'23'!L39+'23'!L50+'24'!L39+'24'!L50+'25'!L39+'25'!L50+'26'!L39+'26'!L50+'27'!L39+'27'!L50+'28'!L39+'28'!L50+'29'!L39+'29'!L50+'30'!L39+'30'!L50+'31'!L39+'31'!L50</f>
        <v>0</v>
      </c>
      <c r="M39" s="125">
        <f>'1'!M39+'1'!M50+'2'!M39+'2'!M50+'3'!M39+'3'!M50+'4'!M39+'4'!M50+'5'!M39+'5'!M50+'6'!M39+'6'!M50+'7'!M39+'7'!M50+'8'!M39+'8'!M50+'9'!M39+'9'!M50+'10'!M39+'10'!M50+'11'!M39+'11'!M50+'12'!M39+'12'!M50+'13'!M39+'13'!M50+'14'!M39+'14'!M50+'15'!M39+'15'!M50+'16'!M39+'16'!M50+'17'!M39+'17'!M50+'18'!M39+'18'!M50+'19'!M39+'19'!M50+'20'!M39+'20'!M50+'21'!M39+'21'!M50+'22'!M39+'22'!M50+'23'!M39+'23'!M50+'24'!M39+'24'!M50+'25'!M39+'25'!M50+'26'!M39+'26'!M50+'27'!M39+'27'!M50+'28'!M39+'28'!M50+'29'!M39+'29'!M50+'30'!M39+'30'!M50+'31'!M39+'31'!M50</f>
        <v>0</v>
      </c>
      <c r="N39" s="125">
        <f>'1'!N39+'1'!N50+'2'!N39+'2'!N50+'3'!N39+'3'!N50+'4'!N39+'4'!N50+'5'!N39+'5'!N50+'6'!N39+'6'!N50+'7'!N39+'7'!N50+'8'!N39+'8'!N50+'9'!N39+'9'!N50+'10'!N39+'10'!N50+'11'!N39+'11'!N50+'12'!N39+'12'!N50+'13'!N39+'13'!N50+'14'!N39+'14'!N50+'15'!N39+'15'!N50+'16'!N39+'16'!N50+'17'!N39+'17'!N50+'18'!N39+'18'!N50+'19'!N39+'19'!N50+'20'!N39+'20'!N50+'21'!N39+'21'!N50+'22'!N39+'22'!N50+'23'!N39+'23'!N50+'24'!N39+'24'!N50+'25'!N39+'25'!N50+'26'!N39+'26'!N50+'27'!N39+'27'!N50+'28'!N39+'28'!N50+'29'!N39+'29'!N50+'30'!N39+'30'!N50+'31'!N39+'31'!N50</f>
        <v>0</v>
      </c>
      <c r="O39" s="125">
        <f>'1'!O39+'1'!O50+'2'!O39+'2'!O50+'3'!O39+'3'!O50+'4'!O39+'4'!O50+'5'!O39+'5'!O50+'6'!O39+'6'!O50+'7'!O39+'7'!O50+'8'!O39+'8'!O50+'9'!O39+'9'!O50+'10'!O39+'10'!O50+'11'!O39+'11'!O50+'12'!O39+'12'!O50+'13'!O39+'13'!O50+'14'!O39+'14'!O50+'15'!O39+'15'!O50+'16'!O39+'16'!O50+'17'!O39+'17'!O50+'18'!O39+'18'!O50+'19'!O39+'19'!O50+'20'!O39+'20'!O50+'21'!O39+'21'!O50+'22'!O39+'22'!O50+'23'!O39+'23'!O50+'24'!O39+'24'!O50+'25'!O39+'25'!O50+'26'!O39+'26'!O50+'27'!O39+'27'!O50+'28'!O39+'28'!O50+'29'!O39+'29'!O50+'30'!O39+'30'!O50+'31'!O39+'31'!O50</f>
        <v>0</v>
      </c>
      <c r="P39" s="125">
        <f>'1'!P39+'1'!P50+'2'!P39+'2'!P50+'3'!P39+'3'!P50+'4'!P39+'4'!P50+'5'!P39+'5'!P50+'6'!P39+'6'!P50+'7'!P39+'7'!P50+'8'!P39+'8'!P50+'9'!P39+'9'!P50+'10'!P39+'10'!P50+'11'!P39+'11'!P50+'12'!P39+'12'!P50+'13'!P39+'13'!P50+'14'!P39+'14'!P50+'15'!P39+'15'!P50+'16'!P39+'16'!P50+'17'!P39+'17'!P50+'18'!P39+'18'!P50+'19'!P39+'19'!P50+'20'!P39+'20'!P50+'21'!P39+'21'!P50+'22'!P39+'22'!P50+'23'!P39+'23'!P50+'24'!P39+'24'!P50+'25'!P39+'25'!P50+'26'!P39+'26'!P50+'27'!P39+'27'!P50+'28'!P39+'28'!P50+'29'!P39+'29'!P50+'30'!P39+'30'!P50+'31'!P39+'31'!P50</f>
        <v>0</v>
      </c>
      <c r="Q39" s="125">
        <f>'1'!Q39+'1'!Q50+'2'!Q39+'2'!Q50+'3'!Q39+'3'!Q50+'4'!Q39+'4'!Q50+'5'!Q39+'5'!Q50+'6'!Q39+'6'!Q50+'7'!Q39+'7'!Q50+'8'!Q39+'8'!Q50+'9'!Q39+'9'!Q50+'10'!Q39+'10'!Q50+'11'!Q39+'11'!Q50+'12'!Q39+'12'!Q50+'13'!Q39+'13'!Q50+'14'!Q39+'14'!Q50+'15'!Q39+'15'!Q50+'16'!Q39+'16'!Q50+'17'!Q39+'17'!Q50+'18'!Q39+'18'!Q50+'19'!Q39+'19'!Q50+'20'!Q39+'20'!Q50+'21'!Q39+'21'!Q50+'22'!Q39+'22'!Q50+'23'!Q39+'23'!Q50+'24'!Q39+'24'!Q50+'25'!Q39+'25'!Q50+'26'!Q39+'26'!Q50+'27'!Q39+'27'!Q50+'28'!Q39+'28'!Q50+'29'!Q39+'29'!Q50+'30'!Q39+'30'!Q50+'31'!Q39+'31'!Q50</f>
        <v>16</v>
      </c>
      <c r="R39" s="125">
        <f>'1'!R39+'1'!R50+'2'!R39+'2'!R50+'3'!R39+'3'!R50+'4'!R39+'4'!R50+'5'!R39+'5'!R50+'6'!R39+'6'!R50+'7'!R39+'7'!R50+'8'!R39+'8'!R50+'9'!R39+'9'!R50+'10'!R39+'10'!R50+'11'!R39+'11'!R50+'12'!R39+'12'!R50+'13'!R39+'13'!R50+'14'!R39+'14'!R50+'15'!R39+'15'!R50+'16'!R39+'16'!R50+'17'!R39+'17'!R50+'18'!R39+'18'!R50+'19'!R39+'19'!R50+'20'!R39+'20'!R50+'21'!R39+'21'!R50+'22'!R39+'22'!R50+'23'!R39+'23'!R50+'24'!R39+'24'!R50+'25'!R39+'25'!R50+'26'!R39+'26'!R50+'27'!R39+'27'!R50+'28'!R39+'28'!R50+'29'!R39+'29'!R50+'30'!R39+'30'!R50+'31'!R39+'31'!R50</f>
        <v>15</v>
      </c>
      <c r="S39" s="125">
        <f>'1'!S39+'1'!S50+'2'!S39+'2'!S50+'3'!S39+'3'!S50+'4'!S39+'4'!S50+'5'!S39+'5'!S50+'6'!S39+'6'!S50+'7'!S39+'7'!S50+'8'!S39+'8'!S50+'9'!S39+'9'!S50+'10'!S39+'10'!S50+'11'!S39+'11'!S50+'12'!S39+'12'!S50+'13'!S39+'13'!S50+'14'!S39+'14'!S50+'15'!S39+'15'!S50+'16'!S39+'16'!S50+'17'!S39+'17'!S50+'18'!S39+'18'!S50+'19'!S39+'19'!S50+'20'!S39+'20'!S50+'21'!S39+'21'!S50+'22'!S39+'22'!S50+'23'!S39+'23'!S50+'24'!S39+'24'!S50+'25'!S39+'25'!S50+'26'!S39+'26'!S50+'27'!S39+'27'!S50+'28'!S39+'28'!S50+'29'!S39+'29'!S50+'30'!S39+'30'!S50+'31'!S39+'31'!S50</f>
        <v>3</v>
      </c>
      <c r="T39" s="125">
        <f>'1'!T39+'1'!T50+'2'!T39+'2'!T50+'3'!T39+'3'!T50+'4'!T39+'4'!T50+'5'!T39+'5'!T50+'6'!T39+'6'!T50+'7'!T39+'7'!T50+'8'!T39+'8'!T50+'9'!T39+'9'!T50+'10'!T39+'10'!T50+'11'!T39+'11'!T50+'12'!T39+'12'!T50+'13'!T39+'13'!T50+'14'!T39+'14'!T50+'15'!T39+'15'!T50+'16'!T39+'16'!T50+'17'!T39+'17'!T50+'18'!T39+'18'!T50+'19'!T39+'19'!T50+'20'!T39+'20'!T50+'21'!T39+'21'!T50+'22'!T39+'22'!T50+'23'!T39+'23'!T50+'24'!T39+'24'!T50+'25'!T39+'25'!T50+'26'!T39+'26'!T50+'27'!T39+'27'!T50+'28'!T39+'28'!T50+'29'!T39+'29'!T50+'30'!T39+'30'!T50+'31'!T39+'31'!T50</f>
        <v>0</v>
      </c>
      <c r="U39" s="125">
        <f>'1'!U39+'1'!U50+'2'!U39+'2'!U50+'3'!U39+'3'!U50+'4'!U39+'4'!U50+'5'!U39+'5'!U50+'6'!U39+'6'!U50+'7'!U39+'7'!U50+'8'!U39+'8'!U50+'9'!U39+'9'!U50+'10'!U39+'10'!U50+'11'!U39+'11'!U50+'12'!U39+'12'!U50+'13'!U39+'13'!U50+'14'!U39+'14'!U50+'15'!U39+'15'!U50+'16'!U39+'16'!U50+'17'!U39+'17'!U50+'18'!U39+'18'!U50+'19'!U39+'19'!U50+'20'!U39+'20'!U50+'21'!U39+'21'!U50+'22'!U39+'22'!U50+'23'!U39+'23'!U50+'24'!U39+'24'!U50+'25'!U39+'25'!U50+'26'!U39+'26'!U50+'27'!U39+'27'!U50+'28'!U39+'28'!U50+'29'!U39+'29'!U50+'30'!U39+'30'!U50+'31'!U39+'31'!U50</f>
        <v>0</v>
      </c>
      <c r="V39" s="125">
        <f>'1'!V39+'1'!V50+'2'!V39+'2'!V50+'3'!V39+'3'!V50+'4'!V39+'4'!V50+'5'!V39+'5'!V50+'6'!V39+'6'!V50+'7'!V39+'7'!V50+'8'!V39+'8'!V50+'9'!V39+'9'!V50+'10'!V39+'10'!V50+'11'!V39+'11'!V50+'12'!V39+'12'!V50+'13'!V39+'13'!V50+'14'!V39+'14'!V50+'15'!V39+'15'!V50+'16'!V39+'16'!V50+'17'!V39+'17'!V50+'18'!V39+'18'!V50+'19'!V39+'19'!V50+'20'!V39+'20'!V50+'21'!V39+'21'!V50+'22'!V39+'22'!V50+'23'!V39+'23'!V50+'24'!V39+'24'!V50+'25'!V39+'25'!V50+'26'!V39+'26'!V50+'27'!V39+'27'!V50+'28'!V39+'28'!V50+'29'!V39+'29'!V50+'30'!V39+'30'!V50+'31'!V39+'31'!V50</f>
        <v>0</v>
      </c>
      <c r="W39" s="125">
        <f>'1'!W39+'1'!W50+'2'!W39+'2'!W50+'3'!W39+'3'!W50+'4'!W39+'4'!W50+'5'!W39+'5'!W50+'6'!W39+'6'!W50+'7'!W39+'7'!W50+'8'!W39+'8'!W50+'9'!W39+'9'!W50+'10'!W39+'10'!W50+'11'!W39+'11'!W50+'12'!W39+'12'!W50+'13'!W39+'13'!W50+'14'!W39+'14'!W50+'15'!W39+'15'!W50+'16'!W39+'16'!W50+'17'!W39+'17'!W50+'18'!W39+'18'!W50+'19'!W39+'19'!W50+'20'!W39+'20'!W50+'21'!W39+'21'!W50+'22'!W39+'22'!W50+'23'!W39+'23'!W50+'24'!W39+'24'!W50+'25'!W39+'25'!W50+'26'!W39+'26'!W50+'27'!W39+'27'!W50+'28'!W39+'28'!W50+'29'!W39+'29'!W50+'30'!W39+'30'!W50+'31'!W39+'31'!W50</f>
        <v>20</v>
      </c>
      <c r="X39" s="125">
        <f>'1'!X39+'1'!X50+'2'!X39+'2'!X50+'3'!X39+'3'!X50+'4'!X39+'4'!X50+'5'!X39+'5'!X50+'6'!X39+'6'!X50+'7'!X39+'7'!X50+'8'!X39+'8'!X50+'9'!X39+'9'!X50+'10'!X39+'10'!X50+'11'!X39+'11'!X50+'12'!X39+'12'!X50+'13'!X39+'13'!X50+'14'!X39+'14'!X50+'15'!X39+'15'!X50+'16'!X39+'16'!X50+'17'!X39+'17'!X50+'18'!X39+'18'!X50+'19'!X39+'19'!X50+'20'!X39+'20'!X50+'21'!X39+'21'!X50+'22'!X39+'22'!X50+'23'!X39+'23'!X50+'24'!X39+'24'!X50+'25'!X39+'25'!X50+'26'!X39+'26'!X50+'27'!X39+'27'!X50+'28'!X39+'28'!X50+'29'!X39+'29'!X50+'30'!X39+'30'!X50+'31'!X39+'31'!X50</f>
        <v>0</v>
      </c>
      <c r="Y39" s="125">
        <f>'1'!Y39+'1'!Y50+'2'!Y39+'2'!Y50+'3'!Y39+'3'!Y50+'4'!Y39+'4'!Y50+'5'!Y39+'5'!Y50+'6'!Y39+'6'!Y50+'7'!Y39+'7'!Y50+'8'!Y39+'8'!Y50+'9'!Y39+'9'!Y50+'10'!Y39+'10'!Y50+'11'!Y39+'11'!Y50+'12'!Y39+'12'!Y50+'13'!Y39+'13'!Y50+'14'!Y39+'14'!Y50+'15'!Y39+'15'!Y50+'16'!Y39+'16'!Y50+'17'!Y39+'17'!Y50+'18'!Y39+'18'!Y50+'19'!Y39+'19'!Y50+'20'!Y39+'20'!Y50+'21'!Y39+'21'!Y50+'22'!Y39+'22'!Y50+'23'!Y39+'23'!Y50+'24'!Y39+'24'!Y50+'25'!Y39+'25'!Y50+'26'!Y39+'26'!Y50+'27'!Y39+'27'!Y50+'28'!Y39+'28'!Y50+'29'!Y39+'29'!Y50+'30'!Y39+'30'!Y50+'31'!Y39+'31'!Y50</f>
        <v>0</v>
      </c>
      <c r="Z39" s="125">
        <f>'1'!Z39+'1'!Z50+'2'!Z39+'2'!Z50+'3'!Z39+'3'!Z50+'4'!Z39+'4'!Z50+'5'!Z39+'5'!Z50+'6'!Z39+'6'!Z50+'7'!Z39+'7'!Z50+'8'!Z39+'8'!Z50+'9'!Z39+'9'!Z50+'10'!Z39+'10'!Z50+'11'!Z39+'11'!Z50+'12'!Z39+'12'!Z50+'13'!Z39+'13'!Z50+'14'!Z39+'14'!Z50+'15'!Z39+'15'!Z50+'16'!Z39+'16'!Z50+'17'!Z39+'17'!Z50+'18'!Z39+'18'!Z50+'19'!Z39+'19'!Z50+'20'!Z39+'20'!Z50+'21'!Z39+'21'!Z50+'22'!Z39+'22'!Z50+'23'!Z39+'23'!Z50+'24'!Z39+'24'!Z50+'25'!Z39+'25'!Z50+'26'!Z39+'26'!Z50+'27'!Z39+'27'!Z50+'28'!Z39+'28'!Z50+'29'!Z39+'29'!Z50+'30'!Z39+'30'!Z50+'31'!Z39+'31'!Z50</f>
        <v>0</v>
      </c>
      <c r="AA39" s="125">
        <f>'1'!AA39+'1'!AA50+'2'!AA39+'2'!AA50+'3'!AA39+'3'!AA50+'4'!AA39+'4'!AA50+'5'!AA39+'5'!AA50+'6'!AA39+'6'!AA50+'7'!AA39+'7'!AA50+'8'!AA39+'8'!AA50+'9'!AA39+'9'!AA50+'10'!AA39+'10'!AA50+'11'!AA39+'11'!AA50+'12'!AA39+'12'!AA50+'13'!AA39+'13'!AA50+'14'!AA39+'14'!AA50+'15'!AA39+'15'!AA50+'16'!AA39+'16'!AA50+'17'!AA39+'17'!AA50+'18'!AA39+'18'!AA50+'19'!AA39+'19'!AA50+'20'!AA39+'20'!AA50+'21'!AA39+'21'!AA50+'22'!AA39+'22'!AA50+'23'!AA39+'23'!AA50+'24'!AA39+'24'!AA50+'25'!AA39+'25'!AA50+'26'!AA39+'26'!AA50+'27'!AA39+'27'!AA50+'28'!AA39+'28'!AA50+'29'!AA39+'29'!AA50+'30'!AA39+'30'!AA50+'31'!AA39+'31'!AA50</f>
        <v>0</v>
      </c>
      <c r="AB39" s="125">
        <f>'1'!AB39+'1'!AB50+'2'!AB39+'2'!AB50+'3'!AB39+'3'!AB50+'4'!AB39+'4'!AB50+'5'!AB39+'5'!AB50+'6'!AB39+'6'!AB50+'7'!AB39+'7'!AB50+'8'!AB39+'8'!AB50+'9'!AB39+'9'!AB50+'10'!AB39+'10'!AB50+'11'!AB39+'11'!AB50+'12'!AB39+'12'!AB50+'13'!AB39+'13'!AB50+'14'!AB39+'14'!AB50+'15'!AB39+'15'!AB50+'16'!AB39+'16'!AB50+'17'!AB39+'17'!AB50+'18'!AB39+'18'!AB50+'19'!AB39+'19'!AB50+'20'!AB39+'20'!AB50+'21'!AB39+'21'!AB50+'22'!AB39+'22'!AB50+'23'!AB39+'23'!AB50+'24'!AB39+'24'!AB50+'25'!AB39+'25'!AB50+'26'!AB39+'26'!AB50+'27'!AB39+'27'!AB50+'28'!AB39+'28'!AB50+'29'!AB39+'29'!AB50+'30'!AB39+'30'!AB50+'31'!AB39+'31'!AB50</f>
        <v>0</v>
      </c>
      <c r="AC39" s="125">
        <f>'1'!AC39+'1'!AC50+'2'!AC39+'2'!AC50+'3'!AC39+'3'!AC50+'4'!AC39+'4'!AC50+'5'!AC39+'5'!AC50+'6'!AC39+'6'!AC50+'7'!AC39+'7'!AC50+'8'!AC39+'8'!AC50+'9'!AC39+'9'!AC50+'10'!AC39+'10'!AC50+'11'!AC39+'11'!AC50+'12'!AC39+'12'!AC50+'13'!AC39+'13'!AC50+'14'!AC39+'14'!AC50+'15'!AC39+'15'!AC50+'16'!AC39+'16'!AC50+'17'!AC39+'17'!AC50+'18'!AC39+'18'!AC50+'19'!AC39+'19'!AC50+'20'!AC39+'20'!AC50+'21'!AC39+'21'!AC50+'22'!AC39+'22'!AC50+'23'!AC39+'23'!AC50+'24'!AC39+'24'!AC50+'25'!AC39+'25'!AC50+'26'!AC39+'26'!AC50+'27'!AC39+'27'!AC50+'28'!AC39+'28'!AC50+'29'!AC39+'29'!AC50+'30'!AC39+'30'!AC50+'31'!AC39+'31'!AC50</f>
        <v>1</v>
      </c>
      <c r="AD39" s="125">
        <f>'1'!AD39+'1'!AD50+'2'!AD39+'2'!AD50+'3'!AD39+'3'!AD50+'4'!AD39+'4'!AD50+'5'!AD39+'5'!AD50+'6'!AD39+'6'!AD50+'7'!AD39+'7'!AD50+'8'!AD39+'8'!AD50+'9'!AD39+'9'!AD50+'10'!AD39+'10'!AD50+'11'!AD39+'11'!AD50+'12'!AD39+'12'!AD50+'13'!AD39+'13'!AD50+'14'!AD39+'14'!AD50+'15'!AD39+'15'!AD50+'16'!AD39+'16'!AD50+'17'!AD39+'17'!AD50+'18'!AD39+'18'!AD50+'19'!AD39+'19'!AD50+'20'!AD39+'20'!AD50+'21'!AD39+'21'!AD50+'22'!AD39+'22'!AD50+'23'!AD39+'23'!AD50+'24'!AD39+'24'!AD50+'25'!AD39+'25'!AD50+'26'!AD39+'26'!AD50+'27'!AD39+'27'!AD50+'28'!AD39+'28'!AD50+'29'!AD39+'29'!AD50+'30'!AD39+'30'!AD50+'31'!AD39+'31'!AD50</f>
        <v>0</v>
      </c>
      <c r="AE39" s="125">
        <f>'1'!AE39+'1'!AE50+'2'!AE39+'2'!AE50+'3'!AE39+'3'!AE50+'4'!AE39+'4'!AE50+'5'!AE39+'5'!AE50+'6'!AE39+'6'!AE50+'7'!AE39+'7'!AE50+'8'!AE39+'8'!AE50+'9'!AE39+'9'!AE50+'10'!AE39+'10'!AE50+'11'!AE39+'11'!AE50+'12'!AE39+'12'!AE50+'13'!AE39+'13'!AE50+'14'!AE39+'14'!AE50+'15'!AE39+'15'!AE50+'16'!AE39+'16'!AE50+'17'!AE39+'17'!AE50+'18'!AE39+'18'!AE50+'19'!AE39+'19'!AE50+'20'!AE39+'20'!AE50+'21'!AE39+'21'!AE50+'22'!AE39+'22'!AE50+'23'!AE39+'23'!AE50+'24'!AE39+'24'!AE50+'25'!AE39+'25'!AE50+'26'!AE39+'26'!AE50+'27'!AE39+'27'!AE50+'28'!AE39+'28'!AE50+'29'!AE39+'29'!AE50+'30'!AE39+'30'!AE50+'31'!AE39+'31'!AE50</f>
        <v>0</v>
      </c>
      <c r="AF39" s="125">
        <f>'1'!AF39+'1'!AF50+'2'!AF39+'2'!AF50+'3'!AF39+'3'!AF50+'4'!AF39+'4'!AF50+'5'!AF39+'5'!AF50+'6'!AF39+'6'!AF50+'7'!AF39+'7'!AF50+'8'!AF39+'8'!AF50+'9'!AF39+'9'!AF50+'10'!AF39+'10'!AF50+'11'!AF39+'11'!AF50+'12'!AF39+'12'!AF50+'13'!AF39+'13'!AF50+'14'!AF39+'14'!AF50+'15'!AF39+'15'!AF50+'16'!AF39+'16'!AF50+'17'!AF39+'17'!AF50+'18'!AF39+'18'!AF50+'19'!AF39+'19'!AF50+'20'!AF39+'20'!AF50+'21'!AF39+'21'!AF50+'22'!AF39+'22'!AF50+'23'!AF39+'23'!AF50+'24'!AF39+'24'!AF50+'25'!AF39+'25'!AF50+'26'!AF39+'26'!AF50+'27'!AF39+'27'!AF50+'28'!AF39+'28'!AF50+'29'!AF39+'29'!AF50+'30'!AF39+'30'!AF50+'31'!AF39+'31'!AF50</f>
        <v>0</v>
      </c>
      <c r="AG39" s="125">
        <f>'1'!AG39+'1'!AG50+'2'!AG39+'2'!AG50+'3'!AG39+'3'!AG50+'4'!AG39+'4'!AG50+'5'!AG39+'5'!AG50+'6'!AG39+'6'!AG50+'7'!AG39+'7'!AG50+'8'!AG39+'8'!AG50+'9'!AG39+'9'!AG50+'10'!AG39+'10'!AG50+'11'!AG39+'11'!AG50+'12'!AG39+'12'!AG50+'13'!AG39+'13'!AG50+'14'!AG39+'14'!AG50+'15'!AG39+'15'!AG50+'16'!AG39+'16'!AG50+'17'!AG39+'17'!AG50+'18'!AG39+'18'!AG50+'19'!AG39+'19'!AG50+'20'!AG39+'20'!AG50+'21'!AG39+'21'!AG50+'22'!AG39+'22'!AG50+'23'!AG39+'23'!AG50+'24'!AG39+'24'!AG50+'25'!AG39+'25'!AG50+'26'!AG39+'26'!AG50+'27'!AG39+'27'!AG50+'28'!AG39+'28'!AG50+'29'!AG39+'29'!AG50+'30'!AG39+'30'!AG50+'31'!AG39+'31'!AG50</f>
        <v>0</v>
      </c>
      <c r="AH39" s="126">
        <f>'1'!AH39+'1'!AH50+'2'!AH39+'2'!AH50+'3'!AH39+'3'!AH50+'4'!AH39+'4'!AH50+'5'!AH39+'5'!AH50+'6'!AH39+'6'!AH50+'7'!AH39+'7'!AH50+'8'!AH39+'8'!AH50+'9'!AH39+'9'!AH50+'10'!AH39+'10'!AH50+'11'!AH39+'11'!AH50+'12'!AH39+'12'!AH50+'13'!AH39+'13'!AH50+'14'!AH39+'14'!AH50+'15'!AH39+'15'!AH50+'16'!AH39+'16'!AH50+'17'!AH39+'17'!AH50+'18'!AH39+'18'!AH50+'19'!AH39+'19'!AH50+'20'!AH39+'20'!AH50+'21'!AH39+'21'!AH50+'22'!AH39+'22'!AH50+'23'!AH39+'23'!AH50+'24'!AH39+'24'!AH50+'25'!AH39+'25'!AH50+'26'!AH39+'26'!AH50+'27'!AH39+'27'!AH50+'28'!AH39+'28'!AH50+'29'!AH39+'29'!AH50+'30'!AH39+'30'!AH50+'31'!AH39+'31'!AH50</f>
        <v>0</v>
      </c>
      <c r="AI39" s="76"/>
      <c r="AJ39" s="86"/>
      <c r="AK39" s="73"/>
      <c r="AL39" s="74"/>
      <c r="AM39" s="75"/>
    </row>
    <row r="40" spans="1:39" ht="24.75" customHeight="1">
      <c r="A40" s="919"/>
      <c r="B40" s="149"/>
      <c r="C40" s="216" t="s">
        <v>63</v>
      </c>
      <c r="D40" s="257"/>
      <c r="E40" s="125">
        <f>'1'!E40+'1'!E51+'2'!E40+'2'!E51+'3'!E40+'3'!E51+'4'!E40+'4'!E51+'5'!E40+'5'!E51+'6'!E40+'6'!E51+'7'!E40+'7'!E51+'8'!E40+'8'!E51+'9'!E40+'9'!E51+'10'!E40+'10'!E51+'11'!E40+'11'!E51+'12'!E40+'12'!E51+'13'!E40+'13'!E51+'14'!E40+'14'!E51+'15'!E40+'15'!E51+'16'!E40+'16'!E51+'17'!E40+'17'!E51+'18'!E40+'18'!E51+'19'!E40+'19'!E51+'20'!E40+'20'!E51+'21'!E40+'21'!E51+'22'!E40+'22'!E51+'23'!E40+'23'!E51+'24'!E40+'24'!E51+'25'!E40+'25'!E51+'26'!E40+'26'!E51+'27'!E40+'27'!E51+'28'!E40+'28'!E51+'29'!E40+'29'!E51+'30'!E40+'30'!E51+'31'!E40+'31'!E51</f>
        <v>0</v>
      </c>
      <c r="F40" s="125">
        <f>'1'!F40+'1'!F51+'2'!F40+'2'!F51+'3'!F40+'3'!F51+'4'!F40+'4'!F51+'5'!F40+'5'!F51+'6'!F40+'6'!F51+'7'!F40+'7'!F51+'8'!F40+'8'!F51+'9'!F40+'9'!F51+'10'!F40+'10'!F51+'11'!F40+'11'!F51+'12'!F40+'12'!F51+'13'!F40+'13'!F51+'14'!F40+'14'!F51+'15'!F40+'15'!F51+'16'!F40+'16'!F51+'17'!F40+'17'!F51+'18'!F40+'18'!F51+'19'!F40+'19'!F51+'20'!F40+'20'!F51+'21'!F40+'21'!F51+'22'!F40+'22'!F51+'23'!F40+'23'!F51+'24'!F40+'24'!F51+'25'!F40+'25'!F51+'26'!F40+'26'!F51+'27'!F40+'27'!F51+'28'!F40+'28'!F51+'29'!F40+'29'!F51+'30'!F40+'30'!F51+'31'!F40+'31'!F51</f>
        <v>0</v>
      </c>
      <c r="G40" s="269" t="str">
        <f t="shared" si="3"/>
        <v/>
      </c>
      <c r="H40" s="273"/>
      <c r="I40" s="64">
        <f t="shared" si="4"/>
        <v>0</v>
      </c>
      <c r="J40" s="125">
        <f>'1'!J40+'1'!J51+'2'!J40+'2'!J51+'3'!J40+'3'!J51+'4'!J40+'4'!J51+'5'!J40+'5'!J51+'6'!J40+'6'!J51+'7'!J40+'7'!J51+'8'!J40+'8'!J51+'9'!J40+'9'!J51+'10'!J40+'10'!J51+'11'!J40+'11'!J51+'12'!J40+'12'!J51+'13'!J40+'13'!J51+'14'!J40+'14'!J51+'15'!J40+'15'!J51+'16'!J40+'16'!J51+'17'!J40+'17'!J51+'18'!J40+'18'!J51+'19'!J40+'19'!J51+'20'!J40+'20'!J51+'21'!J40+'21'!J51+'22'!J40+'22'!J51+'23'!J40+'23'!J51+'24'!J40+'24'!J51+'25'!J40+'25'!J51+'26'!J40+'26'!J51+'27'!J40+'27'!J51+'28'!J40+'28'!J51+'29'!J40+'29'!J51+'30'!J40+'30'!J51+'31'!J40+'31'!J51</f>
        <v>0</v>
      </c>
      <c r="K40" s="125">
        <f>'1'!K40+'1'!K51+'2'!K40+'2'!K51+'3'!K40+'3'!K51+'4'!K40+'4'!K51+'5'!K40+'5'!K51+'6'!K40+'6'!K51+'7'!K40+'7'!K51+'8'!K40+'8'!K51+'9'!K40+'9'!K51+'10'!K40+'10'!K51+'11'!K40+'11'!K51+'12'!K40+'12'!K51+'13'!K40+'13'!K51+'14'!K40+'14'!K51+'15'!K40+'15'!K51+'16'!K40+'16'!K51+'17'!K40+'17'!K51+'18'!K40+'18'!K51+'19'!K40+'19'!K51+'20'!K40+'20'!K51+'21'!K40+'21'!K51+'22'!K40+'22'!K51+'23'!K40+'23'!K51+'24'!K40+'24'!K51+'25'!K40+'25'!K51+'26'!K40+'26'!K51+'27'!K40+'27'!K51+'28'!K40+'28'!K51+'29'!K40+'29'!K51+'30'!K40+'30'!K51+'31'!K40+'31'!K51</f>
        <v>0</v>
      </c>
      <c r="L40" s="125">
        <f>'1'!L40+'1'!L51+'2'!L40+'2'!L51+'3'!L40+'3'!L51+'4'!L40+'4'!L51+'5'!L40+'5'!L51+'6'!L40+'6'!L51+'7'!L40+'7'!L51+'8'!L40+'8'!L51+'9'!L40+'9'!L51+'10'!L40+'10'!L51+'11'!L40+'11'!L51+'12'!L40+'12'!L51+'13'!L40+'13'!L51+'14'!L40+'14'!L51+'15'!L40+'15'!L51+'16'!L40+'16'!L51+'17'!L40+'17'!L51+'18'!L40+'18'!L51+'19'!L40+'19'!L51+'20'!L40+'20'!L51+'21'!L40+'21'!L51+'22'!L40+'22'!L51+'23'!L40+'23'!L51+'24'!L40+'24'!L51+'25'!L40+'25'!L51+'26'!L40+'26'!L51+'27'!L40+'27'!L51+'28'!L40+'28'!L51+'29'!L40+'29'!L51+'30'!L40+'30'!L51+'31'!L40+'31'!L51</f>
        <v>0</v>
      </c>
      <c r="M40" s="125">
        <f>'1'!M40+'1'!M51+'2'!M40+'2'!M51+'3'!M40+'3'!M51+'4'!M40+'4'!M51+'5'!M40+'5'!M51+'6'!M40+'6'!M51+'7'!M40+'7'!M51+'8'!M40+'8'!M51+'9'!M40+'9'!M51+'10'!M40+'10'!M51+'11'!M40+'11'!M51+'12'!M40+'12'!M51+'13'!M40+'13'!M51+'14'!M40+'14'!M51+'15'!M40+'15'!M51+'16'!M40+'16'!M51+'17'!M40+'17'!M51+'18'!M40+'18'!M51+'19'!M40+'19'!M51+'20'!M40+'20'!M51+'21'!M40+'21'!M51+'22'!M40+'22'!M51+'23'!M40+'23'!M51+'24'!M40+'24'!M51+'25'!M40+'25'!M51+'26'!M40+'26'!M51+'27'!M40+'27'!M51+'28'!M40+'28'!M51+'29'!M40+'29'!M51+'30'!M40+'30'!M51+'31'!M40+'31'!M51</f>
        <v>0</v>
      </c>
      <c r="N40" s="125">
        <f>'1'!N40+'1'!N51+'2'!N40+'2'!N51+'3'!N40+'3'!N51+'4'!N40+'4'!N51+'5'!N40+'5'!N51+'6'!N40+'6'!N51+'7'!N40+'7'!N51+'8'!N40+'8'!N51+'9'!N40+'9'!N51+'10'!N40+'10'!N51+'11'!N40+'11'!N51+'12'!N40+'12'!N51+'13'!N40+'13'!N51+'14'!N40+'14'!N51+'15'!N40+'15'!N51+'16'!N40+'16'!N51+'17'!N40+'17'!N51+'18'!N40+'18'!N51+'19'!N40+'19'!N51+'20'!N40+'20'!N51+'21'!N40+'21'!N51+'22'!N40+'22'!N51+'23'!N40+'23'!N51+'24'!N40+'24'!N51+'25'!N40+'25'!N51+'26'!N40+'26'!N51+'27'!N40+'27'!N51+'28'!N40+'28'!N51+'29'!N40+'29'!N51+'30'!N40+'30'!N51+'31'!N40+'31'!N51</f>
        <v>0</v>
      </c>
      <c r="O40" s="125">
        <f>'1'!O40+'1'!O51+'2'!O40+'2'!O51+'3'!O40+'3'!O51+'4'!O40+'4'!O51+'5'!O40+'5'!O51+'6'!O40+'6'!O51+'7'!O40+'7'!O51+'8'!O40+'8'!O51+'9'!O40+'9'!O51+'10'!O40+'10'!O51+'11'!O40+'11'!O51+'12'!O40+'12'!O51+'13'!O40+'13'!O51+'14'!O40+'14'!O51+'15'!O40+'15'!O51+'16'!O40+'16'!O51+'17'!O40+'17'!O51+'18'!O40+'18'!O51+'19'!O40+'19'!O51+'20'!O40+'20'!O51+'21'!O40+'21'!O51+'22'!O40+'22'!O51+'23'!O40+'23'!O51+'24'!O40+'24'!O51+'25'!O40+'25'!O51+'26'!O40+'26'!O51+'27'!O40+'27'!O51+'28'!O40+'28'!O51+'29'!O40+'29'!O51+'30'!O40+'30'!O51+'31'!O40+'31'!O51</f>
        <v>0</v>
      </c>
      <c r="P40" s="125">
        <f>'1'!P40+'1'!P51+'2'!P40+'2'!P51+'3'!P40+'3'!P51+'4'!P40+'4'!P51+'5'!P40+'5'!P51+'6'!P40+'6'!P51+'7'!P40+'7'!P51+'8'!P40+'8'!P51+'9'!P40+'9'!P51+'10'!P40+'10'!P51+'11'!P40+'11'!P51+'12'!P40+'12'!P51+'13'!P40+'13'!P51+'14'!P40+'14'!P51+'15'!P40+'15'!P51+'16'!P40+'16'!P51+'17'!P40+'17'!P51+'18'!P40+'18'!P51+'19'!P40+'19'!P51+'20'!P40+'20'!P51+'21'!P40+'21'!P51+'22'!P40+'22'!P51+'23'!P40+'23'!P51+'24'!P40+'24'!P51+'25'!P40+'25'!P51+'26'!P40+'26'!P51+'27'!P40+'27'!P51+'28'!P40+'28'!P51+'29'!P40+'29'!P51+'30'!P40+'30'!P51+'31'!P40+'31'!P51</f>
        <v>0</v>
      </c>
      <c r="Q40" s="125">
        <f>'1'!Q40+'1'!Q51+'2'!Q40+'2'!Q51+'3'!Q40+'3'!Q51+'4'!Q40+'4'!Q51+'5'!Q40+'5'!Q51+'6'!Q40+'6'!Q51+'7'!Q40+'7'!Q51+'8'!Q40+'8'!Q51+'9'!Q40+'9'!Q51+'10'!Q40+'10'!Q51+'11'!Q40+'11'!Q51+'12'!Q40+'12'!Q51+'13'!Q40+'13'!Q51+'14'!Q40+'14'!Q51+'15'!Q40+'15'!Q51+'16'!Q40+'16'!Q51+'17'!Q40+'17'!Q51+'18'!Q40+'18'!Q51+'19'!Q40+'19'!Q51+'20'!Q40+'20'!Q51+'21'!Q40+'21'!Q51+'22'!Q40+'22'!Q51+'23'!Q40+'23'!Q51+'24'!Q40+'24'!Q51+'25'!Q40+'25'!Q51+'26'!Q40+'26'!Q51+'27'!Q40+'27'!Q51+'28'!Q40+'28'!Q51+'29'!Q40+'29'!Q51+'30'!Q40+'30'!Q51+'31'!Q40+'31'!Q51</f>
        <v>0</v>
      </c>
      <c r="R40" s="125">
        <f>'1'!R40+'1'!R51+'2'!R40+'2'!R51+'3'!R40+'3'!R51+'4'!R40+'4'!R51+'5'!R40+'5'!R51+'6'!R40+'6'!R51+'7'!R40+'7'!R51+'8'!R40+'8'!R51+'9'!R40+'9'!R51+'10'!R40+'10'!R51+'11'!R40+'11'!R51+'12'!R40+'12'!R51+'13'!R40+'13'!R51+'14'!R40+'14'!R51+'15'!R40+'15'!R51+'16'!R40+'16'!R51+'17'!R40+'17'!R51+'18'!R40+'18'!R51+'19'!R40+'19'!R51+'20'!R40+'20'!R51+'21'!R40+'21'!R51+'22'!R40+'22'!R51+'23'!R40+'23'!R51+'24'!R40+'24'!R51+'25'!R40+'25'!R51+'26'!R40+'26'!R51+'27'!R40+'27'!R51+'28'!R40+'28'!R51+'29'!R40+'29'!R51+'30'!R40+'30'!R51+'31'!R40+'31'!R51</f>
        <v>0</v>
      </c>
      <c r="S40" s="125">
        <f>'1'!S40+'1'!S51+'2'!S40+'2'!S51+'3'!S40+'3'!S51+'4'!S40+'4'!S51+'5'!S40+'5'!S51+'6'!S40+'6'!S51+'7'!S40+'7'!S51+'8'!S40+'8'!S51+'9'!S40+'9'!S51+'10'!S40+'10'!S51+'11'!S40+'11'!S51+'12'!S40+'12'!S51+'13'!S40+'13'!S51+'14'!S40+'14'!S51+'15'!S40+'15'!S51+'16'!S40+'16'!S51+'17'!S40+'17'!S51+'18'!S40+'18'!S51+'19'!S40+'19'!S51+'20'!S40+'20'!S51+'21'!S40+'21'!S51+'22'!S40+'22'!S51+'23'!S40+'23'!S51+'24'!S40+'24'!S51+'25'!S40+'25'!S51+'26'!S40+'26'!S51+'27'!S40+'27'!S51+'28'!S40+'28'!S51+'29'!S40+'29'!S51+'30'!S40+'30'!S51+'31'!S40+'31'!S51</f>
        <v>0</v>
      </c>
      <c r="T40" s="125">
        <f>'1'!T40+'1'!T51+'2'!T40+'2'!T51+'3'!T40+'3'!T51+'4'!T40+'4'!T51+'5'!T40+'5'!T51+'6'!T40+'6'!T51+'7'!T40+'7'!T51+'8'!T40+'8'!T51+'9'!T40+'9'!T51+'10'!T40+'10'!T51+'11'!T40+'11'!T51+'12'!T40+'12'!T51+'13'!T40+'13'!T51+'14'!T40+'14'!T51+'15'!T40+'15'!T51+'16'!T40+'16'!T51+'17'!T40+'17'!T51+'18'!T40+'18'!T51+'19'!T40+'19'!T51+'20'!T40+'20'!T51+'21'!T40+'21'!T51+'22'!T40+'22'!T51+'23'!T40+'23'!T51+'24'!T40+'24'!T51+'25'!T40+'25'!T51+'26'!T40+'26'!T51+'27'!T40+'27'!T51+'28'!T40+'28'!T51+'29'!T40+'29'!T51+'30'!T40+'30'!T51+'31'!T40+'31'!T51</f>
        <v>0</v>
      </c>
      <c r="U40" s="125">
        <f>'1'!U40+'1'!U51+'2'!U40+'2'!U51+'3'!U40+'3'!U51+'4'!U40+'4'!U51+'5'!U40+'5'!U51+'6'!U40+'6'!U51+'7'!U40+'7'!U51+'8'!U40+'8'!U51+'9'!U40+'9'!U51+'10'!U40+'10'!U51+'11'!U40+'11'!U51+'12'!U40+'12'!U51+'13'!U40+'13'!U51+'14'!U40+'14'!U51+'15'!U40+'15'!U51+'16'!U40+'16'!U51+'17'!U40+'17'!U51+'18'!U40+'18'!U51+'19'!U40+'19'!U51+'20'!U40+'20'!U51+'21'!U40+'21'!U51+'22'!U40+'22'!U51+'23'!U40+'23'!U51+'24'!U40+'24'!U51+'25'!U40+'25'!U51+'26'!U40+'26'!U51+'27'!U40+'27'!U51+'28'!U40+'28'!U51+'29'!U40+'29'!U51+'30'!U40+'30'!U51+'31'!U40+'31'!U51</f>
        <v>0</v>
      </c>
      <c r="V40" s="125">
        <f>'1'!V40+'1'!V51+'2'!V40+'2'!V51+'3'!V40+'3'!V51+'4'!V40+'4'!V51+'5'!V40+'5'!V51+'6'!V40+'6'!V51+'7'!V40+'7'!V51+'8'!V40+'8'!V51+'9'!V40+'9'!V51+'10'!V40+'10'!V51+'11'!V40+'11'!V51+'12'!V40+'12'!V51+'13'!V40+'13'!V51+'14'!V40+'14'!V51+'15'!V40+'15'!V51+'16'!V40+'16'!V51+'17'!V40+'17'!V51+'18'!V40+'18'!V51+'19'!V40+'19'!V51+'20'!V40+'20'!V51+'21'!V40+'21'!V51+'22'!V40+'22'!V51+'23'!V40+'23'!V51+'24'!V40+'24'!V51+'25'!V40+'25'!V51+'26'!V40+'26'!V51+'27'!V40+'27'!V51+'28'!V40+'28'!V51+'29'!V40+'29'!V51+'30'!V40+'30'!V51+'31'!V40+'31'!V51</f>
        <v>0</v>
      </c>
      <c r="W40" s="125">
        <f>'1'!W40+'1'!W51+'2'!W40+'2'!W51+'3'!W40+'3'!W51+'4'!W40+'4'!W51+'5'!W40+'5'!W51+'6'!W40+'6'!W51+'7'!W40+'7'!W51+'8'!W40+'8'!W51+'9'!W40+'9'!W51+'10'!W40+'10'!W51+'11'!W40+'11'!W51+'12'!W40+'12'!W51+'13'!W40+'13'!W51+'14'!W40+'14'!W51+'15'!W40+'15'!W51+'16'!W40+'16'!W51+'17'!W40+'17'!W51+'18'!W40+'18'!W51+'19'!W40+'19'!W51+'20'!W40+'20'!W51+'21'!W40+'21'!W51+'22'!W40+'22'!W51+'23'!W40+'23'!W51+'24'!W40+'24'!W51+'25'!W40+'25'!W51+'26'!W40+'26'!W51+'27'!W40+'27'!W51+'28'!W40+'28'!W51+'29'!W40+'29'!W51+'30'!W40+'30'!W51+'31'!W40+'31'!W51</f>
        <v>0</v>
      </c>
      <c r="X40" s="125">
        <f>'1'!X40+'1'!X51+'2'!X40+'2'!X51+'3'!X40+'3'!X51+'4'!X40+'4'!X51+'5'!X40+'5'!X51+'6'!X40+'6'!X51+'7'!X40+'7'!X51+'8'!X40+'8'!X51+'9'!X40+'9'!X51+'10'!X40+'10'!X51+'11'!X40+'11'!X51+'12'!X40+'12'!X51+'13'!X40+'13'!X51+'14'!X40+'14'!X51+'15'!X40+'15'!X51+'16'!X40+'16'!X51+'17'!X40+'17'!X51+'18'!X40+'18'!X51+'19'!X40+'19'!X51+'20'!X40+'20'!X51+'21'!X40+'21'!X51+'22'!X40+'22'!X51+'23'!X40+'23'!X51+'24'!X40+'24'!X51+'25'!X40+'25'!X51+'26'!X40+'26'!X51+'27'!X40+'27'!X51+'28'!X40+'28'!X51+'29'!X40+'29'!X51+'30'!X40+'30'!X51+'31'!X40+'31'!X51</f>
        <v>0</v>
      </c>
      <c r="Y40" s="125">
        <f>'1'!Y40+'1'!Y51+'2'!Y40+'2'!Y51+'3'!Y40+'3'!Y51+'4'!Y40+'4'!Y51+'5'!Y40+'5'!Y51+'6'!Y40+'6'!Y51+'7'!Y40+'7'!Y51+'8'!Y40+'8'!Y51+'9'!Y40+'9'!Y51+'10'!Y40+'10'!Y51+'11'!Y40+'11'!Y51+'12'!Y40+'12'!Y51+'13'!Y40+'13'!Y51+'14'!Y40+'14'!Y51+'15'!Y40+'15'!Y51+'16'!Y40+'16'!Y51+'17'!Y40+'17'!Y51+'18'!Y40+'18'!Y51+'19'!Y40+'19'!Y51+'20'!Y40+'20'!Y51+'21'!Y40+'21'!Y51+'22'!Y40+'22'!Y51+'23'!Y40+'23'!Y51+'24'!Y40+'24'!Y51+'25'!Y40+'25'!Y51+'26'!Y40+'26'!Y51+'27'!Y40+'27'!Y51+'28'!Y40+'28'!Y51+'29'!Y40+'29'!Y51+'30'!Y40+'30'!Y51+'31'!Y40+'31'!Y51</f>
        <v>0</v>
      </c>
      <c r="Z40" s="125">
        <f>'1'!Z40+'1'!Z51+'2'!Z40+'2'!Z51+'3'!Z40+'3'!Z51+'4'!Z40+'4'!Z51+'5'!Z40+'5'!Z51+'6'!Z40+'6'!Z51+'7'!Z40+'7'!Z51+'8'!Z40+'8'!Z51+'9'!Z40+'9'!Z51+'10'!Z40+'10'!Z51+'11'!Z40+'11'!Z51+'12'!Z40+'12'!Z51+'13'!Z40+'13'!Z51+'14'!Z40+'14'!Z51+'15'!Z40+'15'!Z51+'16'!Z40+'16'!Z51+'17'!Z40+'17'!Z51+'18'!Z40+'18'!Z51+'19'!Z40+'19'!Z51+'20'!Z40+'20'!Z51+'21'!Z40+'21'!Z51+'22'!Z40+'22'!Z51+'23'!Z40+'23'!Z51+'24'!Z40+'24'!Z51+'25'!Z40+'25'!Z51+'26'!Z40+'26'!Z51+'27'!Z40+'27'!Z51+'28'!Z40+'28'!Z51+'29'!Z40+'29'!Z51+'30'!Z40+'30'!Z51+'31'!Z40+'31'!Z51</f>
        <v>0</v>
      </c>
      <c r="AA40" s="125">
        <f>'1'!AA40+'1'!AA51+'2'!AA40+'2'!AA51+'3'!AA40+'3'!AA51+'4'!AA40+'4'!AA51+'5'!AA40+'5'!AA51+'6'!AA40+'6'!AA51+'7'!AA40+'7'!AA51+'8'!AA40+'8'!AA51+'9'!AA40+'9'!AA51+'10'!AA40+'10'!AA51+'11'!AA40+'11'!AA51+'12'!AA40+'12'!AA51+'13'!AA40+'13'!AA51+'14'!AA40+'14'!AA51+'15'!AA40+'15'!AA51+'16'!AA40+'16'!AA51+'17'!AA40+'17'!AA51+'18'!AA40+'18'!AA51+'19'!AA40+'19'!AA51+'20'!AA40+'20'!AA51+'21'!AA40+'21'!AA51+'22'!AA40+'22'!AA51+'23'!AA40+'23'!AA51+'24'!AA40+'24'!AA51+'25'!AA40+'25'!AA51+'26'!AA40+'26'!AA51+'27'!AA40+'27'!AA51+'28'!AA40+'28'!AA51+'29'!AA40+'29'!AA51+'30'!AA40+'30'!AA51+'31'!AA40+'31'!AA51</f>
        <v>0</v>
      </c>
      <c r="AB40" s="125">
        <f>'1'!AB40+'1'!AB51+'2'!AB40+'2'!AB51+'3'!AB40+'3'!AB51+'4'!AB40+'4'!AB51+'5'!AB40+'5'!AB51+'6'!AB40+'6'!AB51+'7'!AB40+'7'!AB51+'8'!AB40+'8'!AB51+'9'!AB40+'9'!AB51+'10'!AB40+'10'!AB51+'11'!AB40+'11'!AB51+'12'!AB40+'12'!AB51+'13'!AB40+'13'!AB51+'14'!AB40+'14'!AB51+'15'!AB40+'15'!AB51+'16'!AB40+'16'!AB51+'17'!AB40+'17'!AB51+'18'!AB40+'18'!AB51+'19'!AB40+'19'!AB51+'20'!AB40+'20'!AB51+'21'!AB40+'21'!AB51+'22'!AB40+'22'!AB51+'23'!AB40+'23'!AB51+'24'!AB40+'24'!AB51+'25'!AB40+'25'!AB51+'26'!AB40+'26'!AB51+'27'!AB40+'27'!AB51+'28'!AB40+'28'!AB51+'29'!AB40+'29'!AB51+'30'!AB40+'30'!AB51+'31'!AB40+'31'!AB51</f>
        <v>0</v>
      </c>
      <c r="AC40" s="125">
        <f>'1'!AC40+'1'!AC51+'2'!AC40+'2'!AC51+'3'!AC40+'3'!AC51+'4'!AC40+'4'!AC51+'5'!AC40+'5'!AC51+'6'!AC40+'6'!AC51+'7'!AC40+'7'!AC51+'8'!AC40+'8'!AC51+'9'!AC40+'9'!AC51+'10'!AC40+'10'!AC51+'11'!AC40+'11'!AC51+'12'!AC40+'12'!AC51+'13'!AC40+'13'!AC51+'14'!AC40+'14'!AC51+'15'!AC40+'15'!AC51+'16'!AC40+'16'!AC51+'17'!AC40+'17'!AC51+'18'!AC40+'18'!AC51+'19'!AC40+'19'!AC51+'20'!AC40+'20'!AC51+'21'!AC40+'21'!AC51+'22'!AC40+'22'!AC51+'23'!AC40+'23'!AC51+'24'!AC40+'24'!AC51+'25'!AC40+'25'!AC51+'26'!AC40+'26'!AC51+'27'!AC40+'27'!AC51+'28'!AC40+'28'!AC51+'29'!AC40+'29'!AC51+'30'!AC40+'30'!AC51+'31'!AC40+'31'!AC51</f>
        <v>0</v>
      </c>
      <c r="AD40" s="125">
        <f>'1'!AD40+'1'!AD51+'2'!AD40+'2'!AD51+'3'!AD40+'3'!AD51+'4'!AD40+'4'!AD51+'5'!AD40+'5'!AD51+'6'!AD40+'6'!AD51+'7'!AD40+'7'!AD51+'8'!AD40+'8'!AD51+'9'!AD40+'9'!AD51+'10'!AD40+'10'!AD51+'11'!AD40+'11'!AD51+'12'!AD40+'12'!AD51+'13'!AD40+'13'!AD51+'14'!AD40+'14'!AD51+'15'!AD40+'15'!AD51+'16'!AD40+'16'!AD51+'17'!AD40+'17'!AD51+'18'!AD40+'18'!AD51+'19'!AD40+'19'!AD51+'20'!AD40+'20'!AD51+'21'!AD40+'21'!AD51+'22'!AD40+'22'!AD51+'23'!AD40+'23'!AD51+'24'!AD40+'24'!AD51+'25'!AD40+'25'!AD51+'26'!AD40+'26'!AD51+'27'!AD40+'27'!AD51+'28'!AD40+'28'!AD51+'29'!AD40+'29'!AD51+'30'!AD40+'30'!AD51+'31'!AD40+'31'!AD51</f>
        <v>0</v>
      </c>
      <c r="AE40" s="125">
        <f>'1'!AE40+'1'!AE51+'2'!AE40+'2'!AE51+'3'!AE40+'3'!AE51+'4'!AE40+'4'!AE51+'5'!AE40+'5'!AE51+'6'!AE40+'6'!AE51+'7'!AE40+'7'!AE51+'8'!AE40+'8'!AE51+'9'!AE40+'9'!AE51+'10'!AE40+'10'!AE51+'11'!AE40+'11'!AE51+'12'!AE40+'12'!AE51+'13'!AE40+'13'!AE51+'14'!AE40+'14'!AE51+'15'!AE40+'15'!AE51+'16'!AE40+'16'!AE51+'17'!AE40+'17'!AE51+'18'!AE40+'18'!AE51+'19'!AE40+'19'!AE51+'20'!AE40+'20'!AE51+'21'!AE40+'21'!AE51+'22'!AE40+'22'!AE51+'23'!AE40+'23'!AE51+'24'!AE40+'24'!AE51+'25'!AE40+'25'!AE51+'26'!AE40+'26'!AE51+'27'!AE40+'27'!AE51+'28'!AE40+'28'!AE51+'29'!AE40+'29'!AE51+'30'!AE40+'30'!AE51+'31'!AE40+'31'!AE51</f>
        <v>0</v>
      </c>
      <c r="AF40" s="125">
        <f>'1'!AF40+'1'!AF51+'2'!AF40+'2'!AF51+'3'!AF40+'3'!AF51+'4'!AF40+'4'!AF51+'5'!AF40+'5'!AF51+'6'!AF40+'6'!AF51+'7'!AF40+'7'!AF51+'8'!AF40+'8'!AF51+'9'!AF40+'9'!AF51+'10'!AF40+'10'!AF51+'11'!AF40+'11'!AF51+'12'!AF40+'12'!AF51+'13'!AF40+'13'!AF51+'14'!AF40+'14'!AF51+'15'!AF40+'15'!AF51+'16'!AF40+'16'!AF51+'17'!AF40+'17'!AF51+'18'!AF40+'18'!AF51+'19'!AF40+'19'!AF51+'20'!AF40+'20'!AF51+'21'!AF40+'21'!AF51+'22'!AF40+'22'!AF51+'23'!AF40+'23'!AF51+'24'!AF40+'24'!AF51+'25'!AF40+'25'!AF51+'26'!AF40+'26'!AF51+'27'!AF40+'27'!AF51+'28'!AF40+'28'!AF51+'29'!AF40+'29'!AF51+'30'!AF40+'30'!AF51+'31'!AF40+'31'!AF51</f>
        <v>0</v>
      </c>
      <c r="AG40" s="125">
        <f>'1'!AG40+'1'!AG51+'2'!AG40+'2'!AG51+'3'!AG40+'3'!AG51+'4'!AG40+'4'!AG51+'5'!AG40+'5'!AG51+'6'!AG40+'6'!AG51+'7'!AG40+'7'!AG51+'8'!AG40+'8'!AG51+'9'!AG40+'9'!AG51+'10'!AG40+'10'!AG51+'11'!AG40+'11'!AG51+'12'!AG40+'12'!AG51+'13'!AG40+'13'!AG51+'14'!AG40+'14'!AG51+'15'!AG40+'15'!AG51+'16'!AG40+'16'!AG51+'17'!AG40+'17'!AG51+'18'!AG40+'18'!AG51+'19'!AG40+'19'!AG51+'20'!AG40+'20'!AG51+'21'!AG40+'21'!AG51+'22'!AG40+'22'!AG51+'23'!AG40+'23'!AG51+'24'!AG40+'24'!AG51+'25'!AG40+'25'!AG51+'26'!AG40+'26'!AG51+'27'!AG40+'27'!AG51+'28'!AG40+'28'!AG51+'29'!AG40+'29'!AG51+'30'!AG40+'30'!AG51+'31'!AG40+'31'!AG51</f>
        <v>0</v>
      </c>
      <c r="AH40" s="126">
        <f>'1'!AH40+'1'!AH51+'2'!AH40+'2'!AH51+'3'!AH40+'3'!AH51+'4'!AH40+'4'!AH51+'5'!AH40+'5'!AH51+'6'!AH40+'6'!AH51+'7'!AH40+'7'!AH51+'8'!AH40+'8'!AH51+'9'!AH40+'9'!AH51+'10'!AH40+'10'!AH51+'11'!AH40+'11'!AH51+'12'!AH40+'12'!AH51+'13'!AH40+'13'!AH51+'14'!AH40+'14'!AH51+'15'!AH40+'15'!AH51+'16'!AH40+'16'!AH51+'17'!AH40+'17'!AH51+'18'!AH40+'18'!AH51+'19'!AH40+'19'!AH51+'20'!AH40+'20'!AH51+'21'!AH40+'21'!AH51+'22'!AH40+'22'!AH51+'23'!AH40+'23'!AH51+'24'!AH40+'24'!AH51+'25'!AH40+'25'!AH51+'26'!AH40+'26'!AH51+'27'!AH40+'27'!AH51+'28'!AH40+'28'!AH51+'29'!AH40+'29'!AH51+'30'!AH40+'30'!AH51+'31'!AH40+'31'!AH51</f>
        <v>0</v>
      </c>
      <c r="AI40" s="76"/>
      <c r="AJ40" s="86"/>
      <c r="AK40" s="73"/>
      <c r="AL40" s="74"/>
      <c r="AM40" s="75"/>
    </row>
    <row r="41" spans="1:39" s="25" customFormat="1" ht="24.75" customHeight="1">
      <c r="A41" s="919"/>
      <c r="B41" s="149"/>
      <c r="C41" s="216" t="s">
        <v>81</v>
      </c>
      <c r="D41" s="257"/>
      <c r="E41" s="125">
        <f>'1'!E41+'1'!E52+'2'!E41+'2'!E52+'3'!E41+'3'!E52+'4'!E41+'4'!E52+'5'!E41+'5'!E52+'6'!E41+'6'!E52+'7'!E41+'7'!E52+'8'!E41+'8'!E52+'9'!E41+'9'!E52+'10'!E41+'10'!E52+'11'!E41+'11'!E52+'12'!E41+'12'!E52+'13'!E41+'13'!E52+'14'!E41+'14'!E52+'15'!E41+'15'!E52+'16'!E41+'16'!E52+'17'!E41+'17'!E52+'18'!E41+'18'!E52+'19'!E41+'19'!E52+'20'!E41+'20'!E52+'21'!E41+'21'!E52+'22'!E41+'22'!E52+'23'!E41+'23'!E52+'24'!E41+'24'!E52+'25'!E41+'25'!E52+'26'!E41+'26'!E52+'27'!E41+'27'!E52+'28'!E41+'28'!E52+'29'!E41+'29'!E52+'30'!E41+'30'!E52+'31'!E41+'31'!E52</f>
        <v>0</v>
      </c>
      <c r="F41" s="125">
        <f>'1'!F41+'1'!F52+'2'!F41+'2'!F52+'3'!F41+'3'!F52+'4'!F41+'4'!F52+'5'!F41+'5'!F52+'6'!F41+'6'!F52+'7'!F41+'7'!F52+'8'!F41+'8'!F52+'9'!F41+'9'!F52+'10'!F41+'10'!F52+'11'!F41+'11'!F52+'12'!F41+'12'!F52+'13'!F41+'13'!F52+'14'!F41+'14'!F52+'15'!F41+'15'!F52+'16'!F41+'16'!F52+'17'!F41+'17'!F52+'18'!F41+'18'!F52+'19'!F41+'19'!F52+'20'!F41+'20'!F52+'21'!F41+'21'!F52+'22'!F41+'22'!F52+'23'!F41+'23'!F52+'24'!F41+'24'!F52+'25'!F41+'25'!F52+'26'!F41+'26'!F52+'27'!F41+'27'!F52+'28'!F41+'28'!F52+'29'!F41+'29'!F52+'30'!F41+'30'!F52+'31'!F41+'31'!F52</f>
        <v>0</v>
      </c>
      <c r="G41" s="269" t="str">
        <f t="shared" si="3"/>
        <v/>
      </c>
      <c r="H41" s="273"/>
      <c r="I41" s="64">
        <f t="shared" si="4"/>
        <v>0</v>
      </c>
      <c r="J41" s="125">
        <f>'1'!J41+'1'!J52+'2'!J41+'2'!J52+'3'!J41+'3'!J52+'4'!J41+'4'!J52+'5'!J41+'5'!J52+'6'!J41+'6'!J52+'7'!J41+'7'!J52+'8'!J41+'8'!J52+'9'!J41+'9'!J52+'10'!J41+'10'!J52+'11'!J41+'11'!J52+'12'!J41+'12'!J52+'13'!J41+'13'!J52+'14'!J41+'14'!J52+'15'!J41+'15'!J52+'16'!J41+'16'!J52+'17'!J41+'17'!J52+'18'!J41+'18'!J52+'19'!J41+'19'!J52+'20'!J41+'20'!J52+'21'!J41+'21'!J52+'22'!J41+'22'!J52+'23'!J41+'23'!J52+'24'!J41+'24'!J52+'25'!J41+'25'!J52+'26'!J41+'26'!J52+'27'!J41+'27'!J52+'28'!J41+'28'!J52+'29'!J41+'29'!J52+'30'!J41+'30'!J52+'31'!J41+'31'!J52</f>
        <v>0</v>
      </c>
      <c r="K41" s="125">
        <f>'1'!K41+'1'!K52+'2'!K41+'2'!K52+'3'!K41+'3'!K52+'4'!K41+'4'!K52+'5'!K41+'5'!K52+'6'!K41+'6'!K52+'7'!K41+'7'!K52+'8'!K41+'8'!K52+'9'!K41+'9'!K52+'10'!K41+'10'!K52+'11'!K41+'11'!K52+'12'!K41+'12'!K52+'13'!K41+'13'!K52+'14'!K41+'14'!K52+'15'!K41+'15'!K52+'16'!K41+'16'!K52+'17'!K41+'17'!K52+'18'!K41+'18'!K52+'19'!K41+'19'!K52+'20'!K41+'20'!K52+'21'!K41+'21'!K52+'22'!K41+'22'!K52+'23'!K41+'23'!K52+'24'!K41+'24'!K52+'25'!K41+'25'!K52+'26'!K41+'26'!K52+'27'!K41+'27'!K52+'28'!K41+'28'!K52+'29'!K41+'29'!K52+'30'!K41+'30'!K52+'31'!K41+'31'!K52</f>
        <v>0</v>
      </c>
      <c r="L41" s="125">
        <f>'1'!L41+'1'!L52+'2'!L41+'2'!L52+'3'!L41+'3'!L52+'4'!L41+'4'!L52+'5'!L41+'5'!L52+'6'!L41+'6'!L52+'7'!L41+'7'!L52+'8'!L41+'8'!L52+'9'!L41+'9'!L52+'10'!L41+'10'!L52+'11'!L41+'11'!L52+'12'!L41+'12'!L52+'13'!L41+'13'!L52+'14'!L41+'14'!L52+'15'!L41+'15'!L52+'16'!L41+'16'!L52+'17'!L41+'17'!L52+'18'!L41+'18'!L52+'19'!L41+'19'!L52+'20'!L41+'20'!L52+'21'!L41+'21'!L52+'22'!L41+'22'!L52+'23'!L41+'23'!L52+'24'!L41+'24'!L52+'25'!L41+'25'!L52+'26'!L41+'26'!L52+'27'!L41+'27'!L52+'28'!L41+'28'!L52+'29'!L41+'29'!L52+'30'!L41+'30'!L52+'31'!L41+'31'!L52</f>
        <v>0</v>
      </c>
      <c r="M41" s="125">
        <f>'1'!M41+'1'!M52+'2'!M41+'2'!M52+'3'!M41+'3'!M52+'4'!M41+'4'!M52+'5'!M41+'5'!M52+'6'!M41+'6'!M52+'7'!M41+'7'!M52+'8'!M41+'8'!M52+'9'!M41+'9'!M52+'10'!M41+'10'!M52+'11'!M41+'11'!M52+'12'!M41+'12'!M52+'13'!M41+'13'!M52+'14'!M41+'14'!M52+'15'!M41+'15'!M52+'16'!M41+'16'!M52+'17'!M41+'17'!M52+'18'!M41+'18'!M52+'19'!M41+'19'!M52+'20'!M41+'20'!M52+'21'!M41+'21'!M52+'22'!M41+'22'!M52+'23'!M41+'23'!M52+'24'!M41+'24'!M52+'25'!M41+'25'!M52+'26'!M41+'26'!M52+'27'!M41+'27'!M52+'28'!M41+'28'!M52+'29'!M41+'29'!M52+'30'!M41+'30'!M52+'31'!M41+'31'!M52</f>
        <v>0</v>
      </c>
      <c r="N41" s="125">
        <f>'1'!N41+'1'!N52+'2'!N41+'2'!N52+'3'!N41+'3'!N52+'4'!N41+'4'!N52+'5'!N41+'5'!N52+'6'!N41+'6'!N52+'7'!N41+'7'!N52+'8'!N41+'8'!N52+'9'!N41+'9'!N52+'10'!N41+'10'!N52+'11'!N41+'11'!N52+'12'!N41+'12'!N52+'13'!N41+'13'!N52+'14'!N41+'14'!N52+'15'!N41+'15'!N52+'16'!N41+'16'!N52+'17'!N41+'17'!N52+'18'!N41+'18'!N52+'19'!N41+'19'!N52+'20'!N41+'20'!N52+'21'!N41+'21'!N52+'22'!N41+'22'!N52+'23'!N41+'23'!N52+'24'!N41+'24'!N52+'25'!N41+'25'!N52+'26'!N41+'26'!N52+'27'!N41+'27'!N52+'28'!N41+'28'!N52+'29'!N41+'29'!N52+'30'!N41+'30'!N52+'31'!N41+'31'!N52</f>
        <v>0</v>
      </c>
      <c r="O41" s="125">
        <f>'1'!O41+'1'!O52+'2'!O41+'2'!O52+'3'!O41+'3'!O52+'4'!O41+'4'!O52+'5'!O41+'5'!O52+'6'!O41+'6'!O52+'7'!O41+'7'!O52+'8'!O41+'8'!O52+'9'!O41+'9'!O52+'10'!O41+'10'!O52+'11'!O41+'11'!O52+'12'!O41+'12'!O52+'13'!O41+'13'!O52+'14'!O41+'14'!O52+'15'!O41+'15'!O52+'16'!O41+'16'!O52+'17'!O41+'17'!O52+'18'!O41+'18'!O52+'19'!O41+'19'!O52+'20'!O41+'20'!O52+'21'!O41+'21'!O52+'22'!O41+'22'!O52+'23'!O41+'23'!O52+'24'!O41+'24'!O52+'25'!O41+'25'!O52+'26'!O41+'26'!O52+'27'!O41+'27'!O52+'28'!O41+'28'!O52+'29'!O41+'29'!O52+'30'!O41+'30'!O52+'31'!O41+'31'!O52</f>
        <v>0</v>
      </c>
      <c r="P41" s="125">
        <f>'1'!P41+'1'!P52+'2'!P41+'2'!P52+'3'!P41+'3'!P52+'4'!P41+'4'!P52+'5'!P41+'5'!P52+'6'!P41+'6'!P52+'7'!P41+'7'!P52+'8'!P41+'8'!P52+'9'!P41+'9'!P52+'10'!P41+'10'!P52+'11'!P41+'11'!P52+'12'!P41+'12'!P52+'13'!P41+'13'!P52+'14'!P41+'14'!P52+'15'!P41+'15'!P52+'16'!P41+'16'!P52+'17'!P41+'17'!P52+'18'!P41+'18'!P52+'19'!P41+'19'!P52+'20'!P41+'20'!P52+'21'!P41+'21'!P52+'22'!P41+'22'!P52+'23'!P41+'23'!P52+'24'!P41+'24'!P52+'25'!P41+'25'!P52+'26'!P41+'26'!P52+'27'!P41+'27'!P52+'28'!P41+'28'!P52+'29'!P41+'29'!P52+'30'!P41+'30'!P52+'31'!P41+'31'!P52</f>
        <v>0</v>
      </c>
      <c r="Q41" s="125">
        <f>'1'!Q41+'1'!Q52+'2'!Q41+'2'!Q52+'3'!Q41+'3'!Q52+'4'!Q41+'4'!Q52+'5'!Q41+'5'!Q52+'6'!Q41+'6'!Q52+'7'!Q41+'7'!Q52+'8'!Q41+'8'!Q52+'9'!Q41+'9'!Q52+'10'!Q41+'10'!Q52+'11'!Q41+'11'!Q52+'12'!Q41+'12'!Q52+'13'!Q41+'13'!Q52+'14'!Q41+'14'!Q52+'15'!Q41+'15'!Q52+'16'!Q41+'16'!Q52+'17'!Q41+'17'!Q52+'18'!Q41+'18'!Q52+'19'!Q41+'19'!Q52+'20'!Q41+'20'!Q52+'21'!Q41+'21'!Q52+'22'!Q41+'22'!Q52+'23'!Q41+'23'!Q52+'24'!Q41+'24'!Q52+'25'!Q41+'25'!Q52+'26'!Q41+'26'!Q52+'27'!Q41+'27'!Q52+'28'!Q41+'28'!Q52+'29'!Q41+'29'!Q52+'30'!Q41+'30'!Q52+'31'!Q41+'31'!Q52</f>
        <v>0</v>
      </c>
      <c r="R41" s="125">
        <f>'1'!R41+'1'!R52+'2'!R41+'2'!R52+'3'!R41+'3'!R52+'4'!R41+'4'!R52+'5'!R41+'5'!R52+'6'!R41+'6'!R52+'7'!R41+'7'!R52+'8'!R41+'8'!R52+'9'!R41+'9'!R52+'10'!R41+'10'!R52+'11'!R41+'11'!R52+'12'!R41+'12'!R52+'13'!R41+'13'!R52+'14'!R41+'14'!R52+'15'!R41+'15'!R52+'16'!R41+'16'!R52+'17'!R41+'17'!R52+'18'!R41+'18'!R52+'19'!R41+'19'!R52+'20'!R41+'20'!R52+'21'!R41+'21'!R52+'22'!R41+'22'!R52+'23'!R41+'23'!R52+'24'!R41+'24'!R52+'25'!R41+'25'!R52+'26'!R41+'26'!R52+'27'!R41+'27'!R52+'28'!R41+'28'!R52+'29'!R41+'29'!R52+'30'!R41+'30'!R52+'31'!R41+'31'!R52</f>
        <v>0</v>
      </c>
      <c r="S41" s="125">
        <f>'1'!S41+'1'!S52+'2'!S41+'2'!S52+'3'!S41+'3'!S52+'4'!S41+'4'!S52+'5'!S41+'5'!S52+'6'!S41+'6'!S52+'7'!S41+'7'!S52+'8'!S41+'8'!S52+'9'!S41+'9'!S52+'10'!S41+'10'!S52+'11'!S41+'11'!S52+'12'!S41+'12'!S52+'13'!S41+'13'!S52+'14'!S41+'14'!S52+'15'!S41+'15'!S52+'16'!S41+'16'!S52+'17'!S41+'17'!S52+'18'!S41+'18'!S52+'19'!S41+'19'!S52+'20'!S41+'20'!S52+'21'!S41+'21'!S52+'22'!S41+'22'!S52+'23'!S41+'23'!S52+'24'!S41+'24'!S52+'25'!S41+'25'!S52+'26'!S41+'26'!S52+'27'!S41+'27'!S52+'28'!S41+'28'!S52+'29'!S41+'29'!S52+'30'!S41+'30'!S52+'31'!S41+'31'!S52</f>
        <v>0</v>
      </c>
      <c r="T41" s="125">
        <f>'1'!T41+'1'!T52+'2'!T41+'2'!T52+'3'!T41+'3'!T52+'4'!T41+'4'!T52+'5'!T41+'5'!T52+'6'!T41+'6'!T52+'7'!T41+'7'!T52+'8'!T41+'8'!T52+'9'!T41+'9'!T52+'10'!T41+'10'!T52+'11'!T41+'11'!T52+'12'!T41+'12'!T52+'13'!T41+'13'!T52+'14'!T41+'14'!T52+'15'!T41+'15'!T52+'16'!T41+'16'!T52+'17'!T41+'17'!T52+'18'!T41+'18'!T52+'19'!T41+'19'!T52+'20'!T41+'20'!T52+'21'!T41+'21'!T52+'22'!T41+'22'!T52+'23'!T41+'23'!T52+'24'!T41+'24'!T52+'25'!T41+'25'!T52+'26'!T41+'26'!T52+'27'!T41+'27'!T52+'28'!T41+'28'!T52+'29'!T41+'29'!T52+'30'!T41+'30'!T52+'31'!T41+'31'!T52</f>
        <v>0</v>
      </c>
      <c r="U41" s="125">
        <f>'1'!U41+'1'!U52+'2'!U41+'2'!U52+'3'!U41+'3'!U52+'4'!U41+'4'!U52+'5'!U41+'5'!U52+'6'!U41+'6'!U52+'7'!U41+'7'!U52+'8'!U41+'8'!U52+'9'!U41+'9'!U52+'10'!U41+'10'!U52+'11'!U41+'11'!U52+'12'!U41+'12'!U52+'13'!U41+'13'!U52+'14'!U41+'14'!U52+'15'!U41+'15'!U52+'16'!U41+'16'!U52+'17'!U41+'17'!U52+'18'!U41+'18'!U52+'19'!U41+'19'!U52+'20'!U41+'20'!U52+'21'!U41+'21'!U52+'22'!U41+'22'!U52+'23'!U41+'23'!U52+'24'!U41+'24'!U52+'25'!U41+'25'!U52+'26'!U41+'26'!U52+'27'!U41+'27'!U52+'28'!U41+'28'!U52+'29'!U41+'29'!U52+'30'!U41+'30'!U52+'31'!U41+'31'!U52</f>
        <v>0</v>
      </c>
      <c r="V41" s="125">
        <f>'1'!V41+'1'!V52+'2'!V41+'2'!V52+'3'!V41+'3'!V52+'4'!V41+'4'!V52+'5'!V41+'5'!V52+'6'!V41+'6'!V52+'7'!V41+'7'!V52+'8'!V41+'8'!V52+'9'!V41+'9'!V52+'10'!V41+'10'!V52+'11'!V41+'11'!V52+'12'!V41+'12'!V52+'13'!V41+'13'!V52+'14'!V41+'14'!V52+'15'!V41+'15'!V52+'16'!V41+'16'!V52+'17'!V41+'17'!V52+'18'!V41+'18'!V52+'19'!V41+'19'!V52+'20'!V41+'20'!V52+'21'!V41+'21'!V52+'22'!V41+'22'!V52+'23'!V41+'23'!V52+'24'!V41+'24'!V52+'25'!V41+'25'!V52+'26'!V41+'26'!V52+'27'!V41+'27'!V52+'28'!V41+'28'!V52+'29'!V41+'29'!V52+'30'!V41+'30'!V52+'31'!V41+'31'!V52</f>
        <v>0</v>
      </c>
      <c r="W41" s="125">
        <f>'1'!W41+'1'!W52+'2'!W41+'2'!W52+'3'!W41+'3'!W52+'4'!W41+'4'!W52+'5'!W41+'5'!W52+'6'!W41+'6'!W52+'7'!W41+'7'!W52+'8'!W41+'8'!W52+'9'!W41+'9'!W52+'10'!W41+'10'!W52+'11'!W41+'11'!W52+'12'!W41+'12'!W52+'13'!W41+'13'!W52+'14'!W41+'14'!W52+'15'!W41+'15'!W52+'16'!W41+'16'!W52+'17'!W41+'17'!W52+'18'!W41+'18'!W52+'19'!W41+'19'!W52+'20'!W41+'20'!W52+'21'!W41+'21'!W52+'22'!W41+'22'!W52+'23'!W41+'23'!W52+'24'!W41+'24'!W52+'25'!W41+'25'!W52+'26'!W41+'26'!W52+'27'!W41+'27'!W52+'28'!W41+'28'!W52+'29'!W41+'29'!W52+'30'!W41+'30'!W52+'31'!W41+'31'!W52</f>
        <v>0</v>
      </c>
      <c r="X41" s="125">
        <f>'1'!X41+'1'!X52+'2'!X41+'2'!X52+'3'!X41+'3'!X52+'4'!X41+'4'!X52+'5'!X41+'5'!X52+'6'!X41+'6'!X52+'7'!X41+'7'!X52+'8'!X41+'8'!X52+'9'!X41+'9'!X52+'10'!X41+'10'!X52+'11'!X41+'11'!X52+'12'!X41+'12'!X52+'13'!X41+'13'!X52+'14'!X41+'14'!X52+'15'!X41+'15'!X52+'16'!X41+'16'!X52+'17'!X41+'17'!X52+'18'!X41+'18'!X52+'19'!X41+'19'!X52+'20'!X41+'20'!X52+'21'!X41+'21'!X52+'22'!X41+'22'!X52+'23'!X41+'23'!X52+'24'!X41+'24'!X52+'25'!X41+'25'!X52+'26'!X41+'26'!X52+'27'!X41+'27'!X52+'28'!X41+'28'!X52+'29'!X41+'29'!X52+'30'!X41+'30'!X52+'31'!X41+'31'!X52</f>
        <v>0</v>
      </c>
      <c r="Y41" s="125">
        <f>'1'!Y41+'1'!Y52+'2'!Y41+'2'!Y52+'3'!Y41+'3'!Y52+'4'!Y41+'4'!Y52+'5'!Y41+'5'!Y52+'6'!Y41+'6'!Y52+'7'!Y41+'7'!Y52+'8'!Y41+'8'!Y52+'9'!Y41+'9'!Y52+'10'!Y41+'10'!Y52+'11'!Y41+'11'!Y52+'12'!Y41+'12'!Y52+'13'!Y41+'13'!Y52+'14'!Y41+'14'!Y52+'15'!Y41+'15'!Y52+'16'!Y41+'16'!Y52+'17'!Y41+'17'!Y52+'18'!Y41+'18'!Y52+'19'!Y41+'19'!Y52+'20'!Y41+'20'!Y52+'21'!Y41+'21'!Y52+'22'!Y41+'22'!Y52+'23'!Y41+'23'!Y52+'24'!Y41+'24'!Y52+'25'!Y41+'25'!Y52+'26'!Y41+'26'!Y52+'27'!Y41+'27'!Y52+'28'!Y41+'28'!Y52+'29'!Y41+'29'!Y52+'30'!Y41+'30'!Y52+'31'!Y41+'31'!Y52</f>
        <v>0</v>
      </c>
      <c r="Z41" s="125">
        <f>'1'!Z41+'1'!Z52+'2'!Z41+'2'!Z52+'3'!Z41+'3'!Z52+'4'!Z41+'4'!Z52+'5'!Z41+'5'!Z52+'6'!Z41+'6'!Z52+'7'!Z41+'7'!Z52+'8'!Z41+'8'!Z52+'9'!Z41+'9'!Z52+'10'!Z41+'10'!Z52+'11'!Z41+'11'!Z52+'12'!Z41+'12'!Z52+'13'!Z41+'13'!Z52+'14'!Z41+'14'!Z52+'15'!Z41+'15'!Z52+'16'!Z41+'16'!Z52+'17'!Z41+'17'!Z52+'18'!Z41+'18'!Z52+'19'!Z41+'19'!Z52+'20'!Z41+'20'!Z52+'21'!Z41+'21'!Z52+'22'!Z41+'22'!Z52+'23'!Z41+'23'!Z52+'24'!Z41+'24'!Z52+'25'!Z41+'25'!Z52+'26'!Z41+'26'!Z52+'27'!Z41+'27'!Z52+'28'!Z41+'28'!Z52+'29'!Z41+'29'!Z52+'30'!Z41+'30'!Z52+'31'!Z41+'31'!Z52</f>
        <v>0</v>
      </c>
      <c r="AA41" s="125">
        <f>'1'!AA41+'1'!AA52+'2'!AA41+'2'!AA52+'3'!AA41+'3'!AA52+'4'!AA41+'4'!AA52+'5'!AA41+'5'!AA52+'6'!AA41+'6'!AA52+'7'!AA41+'7'!AA52+'8'!AA41+'8'!AA52+'9'!AA41+'9'!AA52+'10'!AA41+'10'!AA52+'11'!AA41+'11'!AA52+'12'!AA41+'12'!AA52+'13'!AA41+'13'!AA52+'14'!AA41+'14'!AA52+'15'!AA41+'15'!AA52+'16'!AA41+'16'!AA52+'17'!AA41+'17'!AA52+'18'!AA41+'18'!AA52+'19'!AA41+'19'!AA52+'20'!AA41+'20'!AA52+'21'!AA41+'21'!AA52+'22'!AA41+'22'!AA52+'23'!AA41+'23'!AA52+'24'!AA41+'24'!AA52+'25'!AA41+'25'!AA52+'26'!AA41+'26'!AA52+'27'!AA41+'27'!AA52+'28'!AA41+'28'!AA52+'29'!AA41+'29'!AA52+'30'!AA41+'30'!AA52+'31'!AA41+'31'!AA52</f>
        <v>0</v>
      </c>
      <c r="AB41" s="125">
        <f>'1'!AB41+'1'!AB52+'2'!AB41+'2'!AB52+'3'!AB41+'3'!AB52+'4'!AB41+'4'!AB52+'5'!AB41+'5'!AB52+'6'!AB41+'6'!AB52+'7'!AB41+'7'!AB52+'8'!AB41+'8'!AB52+'9'!AB41+'9'!AB52+'10'!AB41+'10'!AB52+'11'!AB41+'11'!AB52+'12'!AB41+'12'!AB52+'13'!AB41+'13'!AB52+'14'!AB41+'14'!AB52+'15'!AB41+'15'!AB52+'16'!AB41+'16'!AB52+'17'!AB41+'17'!AB52+'18'!AB41+'18'!AB52+'19'!AB41+'19'!AB52+'20'!AB41+'20'!AB52+'21'!AB41+'21'!AB52+'22'!AB41+'22'!AB52+'23'!AB41+'23'!AB52+'24'!AB41+'24'!AB52+'25'!AB41+'25'!AB52+'26'!AB41+'26'!AB52+'27'!AB41+'27'!AB52+'28'!AB41+'28'!AB52+'29'!AB41+'29'!AB52+'30'!AB41+'30'!AB52+'31'!AB41+'31'!AB52</f>
        <v>0</v>
      </c>
      <c r="AC41" s="125">
        <f>'1'!AC41+'1'!AC52+'2'!AC41+'2'!AC52+'3'!AC41+'3'!AC52+'4'!AC41+'4'!AC52+'5'!AC41+'5'!AC52+'6'!AC41+'6'!AC52+'7'!AC41+'7'!AC52+'8'!AC41+'8'!AC52+'9'!AC41+'9'!AC52+'10'!AC41+'10'!AC52+'11'!AC41+'11'!AC52+'12'!AC41+'12'!AC52+'13'!AC41+'13'!AC52+'14'!AC41+'14'!AC52+'15'!AC41+'15'!AC52+'16'!AC41+'16'!AC52+'17'!AC41+'17'!AC52+'18'!AC41+'18'!AC52+'19'!AC41+'19'!AC52+'20'!AC41+'20'!AC52+'21'!AC41+'21'!AC52+'22'!AC41+'22'!AC52+'23'!AC41+'23'!AC52+'24'!AC41+'24'!AC52+'25'!AC41+'25'!AC52+'26'!AC41+'26'!AC52+'27'!AC41+'27'!AC52+'28'!AC41+'28'!AC52+'29'!AC41+'29'!AC52+'30'!AC41+'30'!AC52+'31'!AC41+'31'!AC52</f>
        <v>0</v>
      </c>
      <c r="AD41" s="125">
        <f>'1'!AD41+'1'!AD52+'2'!AD41+'2'!AD52+'3'!AD41+'3'!AD52+'4'!AD41+'4'!AD52+'5'!AD41+'5'!AD52+'6'!AD41+'6'!AD52+'7'!AD41+'7'!AD52+'8'!AD41+'8'!AD52+'9'!AD41+'9'!AD52+'10'!AD41+'10'!AD52+'11'!AD41+'11'!AD52+'12'!AD41+'12'!AD52+'13'!AD41+'13'!AD52+'14'!AD41+'14'!AD52+'15'!AD41+'15'!AD52+'16'!AD41+'16'!AD52+'17'!AD41+'17'!AD52+'18'!AD41+'18'!AD52+'19'!AD41+'19'!AD52+'20'!AD41+'20'!AD52+'21'!AD41+'21'!AD52+'22'!AD41+'22'!AD52+'23'!AD41+'23'!AD52+'24'!AD41+'24'!AD52+'25'!AD41+'25'!AD52+'26'!AD41+'26'!AD52+'27'!AD41+'27'!AD52+'28'!AD41+'28'!AD52+'29'!AD41+'29'!AD52+'30'!AD41+'30'!AD52+'31'!AD41+'31'!AD52</f>
        <v>0</v>
      </c>
      <c r="AE41" s="125">
        <f>'1'!AE41+'1'!AE52+'2'!AE41+'2'!AE52+'3'!AE41+'3'!AE52+'4'!AE41+'4'!AE52+'5'!AE41+'5'!AE52+'6'!AE41+'6'!AE52+'7'!AE41+'7'!AE52+'8'!AE41+'8'!AE52+'9'!AE41+'9'!AE52+'10'!AE41+'10'!AE52+'11'!AE41+'11'!AE52+'12'!AE41+'12'!AE52+'13'!AE41+'13'!AE52+'14'!AE41+'14'!AE52+'15'!AE41+'15'!AE52+'16'!AE41+'16'!AE52+'17'!AE41+'17'!AE52+'18'!AE41+'18'!AE52+'19'!AE41+'19'!AE52+'20'!AE41+'20'!AE52+'21'!AE41+'21'!AE52+'22'!AE41+'22'!AE52+'23'!AE41+'23'!AE52+'24'!AE41+'24'!AE52+'25'!AE41+'25'!AE52+'26'!AE41+'26'!AE52+'27'!AE41+'27'!AE52+'28'!AE41+'28'!AE52+'29'!AE41+'29'!AE52+'30'!AE41+'30'!AE52+'31'!AE41+'31'!AE52</f>
        <v>0</v>
      </c>
      <c r="AF41" s="125">
        <f>'1'!AF41+'1'!AF52+'2'!AF41+'2'!AF52+'3'!AF41+'3'!AF52+'4'!AF41+'4'!AF52+'5'!AF41+'5'!AF52+'6'!AF41+'6'!AF52+'7'!AF41+'7'!AF52+'8'!AF41+'8'!AF52+'9'!AF41+'9'!AF52+'10'!AF41+'10'!AF52+'11'!AF41+'11'!AF52+'12'!AF41+'12'!AF52+'13'!AF41+'13'!AF52+'14'!AF41+'14'!AF52+'15'!AF41+'15'!AF52+'16'!AF41+'16'!AF52+'17'!AF41+'17'!AF52+'18'!AF41+'18'!AF52+'19'!AF41+'19'!AF52+'20'!AF41+'20'!AF52+'21'!AF41+'21'!AF52+'22'!AF41+'22'!AF52+'23'!AF41+'23'!AF52+'24'!AF41+'24'!AF52+'25'!AF41+'25'!AF52+'26'!AF41+'26'!AF52+'27'!AF41+'27'!AF52+'28'!AF41+'28'!AF52+'29'!AF41+'29'!AF52+'30'!AF41+'30'!AF52+'31'!AF41+'31'!AF52</f>
        <v>0</v>
      </c>
      <c r="AG41" s="125">
        <f>'1'!AG41+'1'!AG52+'2'!AG41+'2'!AG52+'3'!AG41+'3'!AG52+'4'!AG41+'4'!AG52+'5'!AG41+'5'!AG52+'6'!AG41+'6'!AG52+'7'!AG41+'7'!AG52+'8'!AG41+'8'!AG52+'9'!AG41+'9'!AG52+'10'!AG41+'10'!AG52+'11'!AG41+'11'!AG52+'12'!AG41+'12'!AG52+'13'!AG41+'13'!AG52+'14'!AG41+'14'!AG52+'15'!AG41+'15'!AG52+'16'!AG41+'16'!AG52+'17'!AG41+'17'!AG52+'18'!AG41+'18'!AG52+'19'!AG41+'19'!AG52+'20'!AG41+'20'!AG52+'21'!AG41+'21'!AG52+'22'!AG41+'22'!AG52+'23'!AG41+'23'!AG52+'24'!AG41+'24'!AG52+'25'!AG41+'25'!AG52+'26'!AG41+'26'!AG52+'27'!AG41+'27'!AG52+'28'!AG41+'28'!AG52+'29'!AG41+'29'!AG52+'30'!AG41+'30'!AG52+'31'!AG41+'31'!AG52</f>
        <v>0</v>
      </c>
      <c r="AH41" s="126">
        <f>'1'!AH41+'1'!AH52+'2'!AH41+'2'!AH52+'3'!AH41+'3'!AH52+'4'!AH41+'4'!AH52+'5'!AH41+'5'!AH52+'6'!AH41+'6'!AH52+'7'!AH41+'7'!AH52+'8'!AH41+'8'!AH52+'9'!AH41+'9'!AH52+'10'!AH41+'10'!AH52+'11'!AH41+'11'!AH52+'12'!AH41+'12'!AH52+'13'!AH41+'13'!AH52+'14'!AH41+'14'!AH52+'15'!AH41+'15'!AH52+'16'!AH41+'16'!AH52+'17'!AH41+'17'!AH52+'18'!AH41+'18'!AH52+'19'!AH41+'19'!AH52+'20'!AH41+'20'!AH52+'21'!AH41+'21'!AH52+'22'!AH41+'22'!AH52+'23'!AH41+'23'!AH52+'24'!AH41+'24'!AH52+'25'!AH41+'25'!AH52+'26'!AH41+'26'!AH52+'27'!AH41+'27'!AH52+'28'!AH41+'28'!AH52+'29'!AH41+'29'!AH52+'30'!AH41+'30'!AH52+'31'!AH41+'31'!AH52</f>
        <v>0</v>
      </c>
      <c r="AI41" s="76"/>
      <c r="AJ41" s="86"/>
      <c r="AK41" s="73"/>
      <c r="AL41" s="74"/>
      <c r="AM41" s="75"/>
    </row>
    <row r="42" spans="1:39" ht="24.75" customHeight="1" thickBot="1">
      <c r="A42" s="919"/>
      <c r="B42" s="149"/>
      <c r="C42" s="216" t="s">
        <v>82</v>
      </c>
      <c r="D42" s="257"/>
      <c r="E42" s="401">
        <f>'1'!E42+'1'!E53+'2'!E42+'2'!E53+'3'!E42+'3'!E53+'4'!E42+'4'!E53+'5'!E42+'5'!E53+'6'!E42+'6'!E53+'7'!E42+'7'!E53+'8'!E42+'8'!E53+'9'!E42+'9'!E53+'10'!E42+'10'!E53+'11'!E42+'11'!E53+'12'!E42+'12'!E53+'13'!E42+'13'!E53+'14'!E42+'14'!E53+'15'!E42+'15'!E53+'16'!E42+'16'!E53+'17'!E42+'17'!E53+'18'!E42+'18'!E53+'19'!E42+'19'!E53+'20'!E42+'20'!E53+'21'!E42+'21'!E53+'22'!E42+'22'!E53+'23'!E42+'23'!E53+'24'!E42+'24'!E53+'25'!E42+'25'!E53+'26'!E42+'26'!E53+'27'!E42+'27'!E53+'28'!E42+'28'!E53+'29'!E42+'29'!E53+'30'!E42+'30'!E53+'31'!E42+'31'!E53</f>
        <v>0</v>
      </c>
      <c r="F42" s="401">
        <f>'1'!F42+'1'!F53+'2'!F42+'2'!F53+'3'!F42+'3'!F53+'4'!F42+'4'!F53+'5'!F42+'5'!F53+'6'!F42+'6'!F53+'7'!F42+'7'!F53+'8'!F42+'8'!F53+'9'!F42+'9'!F53+'10'!F42+'10'!F53+'11'!F42+'11'!F53+'12'!F42+'12'!F53+'13'!F42+'13'!F53+'14'!F42+'14'!F53+'15'!F42+'15'!F53+'16'!F42+'16'!F53+'17'!F42+'17'!F53+'18'!F42+'18'!F53+'19'!F42+'19'!F53+'20'!F42+'20'!F53+'21'!F42+'21'!F53+'22'!F42+'22'!F53+'23'!F42+'23'!F53+'24'!F42+'24'!F53+'25'!F42+'25'!F53+'26'!F42+'26'!F53+'27'!F42+'27'!F53+'28'!F42+'28'!F53+'29'!F42+'29'!F53+'30'!F42+'30'!F53+'31'!F42+'31'!F53</f>
        <v>0</v>
      </c>
      <c r="G42" s="244" t="str">
        <f t="shared" si="3"/>
        <v/>
      </c>
      <c r="H42" s="273"/>
      <c r="I42" s="64">
        <f t="shared" si="4"/>
        <v>0</v>
      </c>
      <c r="J42" s="161">
        <f>'1'!J42+'1'!J53+'2'!J42+'2'!J53+'3'!J42+'3'!J53+'4'!J42+'4'!J53+'5'!J42+'5'!J53+'6'!J42+'6'!J53+'7'!J42+'7'!J53+'8'!J42+'8'!J53+'9'!J42+'9'!J53+'10'!J42+'10'!J53+'11'!J42+'11'!J53+'12'!J42+'12'!J53+'13'!J42+'13'!J53+'14'!J42+'14'!J53+'15'!J42+'15'!J53+'16'!J42+'16'!J53+'17'!J42+'17'!J53+'18'!J42+'18'!J53+'19'!J42+'19'!J53+'20'!J42+'20'!J53+'21'!J42+'21'!J53+'22'!J42+'22'!J53+'23'!J42+'23'!J53+'24'!J42+'24'!J53+'25'!J42+'25'!J53+'26'!J42+'26'!J53+'27'!J42+'27'!J53+'28'!J42+'28'!J53+'29'!J42+'29'!J53+'30'!J42+'30'!J53+'31'!J42+'31'!J53</f>
        <v>0</v>
      </c>
      <c r="K42" s="161">
        <f>'1'!K42+'1'!K53+'2'!K42+'2'!K53+'3'!K42+'3'!K53+'4'!K42+'4'!K53+'5'!K42+'5'!K53+'6'!K42+'6'!K53+'7'!K42+'7'!K53+'8'!K42+'8'!K53+'9'!K42+'9'!K53+'10'!K42+'10'!K53+'11'!K42+'11'!K53+'12'!K42+'12'!K53+'13'!K42+'13'!K53+'14'!K42+'14'!K53+'15'!K42+'15'!K53+'16'!K42+'16'!K53+'17'!K42+'17'!K53+'18'!K42+'18'!K53+'19'!K42+'19'!K53+'20'!K42+'20'!K53+'21'!K42+'21'!K53+'22'!K42+'22'!K53+'23'!K42+'23'!K53+'24'!K42+'24'!K53+'25'!K42+'25'!K53+'26'!K42+'26'!K53+'27'!K42+'27'!K53+'28'!K42+'28'!K53+'29'!K42+'29'!K53+'30'!K42+'30'!K53+'31'!K42+'31'!K53</f>
        <v>0</v>
      </c>
      <c r="L42" s="161">
        <f>'1'!L42+'1'!L53+'2'!L42+'2'!L53+'3'!L42+'3'!L53+'4'!L42+'4'!L53+'5'!L42+'5'!L53+'6'!L42+'6'!L53+'7'!L42+'7'!L53+'8'!L42+'8'!L53+'9'!L42+'9'!L53+'10'!L42+'10'!L53+'11'!L42+'11'!L53+'12'!L42+'12'!L53+'13'!L42+'13'!L53+'14'!L42+'14'!L53+'15'!L42+'15'!L53+'16'!L42+'16'!L53+'17'!L42+'17'!L53+'18'!L42+'18'!L53+'19'!L42+'19'!L53+'20'!L42+'20'!L53+'21'!L42+'21'!L53+'22'!L42+'22'!L53+'23'!L42+'23'!L53+'24'!L42+'24'!L53+'25'!L42+'25'!L53+'26'!L42+'26'!L53+'27'!L42+'27'!L53+'28'!L42+'28'!L53+'29'!L42+'29'!L53+'30'!L42+'30'!L53+'31'!L42+'31'!L53</f>
        <v>0</v>
      </c>
      <c r="M42" s="161">
        <f>'1'!M42+'1'!M53+'2'!M42+'2'!M53+'3'!M42+'3'!M53+'4'!M42+'4'!M53+'5'!M42+'5'!M53+'6'!M42+'6'!M53+'7'!M42+'7'!M53+'8'!M42+'8'!M53+'9'!M42+'9'!M53+'10'!M42+'10'!M53+'11'!M42+'11'!M53+'12'!M42+'12'!M53+'13'!M42+'13'!M53+'14'!M42+'14'!M53+'15'!M42+'15'!M53+'16'!M42+'16'!M53+'17'!M42+'17'!M53+'18'!M42+'18'!M53+'19'!M42+'19'!M53+'20'!M42+'20'!M53+'21'!M42+'21'!M53+'22'!M42+'22'!M53+'23'!M42+'23'!M53+'24'!M42+'24'!M53+'25'!M42+'25'!M53+'26'!M42+'26'!M53+'27'!M42+'27'!M53+'28'!M42+'28'!M53+'29'!M42+'29'!M53+'30'!M42+'30'!M53+'31'!M42+'31'!M53</f>
        <v>0</v>
      </c>
      <c r="N42" s="161">
        <f>'1'!N42+'1'!N53+'2'!N42+'2'!N53+'3'!N42+'3'!N53+'4'!N42+'4'!N53+'5'!N42+'5'!N53+'6'!N42+'6'!N53+'7'!N42+'7'!N53+'8'!N42+'8'!N53+'9'!N42+'9'!N53+'10'!N42+'10'!N53+'11'!N42+'11'!N53+'12'!N42+'12'!N53+'13'!N42+'13'!N53+'14'!N42+'14'!N53+'15'!N42+'15'!N53+'16'!N42+'16'!N53+'17'!N42+'17'!N53+'18'!N42+'18'!N53+'19'!N42+'19'!N53+'20'!N42+'20'!N53+'21'!N42+'21'!N53+'22'!N42+'22'!N53+'23'!N42+'23'!N53+'24'!N42+'24'!N53+'25'!N42+'25'!N53+'26'!N42+'26'!N53+'27'!N42+'27'!N53+'28'!N42+'28'!N53+'29'!N42+'29'!N53+'30'!N42+'30'!N53+'31'!N42+'31'!N53</f>
        <v>0</v>
      </c>
      <c r="O42" s="161">
        <f>'1'!O42+'1'!O53+'2'!O42+'2'!O53+'3'!O42+'3'!O53+'4'!O42+'4'!O53+'5'!O42+'5'!O53+'6'!O42+'6'!O53+'7'!O42+'7'!O53+'8'!O42+'8'!O53+'9'!O42+'9'!O53+'10'!O42+'10'!O53+'11'!O42+'11'!O53+'12'!O42+'12'!O53+'13'!O42+'13'!O53+'14'!O42+'14'!O53+'15'!O42+'15'!O53+'16'!O42+'16'!O53+'17'!O42+'17'!O53+'18'!O42+'18'!O53+'19'!O42+'19'!O53+'20'!O42+'20'!O53+'21'!O42+'21'!O53+'22'!O42+'22'!O53+'23'!O42+'23'!O53+'24'!O42+'24'!O53+'25'!O42+'25'!O53+'26'!O42+'26'!O53+'27'!O42+'27'!O53+'28'!O42+'28'!O53+'29'!O42+'29'!O53+'30'!O42+'30'!O53+'31'!O42+'31'!O53</f>
        <v>0</v>
      </c>
      <c r="P42" s="161">
        <f>'1'!P42+'1'!P53+'2'!P42+'2'!P53+'3'!P42+'3'!P53+'4'!P42+'4'!P53+'5'!P42+'5'!P53+'6'!P42+'6'!P53+'7'!P42+'7'!P53+'8'!P42+'8'!P53+'9'!P42+'9'!P53+'10'!P42+'10'!P53+'11'!P42+'11'!P53+'12'!P42+'12'!P53+'13'!P42+'13'!P53+'14'!P42+'14'!P53+'15'!P42+'15'!P53+'16'!P42+'16'!P53+'17'!P42+'17'!P53+'18'!P42+'18'!P53+'19'!P42+'19'!P53+'20'!P42+'20'!P53+'21'!P42+'21'!P53+'22'!P42+'22'!P53+'23'!P42+'23'!P53+'24'!P42+'24'!P53+'25'!P42+'25'!P53+'26'!P42+'26'!P53+'27'!P42+'27'!P53+'28'!P42+'28'!P53+'29'!P42+'29'!P53+'30'!P42+'30'!P53+'31'!P42+'31'!P53</f>
        <v>0</v>
      </c>
      <c r="Q42" s="161">
        <f>'1'!Q42+'1'!Q53+'2'!Q42+'2'!Q53+'3'!Q42+'3'!Q53+'4'!Q42+'4'!Q53+'5'!Q42+'5'!Q53+'6'!Q42+'6'!Q53+'7'!Q42+'7'!Q53+'8'!Q42+'8'!Q53+'9'!Q42+'9'!Q53+'10'!Q42+'10'!Q53+'11'!Q42+'11'!Q53+'12'!Q42+'12'!Q53+'13'!Q42+'13'!Q53+'14'!Q42+'14'!Q53+'15'!Q42+'15'!Q53+'16'!Q42+'16'!Q53+'17'!Q42+'17'!Q53+'18'!Q42+'18'!Q53+'19'!Q42+'19'!Q53+'20'!Q42+'20'!Q53+'21'!Q42+'21'!Q53+'22'!Q42+'22'!Q53+'23'!Q42+'23'!Q53+'24'!Q42+'24'!Q53+'25'!Q42+'25'!Q53+'26'!Q42+'26'!Q53+'27'!Q42+'27'!Q53+'28'!Q42+'28'!Q53+'29'!Q42+'29'!Q53+'30'!Q42+'30'!Q53+'31'!Q42+'31'!Q53</f>
        <v>0</v>
      </c>
      <c r="R42" s="161">
        <f>'1'!R42+'1'!R53+'2'!R42+'2'!R53+'3'!R42+'3'!R53+'4'!R42+'4'!R53+'5'!R42+'5'!R53+'6'!R42+'6'!R53+'7'!R42+'7'!R53+'8'!R42+'8'!R53+'9'!R42+'9'!R53+'10'!R42+'10'!R53+'11'!R42+'11'!R53+'12'!R42+'12'!R53+'13'!R42+'13'!R53+'14'!R42+'14'!R53+'15'!R42+'15'!R53+'16'!R42+'16'!R53+'17'!R42+'17'!R53+'18'!R42+'18'!R53+'19'!R42+'19'!R53+'20'!R42+'20'!R53+'21'!R42+'21'!R53+'22'!R42+'22'!R53+'23'!R42+'23'!R53+'24'!R42+'24'!R53+'25'!R42+'25'!R53+'26'!R42+'26'!R53+'27'!R42+'27'!R53+'28'!R42+'28'!R53+'29'!R42+'29'!R53+'30'!R42+'30'!R53+'31'!R42+'31'!R53</f>
        <v>0</v>
      </c>
      <c r="S42" s="161">
        <f>'1'!S42+'1'!S53+'2'!S42+'2'!S53+'3'!S42+'3'!S53+'4'!S42+'4'!S53+'5'!S42+'5'!S53+'6'!S42+'6'!S53+'7'!S42+'7'!S53+'8'!S42+'8'!S53+'9'!S42+'9'!S53+'10'!S42+'10'!S53+'11'!S42+'11'!S53+'12'!S42+'12'!S53+'13'!S42+'13'!S53+'14'!S42+'14'!S53+'15'!S42+'15'!S53+'16'!S42+'16'!S53+'17'!S42+'17'!S53+'18'!S42+'18'!S53+'19'!S42+'19'!S53+'20'!S42+'20'!S53+'21'!S42+'21'!S53+'22'!S42+'22'!S53+'23'!S42+'23'!S53+'24'!S42+'24'!S53+'25'!S42+'25'!S53+'26'!S42+'26'!S53+'27'!S42+'27'!S53+'28'!S42+'28'!S53+'29'!S42+'29'!S53+'30'!S42+'30'!S53+'31'!S42+'31'!S53</f>
        <v>0</v>
      </c>
      <c r="T42" s="161">
        <f>'1'!T42+'1'!T53+'2'!T42+'2'!T53+'3'!T42+'3'!T53+'4'!T42+'4'!T53+'5'!T42+'5'!T53+'6'!T42+'6'!T53+'7'!T42+'7'!T53+'8'!T42+'8'!T53+'9'!T42+'9'!T53+'10'!T42+'10'!T53+'11'!T42+'11'!T53+'12'!T42+'12'!T53+'13'!T42+'13'!T53+'14'!T42+'14'!T53+'15'!T42+'15'!T53+'16'!T42+'16'!T53+'17'!T42+'17'!T53+'18'!T42+'18'!T53+'19'!T42+'19'!T53+'20'!T42+'20'!T53+'21'!T42+'21'!T53+'22'!T42+'22'!T53+'23'!T42+'23'!T53+'24'!T42+'24'!T53+'25'!T42+'25'!T53+'26'!T42+'26'!T53+'27'!T42+'27'!T53+'28'!T42+'28'!T53+'29'!T42+'29'!T53+'30'!T42+'30'!T53+'31'!T42+'31'!T53</f>
        <v>0</v>
      </c>
      <c r="U42" s="161">
        <f>'1'!U42+'1'!U53+'2'!U42+'2'!U53+'3'!U42+'3'!U53+'4'!U42+'4'!U53+'5'!U42+'5'!U53+'6'!U42+'6'!U53+'7'!U42+'7'!U53+'8'!U42+'8'!U53+'9'!U42+'9'!U53+'10'!U42+'10'!U53+'11'!U42+'11'!U53+'12'!U42+'12'!U53+'13'!U42+'13'!U53+'14'!U42+'14'!U53+'15'!U42+'15'!U53+'16'!U42+'16'!U53+'17'!U42+'17'!U53+'18'!U42+'18'!U53+'19'!U42+'19'!U53+'20'!U42+'20'!U53+'21'!U42+'21'!U53+'22'!U42+'22'!U53+'23'!U42+'23'!U53+'24'!U42+'24'!U53+'25'!U42+'25'!U53+'26'!U42+'26'!U53+'27'!U42+'27'!U53+'28'!U42+'28'!U53+'29'!U42+'29'!U53+'30'!U42+'30'!U53+'31'!U42+'31'!U53</f>
        <v>0</v>
      </c>
      <c r="V42" s="161">
        <f>'1'!V42+'1'!V53+'2'!V42+'2'!V53+'3'!V42+'3'!V53+'4'!V42+'4'!V53+'5'!V42+'5'!V53+'6'!V42+'6'!V53+'7'!V42+'7'!V53+'8'!V42+'8'!V53+'9'!V42+'9'!V53+'10'!V42+'10'!V53+'11'!V42+'11'!V53+'12'!V42+'12'!V53+'13'!V42+'13'!V53+'14'!V42+'14'!V53+'15'!V42+'15'!V53+'16'!V42+'16'!V53+'17'!V42+'17'!V53+'18'!V42+'18'!V53+'19'!V42+'19'!V53+'20'!V42+'20'!V53+'21'!V42+'21'!V53+'22'!V42+'22'!V53+'23'!V42+'23'!V53+'24'!V42+'24'!V53+'25'!V42+'25'!V53+'26'!V42+'26'!V53+'27'!V42+'27'!V53+'28'!V42+'28'!V53+'29'!V42+'29'!V53+'30'!V42+'30'!V53+'31'!V42+'31'!V53</f>
        <v>0</v>
      </c>
      <c r="W42" s="161">
        <f>'1'!W42+'1'!W53+'2'!W42+'2'!W53+'3'!W42+'3'!W53+'4'!W42+'4'!W53+'5'!W42+'5'!W53+'6'!W42+'6'!W53+'7'!W42+'7'!W53+'8'!W42+'8'!W53+'9'!W42+'9'!W53+'10'!W42+'10'!W53+'11'!W42+'11'!W53+'12'!W42+'12'!W53+'13'!W42+'13'!W53+'14'!W42+'14'!W53+'15'!W42+'15'!W53+'16'!W42+'16'!W53+'17'!W42+'17'!W53+'18'!W42+'18'!W53+'19'!W42+'19'!W53+'20'!W42+'20'!W53+'21'!W42+'21'!W53+'22'!W42+'22'!W53+'23'!W42+'23'!W53+'24'!W42+'24'!W53+'25'!W42+'25'!W53+'26'!W42+'26'!W53+'27'!W42+'27'!W53+'28'!W42+'28'!W53+'29'!W42+'29'!W53+'30'!W42+'30'!W53+'31'!W42+'31'!W53</f>
        <v>0</v>
      </c>
      <c r="X42" s="161">
        <f>'1'!X42+'1'!X53+'2'!X42+'2'!X53+'3'!X42+'3'!X53+'4'!X42+'4'!X53+'5'!X42+'5'!X53+'6'!X42+'6'!X53+'7'!X42+'7'!X53+'8'!X42+'8'!X53+'9'!X42+'9'!X53+'10'!X42+'10'!X53+'11'!X42+'11'!X53+'12'!X42+'12'!X53+'13'!X42+'13'!X53+'14'!X42+'14'!X53+'15'!X42+'15'!X53+'16'!X42+'16'!X53+'17'!X42+'17'!X53+'18'!X42+'18'!X53+'19'!X42+'19'!X53+'20'!X42+'20'!X53+'21'!X42+'21'!X53+'22'!X42+'22'!X53+'23'!X42+'23'!X53+'24'!X42+'24'!X53+'25'!X42+'25'!X53+'26'!X42+'26'!X53+'27'!X42+'27'!X53+'28'!X42+'28'!X53+'29'!X42+'29'!X53+'30'!X42+'30'!X53+'31'!X42+'31'!X53</f>
        <v>0</v>
      </c>
      <c r="Y42" s="161">
        <f>'1'!Y42+'1'!Y53+'2'!Y42+'2'!Y53+'3'!Y42+'3'!Y53+'4'!Y42+'4'!Y53+'5'!Y42+'5'!Y53+'6'!Y42+'6'!Y53+'7'!Y42+'7'!Y53+'8'!Y42+'8'!Y53+'9'!Y42+'9'!Y53+'10'!Y42+'10'!Y53+'11'!Y42+'11'!Y53+'12'!Y42+'12'!Y53+'13'!Y42+'13'!Y53+'14'!Y42+'14'!Y53+'15'!Y42+'15'!Y53+'16'!Y42+'16'!Y53+'17'!Y42+'17'!Y53+'18'!Y42+'18'!Y53+'19'!Y42+'19'!Y53+'20'!Y42+'20'!Y53+'21'!Y42+'21'!Y53+'22'!Y42+'22'!Y53+'23'!Y42+'23'!Y53+'24'!Y42+'24'!Y53+'25'!Y42+'25'!Y53+'26'!Y42+'26'!Y53+'27'!Y42+'27'!Y53+'28'!Y42+'28'!Y53+'29'!Y42+'29'!Y53+'30'!Y42+'30'!Y53+'31'!Y42+'31'!Y53</f>
        <v>0</v>
      </c>
      <c r="Z42" s="161">
        <f>'1'!Z42+'1'!Z53+'2'!Z42+'2'!Z53+'3'!Z42+'3'!Z53+'4'!Z42+'4'!Z53+'5'!Z42+'5'!Z53+'6'!Z42+'6'!Z53+'7'!Z42+'7'!Z53+'8'!Z42+'8'!Z53+'9'!Z42+'9'!Z53+'10'!Z42+'10'!Z53+'11'!Z42+'11'!Z53+'12'!Z42+'12'!Z53+'13'!Z42+'13'!Z53+'14'!Z42+'14'!Z53+'15'!Z42+'15'!Z53+'16'!Z42+'16'!Z53+'17'!Z42+'17'!Z53+'18'!Z42+'18'!Z53+'19'!Z42+'19'!Z53+'20'!Z42+'20'!Z53+'21'!Z42+'21'!Z53+'22'!Z42+'22'!Z53+'23'!Z42+'23'!Z53+'24'!Z42+'24'!Z53+'25'!Z42+'25'!Z53+'26'!Z42+'26'!Z53+'27'!Z42+'27'!Z53+'28'!Z42+'28'!Z53+'29'!Z42+'29'!Z53+'30'!Z42+'30'!Z53+'31'!Z42+'31'!Z53</f>
        <v>0</v>
      </c>
      <c r="AA42" s="161">
        <f>'1'!AA42+'1'!AA53+'2'!AA42+'2'!AA53+'3'!AA42+'3'!AA53+'4'!AA42+'4'!AA53+'5'!AA42+'5'!AA53+'6'!AA42+'6'!AA53+'7'!AA42+'7'!AA53+'8'!AA42+'8'!AA53+'9'!AA42+'9'!AA53+'10'!AA42+'10'!AA53+'11'!AA42+'11'!AA53+'12'!AA42+'12'!AA53+'13'!AA42+'13'!AA53+'14'!AA42+'14'!AA53+'15'!AA42+'15'!AA53+'16'!AA42+'16'!AA53+'17'!AA42+'17'!AA53+'18'!AA42+'18'!AA53+'19'!AA42+'19'!AA53+'20'!AA42+'20'!AA53+'21'!AA42+'21'!AA53+'22'!AA42+'22'!AA53+'23'!AA42+'23'!AA53+'24'!AA42+'24'!AA53+'25'!AA42+'25'!AA53+'26'!AA42+'26'!AA53+'27'!AA42+'27'!AA53+'28'!AA42+'28'!AA53+'29'!AA42+'29'!AA53+'30'!AA42+'30'!AA53+'31'!AA42+'31'!AA53</f>
        <v>0</v>
      </c>
      <c r="AB42" s="161">
        <f>'1'!AB42+'1'!AB53+'2'!AB42+'2'!AB53+'3'!AB42+'3'!AB53+'4'!AB42+'4'!AB53+'5'!AB42+'5'!AB53+'6'!AB42+'6'!AB53+'7'!AB42+'7'!AB53+'8'!AB42+'8'!AB53+'9'!AB42+'9'!AB53+'10'!AB42+'10'!AB53+'11'!AB42+'11'!AB53+'12'!AB42+'12'!AB53+'13'!AB42+'13'!AB53+'14'!AB42+'14'!AB53+'15'!AB42+'15'!AB53+'16'!AB42+'16'!AB53+'17'!AB42+'17'!AB53+'18'!AB42+'18'!AB53+'19'!AB42+'19'!AB53+'20'!AB42+'20'!AB53+'21'!AB42+'21'!AB53+'22'!AB42+'22'!AB53+'23'!AB42+'23'!AB53+'24'!AB42+'24'!AB53+'25'!AB42+'25'!AB53+'26'!AB42+'26'!AB53+'27'!AB42+'27'!AB53+'28'!AB42+'28'!AB53+'29'!AB42+'29'!AB53+'30'!AB42+'30'!AB53+'31'!AB42+'31'!AB53</f>
        <v>0</v>
      </c>
      <c r="AC42" s="161">
        <f>'1'!AC42+'1'!AC53+'2'!AC42+'2'!AC53+'3'!AC42+'3'!AC53+'4'!AC42+'4'!AC53+'5'!AC42+'5'!AC53+'6'!AC42+'6'!AC53+'7'!AC42+'7'!AC53+'8'!AC42+'8'!AC53+'9'!AC42+'9'!AC53+'10'!AC42+'10'!AC53+'11'!AC42+'11'!AC53+'12'!AC42+'12'!AC53+'13'!AC42+'13'!AC53+'14'!AC42+'14'!AC53+'15'!AC42+'15'!AC53+'16'!AC42+'16'!AC53+'17'!AC42+'17'!AC53+'18'!AC42+'18'!AC53+'19'!AC42+'19'!AC53+'20'!AC42+'20'!AC53+'21'!AC42+'21'!AC53+'22'!AC42+'22'!AC53+'23'!AC42+'23'!AC53+'24'!AC42+'24'!AC53+'25'!AC42+'25'!AC53+'26'!AC42+'26'!AC53+'27'!AC42+'27'!AC53+'28'!AC42+'28'!AC53+'29'!AC42+'29'!AC53+'30'!AC42+'30'!AC53+'31'!AC42+'31'!AC53</f>
        <v>0</v>
      </c>
      <c r="AD42" s="161">
        <f>'1'!AD42+'1'!AD53+'2'!AD42+'2'!AD53+'3'!AD42+'3'!AD53+'4'!AD42+'4'!AD53+'5'!AD42+'5'!AD53+'6'!AD42+'6'!AD53+'7'!AD42+'7'!AD53+'8'!AD42+'8'!AD53+'9'!AD42+'9'!AD53+'10'!AD42+'10'!AD53+'11'!AD42+'11'!AD53+'12'!AD42+'12'!AD53+'13'!AD42+'13'!AD53+'14'!AD42+'14'!AD53+'15'!AD42+'15'!AD53+'16'!AD42+'16'!AD53+'17'!AD42+'17'!AD53+'18'!AD42+'18'!AD53+'19'!AD42+'19'!AD53+'20'!AD42+'20'!AD53+'21'!AD42+'21'!AD53+'22'!AD42+'22'!AD53+'23'!AD42+'23'!AD53+'24'!AD42+'24'!AD53+'25'!AD42+'25'!AD53+'26'!AD42+'26'!AD53+'27'!AD42+'27'!AD53+'28'!AD42+'28'!AD53+'29'!AD42+'29'!AD53+'30'!AD42+'30'!AD53+'31'!AD42+'31'!AD53</f>
        <v>0</v>
      </c>
      <c r="AE42" s="161">
        <f>'1'!AE42+'1'!AE53+'2'!AE42+'2'!AE53+'3'!AE42+'3'!AE53+'4'!AE42+'4'!AE53+'5'!AE42+'5'!AE53+'6'!AE42+'6'!AE53+'7'!AE42+'7'!AE53+'8'!AE42+'8'!AE53+'9'!AE42+'9'!AE53+'10'!AE42+'10'!AE53+'11'!AE42+'11'!AE53+'12'!AE42+'12'!AE53+'13'!AE42+'13'!AE53+'14'!AE42+'14'!AE53+'15'!AE42+'15'!AE53+'16'!AE42+'16'!AE53+'17'!AE42+'17'!AE53+'18'!AE42+'18'!AE53+'19'!AE42+'19'!AE53+'20'!AE42+'20'!AE53+'21'!AE42+'21'!AE53+'22'!AE42+'22'!AE53+'23'!AE42+'23'!AE53+'24'!AE42+'24'!AE53+'25'!AE42+'25'!AE53+'26'!AE42+'26'!AE53+'27'!AE42+'27'!AE53+'28'!AE42+'28'!AE53+'29'!AE42+'29'!AE53+'30'!AE42+'30'!AE53+'31'!AE42+'31'!AE53</f>
        <v>0</v>
      </c>
      <c r="AF42" s="161">
        <f>'1'!AF42+'1'!AF53+'2'!AF42+'2'!AF53+'3'!AF42+'3'!AF53+'4'!AF42+'4'!AF53+'5'!AF42+'5'!AF53+'6'!AF42+'6'!AF53+'7'!AF42+'7'!AF53+'8'!AF42+'8'!AF53+'9'!AF42+'9'!AF53+'10'!AF42+'10'!AF53+'11'!AF42+'11'!AF53+'12'!AF42+'12'!AF53+'13'!AF42+'13'!AF53+'14'!AF42+'14'!AF53+'15'!AF42+'15'!AF53+'16'!AF42+'16'!AF53+'17'!AF42+'17'!AF53+'18'!AF42+'18'!AF53+'19'!AF42+'19'!AF53+'20'!AF42+'20'!AF53+'21'!AF42+'21'!AF53+'22'!AF42+'22'!AF53+'23'!AF42+'23'!AF53+'24'!AF42+'24'!AF53+'25'!AF42+'25'!AF53+'26'!AF42+'26'!AF53+'27'!AF42+'27'!AF53+'28'!AF42+'28'!AF53+'29'!AF42+'29'!AF53+'30'!AF42+'30'!AF53+'31'!AF42+'31'!AF53</f>
        <v>0</v>
      </c>
      <c r="AG42" s="161">
        <f>'1'!AG42+'1'!AG53+'2'!AG42+'2'!AG53+'3'!AG42+'3'!AG53+'4'!AG42+'4'!AG53+'5'!AG42+'5'!AG53+'6'!AG42+'6'!AG53+'7'!AG42+'7'!AG53+'8'!AG42+'8'!AG53+'9'!AG42+'9'!AG53+'10'!AG42+'10'!AG53+'11'!AG42+'11'!AG53+'12'!AG42+'12'!AG53+'13'!AG42+'13'!AG53+'14'!AG42+'14'!AG53+'15'!AG42+'15'!AG53+'16'!AG42+'16'!AG53+'17'!AG42+'17'!AG53+'18'!AG42+'18'!AG53+'19'!AG42+'19'!AG53+'20'!AG42+'20'!AG53+'21'!AG42+'21'!AG53+'22'!AG42+'22'!AG53+'23'!AG42+'23'!AG53+'24'!AG42+'24'!AG53+'25'!AG42+'25'!AG53+'26'!AG42+'26'!AG53+'27'!AG42+'27'!AG53+'28'!AG42+'28'!AG53+'29'!AG42+'29'!AG53+'30'!AG42+'30'!AG53+'31'!AG42+'31'!AG53</f>
        <v>0</v>
      </c>
      <c r="AH42" s="262">
        <f>'1'!AH42+'1'!AH53+'2'!AH42+'2'!AH53+'3'!AH42+'3'!AH53+'4'!AH42+'4'!AH53+'5'!AH42+'5'!AH53+'6'!AH42+'6'!AH53+'7'!AH42+'7'!AH53+'8'!AH42+'8'!AH53+'9'!AH42+'9'!AH53+'10'!AH42+'10'!AH53+'11'!AH42+'11'!AH53+'12'!AH42+'12'!AH53+'13'!AH42+'13'!AH53+'14'!AH42+'14'!AH53+'15'!AH42+'15'!AH53+'16'!AH42+'16'!AH53+'17'!AH42+'17'!AH53+'18'!AH42+'18'!AH53+'19'!AH42+'19'!AH53+'20'!AH42+'20'!AH53+'21'!AH42+'21'!AH53+'22'!AH42+'22'!AH53+'23'!AH42+'23'!AH53+'24'!AH42+'24'!AH53+'25'!AH42+'25'!AH53+'26'!AH42+'26'!AH53+'27'!AH42+'27'!AH53+'28'!AH42+'28'!AH53+'29'!AH42+'29'!AH53+'30'!AH42+'30'!AH53+'31'!AH42+'31'!AH53</f>
        <v>0</v>
      </c>
      <c r="AI42" s="76"/>
      <c r="AJ42" s="86"/>
      <c r="AK42" s="73"/>
      <c r="AL42" s="74"/>
      <c r="AM42" s="75"/>
    </row>
    <row r="43" spans="1:39" ht="28.5" customHeight="1" thickBot="1">
      <c r="A43" s="146" t="s">
        <v>101</v>
      </c>
      <c r="B43" s="147"/>
      <c r="C43" s="219"/>
      <c r="D43" s="146"/>
      <c r="E43" s="143">
        <f>SUM(E33:E42)</f>
        <v>214458</v>
      </c>
      <c r="F43" s="143">
        <f>SUM(F33:F42)</f>
        <v>196771</v>
      </c>
      <c r="G43" s="270">
        <f t="shared" si="3"/>
        <v>8.247302502121627E-2</v>
      </c>
      <c r="H43" s="273"/>
      <c r="I43" s="87">
        <f t="shared" si="4"/>
        <v>17687</v>
      </c>
      <c r="J43" s="77">
        <f t="shared" ref="J43:AH43" si="5">SUM(J33:J42)</f>
        <v>360</v>
      </c>
      <c r="K43" s="78">
        <f t="shared" si="5"/>
        <v>3009</v>
      </c>
      <c r="L43" s="78">
        <f t="shared" si="5"/>
        <v>3871</v>
      </c>
      <c r="M43" s="78">
        <f t="shared" si="5"/>
        <v>721</v>
      </c>
      <c r="N43" s="78">
        <f t="shared" si="5"/>
        <v>0</v>
      </c>
      <c r="O43" s="78">
        <f t="shared" si="5"/>
        <v>340</v>
      </c>
      <c r="P43" s="78">
        <f t="shared" si="5"/>
        <v>64</v>
      </c>
      <c r="Q43" s="78">
        <f t="shared" si="5"/>
        <v>247</v>
      </c>
      <c r="R43" s="78">
        <f t="shared" si="5"/>
        <v>984</v>
      </c>
      <c r="S43" s="78">
        <f t="shared" si="5"/>
        <v>5</v>
      </c>
      <c r="T43" s="78">
        <f t="shared" si="5"/>
        <v>12</v>
      </c>
      <c r="U43" s="78">
        <f t="shared" si="5"/>
        <v>50</v>
      </c>
      <c r="V43" s="78">
        <f t="shared" si="5"/>
        <v>2299</v>
      </c>
      <c r="W43" s="78">
        <f t="shared" si="5"/>
        <v>2329</v>
      </c>
      <c r="X43" s="78">
        <f t="shared" si="5"/>
        <v>94</v>
      </c>
      <c r="Y43" s="78">
        <f t="shared" si="5"/>
        <v>99</v>
      </c>
      <c r="Z43" s="78">
        <f t="shared" si="5"/>
        <v>12</v>
      </c>
      <c r="AA43" s="78">
        <f t="shared" si="5"/>
        <v>5</v>
      </c>
      <c r="AB43" s="78">
        <f t="shared" si="5"/>
        <v>809</v>
      </c>
      <c r="AC43" s="78">
        <f t="shared" si="5"/>
        <v>1090</v>
      </c>
      <c r="AD43" s="78">
        <f t="shared" si="5"/>
        <v>110</v>
      </c>
      <c r="AE43" s="78">
        <f t="shared" si="5"/>
        <v>372</v>
      </c>
      <c r="AF43" s="78">
        <f t="shared" si="5"/>
        <v>476</v>
      </c>
      <c r="AG43" s="78">
        <f t="shared" si="5"/>
        <v>16</v>
      </c>
      <c r="AH43" s="263">
        <f t="shared" si="5"/>
        <v>313</v>
      </c>
      <c r="AI43" s="266"/>
      <c r="AJ43" s="89"/>
      <c r="AK43" s="90"/>
      <c r="AL43" s="91"/>
      <c r="AM43" s="92"/>
    </row>
    <row r="44" spans="1:39" ht="28.5" customHeight="1" thickBot="1">
      <c r="A44" s="41" t="s">
        <v>39</v>
      </c>
      <c r="B44" s="93"/>
      <c r="C44" s="220"/>
      <c r="D44" s="94"/>
      <c r="E44" s="164">
        <f>E43</f>
        <v>214458</v>
      </c>
      <c r="F44" s="164">
        <f>F43</f>
        <v>196771</v>
      </c>
      <c r="G44" s="271">
        <f t="shared" si="3"/>
        <v>8.247302502121627E-2</v>
      </c>
      <c r="H44" s="274"/>
      <c r="I44" s="96">
        <f>I43</f>
        <v>17687</v>
      </c>
      <c r="J44" s="97">
        <f t="shared" ref="J44:AH44" si="6">J43</f>
        <v>360</v>
      </c>
      <c r="K44" s="97">
        <f t="shared" si="6"/>
        <v>3009</v>
      </c>
      <c r="L44" s="97">
        <f t="shared" si="6"/>
        <v>3871</v>
      </c>
      <c r="M44" s="97">
        <f t="shared" si="6"/>
        <v>721</v>
      </c>
      <c r="N44" s="97">
        <f t="shared" si="6"/>
        <v>0</v>
      </c>
      <c r="O44" s="97">
        <f t="shared" si="6"/>
        <v>340</v>
      </c>
      <c r="P44" s="97">
        <f t="shared" si="6"/>
        <v>64</v>
      </c>
      <c r="Q44" s="97">
        <f t="shared" si="6"/>
        <v>247</v>
      </c>
      <c r="R44" s="97">
        <f t="shared" si="6"/>
        <v>984</v>
      </c>
      <c r="S44" s="97">
        <f t="shared" si="6"/>
        <v>5</v>
      </c>
      <c r="T44" s="97">
        <f t="shared" si="6"/>
        <v>12</v>
      </c>
      <c r="U44" s="97">
        <f t="shared" si="6"/>
        <v>50</v>
      </c>
      <c r="V44" s="97">
        <f t="shared" si="6"/>
        <v>2299</v>
      </c>
      <c r="W44" s="97">
        <f t="shared" si="6"/>
        <v>2329</v>
      </c>
      <c r="X44" s="97">
        <f t="shared" si="6"/>
        <v>94</v>
      </c>
      <c r="Y44" s="97">
        <f t="shared" si="6"/>
        <v>99</v>
      </c>
      <c r="Z44" s="97">
        <f t="shared" si="6"/>
        <v>12</v>
      </c>
      <c r="AA44" s="97">
        <f t="shared" si="6"/>
        <v>5</v>
      </c>
      <c r="AB44" s="97">
        <f t="shared" si="6"/>
        <v>809</v>
      </c>
      <c r="AC44" s="97">
        <f t="shared" si="6"/>
        <v>1090</v>
      </c>
      <c r="AD44" s="97">
        <f t="shared" si="6"/>
        <v>110</v>
      </c>
      <c r="AE44" s="97">
        <f t="shared" si="6"/>
        <v>372</v>
      </c>
      <c r="AF44" s="97">
        <f t="shared" si="6"/>
        <v>476</v>
      </c>
      <c r="AG44" s="97">
        <f t="shared" si="6"/>
        <v>16</v>
      </c>
      <c r="AH44" s="264">
        <f t="shared" si="6"/>
        <v>313</v>
      </c>
      <c r="AI44" s="80"/>
      <c r="AJ44" s="98"/>
      <c r="AK44" s="99" t="s">
        <v>4</v>
      </c>
      <c r="AL44" s="100" t="s">
        <v>4</v>
      </c>
      <c r="AM44" s="81"/>
    </row>
    <row r="45" spans="1:39" ht="25" thickBot="1">
      <c r="H45" s="38"/>
      <c r="V45" s="13"/>
      <c r="W45" s="101"/>
      <c r="X45" s="101"/>
      <c r="Y45" s="101"/>
      <c r="Z45" s="101"/>
      <c r="AA45" s="17"/>
      <c r="AB45" s="17"/>
      <c r="AC45" s="17"/>
      <c r="AD45" s="17"/>
      <c r="AE45" s="17"/>
      <c r="AF45" s="17"/>
    </row>
    <row r="46" spans="1:39" ht="26.5" thickBot="1">
      <c r="A46" s="920" t="s">
        <v>53</v>
      </c>
      <c r="B46" s="921"/>
      <c r="C46" s="102"/>
      <c r="D46" s="103"/>
      <c r="E46" s="234" t="s">
        <v>54</v>
      </c>
      <c r="F46" s="104"/>
      <c r="G46" s="235"/>
      <c r="H46" s="105"/>
      <c r="I46" s="615" t="s">
        <v>55</v>
      </c>
      <c r="J46" s="616"/>
      <c r="K46" s="616"/>
      <c r="L46" s="616"/>
      <c r="M46" s="616"/>
      <c r="N46" s="616"/>
      <c r="O46" s="617"/>
      <c r="P46" s="615" t="s">
        <v>56</v>
      </c>
      <c r="Q46" s="616"/>
      <c r="R46" s="616"/>
      <c r="S46" s="616"/>
      <c r="T46" s="616"/>
      <c r="U46" s="616"/>
      <c r="V46" s="617"/>
      <c r="W46" s="618" t="s">
        <v>57</v>
      </c>
      <c r="X46" s="619"/>
      <c r="Y46" s="619"/>
      <c r="Z46" s="619"/>
      <c r="AA46" s="619"/>
      <c r="AB46" s="619"/>
      <c r="AC46" s="619"/>
      <c r="AD46" s="619"/>
      <c r="AE46" s="620"/>
      <c r="AF46" s="621" t="s">
        <v>58</v>
      </c>
      <c r="AG46" s="622"/>
      <c r="AH46" s="622"/>
      <c r="AI46" s="622"/>
      <c r="AJ46" s="622"/>
      <c r="AK46" s="622"/>
      <c r="AL46" s="622"/>
      <c r="AM46" s="623"/>
    </row>
    <row r="47" spans="1:39">
      <c r="A47" s="106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245"/>
      <c r="V47" s="245"/>
      <c r="W47" s="246"/>
      <c r="X47" s="246"/>
      <c r="Y47" s="246"/>
      <c r="Z47" s="246"/>
      <c r="AA47" s="247"/>
      <c r="AB47" s="247"/>
      <c r="AC47" s="247"/>
      <c r="AD47" s="247"/>
      <c r="AE47" s="247"/>
      <c r="AF47" s="247"/>
      <c r="AG47" s="248"/>
      <c r="AH47" s="248"/>
      <c r="AI47" s="248"/>
    </row>
    <row r="48" spans="1:39">
      <c r="A48" s="106" t="s">
        <v>59</v>
      </c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U48" s="44"/>
      <c r="V48" s="44"/>
      <c r="AI48" s="249" t="s">
        <v>60</v>
      </c>
    </row>
    <row r="49" spans="25:32">
      <c r="Y49" s="19"/>
      <c r="Z49" s="19"/>
      <c r="AA49" s="109"/>
      <c r="AB49" s="109"/>
      <c r="AC49" s="109"/>
      <c r="AD49" s="109"/>
      <c r="AE49" s="109"/>
      <c r="AF49" s="109"/>
    </row>
    <row r="50" spans="25:32">
      <c r="Y50" s="109"/>
      <c r="Z50" s="109"/>
      <c r="AA50" s="19"/>
      <c r="AB50" s="19"/>
      <c r="AC50" s="19"/>
      <c r="AD50" s="19"/>
      <c r="AE50" s="19"/>
      <c r="AF50" s="19"/>
    </row>
    <row r="51" spans="25:32">
      <c r="Y51" s="19"/>
      <c r="Z51" s="19"/>
    </row>
  </sheetData>
  <mergeCells count="278">
    <mergeCell ref="A33:A42"/>
    <mergeCell ref="I46:O46"/>
    <mergeCell ref="P46:V46"/>
    <mergeCell ref="W46:AE46"/>
    <mergeCell ref="AF46:AM46"/>
    <mergeCell ref="A46:B46"/>
    <mergeCell ref="AI31:AJ32"/>
    <mergeCell ref="AK31:AM32"/>
    <mergeCell ref="AI37:AJ37"/>
    <mergeCell ref="A15:D15"/>
    <mergeCell ref="A26:D26"/>
    <mergeCell ref="I29:O29"/>
    <mergeCell ref="P29:Q29"/>
    <mergeCell ref="R29:S29"/>
    <mergeCell ref="T29:U29"/>
    <mergeCell ref="V29:W29"/>
    <mergeCell ref="X29:Y29"/>
    <mergeCell ref="AB28:AC28"/>
    <mergeCell ref="A28:D28"/>
    <mergeCell ref="I28:O28"/>
    <mergeCell ref="P28:Q28"/>
    <mergeCell ref="R28:S28"/>
    <mergeCell ref="T28:U28"/>
    <mergeCell ref="V28:W28"/>
    <mergeCell ref="X28:Y28"/>
    <mergeCell ref="I22:O22"/>
    <mergeCell ref="P22:Q22"/>
    <mergeCell ref="I23:O23"/>
    <mergeCell ref="P23:Q23"/>
    <mergeCell ref="I19:O19"/>
    <mergeCell ref="P19:Q19"/>
    <mergeCell ref="I20:O20"/>
    <mergeCell ref="P20:Q20"/>
    <mergeCell ref="AD28:AE28"/>
    <mergeCell ref="AF28:AG28"/>
    <mergeCell ref="AH28:AI28"/>
    <mergeCell ref="AJ28:AK28"/>
    <mergeCell ref="AF27:AG27"/>
    <mergeCell ref="Z29:AA29"/>
    <mergeCell ref="AB29:AC29"/>
    <mergeCell ref="AD29:AE29"/>
    <mergeCell ref="AF29:AG29"/>
    <mergeCell ref="AH29:AI29"/>
    <mergeCell ref="AJ29:AK29"/>
    <mergeCell ref="Z28:AA28"/>
    <mergeCell ref="AJ26:AK26"/>
    <mergeCell ref="I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X26:Y26"/>
    <mergeCell ref="Z26:AA26"/>
    <mergeCell ref="AB26:AC26"/>
    <mergeCell ref="AD26:AE26"/>
    <mergeCell ref="AF26:AG26"/>
    <mergeCell ref="AH26:AI26"/>
    <mergeCell ref="I26:O26"/>
    <mergeCell ref="P26:Q26"/>
    <mergeCell ref="R26:S26"/>
    <mergeCell ref="T26:U26"/>
    <mergeCell ref="V26:W26"/>
    <mergeCell ref="AH27:AI27"/>
    <mergeCell ref="AJ27:AK27"/>
    <mergeCell ref="AJ24:AK24"/>
    <mergeCell ref="I25:O25"/>
    <mergeCell ref="R24:S24"/>
    <mergeCell ref="T24:U24"/>
    <mergeCell ref="V24:W24"/>
    <mergeCell ref="X24:Y24"/>
    <mergeCell ref="Z24:AA24"/>
    <mergeCell ref="AB24:AC24"/>
    <mergeCell ref="P25:Q25"/>
    <mergeCell ref="AD24:AE24"/>
    <mergeCell ref="AF24:AG24"/>
    <mergeCell ref="AH24:AI24"/>
    <mergeCell ref="I24:O24"/>
    <mergeCell ref="P24:Q24"/>
    <mergeCell ref="I21:O21"/>
    <mergeCell ref="P21:Q21"/>
    <mergeCell ref="Z18:AA18"/>
    <mergeCell ref="AB18:AC18"/>
    <mergeCell ref="AD18:AE18"/>
    <mergeCell ref="AF18:AG18"/>
    <mergeCell ref="AH18:AI18"/>
    <mergeCell ref="AJ18:AK18"/>
    <mergeCell ref="I18:O18"/>
    <mergeCell ref="P18:Q18"/>
    <mergeCell ref="R18:S18"/>
    <mergeCell ref="T18:U18"/>
    <mergeCell ref="V18:W18"/>
    <mergeCell ref="X18:Y18"/>
    <mergeCell ref="Z17:AA17"/>
    <mergeCell ref="AB17:AC17"/>
    <mergeCell ref="AD17:AE17"/>
    <mergeCell ref="AF17:AG17"/>
    <mergeCell ref="AH17:AI17"/>
    <mergeCell ref="AJ17:AK17"/>
    <mergeCell ref="I17:O17"/>
    <mergeCell ref="P17:Q17"/>
    <mergeCell ref="R17:S17"/>
    <mergeCell ref="T17:U17"/>
    <mergeCell ref="V17:W17"/>
    <mergeCell ref="X17:Y17"/>
    <mergeCell ref="Z16:AA16"/>
    <mergeCell ref="AB16:AC16"/>
    <mergeCell ref="Z15:AA15"/>
    <mergeCell ref="AB15:AC15"/>
    <mergeCell ref="AD16:AE16"/>
    <mergeCell ref="AF16:AG16"/>
    <mergeCell ref="AH16:AI16"/>
    <mergeCell ref="AJ16:AK16"/>
    <mergeCell ref="I16:O16"/>
    <mergeCell ref="P16:Q16"/>
    <mergeCell ref="R16:S16"/>
    <mergeCell ref="T16:U16"/>
    <mergeCell ref="V16:W16"/>
    <mergeCell ref="X16:Y16"/>
    <mergeCell ref="I13:O13"/>
    <mergeCell ref="P13:Q13"/>
    <mergeCell ref="R13:S13"/>
    <mergeCell ref="T13:U13"/>
    <mergeCell ref="V13:W13"/>
    <mergeCell ref="X13:Y13"/>
    <mergeCell ref="P14:Q14"/>
    <mergeCell ref="I15:O15"/>
    <mergeCell ref="P15:Q15"/>
    <mergeCell ref="R15:S15"/>
    <mergeCell ref="T15:U15"/>
    <mergeCell ref="V15:W15"/>
    <mergeCell ref="I14:O14"/>
    <mergeCell ref="Z13:AA13"/>
    <mergeCell ref="AB13:AC13"/>
    <mergeCell ref="AD13:AE13"/>
    <mergeCell ref="AF12:AG12"/>
    <mergeCell ref="AH12:AI12"/>
    <mergeCell ref="AJ12:AK12"/>
    <mergeCell ref="AD15:AE15"/>
    <mergeCell ref="AF13:AG13"/>
    <mergeCell ref="AH13:AI13"/>
    <mergeCell ref="AJ13:AK13"/>
    <mergeCell ref="AF15:AG15"/>
    <mergeCell ref="AH15:AI15"/>
    <mergeCell ref="AJ15:AK15"/>
    <mergeCell ref="I12:O12"/>
    <mergeCell ref="P12:Q12"/>
    <mergeCell ref="R12:S12"/>
    <mergeCell ref="T12:U12"/>
    <mergeCell ref="V12:W12"/>
    <mergeCell ref="X12:Y12"/>
    <mergeCell ref="Z11:AA11"/>
    <mergeCell ref="AB11:AC11"/>
    <mergeCell ref="AD11:AE11"/>
    <mergeCell ref="Z12:AA12"/>
    <mergeCell ref="AB12:AC12"/>
    <mergeCell ref="AD12:AE12"/>
    <mergeCell ref="AF11:AG11"/>
    <mergeCell ref="AH11:AI11"/>
    <mergeCell ref="AJ11:AK11"/>
    <mergeCell ref="I11:O11"/>
    <mergeCell ref="P11:Q11"/>
    <mergeCell ref="R11:S11"/>
    <mergeCell ref="T11:U11"/>
    <mergeCell ref="V11:W11"/>
    <mergeCell ref="X11:Y11"/>
    <mergeCell ref="I8:O8"/>
    <mergeCell ref="Z10:AA10"/>
    <mergeCell ref="AB10:AC10"/>
    <mergeCell ref="AD10:AE10"/>
    <mergeCell ref="AF10:AG10"/>
    <mergeCell ref="AH10:AI10"/>
    <mergeCell ref="AJ10:AK10"/>
    <mergeCell ref="I10:O10"/>
    <mergeCell ref="P10:Q10"/>
    <mergeCell ref="R10:S10"/>
    <mergeCell ref="T10:U10"/>
    <mergeCell ref="V10:W10"/>
    <mergeCell ref="X10:Y10"/>
    <mergeCell ref="R4:S4"/>
    <mergeCell ref="AJ7:AK7"/>
    <mergeCell ref="I7:O7"/>
    <mergeCell ref="P7:Q7"/>
    <mergeCell ref="R7:S7"/>
    <mergeCell ref="T7:U7"/>
    <mergeCell ref="Z9:AA9"/>
    <mergeCell ref="AB9:AC9"/>
    <mergeCell ref="AD9:AE9"/>
    <mergeCell ref="AF9:AG9"/>
    <mergeCell ref="AH9:AI9"/>
    <mergeCell ref="AJ9:AK9"/>
    <mergeCell ref="I9:O9"/>
    <mergeCell ref="P9:Q9"/>
    <mergeCell ref="R9:S9"/>
    <mergeCell ref="T9:U9"/>
    <mergeCell ref="V9:W9"/>
    <mergeCell ref="X9:Y9"/>
    <mergeCell ref="Z8:AA8"/>
    <mergeCell ref="AB8:AC8"/>
    <mergeCell ref="AD8:AE8"/>
    <mergeCell ref="AF8:AG8"/>
    <mergeCell ref="AH8:AI8"/>
    <mergeCell ref="AJ8:AK8"/>
    <mergeCell ref="AD2:AE2"/>
    <mergeCell ref="AF2:AG2"/>
    <mergeCell ref="Z7:AA7"/>
    <mergeCell ref="AB7:AC7"/>
    <mergeCell ref="AD7:AE7"/>
    <mergeCell ref="AF7:AG7"/>
    <mergeCell ref="T4:U4"/>
    <mergeCell ref="V4:W4"/>
    <mergeCell ref="X4:Y4"/>
    <mergeCell ref="Z2:AA2"/>
    <mergeCell ref="AB2:AC2"/>
    <mergeCell ref="AB6:AC6"/>
    <mergeCell ref="AD6:AE6"/>
    <mergeCell ref="AF6:AG6"/>
    <mergeCell ref="AH6:AI6"/>
    <mergeCell ref="AD5:AE5"/>
    <mergeCell ref="Z6:AA6"/>
    <mergeCell ref="P8:Q8"/>
    <mergeCell ref="R8:S8"/>
    <mergeCell ref="T8:U8"/>
    <mergeCell ref="V8:W8"/>
    <mergeCell ref="X8:Y8"/>
    <mergeCell ref="V7:W7"/>
    <mergeCell ref="X7:Y7"/>
    <mergeCell ref="AH4:AI4"/>
    <mergeCell ref="AF3:AG3"/>
    <mergeCell ref="AH3:AI3"/>
    <mergeCell ref="Z4:AA4"/>
    <mergeCell ref="AB4:AC4"/>
    <mergeCell ref="AJ3:AK3"/>
    <mergeCell ref="P4:Q4"/>
    <mergeCell ref="AH7:AI7"/>
    <mergeCell ref="I6:O6"/>
    <mergeCell ref="P6:Q6"/>
    <mergeCell ref="R6:S6"/>
    <mergeCell ref="T6:U6"/>
    <mergeCell ref="V6:W6"/>
    <mergeCell ref="X6:Y6"/>
    <mergeCell ref="AF5:AG5"/>
    <mergeCell ref="AH5:AI5"/>
    <mergeCell ref="I5:O5"/>
    <mergeCell ref="P5:Q5"/>
    <mergeCell ref="R5:S5"/>
    <mergeCell ref="T5:U5"/>
    <mergeCell ref="V5:W5"/>
    <mergeCell ref="X5:Y5"/>
    <mergeCell ref="Z5:AA5"/>
    <mergeCell ref="AB5:AC5"/>
    <mergeCell ref="AJ4:AK4"/>
    <mergeCell ref="AD4:AE4"/>
    <mergeCell ref="AF4:AG4"/>
    <mergeCell ref="AJ6:AK6"/>
    <mergeCell ref="AJ5:AK5"/>
    <mergeCell ref="M1:N1"/>
    <mergeCell ref="R1:U1"/>
    <mergeCell ref="E2:H2"/>
    <mergeCell ref="I2:O4"/>
    <mergeCell ref="P2:Q3"/>
    <mergeCell ref="R2:S2"/>
    <mergeCell ref="T2:U2"/>
    <mergeCell ref="AH2:AI2"/>
    <mergeCell ref="AJ2:AK2"/>
    <mergeCell ref="E3:H3"/>
    <mergeCell ref="R3:S3"/>
    <mergeCell ref="T3:U3"/>
    <mergeCell ref="V3:W3"/>
    <mergeCell ref="X3:Y3"/>
    <mergeCell ref="Z3:AA3"/>
    <mergeCell ref="AB3:AC3"/>
    <mergeCell ref="AD3:AE3"/>
    <mergeCell ref="V2:W2"/>
    <mergeCell ref="X2:Y2"/>
  </mergeCells>
  <dataValidations count="1">
    <dataValidation type="list" allowBlank="1" showInputMessage="1" showErrorMessage="1" sqref="C65539:C65545 HB65539:HB65545 QX65539:QX65545 AAT65539:AAT65545 AKP65539:AKP65545 AUL65539:AUL65545 BEH65539:BEH65545 BOD65539:BOD65545 BXZ65539:BXZ65545 CHV65539:CHV65545 CRR65539:CRR65545 DBN65539:DBN65545 DLJ65539:DLJ65545 DVF65539:DVF65545 EFB65539:EFB65545 EOX65539:EOX65545 EYT65539:EYT65545 FIP65539:FIP65545 FSL65539:FSL65545 GCH65539:GCH65545 GMD65539:GMD65545 GVZ65539:GVZ65545 HFV65539:HFV65545 HPR65539:HPR65545 HZN65539:HZN65545 IJJ65539:IJJ65545 ITF65539:ITF65545 JDB65539:JDB65545 JMX65539:JMX65545 JWT65539:JWT65545 KGP65539:KGP65545 KQL65539:KQL65545 LAH65539:LAH65545 LKD65539:LKD65545 LTZ65539:LTZ65545 MDV65539:MDV65545 MNR65539:MNR65545 MXN65539:MXN65545 NHJ65539:NHJ65545 NRF65539:NRF65545 OBB65539:OBB65545 OKX65539:OKX65545 OUT65539:OUT65545 PEP65539:PEP65545 POL65539:POL65545 PYH65539:PYH65545 QID65539:QID65545 QRZ65539:QRZ65545 RBV65539:RBV65545 RLR65539:RLR65545 RVN65539:RVN65545 SFJ65539:SFJ65545 SPF65539:SPF65545 SZB65539:SZB65545 TIX65539:TIX65545 TST65539:TST65545 UCP65539:UCP65545 UML65539:UML65545 UWH65539:UWH65545 VGD65539:VGD65545 VPZ65539:VPZ65545 VZV65539:VZV65545 WJR65539:WJR65545 WTN65539:WTN65545 C131075:C131081 HB131075:HB131081 QX131075:QX131081 AAT131075:AAT131081 AKP131075:AKP131081 AUL131075:AUL131081 BEH131075:BEH131081 BOD131075:BOD131081 BXZ131075:BXZ131081 CHV131075:CHV131081 CRR131075:CRR131081 DBN131075:DBN131081 DLJ131075:DLJ131081 DVF131075:DVF131081 EFB131075:EFB131081 EOX131075:EOX131081 EYT131075:EYT131081 FIP131075:FIP131081 FSL131075:FSL131081 GCH131075:GCH131081 GMD131075:GMD131081 GVZ131075:GVZ131081 HFV131075:HFV131081 HPR131075:HPR131081 HZN131075:HZN131081 IJJ131075:IJJ131081 ITF131075:ITF131081 JDB131075:JDB131081 JMX131075:JMX131081 JWT131075:JWT131081 KGP131075:KGP131081 KQL131075:KQL131081 LAH131075:LAH131081 LKD131075:LKD131081 LTZ131075:LTZ131081 MDV131075:MDV131081 MNR131075:MNR131081 MXN131075:MXN131081 NHJ131075:NHJ131081 NRF131075:NRF131081 OBB131075:OBB131081 OKX131075:OKX131081 OUT131075:OUT131081 PEP131075:PEP131081 POL131075:POL131081 PYH131075:PYH131081 QID131075:QID131081 QRZ131075:QRZ131081 RBV131075:RBV131081 RLR131075:RLR131081 RVN131075:RVN131081 SFJ131075:SFJ131081 SPF131075:SPF131081 SZB131075:SZB131081 TIX131075:TIX131081 TST131075:TST131081 UCP131075:UCP131081 UML131075:UML131081 UWH131075:UWH131081 VGD131075:VGD131081 VPZ131075:VPZ131081 VZV131075:VZV131081 WJR131075:WJR131081 WTN131075:WTN131081 C196611:C196617 HB196611:HB196617 QX196611:QX196617 AAT196611:AAT196617 AKP196611:AKP196617 AUL196611:AUL196617 BEH196611:BEH196617 BOD196611:BOD196617 BXZ196611:BXZ196617 CHV196611:CHV196617 CRR196611:CRR196617 DBN196611:DBN196617 DLJ196611:DLJ196617 DVF196611:DVF196617 EFB196611:EFB196617 EOX196611:EOX196617 EYT196611:EYT196617 FIP196611:FIP196617 FSL196611:FSL196617 GCH196611:GCH196617 GMD196611:GMD196617 GVZ196611:GVZ196617 HFV196611:HFV196617 HPR196611:HPR196617 HZN196611:HZN196617 IJJ196611:IJJ196617 ITF196611:ITF196617 JDB196611:JDB196617 JMX196611:JMX196617 JWT196611:JWT196617 KGP196611:KGP196617 KQL196611:KQL196617 LAH196611:LAH196617 LKD196611:LKD196617 LTZ196611:LTZ196617 MDV196611:MDV196617 MNR196611:MNR196617 MXN196611:MXN196617 NHJ196611:NHJ196617 NRF196611:NRF196617 OBB196611:OBB196617 OKX196611:OKX196617 OUT196611:OUT196617 PEP196611:PEP196617 POL196611:POL196617 PYH196611:PYH196617 QID196611:QID196617 QRZ196611:QRZ196617 RBV196611:RBV196617 RLR196611:RLR196617 RVN196611:RVN196617 SFJ196611:SFJ196617 SPF196611:SPF196617 SZB196611:SZB196617 TIX196611:TIX196617 TST196611:TST196617 UCP196611:UCP196617 UML196611:UML196617 UWH196611:UWH196617 VGD196611:VGD196617 VPZ196611:VPZ196617 VZV196611:VZV196617 WJR196611:WJR196617 WTN196611:WTN196617 C262147:C262153 HB262147:HB262153 QX262147:QX262153 AAT262147:AAT262153 AKP262147:AKP262153 AUL262147:AUL262153 BEH262147:BEH262153 BOD262147:BOD262153 BXZ262147:BXZ262153 CHV262147:CHV262153 CRR262147:CRR262153 DBN262147:DBN262153 DLJ262147:DLJ262153 DVF262147:DVF262153 EFB262147:EFB262153 EOX262147:EOX262153 EYT262147:EYT262153 FIP262147:FIP262153 FSL262147:FSL262153 GCH262147:GCH262153 GMD262147:GMD262153 GVZ262147:GVZ262153 HFV262147:HFV262153 HPR262147:HPR262153 HZN262147:HZN262153 IJJ262147:IJJ262153 ITF262147:ITF262153 JDB262147:JDB262153 JMX262147:JMX262153 JWT262147:JWT262153 KGP262147:KGP262153 KQL262147:KQL262153 LAH262147:LAH262153 LKD262147:LKD262153 LTZ262147:LTZ262153 MDV262147:MDV262153 MNR262147:MNR262153 MXN262147:MXN262153 NHJ262147:NHJ262153 NRF262147:NRF262153 OBB262147:OBB262153 OKX262147:OKX262153 OUT262147:OUT262153 PEP262147:PEP262153 POL262147:POL262153 PYH262147:PYH262153 QID262147:QID262153 QRZ262147:QRZ262153 RBV262147:RBV262153 RLR262147:RLR262153 RVN262147:RVN262153 SFJ262147:SFJ262153 SPF262147:SPF262153 SZB262147:SZB262153 TIX262147:TIX262153 TST262147:TST262153 UCP262147:UCP262153 UML262147:UML262153 UWH262147:UWH262153 VGD262147:VGD262153 VPZ262147:VPZ262153 VZV262147:VZV262153 WJR262147:WJR262153 WTN262147:WTN262153 C327683:C327689 HB327683:HB327689 QX327683:QX327689 AAT327683:AAT327689 AKP327683:AKP327689 AUL327683:AUL327689 BEH327683:BEH327689 BOD327683:BOD327689 BXZ327683:BXZ327689 CHV327683:CHV327689 CRR327683:CRR327689 DBN327683:DBN327689 DLJ327683:DLJ327689 DVF327683:DVF327689 EFB327683:EFB327689 EOX327683:EOX327689 EYT327683:EYT327689 FIP327683:FIP327689 FSL327683:FSL327689 GCH327683:GCH327689 GMD327683:GMD327689 GVZ327683:GVZ327689 HFV327683:HFV327689 HPR327683:HPR327689 HZN327683:HZN327689 IJJ327683:IJJ327689 ITF327683:ITF327689 JDB327683:JDB327689 JMX327683:JMX327689 JWT327683:JWT327689 KGP327683:KGP327689 KQL327683:KQL327689 LAH327683:LAH327689 LKD327683:LKD327689 LTZ327683:LTZ327689 MDV327683:MDV327689 MNR327683:MNR327689 MXN327683:MXN327689 NHJ327683:NHJ327689 NRF327683:NRF327689 OBB327683:OBB327689 OKX327683:OKX327689 OUT327683:OUT327689 PEP327683:PEP327689 POL327683:POL327689 PYH327683:PYH327689 QID327683:QID327689 QRZ327683:QRZ327689 RBV327683:RBV327689 RLR327683:RLR327689 RVN327683:RVN327689 SFJ327683:SFJ327689 SPF327683:SPF327689 SZB327683:SZB327689 TIX327683:TIX327689 TST327683:TST327689 UCP327683:UCP327689 UML327683:UML327689 UWH327683:UWH327689 VGD327683:VGD327689 VPZ327683:VPZ327689 VZV327683:VZV327689 WJR327683:WJR327689 WTN327683:WTN327689 C393219:C393225 HB393219:HB393225 QX393219:QX393225 AAT393219:AAT393225 AKP393219:AKP393225 AUL393219:AUL393225 BEH393219:BEH393225 BOD393219:BOD393225 BXZ393219:BXZ393225 CHV393219:CHV393225 CRR393219:CRR393225 DBN393219:DBN393225 DLJ393219:DLJ393225 DVF393219:DVF393225 EFB393219:EFB393225 EOX393219:EOX393225 EYT393219:EYT393225 FIP393219:FIP393225 FSL393219:FSL393225 GCH393219:GCH393225 GMD393219:GMD393225 GVZ393219:GVZ393225 HFV393219:HFV393225 HPR393219:HPR393225 HZN393219:HZN393225 IJJ393219:IJJ393225 ITF393219:ITF393225 JDB393219:JDB393225 JMX393219:JMX393225 JWT393219:JWT393225 KGP393219:KGP393225 KQL393219:KQL393225 LAH393219:LAH393225 LKD393219:LKD393225 LTZ393219:LTZ393225 MDV393219:MDV393225 MNR393219:MNR393225 MXN393219:MXN393225 NHJ393219:NHJ393225 NRF393219:NRF393225 OBB393219:OBB393225 OKX393219:OKX393225 OUT393219:OUT393225 PEP393219:PEP393225 POL393219:POL393225 PYH393219:PYH393225 QID393219:QID393225 QRZ393219:QRZ393225 RBV393219:RBV393225 RLR393219:RLR393225 RVN393219:RVN393225 SFJ393219:SFJ393225 SPF393219:SPF393225 SZB393219:SZB393225 TIX393219:TIX393225 TST393219:TST393225 UCP393219:UCP393225 UML393219:UML393225 UWH393219:UWH393225 VGD393219:VGD393225 VPZ393219:VPZ393225 VZV393219:VZV393225 WJR393219:WJR393225 WTN393219:WTN393225 C458755:C458761 HB458755:HB458761 QX458755:QX458761 AAT458755:AAT458761 AKP458755:AKP458761 AUL458755:AUL458761 BEH458755:BEH458761 BOD458755:BOD458761 BXZ458755:BXZ458761 CHV458755:CHV458761 CRR458755:CRR458761 DBN458755:DBN458761 DLJ458755:DLJ458761 DVF458755:DVF458761 EFB458755:EFB458761 EOX458755:EOX458761 EYT458755:EYT458761 FIP458755:FIP458761 FSL458755:FSL458761 GCH458755:GCH458761 GMD458755:GMD458761 GVZ458755:GVZ458761 HFV458755:HFV458761 HPR458755:HPR458761 HZN458755:HZN458761 IJJ458755:IJJ458761 ITF458755:ITF458761 JDB458755:JDB458761 JMX458755:JMX458761 JWT458755:JWT458761 KGP458755:KGP458761 KQL458755:KQL458761 LAH458755:LAH458761 LKD458755:LKD458761 LTZ458755:LTZ458761 MDV458755:MDV458761 MNR458755:MNR458761 MXN458755:MXN458761 NHJ458755:NHJ458761 NRF458755:NRF458761 OBB458755:OBB458761 OKX458755:OKX458761 OUT458755:OUT458761 PEP458755:PEP458761 POL458755:POL458761 PYH458755:PYH458761 QID458755:QID458761 QRZ458755:QRZ458761 RBV458755:RBV458761 RLR458755:RLR458761 RVN458755:RVN458761 SFJ458755:SFJ458761 SPF458755:SPF458761 SZB458755:SZB458761 TIX458755:TIX458761 TST458755:TST458761 UCP458755:UCP458761 UML458755:UML458761 UWH458755:UWH458761 VGD458755:VGD458761 VPZ458755:VPZ458761 VZV458755:VZV458761 WJR458755:WJR458761 WTN458755:WTN458761 C524291:C524297 HB524291:HB524297 QX524291:QX524297 AAT524291:AAT524297 AKP524291:AKP524297 AUL524291:AUL524297 BEH524291:BEH524297 BOD524291:BOD524297 BXZ524291:BXZ524297 CHV524291:CHV524297 CRR524291:CRR524297 DBN524291:DBN524297 DLJ524291:DLJ524297 DVF524291:DVF524297 EFB524291:EFB524297 EOX524291:EOX524297 EYT524291:EYT524297 FIP524291:FIP524297 FSL524291:FSL524297 GCH524291:GCH524297 GMD524291:GMD524297 GVZ524291:GVZ524297 HFV524291:HFV524297 HPR524291:HPR524297 HZN524291:HZN524297 IJJ524291:IJJ524297 ITF524291:ITF524297 JDB524291:JDB524297 JMX524291:JMX524297 JWT524291:JWT524297 KGP524291:KGP524297 KQL524291:KQL524297 LAH524291:LAH524297 LKD524291:LKD524297 LTZ524291:LTZ524297 MDV524291:MDV524297 MNR524291:MNR524297 MXN524291:MXN524297 NHJ524291:NHJ524297 NRF524291:NRF524297 OBB524291:OBB524297 OKX524291:OKX524297 OUT524291:OUT524297 PEP524291:PEP524297 POL524291:POL524297 PYH524291:PYH524297 QID524291:QID524297 QRZ524291:QRZ524297 RBV524291:RBV524297 RLR524291:RLR524297 RVN524291:RVN524297 SFJ524291:SFJ524297 SPF524291:SPF524297 SZB524291:SZB524297 TIX524291:TIX524297 TST524291:TST524297 UCP524291:UCP524297 UML524291:UML524297 UWH524291:UWH524297 VGD524291:VGD524297 VPZ524291:VPZ524297 VZV524291:VZV524297 WJR524291:WJR524297 WTN524291:WTN524297 C589827:C589833 HB589827:HB589833 QX589827:QX589833 AAT589827:AAT589833 AKP589827:AKP589833 AUL589827:AUL589833 BEH589827:BEH589833 BOD589827:BOD589833 BXZ589827:BXZ589833 CHV589827:CHV589833 CRR589827:CRR589833 DBN589827:DBN589833 DLJ589827:DLJ589833 DVF589827:DVF589833 EFB589827:EFB589833 EOX589827:EOX589833 EYT589827:EYT589833 FIP589827:FIP589833 FSL589827:FSL589833 GCH589827:GCH589833 GMD589827:GMD589833 GVZ589827:GVZ589833 HFV589827:HFV589833 HPR589827:HPR589833 HZN589827:HZN589833 IJJ589827:IJJ589833 ITF589827:ITF589833 JDB589827:JDB589833 JMX589827:JMX589833 JWT589827:JWT589833 KGP589827:KGP589833 KQL589827:KQL589833 LAH589827:LAH589833 LKD589827:LKD589833 LTZ589827:LTZ589833 MDV589827:MDV589833 MNR589827:MNR589833 MXN589827:MXN589833 NHJ589827:NHJ589833 NRF589827:NRF589833 OBB589827:OBB589833 OKX589827:OKX589833 OUT589827:OUT589833 PEP589827:PEP589833 POL589827:POL589833 PYH589827:PYH589833 QID589827:QID589833 QRZ589827:QRZ589833 RBV589827:RBV589833 RLR589827:RLR589833 RVN589827:RVN589833 SFJ589827:SFJ589833 SPF589827:SPF589833 SZB589827:SZB589833 TIX589827:TIX589833 TST589827:TST589833 UCP589827:UCP589833 UML589827:UML589833 UWH589827:UWH589833 VGD589827:VGD589833 VPZ589827:VPZ589833 VZV589827:VZV589833 WJR589827:WJR589833 WTN589827:WTN589833 C655363:C655369 HB655363:HB655369 QX655363:QX655369 AAT655363:AAT655369 AKP655363:AKP655369 AUL655363:AUL655369 BEH655363:BEH655369 BOD655363:BOD655369 BXZ655363:BXZ655369 CHV655363:CHV655369 CRR655363:CRR655369 DBN655363:DBN655369 DLJ655363:DLJ655369 DVF655363:DVF655369 EFB655363:EFB655369 EOX655363:EOX655369 EYT655363:EYT655369 FIP655363:FIP655369 FSL655363:FSL655369 GCH655363:GCH655369 GMD655363:GMD655369 GVZ655363:GVZ655369 HFV655363:HFV655369 HPR655363:HPR655369 HZN655363:HZN655369 IJJ655363:IJJ655369 ITF655363:ITF655369 JDB655363:JDB655369 JMX655363:JMX655369 JWT655363:JWT655369 KGP655363:KGP655369 KQL655363:KQL655369 LAH655363:LAH655369 LKD655363:LKD655369 LTZ655363:LTZ655369 MDV655363:MDV655369 MNR655363:MNR655369 MXN655363:MXN655369 NHJ655363:NHJ655369 NRF655363:NRF655369 OBB655363:OBB655369 OKX655363:OKX655369 OUT655363:OUT655369 PEP655363:PEP655369 POL655363:POL655369 PYH655363:PYH655369 QID655363:QID655369 QRZ655363:QRZ655369 RBV655363:RBV655369 RLR655363:RLR655369 RVN655363:RVN655369 SFJ655363:SFJ655369 SPF655363:SPF655369 SZB655363:SZB655369 TIX655363:TIX655369 TST655363:TST655369 UCP655363:UCP655369 UML655363:UML655369 UWH655363:UWH655369 VGD655363:VGD655369 VPZ655363:VPZ655369 VZV655363:VZV655369 WJR655363:WJR655369 WTN655363:WTN655369 C720899:C720905 HB720899:HB720905 QX720899:QX720905 AAT720899:AAT720905 AKP720899:AKP720905 AUL720899:AUL720905 BEH720899:BEH720905 BOD720899:BOD720905 BXZ720899:BXZ720905 CHV720899:CHV720905 CRR720899:CRR720905 DBN720899:DBN720905 DLJ720899:DLJ720905 DVF720899:DVF720905 EFB720899:EFB720905 EOX720899:EOX720905 EYT720899:EYT720905 FIP720899:FIP720905 FSL720899:FSL720905 GCH720899:GCH720905 GMD720899:GMD720905 GVZ720899:GVZ720905 HFV720899:HFV720905 HPR720899:HPR720905 HZN720899:HZN720905 IJJ720899:IJJ720905 ITF720899:ITF720905 JDB720899:JDB720905 JMX720899:JMX720905 JWT720899:JWT720905 KGP720899:KGP720905 KQL720899:KQL720905 LAH720899:LAH720905 LKD720899:LKD720905 LTZ720899:LTZ720905 MDV720899:MDV720905 MNR720899:MNR720905 MXN720899:MXN720905 NHJ720899:NHJ720905 NRF720899:NRF720905 OBB720899:OBB720905 OKX720899:OKX720905 OUT720899:OUT720905 PEP720899:PEP720905 POL720899:POL720905 PYH720899:PYH720905 QID720899:QID720905 QRZ720899:QRZ720905 RBV720899:RBV720905 RLR720899:RLR720905 RVN720899:RVN720905 SFJ720899:SFJ720905 SPF720899:SPF720905 SZB720899:SZB720905 TIX720899:TIX720905 TST720899:TST720905 UCP720899:UCP720905 UML720899:UML720905 UWH720899:UWH720905 VGD720899:VGD720905 VPZ720899:VPZ720905 VZV720899:VZV720905 WJR720899:WJR720905 WTN720899:WTN720905 C786435:C786441 HB786435:HB786441 QX786435:QX786441 AAT786435:AAT786441 AKP786435:AKP786441 AUL786435:AUL786441 BEH786435:BEH786441 BOD786435:BOD786441 BXZ786435:BXZ786441 CHV786435:CHV786441 CRR786435:CRR786441 DBN786435:DBN786441 DLJ786435:DLJ786441 DVF786435:DVF786441 EFB786435:EFB786441 EOX786435:EOX786441 EYT786435:EYT786441 FIP786435:FIP786441 FSL786435:FSL786441 GCH786435:GCH786441 GMD786435:GMD786441 GVZ786435:GVZ786441 HFV786435:HFV786441 HPR786435:HPR786441 HZN786435:HZN786441 IJJ786435:IJJ786441 ITF786435:ITF786441 JDB786435:JDB786441 JMX786435:JMX786441 JWT786435:JWT786441 KGP786435:KGP786441 KQL786435:KQL786441 LAH786435:LAH786441 LKD786435:LKD786441 LTZ786435:LTZ786441 MDV786435:MDV786441 MNR786435:MNR786441 MXN786435:MXN786441 NHJ786435:NHJ786441 NRF786435:NRF786441 OBB786435:OBB786441 OKX786435:OKX786441 OUT786435:OUT786441 PEP786435:PEP786441 POL786435:POL786441 PYH786435:PYH786441 QID786435:QID786441 QRZ786435:QRZ786441 RBV786435:RBV786441 RLR786435:RLR786441 RVN786435:RVN786441 SFJ786435:SFJ786441 SPF786435:SPF786441 SZB786435:SZB786441 TIX786435:TIX786441 TST786435:TST786441 UCP786435:UCP786441 UML786435:UML786441 UWH786435:UWH786441 VGD786435:VGD786441 VPZ786435:VPZ786441 VZV786435:VZV786441 WJR786435:WJR786441 WTN786435:WTN786441 C851971:C851977 HB851971:HB851977 QX851971:QX851977 AAT851971:AAT851977 AKP851971:AKP851977 AUL851971:AUL851977 BEH851971:BEH851977 BOD851971:BOD851977 BXZ851971:BXZ851977 CHV851971:CHV851977 CRR851971:CRR851977 DBN851971:DBN851977 DLJ851971:DLJ851977 DVF851971:DVF851977 EFB851971:EFB851977 EOX851971:EOX851977 EYT851971:EYT851977 FIP851971:FIP851977 FSL851971:FSL851977 GCH851971:GCH851977 GMD851971:GMD851977 GVZ851971:GVZ851977 HFV851971:HFV851977 HPR851971:HPR851977 HZN851971:HZN851977 IJJ851971:IJJ851977 ITF851971:ITF851977 JDB851971:JDB851977 JMX851971:JMX851977 JWT851971:JWT851977 KGP851971:KGP851977 KQL851971:KQL851977 LAH851971:LAH851977 LKD851971:LKD851977 LTZ851971:LTZ851977 MDV851971:MDV851977 MNR851971:MNR851977 MXN851971:MXN851977 NHJ851971:NHJ851977 NRF851971:NRF851977 OBB851971:OBB851977 OKX851971:OKX851977 OUT851971:OUT851977 PEP851971:PEP851977 POL851971:POL851977 PYH851971:PYH851977 QID851971:QID851977 QRZ851971:QRZ851977 RBV851971:RBV851977 RLR851971:RLR851977 RVN851971:RVN851977 SFJ851971:SFJ851977 SPF851971:SPF851977 SZB851971:SZB851977 TIX851971:TIX851977 TST851971:TST851977 UCP851971:UCP851977 UML851971:UML851977 UWH851971:UWH851977 VGD851971:VGD851977 VPZ851971:VPZ851977 VZV851971:VZV851977 WJR851971:WJR851977 WTN851971:WTN851977 C917507:C917513 HB917507:HB917513 QX917507:QX917513 AAT917507:AAT917513 AKP917507:AKP917513 AUL917507:AUL917513 BEH917507:BEH917513 BOD917507:BOD917513 BXZ917507:BXZ917513 CHV917507:CHV917513 CRR917507:CRR917513 DBN917507:DBN917513 DLJ917507:DLJ917513 DVF917507:DVF917513 EFB917507:EFB917513 EOX917507:EOX917513 EYT917507:EYT917513 FIP917507:FIP917513 FSL917507:FSL917513 GCH917507:GCH917513 GMD917507:GMD917513 GVZ917507:GVZ917513 HFV917507:HFV917513 HPR917507:HPR917513 HZN917507:HZN917513 IJJ917507:IJJ917513 ITF917507:ITF917513 JDB917507:JDB917513 JMX917507:JMX917513 JWT917507:JWT917513 KGP917507:KGP917513 KQL917507:KQL917513 LAH917507:LAH917513 LKD917507:LKD917513 LTZ917507:LTZ917513 MDV917507:MDV917513 MNR917507:MNR917513 MXN917507:MXN917513 NHJ917507:NHJ917513 NRF917507:NRF917513 OBB917507:OBB917513 OKX917507:OKX917513 OUT917507:OUT917513 PEP917507:PEP917513 POL917507:POL917513 PYH917507:PYH917513 QID917507:QID917513 QRZ917507:QRZ917513 RBV917507:RBV917513 RLR917507:RLR917513 RVN917507:RVN917513 SFJ917507:SFJ917513 SPF917507:SPF917513 SZB917507:SZB917513 TIX917507:TIX917513 TST917507:TST917513 UCP917507:UCP917513 UML917507:UML917513 UWH917507:UWH917513 VGD917507:VGD917513 VPZ917507:VPZ917513 VZV917507:VZV917513 WJR917507:WJR917513 WTN917507:WTN917513 C983043:C983049 HB983043:HB983049 QX983043:QX983049 AAT983043:AAT983049 AKP983043:AKP983049 AUL983043:AUL983049 BEH983043:BEH983049 BOD983043:BOD983049 BXZ983043:BXZ983049 CHV983043:CHV983049 CRR983043:CRR983049 DBN983043:DBN983049 DLJ983043:DLJ983049 DVF983043:DVF983049 EFB983043:EFB983049 EOX983043:EOX983049 EYT983043:EYT983049 FIP983043:FIP983049 FSL983043:FSL983049 GCH983043:GCH983049 GMD983043:GMD983049 GVZ983043:GVZ983049 HFV983043:HFV983049 HPR983043:HPR983049 HZN983043:HZN983049 IJJ983043:IJJ983049 ITF983043:ITF983049 JDB983043:JDB983049 JMX983043:JMX983049 JWT983043:JWT983049 KGP983043:KGP983049 KQL983043:KQL983049 LAH983043:LAH983049 LKD983043:LKD983049 LTZ983043:LTZ983049 MDV983043:MDV983049 MNR983043:MNR983049 MXN983043:MXN983049 NHJ983043:NHJ983049 NRF983043:NRF983049 OBB983043:OBB983049 OKX983043:OKX983049 OUT983043:OUT983049 PEP983043:PEP983049 POL983043:POL983049 PYH983043:PYH983049 QID983043:QID983049 QRZ983043:QRZ983049 RBV983043:RBV983049 RLR983043:RLR983049 RVN983043:RVN983049 SFJ983043:SFJ983049 SPF983043:SPF983049 SZB983043:SZB983049 TIX983043:TIX983049 TST983043:TST983049 UCP983043:UCP983049 UML983043:UML983049 UWH983043:UWH983049 VGD983043:VGD983049 VPZ983043:VPZ983049 VZV983043:VZV983049 WJR983043:WJR983049 WTN983043:WTN983049 C65562:C65569 HB65562:HB65569 QX65562:QX65569 AAT65562:AAT65569 AKP65562:AKP65569 AUL65562:AUL65569 BEH65562:BEH65569 BOD65562:BOD65569 BXZ65562:BXZ65569 CHV65562:CHV65569 CRR65562:CRR65569 DBN65562:DBN65569 DLJ65562:DLJ65569 DVF65562:DVF65569 EFB65562:EFB65569 EOX65562:EOX65569 EYT65562:EYT65569 FIP65562:FIP65569 FSL65562:FSL65569 GCH65562:GCH65569 GMD65562:GMD65569 GVZ65562:GVZ65569 HFV65562:HFV65569 HPR65562:HPR65569 HZN65562:HZN65569 IJJ65562:IJJ65569 ITF65562:ITF65569 JDB65562:JDB65569 JMX65562:JMX65569 JWT65562:JWT65569 KGP65562:KGP65569 KQL65562:KQL65569 LAH65562:LAH65569 LKD65562:LKD65569 LTZ65562:LTZ65569 MDV65562:MDV65569 MNR65562:MNR65569 MXN65562:MXN65569 NHJ65562:NHJ65569 NRF65562:NRF65569 OBB65562:OBB65569 OKX65562:OKX65569 OUT65562:OUT65569 PEP65562:PEP65569 POL65562:POL65569 PYH65562:PYH65569 QID65562:QID65569 QRZ65562:QRZ65569 RBV65562:RBV65569 RLR65562:RLR65569 RVN65562:RVN65569 SFJ65562:SFJ65569 SPF65562:SPF65569 SZB65562:SZB65569 TIX65562:TIX65569 TST65562:TST65569 UCP65562:UCP65569 UML65562:UML65569 UWH65562:UWH65569 VGD65562:VGD65569 VPZ65562:VPZ65569 VZV65562:VZV65569 WJR65562:WJR65569 WTN65562:WTN65569 C131098:C131105 HB131098:HB131105 QX131098:QX131105 AAT131098:AAT131105 AKP131098:AKP131105 AUL131098:AUL131105 BEH131098:BEH131105 BOD131098:BOD131105 BXZ131098:BXZ131105 CHV131098:CHV131105 CRR131098:CRR131105 DBN131098:DBN131105 DLJ131098:DLJ131105 DVF131098:DVF131105 EFB131098:EFB131105 EOX131098:EOX131105 EYT131098:EYT131105 FIP131098:FIP131105 FSL131098:FSL131105 GCH131098:GCH131105 GMD131098:GMD131105 GVZ131098:GVZ131105 HFV131098:HFV131105 HPR131098:HPR131105 HZN131098:HZN131105 IJJ131098:IJJ131105 ITF131098:ITF131105 JDB131098:JDB131105 JMX131098:JMX131105 JWT131098:JWT131105 KGP131098:KGP131105 KQL131098:KQL131105 LAH131098:LAH131105 LKD131098:LKD131105 LTZ131098:LTZ131105 MDV131098:MDV131105 MNR131098:MNR131105 MXN131098:MXN131105 NHJ131098:NHJ131105 NRF131098:NRF131105 OBB131098:OBB131105 OKX131098:OKX131105 OUT131098:OUT131105 PEP131098:PEP131105 POL131098:POL131105 PYH131098:PYH131105 QID131098:QID131105 QRZ131098:QRZ131105 RBV131098:RBV131105 RLR131098:RLR131105 RVN131098:RVN131105 SFJ131098:SFJ131105 SPF131098:SPF131105 SZB131098:SZB131105 TIX131098:TIX131105 TST131098:TST131105 UCP131098:UCP131105 UML131098:UML131105 UWH131098:UWH131105 VGD131098:VGD131105 VPZ131098:VPZ131105 VZV131098:VZV131105 WJR131098:WJR131105 WTN131098:WTN131105 C196634:C196641 HB196634:HB196641 QX196634:QX196641 AAT196634:AAT196641 AKP196634:AKP196641 AUL196634:AUL196641 BEH196634:BEH196641 BOD196634:BOD196641 BXZ196634:BXZ196641 CHV196634:CHV196641 CRR196634:CRR196641 DBN196634:DBN196641 DLJ196634:DLJ196641 DVF196634:DVF196641 EFB196634:EFB196641 EOX196634:EOX196641 EYT196634:EYT196641 FIP196634:FIP196641 FSL196634:FSL196641 GCH196634:GCH196641 GMD196634:GMD196641 GVZ196634:GVZ196641 HFV196634:HFV196641 HPR196634:HPR196641 HZN196634:HZN196641 IJJ196634:IJJ196641 ITF196634:ITF196641 JDB196634:JDB196641 JMX196634:JMX196641 JWT196634:JWT196641 KGP196634:KGP196641 KQL196634:KQL196641 LAH196634:LAH196641 LKD196634:LKD196641 LTZ196634:LTZ196641 MDV196634:MDV196641 MNR196634:MNR196641 MXN196634:MXN196641 NHJ196634:NHJ196641 NRF196634:NRF196641 OBB196634:OBB196641 OKX196634:OKX196641 OUT196634:OUT196641 PEP196634:PEP196641 POL196634:POL196641 PYH196634:PYH196641 QID196634:QID196641 QRZ196634:QRZ196641 RBV196634:RBV196641 RLR196634:RLR196641 RVN196634:RVN196641 SFJ196634:SFJ196641 SPF196634:SPF196641 SZB196634:SZB196641 TIX196634:TIX196641 TST196634:TST196641 UCP196634:UCP196641 UML196634:UML196641 UWH196634:UWH196641 VGD196634:VGD196641 VPZ196634:VPZ196641 VZV196634:VZV196641 WJR196634:WJR196641 WTN196634:WTN196641 C262170:C262177 HB262170:HB262177 QX262170:QX262177 AAT262170:AAT262177 AKP262170:AKP262177 AUL262170:AUL262177 BEH262170:BEH262177 BOD262170:BOD262177 BXZ262170:BXZ262177 CHV262170:CHV262177 CRR262170:CRR262177 DBN262170:DBN262177 DLJ262170:DLJ262177 DVF262170:DVF262177 EFB262170:EFB262177 EOX262170:EOX262177 EYT262170:EYT262177 FIP262170:FIP262177 FSL262170:FSL262177 GCH262170:GCH262177 GMD262170:GMD262177 GVZ262170:GVZ262177 HFV262170:HFV262177 HPR262170:HPR262177 HZN262170:HZN262177 IJJ262170:IJJ262177 ITF262170:ITF262177 JDB262170:JDB262177 JMX262170:JMX262177 JWT262170:JWT262177 KGP262170:KGP262177 KQL262170:KQL262177 LAH262170:LAH262177 LKD262170:LKD262177 LTZ262170:LTZ262177 MDV262170:MDV262177 MNR262170:MNR262177 MXN262170:MXN262177 NHJ262170:NHJ262177 NRF262170:NRF262177 OBB262170:OBB262177 OKX262170:OKX262177 OUT262170:OUT262177 PEP262170:PEP262177 POL262170:POL262177 PYH262170:PYH262177 QID262170:QID262177 QRZ262170:QRZ262177 RBV262170:RBV262177 RLR262170:RLR262177 RVN262170:RVN262177 SFJ262170:SFJ262177 SPF262170:SPF262177 SZB262170:SZB262177 TIX262170:TIX262177 TST262170:TST262177 UCP262170:UCP262177 UML262170:UML262177 UWH262170:UWH262177 VGD262170:VGD262177 VPZ262170:VPZ262177 VZV262170:VZV262177 WJR262170:WJR262177 WTN262170:WTN262177 C327706:C327713 HB327706:HB327713 QX327706:QX327713 AAT327706:AAT327713 AKP327706:AKP327713 AUL327706:AUL327713 BEH327706:BEH327713 BOD327706:BOD327713 BXZ327706:BXZ327713 CHV327706:CHV327713 CRR327706:CRR327713 DBN327706:DBN327713 DLJ327706:DLJ327713 DVF327706:DVF327713 EFB327706:EFB327713 EOX327706:EOX327713 EYT327706:EYT327713 FIP327706:FIP327713 FSL327706:FSL327713 GCH327706:GCH327713 GMD327706:GMD327713 GVZ327706:GVZ327713 HFV327706:HFV327713 HPR327706:HPR327713 HZN327706:HZN327713 IJJ327706:IJJ327713 ITF327706:ITF327713 JDB327706:JDB327713 JMX327706:JMX327713 JWT327706:JWT327713 KGP327706:KGP327713 KQL327706:KQL327713 LAH327706:LAH327713 LKD327706:LKD327713 LTZ327706:LTZ327713 MDV327706:MDV327713 MNR327706:MNR327713 MXN327706:MXN327713 NHJ327706:NHJ327713 NRF327706:NRF327713 OBB327706:OBB327713 OKX327706:OKX327713 OUT327706:OUT327713 PEP327706:PEP327713 POL327706:POL327713 PYH327706:PYH327713 QID327706:QID327713 QRZ327706:QRZ327713 RBV327706:RBV327713 RLR327706:RLR327713 RVN327706:RVN327713 SFJ327706:SFJ327713 SPF327706:SPF327713 SZB327706:SZB327713 TIX327706:TIX327713 TST327706:TST327713 UCP327706:UCP327713 UML327706:UML327713 UWH327706:UWH327713 VGD327706:VGD327713 VPZ327706:VPZ327713 VZV327706:VZV327713 WJR327706:WJR327713 WTN327706:WTN327713 C393242:C393249 HB393242:HB393249 QX393242:QX393249 AAT393242:AAT393249 AKP393242:AKP393249 AUL393242:AUL393249 BEH393242:BEH393249 BOD393242:BOD393249 BXZ393242:BXZ393249 CHV393242:CHV393249 CRR393242:CRR393249 DBN393242:DBN393249 DLJ393242:DLJ393249 DVF393242:DVF393249 EFB393242:EFB393249 EOX393242:EOX393249 EYT393242:EYT393249 FIP393242:FIP393249 FSL393242:FSL393249 GCH393242:GCH393249 GMD393242:GMD393249 GVZ393242:GVZ393249 HFV393242:HFV393249 HPR393242:HPR393249 HZN393242:HZN393249 IJJ393242:IJJ393249 ITF393242:ITF393249 JDB393242:JDB393249 JMX393242:JMX393249 JWT393242:JWT393249 KGP393242:KGP393249 KQL393242:KQL393249 LAH393242:LAH393249 LKD393242:LKD393249 LTZ393242:LTZ393249 MDV393242:MDV393249 MNR393242:MNR393249 MXN393242:MXN393249 NHJ393242:NHJ393249 NRF393242:NRF393249 OBB393242:OBB393249 OKX393242:OKX393249 OUT393242:OUT393249 PEP393242:PEP393249 POL393242:POL393249 PYH393242:PYH393249 QID393242:QID393249 QRZ393242:QRZ393249 RBV393242:RBV393249 RLR393242:RLR393249 RVN393242:RVN393249 SFJ393242:SFJ393249 SPF393242:SPF393249 SZB393242:SZB393249 TIX393242:TIX393249 TST393242:TST393249 UCP393242:UCP393249 UML393242:UML393249 UWH393242:UWH393249 VGD393242:VGD393249 VPZ393242:VPZ393249 VZV393242:VZV393249 WJR393242:WJR393249 WTN393242:WTN393249 C458778:C458785 HB458778:HB458785 QX458778:QX458785 AAT458778:AAT458785 AKP458778:AKP458785 AUL458778:AUL458785 BEH458778:BEH458785 BOD458778:BOD458785 BXZ458778:BXZ458785 CHV458778:CHV458785 CRR458778:CRR458785 DBN458778:DBN458785 DLJ458778:DLJ458785 DVF458778:DVF458785 EFB458778:EFB458785 EOX458778:EOX458785 EYT458778:EYT458785 FIP458778:FIP458785 FSL458778:FSL458785 GCH458778:GCH458785 GMD458778:GMD458785 GVZ458778:GVZ458785 HFV458778:HFV458785 HPR458778:HPR458785 HZN458778:HZN458785 IJJ458778:IJJ458785 ITF458778:ITF458785 JDB458778:JDB458785 JMX458778:JMX458785 JWT458778:JWT458785 KGP458778:KGP458785 KQL458778:KQL458785 LAH458778:LAH458785 LKD458778:LKD458785 LTZ458778:LTZ458785 MDV458778:MDV458785 MNR458778:MNR458785 MXN458778:MXN458785 NHJ458778:NHJ458785 NRF458778:NRF458785 OBB458778:OBB458785 OKX458778:OKX458785 OUT458778:OUT458785 PEP458778:PEP458785 POL458778:POL458785 PYH458778:PYH458785 QID458778:QID458785 QRZ458778:QRZ458785 RBV458778:RBV458785 RLR458778:RLR458785 RVN458778:RVN458785 SFJ458778:SFJ458785 SPF458778:SPF458785 SZB458778:SZB458785 TIX458778:TIX458785 TST458778:TST458785 UCP458778:UCP458785 UML458778:UML458785 UWH458778:UWH458785 VGD458778:VGD458785 VPZ458778:VPZ458785 VZV458778:VZV458785 WJR458778:WJR458785 WTN458778:WTN458785 C524314:C524321 HB524314:HB524321 QX524314:QX524321 AAT524314:AAT524321 AKP524314:AKP524321 AUL524314:AUL524321 BEH524314:BEH524321 BOD524314:BOD524321 BXZ524314:BXZ524321 CHV524314:CHV524321 CRR524314:CRR524321 DBN524314:DBN524321 DLJ524314:DLJ524321 DVF524314:DVF524321 EFB524314:EFB524321 EOX524314:EOX524321 EYT524314:EYT524321 FIP524314:FIP524321 FSL524314:FSL524321 GCH524314:GCH524321 GMD524314:GMD524321 GVZ524314:GVZ524321 HFV524314:HFV524321 HPR524314:HPR524321 HZN524314:HZN524321 IJJ524314:IJJ524321 ITF524314:ITF524321 JDB524314:JDB524321 JMX524314:JMX524321 JWT524314:JWT524321 KGP524314:KGP524321 KQL524314:KQL524321 LAH524314:LAH524321 LKD524314:LKD524321 LTZ524314:LTZ524321 MDV524314:MDV524321 MNR524314:MNR524321 MXN524314:MXN524321 NHJ524314:NHJ524321 NRF524314:NRF524321 OBB524314:OBB524321 OKX524314:OKX524321 OUT524314:OUT524321 PEP524314:PEP524321 POL524314:POL524321 PYH524314:PYH524321 QID524314:QID524321 QRZ524314:QRZ524321 RBV524314:RBV524321 RLR524314:RLR524321 RVN524314:RVN524321 SFJ524314:SFJ524321 SPF524314:SPF524321 SZB524314:SZB524321 TIX524314:TIX524321 TST524314:TST524321 UCP524314:UCP524321 UML524314:UML524321 UWH524314:UWH524321 VGD524314:VGD524321 VPZ524314:VPZ524321 VZV524314:VZV524321 WJR524314:WJR524321 WTN524314:WTN524321 C589850:C589857 HB589850:HB589857 QX589850:QX589857 AAT589850:AAT589857 AKP589850:AKP589857 AUL589850:AUL589857 BEH589850:BEH589857 BOD589850:BOD589857 BXZ589850:BXZ589857 CHV589850:CHV589857 CRR589850:CRR589857 DBN589850:DBN589857 DLJ589850:DLJ589857 DVF589850:DVF589857 EFB589850:EFB589857 EOX589850:EOX589857 EYT589850:EYT589857 FIP589850:FIP589857 FSL589850:FSL589857 GCH589850:GCH589857 GMD589850:GMD589857 GVZ589850:GVZ589857 HFV589850:HFV589857 HPR589850:HPR589857 HZN589850:HZN589857 IJJ589850:IJJ589857 ITF589850:ITF589857 JDB589850:JDB589857 JMX589850:JMX589857 JWT589850:JWT589857 KGP589850:KGP589857 KQL589850:KQL589857 LAH589850:LAH589857 LKD589850:LKD589857 LTZ589850:LTZ589857 MDV589850:MDV589857 MNR589850:MNR589857 MXN589850:MXN589857 NHJ589850:NHJ589857 NRF589850:NRF589857 OBB589850:OBB589857 OKX589850:OKX589857 OUT589850:OUT589857 PEP589850:PEP589857 POL589850:POL589857 PYH589850:PYH589857 QID589850:QID589857 QRZ589850:QRZ589857 RBV589850:RBV589857 RLR589850:RLR589857 RVN589850:RVN589857 SFJ589850:SFJ589857 SPF589850:SPF589857 SZB589850:SZB589857 TIX589850:TIX589857 TST589850:TST589857 UCP589850:UCP589857 UML589850:UML589857 UWH589850:UWH589857 VGD589850:VGD589857 VPZ589850:VPZ589857 VZV589850:VZV589857 WJR589850:WJR589857 WTN589850:WTN589857 C655386:C655393 HB655386:HB655393 QX655386:QX655393 AAT655386:AAT655393 AKP655386:AKP655393 AUL655386:AUL655393 BEH655386:BEH655393 BOD655386:BOD655393 BXZ655386:BXZ655393 CHV655386:CHV655393 CRR655386:CRR655393 DBN655386:DBN655393 DLJ655386:DLJ655393 DVF655386:DVF655393 EFB655386:EFB655393 EOX655386:EOX655393 EYT655386:EYT655393 FIP655386:FIP655393 FSL655386:FSL655393 GCH655386:GCH655393 GMD655386:GMD655393 GVZ655386:GVZ655393 HFV655386:HFV655393 HPR655386:HPR655393 HZN655386:HZN655393 IJJ655386:IJJ655393 ITF655386:ITF655393 JDB655386:JDB655393 JMX655386:JMX655393 JWT655386:JWT655393 KGP655386:KGP655393 KQL655386:KQL655393 LAH655386:LAH655393 LKD655386:LKD655393 LTZ655386:LTZ655393 MDV655386:MDV655393 MNR655386:MNR655393 MXN655386:MXN655393 NHJ655386:NHJ655393 NRF655386:NRF655393 OBB655386:OBB655393 OKX655386:OKX655393 OUT655386:OUT655393 PEP655386:PEP655393 POL655386:POL655393 PYH655386:PYH655393 QID655386:QID655393 QRZ655386:QRZ655393 RBV655386:RBV655393 RLR655386:RLR655393 RVN655386:RVN655393 SFJ655386:SFJ655393 SPF655386:SPF655393 SZB655386:SZB655393 TIX655386:TIX655393 TST655386:TST655393 UCP655386:UCP655393 UML655386:UML655393 UWH655386:UWH655393 VGD655386:VGD655393 VPZ655386:VPZ655393 VZV655386:VZV655393 WJR655386:WJR655393 WTN655386:WTN655393 C720922:C720929 HB720922:HB720929 QX720922:QX720929 AAT720922:AAT720929 AKP720922:AKP720929 AUL720922:AUL720929 BEH720922:BEH720929 BOD720922:BOD720929 BXZ720922:BXZ720929 CHV720922:CHV720929 CRR720922:CRR720929 DBN720922:DBN720929 DLJ720922:DLJ720929 DVF720922:DVF720929 EFB720922:EFB720929 EOX720922:EOX720929 EYT720922:EYT720929 FIP720922:FIP720929 FSL720922:FSL720929 GCH720922:GCH720929 GMD720922:GMD720929 GVZ720922:GVZ720929 HFV720922:HFV720929 HPR720922:HPR720929 HZN720922:HZN720929 IJJ720922:IJJ720929 ITF720922:ITF720929 JDB720922:JDB720929 JMX720922:JMX720929 JWT720922:JWT720929 KGP720922:KGP720929 KQL720922:KQL720929 LAH720922:LAH720929 LKD720922:LKD720929 LTZ720922:LTZ720929 MDV720922:MDV720929 MNR720922:MNR720929 MXN720922:MXN720929 NHJ720922:NHJ720929 NRF720922:NRF720929 OBB720922:OBB720929 OKX720922:OKX720929 OUT720922:OUT720929 PEP720922:PEP720929 POL720922:POL720929 PYH720922:PYH720929 QID720922:QID720929 QRZ720922:QRZ720929 RBV720922:RBV720929 RLR720922:RLR720929 RVN720922:RVN720929 SFJ720922:SFJ720929 SPF720922:SPF720929 SZB720922:SZB720929 TIX720922:TIX720929 TST720922:TST720929 UCP720922:UCP720929 UML720922:UML720929 UWH720922:UWH720929 VGD720922:VGD720929 VPZ720922:VPZ720929 VZV720922:VZV720929 WJR720922:WJR720929 WTN720922:WTN720929 C786458:C786465 HB786458:HB786465 QX786458:QX786465 AAT786458:AAT786465 AKP786458:AKP786465 AUL786458:AUL786465 BEH786458:BEH786465 BOD786458:BOD786465 BXZ786458:BXZ786465 CHV786458:CHV786465 CRR786458:CRR786465 DBN786458:DBN786465 DLJ786458:DLJ786465 DVF786458:DVF786465 EFB786458:EFB786465 EOX786458:EOX786465 EYT786458:EYT786465 FIP786458:FIP786465 FSL786458:FSL786465 GCH786458:GCH786465 GMD786458:GMD786465 GVZ786458:GVZ786465 HFV786458:HFV786465 HPR786458:HPR786465 HZN786458:HZN786465 IJJ786458:IJJ786465 ITF786458:ITF786465 JDB786458:JDB786465 JMX786458:JMX786465 JWT786458:JWT786465 KGP786458:KGP786465 KQL786458:KQL786465 LAH786458:LAH786465 LKD786458:LKD786465 LTZ786458:LTZ786465 MDV786458:MDV786465 MNR786458:MNR786465 MXN786458:MXN786465 NHJ786458:NHJ786465 NRF786458:NRF786465 OBB786458:OBB786465 OKX786458:OKX786465 OUT786458:OUT786465 PEP786458:PEP786465 POL786458:POL786465 PYH786458:PYH786465 QID786458:QID786465 QRZ786458:QRZ786465 RBV786458:RBV786465 RLR786458:RLR786465 RVN786458:RVN786465 SFJ786458:SFJ786465 SPF786458:SPF786465 SZB786458:SZB786465 TIX786458:TIX786465 TST786458:TST786465 UCP786458:UCP786465 UML786458:UML786465 UWH786458:UWH786465 VGD786458:VGD786465 VPZ786458:VPZ786465 VZV786458:VZV786465 WJR786458:WJR786465 WTN786458:WTN786465 C851994:C852001 HB851994:HB852001 QX851994:QX852001 AAT851994:AAT852001 AKP851994:AKP852001 AUL851994:AUL852001 BEH851994:BEH852001 BOD851994:BOD852001 BXZ851994:BXZ852001 CHV851994:CHV852001 CRR851994:CRR852001 DBN851994:DBN852001 DLJ851994:DLJ852001 DVF851994:DVF852001 EFB851994:EFB852001 EOX851994:EOX852001 EYT851994:EYT852001 FIP851994:FIP852001 FSL851994:FSL852001 GCH851994:GCH852001 GMD851994:GMD852001 GVZ851994:GVZ852001 HFV851994:HFV852001 HPR851994:HPR852001 HZN851994:HZN852001 IJJ851994:IJJ852001 ITF851994:ITF852001 JDB851994:JDB852001 JMX851994:JMX852001 JWT851994:JWT852001 KGP851994:KGP852001 KQL851994:KQL852001 LAH851994:LAH852001 LKD851994:LKD852001 LTZ851994:LTZ852001 MDV851994:MDV852001 MNR851994:MNR852001 MXN851994:MXN852001 NHJ851994:NHJ852001 NRF851994:NRF852001 OBB851994:OBB852001 OKX851994:OKX852001 OUT851994:OUT852001 PEP851994:PEP852001 POL851994:POL852001 PYH851994:PYH852001 QID851994:QID852001 QRZ851994:QRZ852001 RBV851994:RBV852001 RLR851994:RLR852001 RVN851994:RVN852001 SFJ851994:SFJ852001 SPF851994:SPF852001 SZB851994:SZB852001 TIX851994:TIX852001 TST851994:TST852001 UCP851994:UCP852001 UML851994:UML852001 UWH851994:UWH852001 VGD851994:VGD852001 VPZ851994:VPZ852001 VZV851994:VZV852001 WJR851994:WJR852001 WTN851994:WTN852001 C917530:C917537 HB917530:HB917537 QX917530:QX917537 AAT917530:AAT917537 AKP917530:AKP917537 AUL917530:AUL917537 BEH917530:BEH917537 BOD917530:BOD917537 BXZ917530:BXZ917537 CHV917530:CHV917537 CRR917530:CRR917537 DBN917530:DBN917537 DLJ917530:DLJ917537 DVF917530:DVF917537 EFB917530:EFB917537 EOX917530:EOX917537 EYT917530:EYT917537 FIP917530:FIP917537 FSL917530:FSL917537 GCH917530:GCH917537 GMD917530:GMD917537 GVZ917530:GVZ917537 HFV917530:HFV917537 HPR917530:HPR917537 HZN917530:HZN917537 IJJ917530:IJJ917537 ITF917530:ITF917537 JDB917530:JDB917537 JMX917530:JMX917537 JWT917530:JWT917537 KGP917530:KGP917537 KQL917530:KQL917537 LAH917530:LAH917537 LKD917530:LKD917537 LTZ917530:LTZ917537 MDV917530:MDV917537 MNR917530:MNR917537 MXN917530:MXN917537 NHJ917530:NHJ917537 NRF917530:NRF917537 OBB917530:OBB917537 OKX917530:OKX917537 OUT917530:OUT917537 PEP917530:PEP917537 POL917530:POL917537 PYH917530:PYH917537 QID917530:QID917537 QRZ917530:QRZ917537 RBV917530:RBV917537 RLR917530:RLR917537 RVN917530:RVN917537 SFJ917530:SFJ917537 SPF917530:SPF917537 SZB917530:SZB917537 TIX917530:TIX917537 TST917530:TST917537 UCP917530:UCP917537 UML917530:UML917537 UWH917530:UWH917537 VGD917530:VGD917537 VPZ917530:VPZ917537 VZV917530:VZV917537 WJR917530:WJR917537 WTN917530:WTN917537 C983066:C983073 HB983066:HB983073 QX983066:QX983073 AAT983066:AAT983073 AKP983066:AKP983073 AUL983066:AUL983073 BEH983066:BEH983073 BOD983066:BOD983073 BXZ983066:BXZ983073 CHV983066:CHV983073 CRR983066:CRR983073 DBN983066:DBN983073 DLJ983066:DLJ983073 DVF983066:DVF983073 EFB983066:EFB983073 EOX983066:EOX983073 EYT983066:EYT983073 FIP983066:FIP983073 FSL983066:FSL983073 GCH983066:GCH983073 GMD983066:GMD983073 GVZ983066:GVZ983073 HFV983066:HFV983073 HPR983066:HPR983073 HZN983066:HZN983073 IJJ983066:IJJ983073 ITF983066:ITF983073 JDB983066:JDB983073 JMX983066:JMX983073 JWT983066:JWT983073 KGP983066:KGP983073 KQL983066:KQL983073 LAH983066:LAH983073 LKD983066:LKD983073 LTZ983066:LTZ983073 MDV983066:MDV983073 MNR983066:MNR983073 MXN983066:MXN983073 NHJ983066:NHJ983073 NRF983066:NRF983073 OBB983066:OBB983073 OKX983066:OKX983073 OUT983066:OUT983073 PEP983066:PEP983073 POL983066:POL983073 PYH983066:PYH983073 QID983066:QID983073 QRZ983066:QRZ983073 RBV983066:RBV983073 RLR983066:RLR983073 RVN983066:RVN983073 SFJ983066:SFJ983073 SPF983066:SPF983073 SZB983066:SZB983073 TIX983066:TIX983073 TST983066:TST983073 UCP983066:UCP983073 UML983066:UML983073 UWH983066:UWH983073 VGD983066:VGD983073 VPZ983066:VPZ983073 VZV983066:VZV983073 WJR983066:WJR983073 WTN983066:WTN983073 WTN983057:WTN983064 C65553:C65560 HB65553:HB65560 QX65553:QX65560 AAT65553:AAT65560 AKP65553:AKP65560 AUL65553:AUL65560 BEH65553:BEH65560 BOD65553:BOD65560 BXZ65553:BXZ65560 CHV65553:CHV65560 CRR65553:CRR65560 DBN65553:DBN65560 DLJ65553:DLJ65560 DVF65553:DVF65560 EFB65553:EFB65560 EOX65553:EOX65560 EYT65553:EYT65560 FIP65553:FIP65560 FSL65553:FSL65560 GCH65553:GCH65560 GMD65553:GMD65560 GVZ65553:GVZ65560 HFV65553:HFV65560 HPR65553:HPR65560 HZN65553:HZN65560 IJJ65553:IJJ65560 ITF65553:ITF65560 JDB65553:JDB65560 JMX65553:JMX65560 JWT65553:JWT65560 KGP65553:KGP65560 KQL65553:KQL65560 LAH65553:LAH65560 LKD65553:LKD65560 LTZ65553:LTZ65560 MDV65553:MDV65560 MNR65553:MNR65560 MXN65553:MXN65560 NHJ65553:NHJ65560 NRF65553:NRF65560 OBB65553:OBB65560 OKX65553:OKX65560 OUT65553:OUT65560 PEP65553:PEP65560 POL65553:POL65560 PYH65553:PYH65560 QID65553:QID65560 QRZ65553:QRZ65560 RBV65553:RBV65560 RLR65553:RLR65560 RVN65553:RVN65560 SFJ65553:SFJ65560 SPF65553:SPF65560 SZB65553:SZB65560 TIX65553:TIX65560 TST65553:TST65560 UCP65553:UCP65560 UML65553:UML65560 UWH65553:UWH65560 VGD65553:VGD65560 VPZ65553:VPZ65560 VZV65553:VZV65560 WJR65553:WJR65560 WTN65553:WTN65560 C131089:C131096 HB131089:HB131096 QX131089:QX131096 AAT131089:AAT131096 AKP131089:AKP131096 AUL131089:AUL131096 BEH131089:BEH131096 BOD131089:BOD131096 BXZ131089:BXZ131096 CHV131089:CHV131096 CRR131089:CRR131096 DBN131089:DBN131096 DLJ131089:DLJ131096 DVF131089:DVF131096 EFB131089:EFB131096 EOX131089:EOX131096 EYT131089:EYT131096 FIP131089:FIP131096 FSL131089:FSL131096 GCH131089:GCH131096 GMD131089:GMD131096 GVZ131089:GVZ131096 HFV131089:HFV131096 HPR131089:HPR131096 HZN131089:HZN131096 IJJ131089:IJJ131096 ITF131089:ITF131096 JDB131089:JDB131096 JMX131089:JMX131096 JWT131089:JWT131096 KGP131089:KGP131096 KQL131089:KQL131096 LAH131089:LAH131096 LKD131089:LKD131096 LTZ131089:LTZ131096 MDV131089:MDV131096 MNR131089:MNR131096 MXN131089:MXN131096 NHJ131089:NHJ131096 NRF131089:NRF131096 OBB131089:OBB131096 OKX131089:OKX131096 OUT131089:OUT131096 PEP131089:PEP131096 POL131089:POL131096 PYH131089:PYH131096 QID131089:QID131096 QRZ131089:QRZ131096 RBV131089:RBV131096 RLR131089:RLR131096 RVN131089:RVN131096 SFJ131089:SFJ131096 SPF131089:SPF131096 SZB131089:SZB131096 TIX131089:TIX131096 TST131089:TST131096 UCP131089:UCP131096 UML131089:UML131096 UWH131089:UWH131096 VGD131089:VGD131096 VPZ131089:VPZ131096 VZV131089:VZV131096 WJR131089:WJR131096 WTN131089:WTN131096 C196625:C196632 HB196625:HB196632 QX196625:QX196632 AAT196625:AAT196632 AKP196625:AKP196632 AUL196625:AUL196632 BEH196625:BEH196632 BOD196625:BOD196632 BXZ196625:BXZ196632 CHV196625:CHV196632 CRR196625:CRR196632 DBN196625:DBN196632 DLJ196625:DLJ196632 DVF196625:DVF196632 EFB196625:EFB196632 EOX196625:EOX196632 EYT196625:EYT196632 FIP196625:FIP196632 FSL196625:FSL196632 GCH196625:GCH196632 GMD196625:GMD196632 GVZ196625:GVZ196632 HFV196625:HFV196632 HPR196625:HPR196632 HZN196625:HZN196632 IJJ196625:IJJ196632 ITF196625:ITF196632 JDB196625:JDB196632 JMX196625:JMX196632 JWT196625:JWT196632 KGP196625:KGP196632 KQL196625:KQL196632 LAH196625:LAH196632 LKD196625:LKD196632 LTZ196625:LTZ196632 MDV196625:MDV196632 MNR196625:MNR196632 MXN196625:MXN196632 NHJ196625:NHJ196632 NRF196625:NRF196632 OBB196625:OBB196632 OKX196625:OKX196632 OUT196625:OUT196632 PEP196625:PEP196632 POL196625:POL196632 PYH196625:PYH196632 QID196625:QID196632 QRZ196625:QRZ196632 RBV196625:RBV196632 RLR196625:RLR196632 RVN196625:RVN196632 SFJ196625:SFJ196632 SPF196625:SPF196632 SZB196625:SZB196632 TIX196625:TIX196632 TST196625:TST196632 UCP196625:UCP196632 UML196625:UML196632 UWH196625:UWH196632 VGD196625:VGD196632 VPZ196625:VPZ196632 VZV196625:VZV196632 WJR196625:WJR196632 WTN196625:WTN196632 C262161:C262168 HB262161:HB262168 QX262161:QX262168 AAT262161:AAT262168 AKP262161:AKP262168 AUL262161:AUL262168 BEH262161:BEH262168 BOD262161:BOD262168 BXZ262161:BXZ262168 CHV262161:CHV262168 CRR262161:CRR262168 DBN262161:DBN262168 DLJ262161:DLJ262168 DVF262161:DVF262168 EFB262161:EFB262168 EOX262161:EOX262168 EYT262161:EYT262168 FIP262161:FIP262168 FSL262161:FSL262168 GCH262161:GCH262168 GMD262161:GMD262168 GVZ262161:GVZ262168 HFV262161:HFV262168 HPR262161:HPR262168 HZN262161:HZN262168 IJJ262161:IJJ262168 ITF262161:ITF262168 JDB262161:JDB262168 JMX262161:JMX262168 JWT262161:JWT262168 KGP262161:KGP262168 KQL262161:KQL262168 LAH262161:LAH262168 LKD262161:LKD262168 LTZ262161:LTZ262168 MDV262161:MDV262168 MNR262161:MNR262168 MXN262161:MXN262168 NHJ262161:NHJ262168 NRF262161:NRF262168 OBB262161:OBB262168 OKX262161:OKX262168 OUT262161:OUT262168 PEP262161:PEP262168 POL262161:POL262168 PYH262161:PYH262168 QID262161:QID262168 QRZ262161:QRZ262168 RBV262161:RBV262168 RLR262161:RLR262168 RVN262161:RVN262168 SFJ262161:SFJ262168 SPF262161:SPF262168 SZB262161:SZB262168 TIX262161:TIX262168 TST262161:TST262168 UCP262161:UCP262168 UML262161:UML262168 UWH262161:UWH262168 VGD262161:VGD262168 VPZ262161:VPZ262168 VZV262161:VZV262168 WJR262161:WJR262168 WTN262161:WTN262168 C327697:C327704 HB327697:HB327704 QX327697:QX327704 AAT327697:AAT327704 AKP327697:AKP327704 AUL327697:AUL327704 BEH327697:BEH327704 BOD327697:BOD327704 BXZ327697:BXZ327704 CHV327697:CHV327704 CRR327697:CRR327704 DBN327697:DBN327704 DLJ327697:DLJ327704 DVF327697:DVF327704 EFB327697:EFB327704 EOX327697:EOX327704 EYT327697:EYT327704 FIP327697:FIP327704 FSL327697:FSL327704 GCH327697:GCH327704 GMD327697:GMD327704 GVZ327697:GVZ327704 HFV327697:HFV327704 HPR327697:HPR327704 HZN327697:HZN327704 IJJ327697:IJJ327704 ITF327697:ITF327704 JDB327697:JDB327704 JMX327697:JMX327704 JWT327697:JWT327704 KGP327697:KGP327704 KQL327697:KQL327704 LAH327697:LAH327704 LKD327697:LKD327704 LTZ327697:LTZ327704 MDV327697:MDV327704 MNR327697:MNR327704 MXN327697:MXN327704 NHJ327697:NHJ327704 NRF327697:NRF327704 OBB327697:OBB327704 OKX327697:OKX327704 OUT327697:OUT327704 PEP327697:PEP327704 POL327697:POL327704 PYH327697:PYH327704 QID327697:QID327704 QRZ327697:QRZ327704 RBV327697:RBV327704 RLR327697:RLR327704 RVN327697:RVN327704 SFJ327697:SFJ327704 SPF327697:SPF327704 SZB327697:SZB327704 TIX327697:TIX327704 TST327697:TST327704 UCP327697:UCP327704 UML327697:UML327704 UWH327697:UWH327704 VGD327697:VGD327704 VPZ327697:VPZ327704 VZV327697:VZV327704 WJR327697:WJR327704 WTN327697:WTN327704 C393233:C393240 HB393233:HB393240 QX393233:QX393240 AAT393233:AAT393240 AKP393233:AKP393240 AUL393233:AUL393240 BEH393233:BEH393240 BOD393233:BOD393240 BXZ393233:BXZ393240 CHV393233:CHV393240 CRR393233:CRR393240 DBN393233:DBN393240 DLJ393233:DLJ393240 DVF393233:DVF393240 EFB393233:EFB393240 EOX393233:EOX393240 EYT393233:EYT393240 FIP393233:FIP393240 FSL393233:FSL393240 GCH393233:GCH393240 GMD393233:GMD393240 GVZ393233:GVZ393240 HFV393233:HFV393240 HPR393233:HPR393240 HZN393233:HZN393240 IJJ393233:IJJ393240 ITF393233:ITF393240 JDB393233:JDB393240 JMX393233:JMX393240 JWT393233:JWT393240 KGP393233:KGP393240 KQL393233:KQL393240 LAH393233:LAH393240 LKD393233:LKD393240 LTZ393233:LTZ393240 MDV393233:MDV393240 MNR393233:MNR393240 MXN393233:MXN393240 NHJ393233:NHJ393240 NRF393233:NRF393240 OBB393233:OBB393240 OKX393233:OKX393240 OUT393233:OUT393240 PEP393233:PEP393240 POL393233:POL393240 PYH393233:PYH393240 QID393233:QID393240 QRZ393233:QRZ393240 RBV393233:RBV393240 RLR393233:RLR393240 RVN393233:RVN393240 SFJ393233:SFJ393240 SPF393233:SPF393240 SZB393233:SZB393240 TIX393233:TIX393240 TST393233:TST393240 UCP393233:UCP393240 UML393233:UML393240 UWH393233:UWH393240 VGD393233:VGD393240 VPZ393233:VPZ393240 VZV393233:VZV393240 WJR393233:WJR393240 WTN393233:WTN393240 C458769:C458776 HB458769:HB458776 QX458769:QX458776 AAT458769:AAT458776 AKP458769:AKP458776 AUL458769:AUL458776 BEH458769:BEH458776 BOD458769:BOD458776 BXZ458769:BXZ458776 CHV458769:CHV458776 CRR458769:CRR458776 DBN458769:DBN458776 DLJ458769:DLJ458776 DVF458769:DVF458776 EFB458769:EFB458776 EOX458769:EOX458776 EYT458769:EYT458776 FIP458769:FIP458776 FSL458769:FSL458776 GCH458769:GCH458776 GMD458769:GMD458776 GVZ458769:GVZ458776 HFV458769:HFV458776 HPR458769:HPR458776 HZN458769:HZN458776 IJJ458769:IJJ458776 ITF458769:ITF458776 JDB458769:JDB458776 JMX458769:JMX458776 JWT458769:JWT458776 KGP458769:KGP458776 KQL458769:KQL458776 LAH458769:LAH458776 LKD458769:LKD458776 LTZ458769:LTZ458776 MDV458769:MDV458776 MNR458769:MNR458776 MXN458769:MXN458776 NHJ458769:NHJ458776 NRF458769:NRF458776 OBB458769:OBB458776 OKX458769:OKX458776 OUT458769:OUT458776 PEP458769:PEP458776 POL458769:POL458776 PYH458769:PYH458776 QID458769:QID458776 QRZ458769:QRZ458776 RBV458769:RBV458776 RLR458769:RLR458776 RVN458769:RVN458776 SFJ458769:SFJ458776 SPF458769:SPF458776 SZB458769:SZB458776 TIX458769:TIX458776 TST458769:TST458776 UCP458769:UCP458776 UML458769:UML458776 UWH458769:UWH458776 VGD458769:VGD458776 VPZ458769:VPZ458776 VZV458769:VZV458776 WJR458769:WJR458776 WTN458769:WTN458776 C524305:C524312 HB524305:HB524312 QX524305:QX524312 AAT524305:AAT524312 AKP524305:AKP524312 AUL524305:AUL524312 BEH524305:BEH524312 BOD524305:BOD524312 BXZ524305:BXZ524312 CHV524305:CHV524312 CRR524305:CRR524312 DBN524305:DBN524312 DLJ524305:DLJ524312 DVF524305:DVF524312 EFB524305:EFB524312 EOX524305:EOX524312 EYT524305:EYT524312 FIP524305:FIP524312 FSL524305:FSL524312 GCH524305:GCH524312 GMD524305:GMD524312 GVZ524305:GVZ524312 HFV524305:HFV524312 HPR524305:HPR524312 HZN524305:HZN524312 IJJ524305:IJJ524312 ITF524305:ITF524312 JDB524305:JDB524312 JMX524305:JMX524312 JWT524305:JWT524312 KGP524305:KGP524312 KQL524305:KQL524312 LAH524305:LAH524312 LKD524305:LKD524312 LTZ524305:LTZ524312 MDV524305:MDV524312 MNR524305:MNR524312 MXN524305:MXN524312 NHJ524305:NHJ524312 NRF524305:NRF524312 OBB524305:OBB524312 OKX524305:OKX524312 OUT524305:OUT524312 PEP524305:PEP524312 POL524305:POL524312 PYH524305:PYH524312 QID524305:QID524312 QRZ524305:QRZ524312 RBV524305:RBV524312 RLR524305:RLR524312 RVN524305:RVN524312 SFJ524305:SFJ524312 SPF524305:SPF524312 SZB524305:SZB524312 TIX524305:TIX524312 TST524305:TST524312 UCP524305:UCP524312 UML524305:UML524312 UWH524305:UWH524312 VGD524305:VGD524312 VPZ524305:VPZ524312 VZV524305:VZV524312 WJR524305:WJR524312 WTN524305:WTN524312 C589841:C589848 HB589841:HB589848 QX589841:QX589848 AAT589841:AAT589848 AKP589841:AKP589848 AUL589841:AUL589848 BEH589841:BEH589848 BOD589841:BOD589848 BXZ589841:BXZ589848 CHV589841:CHV589848 CRR589841:CRR589848 DBN589841:DBN589848 DLJ589841:DLJ589848 DVF589841:DVF589848 EFB589841:EFB589848 EOX589841:EOX589848 EYT589841:EYT589848 FIP589841:FIP589848 FSL589841:FSL589848 GCH589841:GCH589848 GMD589841:GMD589848 GVZ589841:GVZ589848 HFV589841:HFV589848 HPR589841:HPR589848 HZN589841:HZN589848 IJJ589841:IJJ589848 ITF589841:ITF589848 JDB589841:JDB589848 JMX589841:JMX589848 JWT589841:JWT589848 KGP589841:KGP589848 KQL589841:KQL589848 LAH589841:LAH589848 LKD589841:LKD589848 LTZ589841:LTZ589848 MDV589841:MDV589848 MNR589841:MNR589848 MXN589841:MXN589848 NHJ589841:NHJ589848 NRF589841:NRF589848 OBB589841:OBB589848 OKX589841:OKX589848 OUT589841:OUT589848 PEP589841:PEP589848 POL589841:POL589848 PYH589841:PYH589848 QID589841:QID589848 QRZ589841:QRZ589848 RBV589841:RBV589848 RLR589841:RLR589848 RVN589841:RVN589848 SFJ589841:SFJ589848 SPF589841:SPF589848 SZB589841:SZB589848 TIX589841:TIX589848 TST589841:TST589848 UCP589841:UCP589848 UML589841:UML589848 UWH589841:UWH589848 VGD589841:VGD589848 VPZ589841:VPZ589848 VZV589841:VZV589848 WJR589841:WJR589848 WTN589841:WTN589848 C655377:C655384 HB655377:HB655384 QX655377:QX655384 AAT655377:AAT655384 AKP655377:AKP655384 AUL655377:AUL655384 BEH655377:BEH655384 BOD655377:BOD655384 BXZ655377:BXZ655384 CHV655377:CHV655384 CRR655377:CRR655384 DBN655377:DBN655384 DLJ655377:DLJ655384 DVF655377:DVF655384 EFB655377:EFB655384 EOX655377:EOX655384 EYT655377:EYT655384 FIP655377:FIP655384 FSL655377:FSL655384 GCH655377:GCH655384 GMD655377:GMD655384 GVZ655377:GVZ655384 HFV655377:HFV655384 HPR655377:HPR655384 HZN655377:HZN655384 IJJ655377:IJJ655384 ITF655377:ITF655384 JDB655377:JDB655384 JMX655377:JMX655384 JWT655377:JWT655384 KGP655377:KGP655384 KQL655377:KQL655384 LAH655377:LAH655384 LKD655377:LKD655384 LTZ655377:LTZ655384 MDV655377:MDV655384 MNR655377:MNR655384 MXN655377:MXN655384 NHJ655377:NHJ655384 NRF655377:NRF655384 OBB655377:OBB655384 OKX655377:OKX655384 OUT655377:OUT655384 PEP655377:PEP655384 POL655377:POL655384 PYH655377:PYH655384 QID655377:QID655384 QRZ655377:QRZ655384 RBV655377:RBV655384 RLR655377:RLR655384 RVN655377:RVN655384 SFJ655377:SFJ655384 SPF655377:SPF655384 SZB655377:SZB655384 TIX655377:TIX655384 TST655377:TST655384 UCP655377:UCP655384 UML655377:UML655384 UWH655377:UWH655384 VGD655377:VGD655384 VPZ655377:VPZ655384 VZV655377:VZV655384 WJR655377:WJR655384 WTN655377:WTN655384 C720913:C720920 HB720913:HB720920 QX720913:QX720920 AAT720913:AAT720920 AKP720913:AKP720920 AUL720913:AUL720920 BEH720913:BEH720920 BOD720913:BOD720920 BXZ720913:BXZ720920 CHV720913:CHV720920 CRR720913:CRR720920 DBN720913:DBN720920 DLJ720913:DLJ720920 DVF720913:DVF720920 EFB720913:EFB720920 EOX720913:EOX720920 EYT720913:EYT720920 FIP720913:FIP720920 FSL720913:FSL720920 GCH720913:GCH720920 GMD720913:GMD720920 GVZ720913:GVZ720920 HFV720913:HFV720920 HPR720913:HPR720920 HZN720913:HZN720920 IJJ720913:IJJ720920 ITF720913:ITF720920 JDB720913:JDB720920 JMX720913:JMX720920 JWT720913:JWT720920 KGP720913:KGP720920 KQL720913:KQL720920 LAH720913:LAH720920 LKD720913:LKD720920 LTZ720913:LTZ720920 MDV720913:MDV720920 MNR720913:MNR720920 MXN720913:MXN720920 NHJ720913:NHJ720920 NRF720913:NRF720920 OBB720913:OBB720920 OKX720913:OKX720920 OUT720913:OUT720920 PEP720913:PEP720920 POL720913:POL720920 PYH720913:PYH720920 QID720913:QID720920 QRZ720913:QRZ720920 RBV720913:RBV720920 RLR720913:RLR720920 RVN720913:RVN720920 SFJ720913:SFJ720920 SPF720913:SPF720920 SZB720913:SZB720920 TIX720913:TIX720920 TST720913:TST720920 UCP720913:UCP720920 UML720913:UML720920 UWH720913:UWH720920 VGD720913:VGD720920 VPZ720913:VPZ720920 VZV720913:VZV720920 WJR720913:WJR720920 WTN720913:WTN720920 C786449:C786456 HB786449:HB786456 QX786449:QX786456 AAT786449:AAT786456 AKP786449:AKP786456 AUL786449:AUL786456 BEH786449:BEH786456 BOD786449:BOD786456 BXZ786449:BXZ786456 CHV786449:CHV786456 CRR786449:CRR786456 DBN786449:DBN786456 DLJ786449:DLJ786456 DVF786449:DVF786456 EFB786449:EFB786456 EOX786449:EOX786456 EYT786449:EYT786456 FIP786449:FIP786456 FSL786449:FSL786456 GCH786449:GCH786456 GMD786449:GMD786456 GVZ786449:GVZ786456 HFV786449:HFV786456 HPR786449:HPR786456 HZN786449:HZN786456 IJJ786449:IJJ786456 ITF786449:ITF786456 JDB786449:JDB786456 JMX786449:JMX786456 JWT786449:JWT786456 KGP786449:KGP786456 KQL786449:KQL786456 LAH786449:LAH786456 LKD786449:LKD786456 LTZ786449:LTZ786456 MDV786449:MDV786456 MNR786449:MNR786456 MXN786449:MXN786456 NHJ786449:NHJ786456 NRF786449:NRF786456 OBB786449:OBB786456 OKX786449:OKX786456 OUT786449:OUT786456 PEP786449:PEP786456 POL786449:POL786456 PYH786449:PYH786456 QID786449:QID786456 QRZ786449:QRZ786456 RBV786449:RBV786456 RLR786449:RLR786456 RVN786449:RVN786456 SFJ786449:SFJ786456 SPF786449:SPF786456 SZB786449:SZB786456 TIX786449:TIX786456 TST786449:TST786456 UCP786449:UCP786456 UML786449:UML786456 UWH786449:UWH786456 VGD786449:VGD786456 VPZ786449:VPZ786456 VZV786449:VZV786456 WJR786449:WJR786456 WTN786449:WTN786456 C851985:C851992 HB851985:HB851992 QX851985:QX851992 AAT851985:AAT851992 AKP851985:AKP851992 AUL851985:AUL851992 BEH851985:BEH851992 BOD851985:BOD851992 BXZ851985:BXZ851992 CHV851985:CHV851992 CRR851985:CRR851992 DBN851985:DBN851992 DLJ851985:DLJ851992 DVF851985:DVF851992 EFB851985:EFB851992 EOX851985:EOX851992 EYT851985:EYT851992 FIP851985:FIP851992 FSL851985:FSL851992 GCH851985:GCH851992 GMD851985:GMD851992 GVZ851985:GVZ851992 HFV851985:HFV851992 HPR851985:HPR851992 HZN851985:HZN851992 IJJ851985:IJJ851992 ITF851985:ITF851992 JDB851985:JDB851992 JMX851985:JMX851992 JWT851985:JWT851992 KGP851985:KGP851992 KQL851985:KQL851992 LAH851985:LAH851992 LKD851985:LKD851992 LTZ851985:LTZ851992 MDV851985:MDV851992 MNR851985:MNR851992 MXN851985:MXN851992 NHJ851985:NHJ851992 NRF851985:NRF851992 OBB851985:OBB851992 OKX851985:OKX851992 OUT851985:OUT851992 PEP851985:PEP851992 POL851985:POL851992 PYH851985:PYH851992 QID851985:QID851992 QRZ851985:QRZ851992 RBV851985:RBV851992 RLR851985:RLR851992 RVN851985:RVN851992 SFJ851985:SFJ851992 SPF851985:SPF851992 SZB851985:SZB851992 TIX851985:TIX851992 TST851985:TST851992 UCP851985:UCP851992 UML851985:UML851992 UWH851985:UWH851992 VGD851985:VGD851992 VPZ851985:VPZ851992 VZV851985:VZV851992 WJR851985:WJR851992 WTN851985:WTN851992 C917521:C917528 HB917521:HB917528 QX917521:QX917528 AAT917521:AAT917528 AKP917521:AKP917528 AUL917521:AUL917528 BEH917521:BEH917528 BOD917521:BOD917528 BXZ917521:BXZ917528 CHV917521:CHV917528 CRR917521:CRR917528 DBN917521:DBN917528 DLJ917521:DLJ917528 DVF917521:DVF917528 EFB917521:EFB917528 EOX917521:EOX917528 EYT917521:EYT917528 FIP917521:FIP917528 FSL917521:FSL917528 GCH917521:GCH917528 GMD917521:GMD917528 GVZ917521:GVZ917528 HFV917521:HFV917528 HPR917521:HPR917528 HZN917521:HZN917528 IJJ917521:IJJ917528 ITF917521:ITF917528 JDB917521:JDB917528 JMX917521:JMX917528 JWT917521:JWT917528 KGP917521:KGP917528 KQL917521:KQL917528 LAH917521:LAH917528 LKD917521:LKD917528 LTZ917521:LTZ917528 MDV917521:MDV917528 MNR917521:MNR917528 MXN917521:MXN917528 NHJ917521:NHJ917528 NRF917521:NRF917528 OBB917521:OBB917528 OKX917521:OKX917528 OUT917521:OUT917528 PEP917521:PEP917528 POL917521:POL917528 PYH917521:PYH917528 QID917521:QID917528 QRZ917521:QRZ917528 RBV917521:RBV917528 RLR917521:RLR917528 RVN917521:RVN917528 SFJ917521:SFJ917528 SPF917521:SPF917528 SZB917521:SZB917528 TIX917521:TIX917528 TST917521:TST917528 UCP917521:UCP917528 UML917521:UML917528 UWH917521:UWH917528 VGD917521:VGD917528 VPZ917521:VPZ917528 VZV917521:VZV917528 WJR917521:WJR917528 WTN917521:WTN917528 C983057:C983064 HB983057:HB983064 QX983057:QX983064 AAT983057:AAT983064 AKP983057:AKP983064 AUL983057:AUL983064 BEH983057:BEH983064 BOD983057:BOD983064 BXZ983057:BXZ983064 CHV983057:CHV983064 CRR983057:CRR983064 DBN983057:DBN983064 DLJ983057:DLJ983064 DVF983057:DVF983064 EFB983057:EFB983064 EOX983057:EOX983064 EYT983057:EYT983064 FIP983057:FIP983064 FSL983057:FSL983064 GCH983057:GCH983064 GMD983057:GMD983064 GVZ983057:GVZ983064 HFV983057:HFV983064 HPR983057:HPR983064 HZN983057:HZN983064 IJJ983057:IJJ983064 ITF983057:ITF983064 JDB983057:JDB983064 JMX983057:JMX983064 JWT983057:JWT983064 KGP983057:KGP983064 KQL983057:KQL983064 LAH983057:LAH983064 LKD983057:LKD983064 LTZ983057:LTZ983064 MDV983057:MDV983064 MNR983057:MNR983064 MXN983057:MXN983064 NHJ983057:NHJ983064 NRF983057:NRF983064 OBB983057:OBB983064 OKX983057:OKX983064 OUT983057:OUT983064 PEP983057:PEP983064 POL983057:POL983064 PYH983057:PYH983064 QID983057:QID983064 QRZ983057:QRZ983064 RBV983057:RBV983064 RLR983057:RLR983064 RVN983057:RVN983064 SFJ983057:SFJ983064 SPF983057:SPF983064 SZB983057:SZB983064 TIX983057:TIX983064 TST983057:TST983064 UCP983057:UCP983064 UML983057:UML983064 UWH983057:UWH983064 VGD983057:VGD983064 VPZ983057:VPZ983064 VZV983057:VZV983064 WJR983057:WJR983064 C16:C24 WTN16:WTN25 WJR16:WJR25 VZV16:VZV25 VPZ16:VPZ25 VGD16:VGD25 UWH16:UWH25 UML16:UML25 UCP16:UCP25 TST16:TST25 TIX16:TIX25 SZB16:SZB25 SPF16:SPF25 SFJ16:SFJ25 RVN16:RVN25 RLR16:RLR25 RBV16:RBV25 QRZ16:QRZ25 QID16:QID25 PYH16:PYH25 POL16:POL25 PEP16:PEP25 OUT16:OUT25 OKX16:OKX25 OBB16:OBB25 NRF16:NRF25 NHJ16:NHJ25 MXN16:MXN25 MNR16:MNR25 MDV16:MDV25 LTZ16:LTZ25 LKD16:LKD25 LAH16:LAH25 KQL16:KQL25 KGP16:KGP25 JWT16:JWT25 JMX16:JMX25 JDB16:JDB25 ITF16:ITF25 IJJ16:IJJ25 HZN16:HZN25 HPR16:HPR25 HFV16:HFV25 GVZ16:GVZ25 GMD16:GMD25 GCH16:GCH25 FSL16:FSL25 FIP16:FIP25 EYT16:EYT25 EOX16:EOX25 EFB16:EFB25 DVF16:DVF25 DLJ16:DLJ25 DBN16:DBN25 CRR16:CRR25 CHV16:CHV25 BXZ16:BXZ25 BOD16:BOD25 BEH16:BEH25 AUL16:AUL25 AKP16:AKP25 AAT16:AAT25 QX16:QX25 HB16:HB25 WTN33:WTN39 HB33:HB39 QX33:QX39 AAT33:AAT39 AKP33:AKP39 AUL33:AUL39 BEH33:BEH39 BOD33:BOD39 BXZ33:BXZ39 CHV33:CHV39 CRR33:CRR39 DBN33:DBN39 DLJ33:DLJ39 DVF33:DVF39 EFB33:EFB39 EOX33:EOX39 EYT33:EYT39 FIP33:FIP39 FSL33:FSL39 GCH33:GCH39 GMD33:GMD39 GVZ33:GVZ39 HFV33:HFV39 HPR33:HPR39 HZN33:HZN39 IJJ33:IJJ39 ITF33:ITF39 JDB33:JDB39 JMX33:JMX39 JWT33:JWT39 KGP33:KGP39 KQL33:KQL39 LAH33:LAH39 LKD33:LKD39 LTZ33:LTZ39 MDV33:MDV39 MNR33:MNR39 MXN33:MXN39 NHJ33:NHJ39 NRF33:NRF39 OBB33:OBB39 OKX33:OKX39 OUT33:OUT39 PEP33:PEP39 POL33:POL39 PYH33:PYH39 QID33:QID39 QRZ33:QRZ39 RBV33:RBV39 RLR33:RLR39 RVN33:RVN39 SFJ33:SFJ39 SPF33:SPF39 SZB33:SZB39 TIX33:TIX39 TST33:TST39 UCP33:UCP39 UML33:UML39 UWH33:UWH39 VGD33:VGD39 VPZ33:VPZ39 VZV33:VZV39 WJR33:WJR39">
      <formula1>$A$3:$A$23</formula1>
    </dataValidation>
  </dataValidations>
  <printOptions horizontalCentered="1" verticalCentered="1"/>
  <pageMargins left="0" right="0" top="0.19685039370078741" bottom="0" header="0" footer="0"/>
  <pageSetup paperSize="9" scale="49" orientation="landscape" blackAndWhite="1" verticalDpi="300" r:id="rId1"/>
  <headerFooter alignWithMargins="0"/>
  <colBreaks count="1" manualBreakCount="1">
    <brk id="31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>
  <sheetPr>
    <tabColor rgb="FF92D050"/>
  </sheetPr>
  <dimension ref="A1:AR12"/>
  <sheetViews>
    <sheetView zoomScale="55" zoomScaleNormal="55" workbookViewId="0">
      <selection activeCell="AG11" sqref="AG11"/>
    </sheetView>
  </sheetViews>
  <sheetFormatPr defaultRowHeight="24.5"/>
  <cols>
    <col min="1" max="1" width="20.5" bestFit="1" customWidth="1"/>
    <col min="2" max="2" width="14.58203125" bestFit="1" customWidth="1"/>
    <col min="5" max="29" width="7.83203125" customWidth="1"/>
  </cols>
  <sheetData>
    <row r="1" spans="1:44" ht="150.5">
      <c r="A1" s="533" t="str">
        <f>สรุป!C32</f>
        <v>ลอน</v>
      </c>
      <c r="B1" s="533" t="str">
        <f>สรุป!E32</f>
        <v>จำนวนที่นำมาแกะ</v>
      </c>
      <c r="C1" s="533" t="str">
        <f>สรุป!F32</f>
        <v>แผ่นดี</v>
      </c>
      <c r="D1" s="533" t="str">
        <f>สรุป!G32</f>
        <v>Reject</v>
      </c>
      <c r="E1" s="537" t="str">
        <f>สรุป!J32</f>
        <v>ร้าวผิวกระเบื้อง</v>
      </c>
      <c r="F1" s="537" t="str">
        <f>สรุป!K32</f>
        <v>ร้าวรางลิ้นหงาย</v>
      </c>
      <c r="G1" s="537" t="str">
        <f>สรุป!L32</f>
        <v>ร้าวรางลิ่นคว่ำ</v>
      </c>
      <c r="H1" s="537" t="str">
        <f>สรุป!M32</f>
        <v>ร้าวล่างตัวครอบ</v>
      </c>
      <c r="I1" s="537" t="str">
        <f>สรุป!N32</f>
        <v>ร้าวชายกระเบื้อง
ชายกระเบื้อง</v>
      </c>
      <c r="J1" s="537" t="str">
        <f>สรุป!O32</f>
        <v>ร้าวเขื่อนรางลิ้นหงาน</v>
      </c>
      <c r="K1" s="537" t="str">
        <f>สรุป!P32</f>
        <v>ร้าวเขื่อนรางลิ้นคว่ำ</v>
      </c>
      <c r="L1" s="537" t="str">
        <f>สรุป!Q32</f>
        <v>บิ่นแหว่ง</v>
      </c>
      <c r="M1" s="537" t="str">
        <f>สรุป!R32</f>
        <v>ผิวครอบปูดบวม</v>
      </c>
      <c r="N1" s="537" t="str">
        <f>สรุป!S32</f>
        <v>ผิวครอบไม่เรียบ</v>
      </c>
      <c r="O1" s="537" t="str">
        <f>สรุป!T32</f>
        <v>ขอบไม่คม / ไม่เรียบ</v>
      </c>
      <c r="P1" s="537" t="str">
        <f>สรุป!U32</f>
        <v>รูพรุน</v>
      </c>
      <c r="Q1" s="537" t="str">
        <f>สรุป!V32</f>
        <v>แตกรูตะปู</v>
      </c>
      <c r="R1" s="537" t="str">
        <f>สรุป!W32</f>
        <v>เนื้อแหว่งใต้ครอบ</v>
      </c>
      <c r="S1" s="537" t="str">
        <f>สรุป!X32</f>
        <v>ปูนติดโมล</v>
      </c>
      <c r="T1" s="537" t="str">
        <f>สรุป!Y32</f>
        <v>สี Salary ไม่เต็ม</v>
      </c>
      <c r="U1" s="537" t="str">
        <f>สรุป!Z32</f>
        <v>สีเป็นเม็ด</v>
      </c>
      <c r="V1" s="537" t="str">
        <f>สรุป!AA32</f>
        <v>สีพอง</v>
      </c>
      <c r="W1" s="537" t="str">
        <f>สรุป!AB32</f>
        <v>สีด้าน</v>
      </c>
      <c r="X1" s="537" t="str">
        <f>สรุป!AC32</f>
        <v>สีหยด</v>
      </c>
      <c r="Y1" s="537" t="str">
        <f>สรุป!AD32</f>
        <v>สีปูด</v>
      </c>
      <c r="Z1" s="537" t="str">
        <f>สรุป!AE32</f>
        <v>ครอบบาง/น้ำหนักเบา</v>
      </c>
      <c r="AA1" s="537" t="str">
        <f>สรุป!AF32</f>
        <v xml:space="preserve">ยกชน Rack </v>
      </c>
      <c r="AB1" s="537" t="str">
        <f>สรุป!AG32</f>
        <v>รถยกชน</v>
      </c>
      <c r="AC1" s="537" t="str">
        <f>สรุป!AH32</f>
        <v>อื่นๆ</v>
      </c>
      <c r="AD1" s="532"/>
      <c r="AE1" s="532"/>
      <c r="AF1" s="532"/>
      <c r="AG1" s="532"/>
      <c r="AH1" s="532"/>
      <c r="AI1" s="532"/>
      <c r="AJ1" s="532"/>
      <c r="AK1" s="532"/>
      <c r="AL1" s="532"/>
      <c r="AM1" s="532"/>
      <c r="AN1" s="532"/>
      <c r="AO1" s="532"/>
      <c r="AP1" s="532"/>
      <c r="AQ1" s="532"/>
      <c r="AR1" s="532"/>
    </row>
    <row r="2" spans="1:44">
      <c r="A2" s="534" t="str">
        <f>สรุป!C33</f>
        <v>ครอบสัน</v>
      </c>
      <c r="B2" s="534">
        <f>สรุป!E33</f>
        <v>44193</v>
      </c>
      <c r="C2" s="534">
        <f>สรุป!F33</f>
        <v>37497</v>
      </c>
      <c r="D2" s="535">
        <f>สรุป!G33</f>
        <v>0.15151720860769805</v>
      </c>
      <c r="E2" s="535">
        <f>สรุป!J33/สรุป!$E33</f>
        <v>1.1992849546308239E-3</v>
      </c>
      <c r="F2" s="535">
        <f>สรุป!K33/สรุป!$E33</f>
        <v>1.9731631706378837E-2</v>
      </c>
      <c r="G2" s="535">
        <f>สรุป!L33/สรุป!$E33</f>
        <v>4.2653813952435907E-2</v>
      </c>
      <c r="H2" s="535">
        <f>สรุป!M33/สรุป!$E33</f>
        <v>1.3893603059308035E-2</v>
      </c>
      <c r="I2" s="535">
        <f>สรุป!N33/สรุป!$E33</f>
        <v>0</v>
      </c>
      <c r="J2" s="535">
        <f>สรุป!O33/สรุป!$E33</f>
        <v>2.2628018011902338E-4</v>
      </c>
      <c r="K2" s="535">
        <f>สรุป!P33/สรุป!$E33</f>
        <v>9.5037675649989816E-4</v>
      </c>
      <c r="L2" s="535">
        <f>สรุป!Q33/สรุป!$E33</f>
        <v>6.3358450433326544E-4</v>
      </c>
      <c r="M2" s="535">
        <f>สรุป!R33/สรุป!$E33</f>
        <v>1.674473332880773E-3</v>
      </c>
      <c r="N2" s="535">
        <f>สรุป!S33/สรุป!$E33</f>
        <v>0</v>
      </c>
      <c r="O2" s="535">
        <f>สรุป!T33/สรุป!$E33</f>
        <v>0</v>
      </c>
      <c r="P2" s="535">
        <f>สรุป!U33/สรุป!$E33</f>
        <v>1.1314009005951168E-3</v>
      </c>
      <c r="Q2" s="535">
        <f>สรุป!V33/สรุป!$E33</f>
        <v>4.2540673862376394E-2</v>
      </c>
      <c r="R2" s="535">
        <f>สรุป!W33/สรุป!$E33</f>
        <v>1.4233023329486571E-2</v>
      </c>
      <c r="S2" s="535">
        <f>สรุป!X33/สรุป!$E33</f>
        <v>1.0182608105356052E-3</v>
      </c>
      <c r="T2" s="535">
        <f>สรุป!Y33/สรุป!$E33</f>
        <v>8.1460864842848417E-4</v>
      </c>
      <c r="U2" s="535">
        <f>สรุป!Z33/สรุป!$E33</f>
        <v>0</v>
      </c>
      <c r="V2" s="535">
        <f>สรุป!AA33/สรุป!$E33</f>
        <v>0</v>
      </c>
      <c r="W2" s="535">
        <f>สรุป!AB33/สรุป!$E33</f>
        <v>3.9825311700948116E-3</v>
      </c>
      <c r="X2" s="535">
        <f>สรุป!AC33/สรุป!$E33</f>
        <v>1.7423573869164799E-3</v>
      </c>
      <c r="Y2" s="535">
        <f>สรุป!AD33/สรุป!$E33</f>
        <v>1.810241440952187E-4</v>
      </c>
      <c r="Z2" s="535">
        <f>สรุป!AE33/สรุป!$E33</f>
        <v>5.6570045029755839E-4</v>
      </c>
      <c r="AA2" s="535">
        <f>สรุป!AF33/สรุป!$E33</f>
        <v>3.5978548638924716E-3</v>
      </c>
      <c r="AB2" s="535">
        <f>สรุป!AG33/สรุป!$E33</f>
        <v>0</v>
      </c>
      <c r="AC2" s="535">
        <f>สรุป!AH33/สรุป!$E33</f>
        <v>7.4672459439277712E-4</v>
      </c>
    </row>
    <row r="3" spans="1:44">
      <c r="A3" s="534" t="str">
        <f>สรุป!C34</f>
        <v>ครอบปิดจั่ว</v>
      </c>
      <c r="B3" s="534">
        <f>สรุป!E34</f>
        <v>807</v>
      </c>
      <c r="C3" s="534">
        <f>สรุป!F34</f>
        <v>801</v>
      </c>
      <c r="D3" s="535">
        <f>สรุป!G34</f>
        <v>7.4349442379182153E-3</v>
      </c>
      <c r="E3" s="535">
        <f>สรุป!J34/สรุป!$E34</f>
        <v>0</v>
      </c>
      <c r="F3" s="535">
        <f>สรุป!K34/สรุป!$E34</f>
        <v>0</v>
      </c>
      <c r="G3" s="535">
        <f>สรุป!L34/สรุป!$E34</f>
        <v>0</v>
      </c>
      <c r="H3" s="535">
        <f>สรุป!M34/สรุป!$E34</f>
        <v>0</v>
      </c>
      <c r="I3" s="535">
        <f>สรุป!N34/สรุป!$E34</f>
        <v>0</v>
      </c>
      <c r="J3" s="535">
        <f>สรุป!O34/สรุป!$E34</f>
        <v>0</v>
      </c>
      <c r="K3" s="535">
        <f>สรุป!P34/สรุป!$E34</f>
        <v>0</v>
      </c>
      <c r="L3" s="535">
        <f>สรุป!Q34/สรุป!$E34</f>
        <v>7.4349442379182153E-3</v>
      </c>
      <c r="M3" s="535">
        <f>สรุป!R34/สรุป!$E34</f>
        <v>0</v>
      </c>
      <c r="N3" s="535">
        <f>สรุป!S34/สรุป!$E34</f>
        <v>0</v>
      </c>
      <c r="O3" s="535">
        <f>สรุป!T34/สรุป!$E34</f>
        <v>0</v>
      </c>
      <c r="P3" s="535">
        <f>สรุป!U34/สรุป!$E34</f>
        <v>0</v>
      </c>
      <c r="Q3" s="535">
        <f>สรุป!V34/สรุป!$E34</f>
        <v>0</v>
      </c>
      <c r="R3" s="535">
        <f>สรุป!W34/สรุป!$E34</f>
        <v>0</v>
      </c>
      <c r="S3" s="535">
        <f>สรุป!X34/สรุป!$E34</f>
        <v>0</v>
      </c>
      <c r="T3" s="535">
        <f>สรุป!Y34/สรุป!$E34</f>
        <v>0</v>
      </c>
      <c r="U3" s="535">
        <f>สรุป!Z34/สรุป!$E34</f>
        <v>0</v>
      </c>
      <c r="V3" s="535">
        <f>สรุป!AA34/สรุป!$E34</f>
        <v>0</v>
      </c>
      <c r="W3" s="535">
        <f>สรุป!AB34/สรุป!$E34</f>
        <v>0</v>
      </c>
      <c r="X3" s="535">
        <f>สรุป!AC34/สรุป!$E34</f>
        <v>0</v>
      </c>
      <c r="Y3" s="535">
        <f>สรุป!AD34/สรุป!$E34</f>
        <v>0</v>
      </c>
      <c r="Z3" s="535">
        <f>สรุป!AE34/สรุป!$E34</f>
        <v>0</v>
      </c>
      <c r="AA3" s="535">
        <f>สรุป!AF34/สรุป!$E34</f>
        <v>0</v>
      </c>
      <c r="AB3" s="535">
        <f>สรุป!AG34/สรุป!$E34</f>
        <v>0</v>
      </c>
      <c r="AC3" s="535">
        <f>สรุป!AH34/สรุป!$E34</f>
        <v>0</v>
      </c>
    </row>
    <row r="4" spans="1:44">
      <c r="A4" s="534" t="str">
        <f>สรุป!C35</f>
        <v>ครอบตะเข้</v>
      </c>
      <c r="B4" s="534">
        <f>สรุป!E35</f>
        <v>124149</v>
      </c>
      <c r="C4" s="534">
        <f>สรุป!F35</f>
        <v>116878</v>
      </c>
      <c r="D4" s="535">
        <f>สรุป!G35</f>
        <v>5.8566722245044264E-2</v>
      </c>
      <c r="E4" s="535">
        <f>สรุป!J35/สรุป!$E35</f>
        <v>1.2484997865468107E-3</v>
      </c>
      <c r="F4" s="535">
        <f>สรุป!K35/สรุป!$E35</f>
        <v>6.443869866048055E-3</v>
      </c>
      <c r="G4" s="535">
        <f>สรุป!L35/สรุป!$E35</f>
        <v>1.0970688446946814E-2</v>
      </c>
      <c r="H4" s="535">
        <f>สรุป!M35/สรุป!$E35</f>
        <v>7.0077084793272596E-4</v>
      </c>
      <c r="I4" s="535">
        <f>สรุป!N35/สรุป!$E35</f>
        <v>0</v>
      </c>
      <c r="J4" s="535">
        <f>สรุป!O35/สรุป!$E35</f>
        <v>2.4969995730936214E-3</v>
      </c>
      <c r="K4" s="535">
        <f>สรุป!P35/สรุป!$E35</f>
        <v>4.0274186662800343E-5</v>
      </c>
      <c r="L4" s="535">
        <f>สรุป!Q35/สรุป!$E35</f>
        <v>7.813192212583267E-4</v>
      </c>
      <c r="M4" s="535">
        <f>สรุป!R35/สรุป!$E35</f>
        <v>6.6049666126992562E-3</v>
      </c>
      <c r="N4" s="535">
        <f>สรุป!S35/สรุป!$E35</f>
        <v>1.6109674665120138E-5</v>
      </c>
      <c r="O4" s="535">
        <f>สรุป!T35/สรุป!$E35</f>
        <v>0</v>
      </c>
      <c r="P4" s="535">
        <f>สรุป!U35/สรุป!$E35</f>
        <v>0</v>
      </c>
      <c r="Q4" s="535">
        <f>สรุป!V35/สรุป!$E35</f>
        <v>3.2380446076891475E-3</v>
      </c>
      <c r="R4" s="535">
        <f>สรุป!W35/สรุป!$E35</f>
        <v>8.0065083085647092E-3</v>
      </c>
      <c r="S4" s="535">
        <f>สรุป!X35/สรุป!$E35</f>
        <v>3.2219349330240276E-5</v>
      </c>
      <c r="T4" s="535">
        <f>สรุป!Y35/สรุป!$E35</f>
        <v>4.3496121595824373E-4</v>
      </c>
      <c r="U4" s="535">
        <f>สรุป!Z35/สรุป!$E35</f>
        <v>9.6658047990720822E-5</v>
      </c>
      <c r="V4" s="535">
        <f>สรุป!AA35/สรุป!$E35</f>
        <v>4.0274186662800343E-5</v>
      </c>
      <c r="W4" s="535">
        <f>สรุป!AB35/สรุป!$E35</f>
        <v>4.3173928102521967E-3</v>
      </c>
      <c r="X4" s="535">
        <f>สรุป!AC35/สรุป!$E35</f>
        <v>7.0721471779877408E-3</v>
      </c>
      <c r="Y4" s="535">
        <f>สรุป!AD35/สรุป!$E35</f>
        <v>8.2159340792112702E-4</v>
      </c>
      <c r="Z4" s="535">
        <f>สรุป!AE35/สรุป!$E35</f>
        <v>2.7064253437401832E-3</v>
      </c>
      <c r="AA4" s="535">
        <f>สรุป!AF35/สรุป!$E35</f>
        <v>9.6658047990720824E-4</v>
      </c>
      <c r="AB4" s="535">
        <f>สรุป!AG35/สรุป!$E35</f>
        <v>1.288773973209611E-4</v>
      </c>
      <c r="AC4" s="535">
        <f>สรุป!AH35/สรุป!$E35</f>
        <v>1.4015416958654519E-3</v>
      </c>
    </row>
    <row r="5" spans="1:44">
      <c r="A5" s="534" t="str">
        <f>สรุป!C36</f>
        <v>ครอบปิดปลายตะเข้</v>
      </c>
      <c r="B5" s="534">
        <f>สรุป!E36</f>
        <v>13899</v>
      </c>
      <c r="C5" s="534">
        <f>สรุป!F36</f>
        <v>12269</v>
      </c>
      <c r="D5" s="535">
        <f>สรุป!G36</f>
        <v>0.11727462407367437</v>
      </c>
      <c r="E5" s="535">
        <f>สรุป!J36/สรุป!$E36</f>
        <v>7.5545003237642997E-3</v>
      </c>
      <c r="F5" s="535">
        <f>สรุป!K36/สรุป!$E36</f>
        <v>4.0074825527016335E-2</v>
      </c>
      <c r="G5" s="535">
        <f>สรุป!L36/สรุป!$E36</f>
        <v>1.611626735736384E-2</v>
      </c>
      <c r="H5" s="535">
        <f>สรุป!M36/สรุป!$E36</f>
        <v>0</v>
      </c>
      <c r="I5" s="535">
        <f>สรุป!N36/สรุป!$E36</f>
        <v>0</v>
      </c>
      <c r="J5" s="535">
        <f>สรุป!O36/สรุป!$E36</f>
        <v>1.4389524426217713E-3</v>
      </c>
      <c r="K5" s="535">
        <f>สรุป!P36/สรุป!$E36</f>
        <v>1.2231095762285057E-3</v>
      </c>
      <c r="L5" s="535">
        <f>สรุป!Q36/สรุป!$E36</f>
        <v>3.7412763508166053E-3</v>
      </c>
      <c r="M5" s="535">
        <f>สรุป!R36/สรุป!$E36</f>
        <v>3.5973811065544283E-4</v>
      </c>
      <c r="N5" s="535">
        <f>สรุป!S36/สรุป!$E36</f>
        <v>0</v>
      </c>
      <c r="O5" s="535">
        <f>สรุป!T36/สรุป!$E36</f>
        <v>0</v>
      </c>
      <c r="P5" s="535">
        <f>สรุป!U36/สรุป!$E36</f>
        <v>0</v>
      </c>
      <c r="Q5" s="535">
        <f>สรุป!V36/สรุป!$E36</f>
        <v>1.2231095762285057E-3</v>
      </c>
      <c r="R5" s="535">
        <f>สรุป!W36/สรุป!$E36</f>
        <v>2.4749982013094467E-2</v>
      </c>
      <c r="S5" s="535">
        <f>สรุป!X36/สรุป!$E36</f>
        <v>3.2376429958989855E-3</v>
      </c>
      <c r="T5" s="535">
        <f>สรุป!Y36/สรุป!$E36</f>
        <v>4.3168573278653139E-4</v>
      </c>
      <c r="U5" s="535">
        <f>สรุป!Z36/สรุป!$E36</f>
        <v>0</v>
      </c>
      <c r="V5" s="535">
        <f>สรุป!AA36/สรุป!$E36</f>
        <v>0</v>
      </c>
      <c r="W5" s="535">
        <f>สรุป!AB36/สรุป!$E36</f>
        <v>3.4534858622922511E-3</v>
      </c>
      <c r="X5" s="535">
        <f>สรุป!AC36/สรุป!$E36</f>
        <v>4.3888049499964023E-3</v>
      </c>
      <c r="Y5" s="535">
        <f>สรุป!AD36/สรุป!$E36</f>
        <v>0</v>
      </c>
      <c r="Z5" s="535">
        <f>สรุป!AE36/สรุป!$E36</f>
        <v>2.8779048852435428E-4</v>
      </c>
      <c r="AA5" s="535">
        <f>สรุป!AF36/สรุป!$E36</f>
        <v>2.4462191524570113E-3</v>
      </c>
      <c r="AB5" s="535">
        <f>สรุป!AG36/สรุป!$E36</f>
        <v>0</v>
      </c>
      <c r="AC5" s="535">
        <f>สรุป!AH36/สรุป!$E36</f>
        <v>6.5472336139290599E-3</v>
      </c>
    </row>
    <row r="6" spans="1:44">
      <c r="A6" s="534" t="str">
        <f>สรุป!C37</f>
        <v>ครอบข้างซิมเลท</v>
      </c>
      <c r="B6" s="534">
        <f>สรุป!E37</f>
        <v>27979</v>
      </c>
      <c r="C6" s="534">
        <f>สรุป!F37</f>
        <v>26251</v>
      </c>
      <c r="D6" s="535">
        <f>สรุป!G37</f>
        <v>6.1760606168912401E-2</v>
      </c>
      <c r="E6" s="535">
        <f>สรุป!J37/สรุป!$E37</f>
        <v>1.6798313020479645E-3</v>
      </c>
      <c r="F6" s="535">
        <f>สรุป!K37/สรุป!$E37</f>
        <v>2.4768576432324243E-2</v>
      </c>
      <c r="G6" s="535">
        <f>สรุป!L37/สรุป!$E37</f>
        <v>1.4010507880910683E-2</v>
      </c>
      <c r="H6" s="535">
        <f>สรุป!M37/สรุป!$E37</f>
        <v>7.148218306587083E-4</v>
      </c>
      <c r="I6" s="535">
        <f>สรุป!N37/สรุป!$E37</f>
        <v>0</v>
      </c>
      <c r="J6" s="535">
        <f>สรุป!O37/สรุป!$E37</f>
        <v>0</v>
      </c>
      <c r="K6" s="535">
        <f>สรุป!P37/สรุป!$E37</f>
        <v>0</v>
      </c>
      <c r="L6" s="535">
        <f>สรุป!Q37/สรุป!$E37</f>
        <v>1.2509382036527395E-3</v>
      </c>
      <c r="M6" s="535">
        <f>สรุป!R37/สรุป!$E37</f>
        <v>2.5018764073054789E-3</v>
      </c>
      <c r="N6" s="535">
        <f>สรุป!S37/สรุป!$E37</f>
        <v>0</v>
      </c>
      <c r="O6" s="535">
        <f>สรุป!T37/สรุป!$E37</f>
        <v>4.2889309839522498E-4</v>
      </c>
      <c r="P6" s="535">
        <f>สรุป!U37/สรุป!$E37</f>
        <v>0</v>
      </c>
      <c r="Q6" s="535">
        <f>สรุป!V37/สรุป!$E37</f>
        <v>0</v>
      </c>
      <c r="R6" s="535">
        <f>สรุป!W37/สรุป!$E37</f>
        <v>5.5756102791379245E-3</v>
      </c>
      <c r="S6" s="535">
        <f>สรุป!X37/สรุป!$E37</f>
        <v>0</v>
      </c>
      <c r="T6" s="535">
        <f>สรุป!Y37/สรุป!$E37</f>
        <v>1.0722327459880624E-4</v>
      </c>
      <c r="U6" s="535">
        <f>สรุป!Z37/สรุป!$E37</f>
        <v>0</v>
      </c>
      <c r="V6" s="535">
        <f>สรุป!AA37/สรุป!$E37</f>
        <v>0</v>
      </c>
      <c r="W6" s="535">
        <f>สรุป!AB37/สรุป!$E37</f>
        <v>1.7513134851138354E-3</v>
      </c>
      <c r="X6" s="535">
        <f>สรุป!AC37/สรุป!$E37</f>
        <v>2.6090996819042853E-3</v>
      </c>
      <c r="Y6" s="535">
        <f>สรุป!AD37/สรุป!$E37</f>
        <v>0</v>
      </c>
      <c r="Z6" s="535">
        <f>สรุป!AE37/สรุป!$E37</f>
        <v>2.501876407305479E-4</v>
      </c>
      <c r="AA6" s="535">
        <f>สรุป!AF37/สรุป!$E37</f>
        <v>5.5756102791379245E-3</v>
      </c>
      <c r="AB6" s="535">
        <f>สรุป!AG37/สรุป!$E37</f>
        <v>0</v>
      </c>
      <c r="AC6" s="535">
        <f>สรุป!AH37/สรุป!$E37</f>
        <v>5.3611637299403128E-4</v>
      </c>
    </row>
    <row r="7" spans="1:44">
      <c r="A7" s="534" t="str">
        <f>สรุป!C38</f>
        <v>ครอบข้างปิดปลายซิมเลท</v>
      </c>
      <c r="B7" s="534">
        <f>สรุป!E38</f>
        <v>2941</v>
      </c>
      <c r="C7" s="534">
        <f>สรุป!F38</f>
        <v>2640</v>
      </c>
      <c r="D7" s="535">
        <f>สรุป!G38</f>
        <v>0.1023461407684461</v>
      </c>
      <c r="E7" s="535">
        <f>สรุป!J38/สรุป!$E38</f>
        <v>0</v>
      </c>
      <c r="F7" s="535">
        <f>สรุป!K38/สรุป!$E38</f>
        <v>2.9581774906494388E-2</v>
      </c>
      <c r="G7" s="535">
        <f>สรุป!L38/สรุป!$E38</f>
        <v>2.7201632097925877E-3</v>
      </c>
      <c r="H7" s="535">
        <f>สรุป!M38/สรุป!$E38</f>
        <v>0</v>
      </c>
      <c r="I7" s="535">
        <f>สรุป!N38/สรุป!$E38</f>
        <v>0</v>
      </c>
      <c r="J7" s="535">
        <f>สรุป!O38/สรุป!$E38</f>
        <v>0</v>
      </c>
      <c r="K7" s="535">
        <f>สรุป!P38/สรุป!$E38</f>
        <v>0</v>
      </c>
      <c r="L7" s="535">
        <f>สรุป!Q38/สรุป!$E38</f>
        <v>4.4202652159129547E-3</v>
      </c>
      <c r="M7" s="535">
        <f>สรุป!R38/สรุป!$E38</f>
        <v>0</v>
      </c>
      <c r="N7" s="535">
        <f>สรุป!S38/สรุป!$E38</f>
        <v>0</v>
      </c>
      <c r="O7" s="535">
        <f>สรุป!T38/สรุป!$E38</f>
        <v>0</v>
      </c>
      <c r="P7" s="535">
        <f>สรุป!U38/สรุป!$E38</f>
        <v>0</v>
      </c>
      <c r="Q7" s="535">
        <f>สรุป!V38/สรุป!$E38</f>
        <v>0</v>
      </c>
      <c r="R7" s="535">
        <f>สรุป!W38/สรุป!$E38</f>
        <v>6.3243794627677666E-2</v>
      </c>
      <c r="S7" s="535">
        <f>สรุป!X38/สรุป!$E38</f>
        <v>0</v>
      </c>
      <c r="T7" s="535">
        <f>สรุป!Y38/สรุป!$E38</f>
        <v>0</v>
      </c>
      <c r="U7" s="535">
        <f>สรุป!Z38/สรุป!$E38</f>
        <v>0</v>
      </c>
      <c r="V7" s="535">
        <f>สรุป!AA38/สรุป!$E38</f>
        <v>0</v>
      </c>
      <c r="W7" s="535">
        <f>สรุป!AB38/สรุป!$E38</f>
        <v>0</v>
      </c>
      <c r="X7" s="535">
        <f>สรุป!AC38/สรุป!$E38</f>
        <v>0</v>
      </c>
      <c r="Y7" s="535">
        <f>สรุป!AD38/สรุป!$E38</f>
        <v>0</v>
      </c>
      <c r="Z7" s="535">
        <f>สรุป!AE38/สรุป!$E38</f>
        <v>0</v>
      </c>
      <c r="AA7" s="535">
        <f>สรุป!AF38/สรุป!$E38</f>
        <v>2.3801428085685142E-3</v>
      </c>
      <c r="AB7" s="535">
        <f>สรุป!AG38/สรุป!$E38</f>
        <v>0</v>
      </c>
      <c r="AC7" s="535">
        <f>สรุป!AH38/สรุป!$E38</f>
        <v>0</v>
      </c>
    </row>
    <row r="8" spans="1:44">
      <c r="A8" s="534" t="str">
        <f>สรุป!C39</f>
        <v>ครอบหัวผนัง</v>
      </c>
      <c r="B8" s="534">
        <f>สรุป!E39</f>
        <v>490</v>
      </c>
      <c r="C8" s="534">
        <f>สรุป!F39</f>
        <v>435</v>
      </c>
      <c r="D8" s="535">
        <f>สรุป!G39</f>
        <v>0.11224489795918367</v>
      </c>
      <c r="E8" s="535">
        <f>สรุป!J39/สรุป!$E39</f>
        <v>0</v>
      </c>
      <c r="F8" s="535">
        <f>สรุป!K39/สรุป!$E39</f>
        <v>0</v>
      </c>
      <c r="G8" s="535">
        <f>สรุป!L39/สรุป!$E39</f>
        <v>0</v>
      </c>
      <c r="H8" s="535">
        <f>สรุป!M39/สรุป!$E39</f>
        <v>0</v>
      </c>
      <c r="I8" s="535">
        <f>สรุป!N39/สรุป!$E39</f>
        <v>0</v>
      </c>
      <c r="J8" s="535">
        <f>สรุป!O39/สรุป!$E39</f>
        <v>0</v>
      </c>
      <c r="K8" s="535">
        <f>สรุป!P39/สรุป!$E39</f>
        <v>0</v>
      </c>
      <c r="L8" s="535">
        <f>สรุป!Q39/สรุป!$E39</f>
        <v>3.2653061224489799E-2</v>
      </c>
      <c r="M8" s="535">
        <f>สรุป!R39/สรุป!$E39</f>
        <v>3.0612244897959183E-2</v>
      </c>
      <c r="N8" s="535">
        <f>สรุป!S39/สรุป!$E39</f>
        <v>6.1224489795918364E-3</v>
      </c>
      <c r="O8" s="535">
        <f>สรุป!T39/สรุป!$E39</f>
        <v>0</v>
      </c>
      <c r="P8" s="535">
        <f>สรุป!U39/สรุป!$E39</f>
        <v>0</v>
      </c>
      <c r="Q8" s="535">
        <f>สรุป!V39/สรุป!$E39</f>
        <v>0</v>
      </c>
      <c r="R8" s="535">
        <f>สรุป!W39/สรุป!$E39</f>
        <v>4.0816326530612242E-2</v>
      </c>
      <c r="S8" s="535">
        <f>สรุป!X39/สรุป!$E39</f>
        <v>0</v>
      </c>
      <c r="T8" s="535">
        <f>สรุป!Y39/สรุป!$E39</f>
        <v>0</v>
      </c>
      <c r="U8" s="535">
        <f>สรุป!Z39/สรุป!$E39</f>
        <v>0</v>
      </c>
      <c r="V8" s="535">
        <f>สรุป!AA39/สรุป!$E39</f>
        <v>0</v>
      </c>
      <c r="W8" s="535">
        <f>สรุป!AB39/สรุป!$E39</f>
        <v>0</v>
      </c>
      <c r="X8" s="535">
        <f>สรุป!AC39/สรุป!$E39</f>
        <v>2.0408163265306124E-3</v>
      </c>
      <c r="Y8" s="535">
        <f>สรุป!AD39/สรุป!$E39</f>
        <v>0</v>
      </c>
      <c r="Z8" s="535">
        <f>สรุป!AE39/สรุป!$E39</f>
        <v>0</v>
      </c>
      <c r="AA8" s="535">
        <f>สรุป!AF39/สรุป!$E39</f>
        <v>0</v>
      </c>
      <c r="AB8" s="535">
        <f>สรุป!AG39/สรุป!$E39</f>
        <v>0</v>
      </c>
      <c r="AC8" s="535">
        <f>สรุป!AH39/สรุป!$E39</f>
        <v>0</v>
      </c>
    </row>
    <row r="9" spans="1:44">
      <c r="A9" s="534" t="str">
        <f>สรุป!C40</f>
        <v>ครอบข้างผนัง</v>
      </c>
      <c r="B9" s="534">
        <f>สรุป!E40</f>
        <v>0</v>
      </c>
      <c r="C9" s="534">
        <f>สรุป!F40</f>
        <v>0</v>
      </c>
      <c r="D9" s="535" t="str">
        <f>สรุป!G40</f>
        <v/>
      </c>
      <c r="E9" s="535" t="e">
        <f>สรุป!J40/สรุป!$E40</f>
        <v>#DIV/0!</v>
      </c>
      <c r="F9" s="535" t="e">
        <f>สรุป!K40/สรุป!$E40</f>
        <v>#DIV/0!</v>
      </c>
      <c r="G9" s="535" t="e">
        <f>สรุป!L40/สรุป!$E40</f>
        <v>#DIV/0!</v>
      </c>
      <c r="H9" s="535" t="e">
        <f>สรุป!M40/สรุป!$E40</f>
        <v>#DIV/0!</v>
      </c>
      <c r="I9" s="535" t="e">
        <f>สรุป!N40/สรุป!$E40</f>
        <v>#DIV/0!</v>
      </c>
      <c r="J9" s="535" t="e">
        <f>สรุป!O40/สรุป!$E40</f>
        <v>#DIV/0!</v>
      </c>
      <c r="K9" s="535" t="e">
        <f>สรุป!P40/สรุป!$E40</f>
        <v>#DIV/0!</v>
      </c>
      <c r="L9" s="535" t="e">
        <f>สรุป!Q40/สรุป!$E40</f>
        <v>#DIV/0!</v>
      </c>
      <c r="M9" s="535" t="e">
        <f>สรุป!R40/สรุป!$E40</f>
        <v>#DIV/0!</v>
      </c>
      <c r="N9" s="535" t="e">
        <f>สรุป!S40/สรุป!$E40</f>
        <v>#DIV/0!</v>
      </c>
      <c r="O9" s="535" t="e">
        <f>สรุป!T40/สรุป!$E40</f>
        <v>#DIV/0!</v>
      </c>
      <c r="P9" s="535" t="e">
        <f>สรุป!U40/สรุป!$E40</f>
        <v>#DIV/0!</v>
      </c>
      <c r="Q9" s="535" t="e">
        <f>สรุป!V40/สรุป!$E40</f>
        <v>#DIV/0!</v>
      </c>
      <c r="R9" s="535" t="e">
        <f>สรุป!W40/สรุป!$E40</f>
        <v>#DIV/0!</v>
      </c>
      <c r="S9" s="535" t="e">
        <f>สรุป!X40/สรุป!$E40</f>
        <v>#DIV/0!</v>
      </c>
      <c r="T9" s="535" t="e">
        <f>สรุป!Y40/สรุป!$E40</f>
        <v>#DIV/0!</v>
      </c>
      <c r="U9" s="535" t="e">
        <f>สรุป!Z40/สรุป!$E40</f>
        <v>#DIV/0!</v>
      </c>
      <c r="V9" s="535" t="e">
        <f>สรุป!AA40/สรุป!$E40</f>
        <v>#DIV/0!</v>
      </c>
      <c r="W9" s="535" t="e">
        <f>สรุป!AB40/สรุป!$E40</f>
        <v>#DIV/0!</v>
      </c>
      <c r="X9" s="535" t="e">
        <f>สรุป!AC40/สรุป!$E40</f>
        <v>#DIV/0!</v>
      </c>
      <c r="Y9" s="535" t="e">
        <f>สรุป!AD40/สรุป!$E40</f>
        <v>#DIV/0!</v>
      </c>
      <c r="Z9" s="535" t="e">
        <f>สรุป!AE40/สรุป!$E40</f>
        <v>#DIV/0!</v>
      </c>
      <c r="AA9" s="535" t="e">
        <f>สรุป!AF40/สรุป!$E40</f>
        <v>#DIV/0!</v>
      </c>
      <c r="AB9" s="535" t="e">
        <f>สรุป!AG40/สรุป!$E40</f>
        <v>#DIV/0!</v>
      </c>
      <c r="AC9" s="535" t="e">
        <f>สรุป!AH40/สรุป!$E40</f>
        <v>#DIV/0!</v>
      </c>
    </row>
    <row r="10" spans="1:44">
      <c r="A10" s="534" t="str">
        <f>สรุป!C41</f>
        <v>ครอบปั้นลม</v>
      </c>
      <c r="B10" s="534">
        <f>สรุป!E41</f>
        <v>0</v>
      </c>
      <c r="C10" s="534">
        <f>สรุป!F41</f>
        <v>0</v>
      </c>
      <c r="D10" s="535" t="str">
        <f>สรุป!G41</f>
        <v/>
      </c>
      <c r="E10" s="535" t="e">
        <f>สรุป!J41/สรุป!$E41</f>
        <v>#DIV/0!</v>
      </c>
      <c r="F10" s="535" t="e">
        <f>สรุป!K41/สรุป!$E41</f>
        <v>#DIV/0!</v>
      </c>
      <c r="G10" s="535" t="e">
        <f>สรุป!L41/สรุป!$E41</f>
        <v>#DIV/0!</v>
      </c>
      <c r="H10" s="535" t="e">
        <f>สรุป!M41/สรุป!$E41</f>
        <v>#DIV/0!</v>
      </c>
      <c r="I10" s="535" t="e">
        <f>สรุป!N41/สรุป!$E41</f>
        <v>#DIV/0!</v>
      </c>
      <c r="J10" s="535" t="e">
        <f>สรุป!O41/สรุป!$E41</f>
        <v>#DIV/0!</v>
      </c>
      <c r="K10" s="535" t="e">
        <f>สรุป!P41/สรุป!$E41</f>
        <v>#DIV/0!</v>
      </c>
      <c r="L10" s="535" t="e">
        <f>สรุป!Q41/สรุป!$E41</f>
        <v>#DIV/0!</v>
      </c>
      <c r="M10" s="535" t="e">
        <f>สรุป!R41/สรุป!$E41</f>
        <v>#DIV/0!</v>
      </c>
      <c r="N10" s="535" t="e">
        <f>สรุป!S41/สรุป!$E41</f>
        <v>#DIV/0!</v>
      </c>
      <c r="O10" s="535" t="e">
        <f>สรุป!T41/สรุป!$E41</f>
        <v>#DIV/0!</v>
      </c>
      <c r="P10" s="535" t="e">
        <f>สรุป!U41/สรุป!$E41</f>
        <v>#DIV/0!</v>
      </c>
      <c r="Q10" s="535" t="e">
        <f>สรุป!V41/สรุป!$E41</f>
        <v>#DIV/0!</v>
      </c>
      <c r="R10" s="535" t="e">
        <f>สรุป!W41/สรุป!$E41</f>
        <v>#DIV/0!</v>
      </c>
      <c r="S10" s="535" t="e">
        <f>สรุป!X41/สรุป!$E41</f>
        <v>#DIV/0!</v>
      </c>
      <c r="T10" s="535" t="e">
        <f>สรุป!Y41/สรุป!$E41</f>
        <v>#DIV/0!</v>
      </c>
      <c r="U10" s="535" t="e">
        <f>สรุป!Z41/สรุป!$E41</f>
        <v>#DIV/0!</v>
      </c>
      <c r="V10" s="535" t="e">
        <f>สรุป!AA41/สรุป!$E41</f>
        <v>#DIV/0!</v>
      </c>
      <c r="W10" s="535" t="e">
        <f>สรุป!AB41/สรุป!$E41</f>
        <v>#DIV/0!</v>
      </c>
      <c r="X10" s="535" t="e">
        <f>สรุป!AC41/สรุป!$E41</f>
        <v>#DIV/0!</v>
      </c>
      <c r="Y10" s="535" t="e">
        <f>สรุป!AD41/สรุป!$E41</f>
        <v>#DIV/0!</v>
      </c>
      <c r="Z10" s="535" t="e">
        <f>สรุป!AE41/สรุป!$E41</f>
        <v>#DIV/0!</v>
      </c>
      <c r="AA10" s="535" t="e">
        <f>สรุป!AF41/สรุป!$E41</f>
        <v>#DIV/0!</v>
      </c>
      <c r="AB10" s="535" t="e">
        <f>สรุป!AG41/สรุป!$E41</f>
        <v>#DIV/0!</v>
      </c>
      <c r="AC10" s="535" t="e">
        <f>สรุป!AH41/สรุป!$E41</f>
        <v>#DIV/0!</v>
      </c>
    </row>
    <row r="11" spans="1:44">
      <c r="A11" s="534" t="str">
        <f>สรุป!C42</f>
        <v>ครอบปิดปลายปั้นลม</v>
      </c>
      <c r="B11" s="534">
        <f>สรุป!E42</f>
        <v>0</v>
      </c>
      <c r="C11" s="534">
        <f>สรุป!F42</f>
        <v>0</v>
      </c>
      <c r="D11" s="535" t="str">
        <f>สรุป!G42</f>
        <v/>
      </c>
      <c r="E11" s="535" t="e">
        <f>สรุป!J42/สรุป!$E42</f>
        <v>#DIV/0!</v>
      </c>
      <c r="F11" s="535" t="e">
        <f>สรุป!K42/สรุป!$E42</f>
        <v>#DIV/0!</v>
      </c>
      <c r="G11" s="535" t="e">
        <f>สรุป!L42/สรุป!$E42</f>
        <v>#DIV/0!</v>
      </c>
      <c r="H11" s="535" t="e">
        <f>สรุป!M42/สรุป!$E42</f>
        <v>#DIV/0!</v>
      </c>
      <c r="I11" s="535" t="e">
        <f>สรุป!N42/สรุป!$E42</f>
        <v>#DIV/0!</v>
      </c>
      <c r="J11" s="535" t="e">
        <f>สรุป!O42/สรุป!$E42</f>
        <v>#DIV/0!</v>
      </c>
      <c r="K11" s="535" t="e">
        <f>สรุป!P42/สรุป!$E42</f>
        <v>#DIV/0!</v>
      </c>
      <c r="L11" s="535" t="e">
        <f>สรุป!Q42/สรุป!$E42</f>
        <v>#DIV/0!</v>
      </c>
      <c r="M11" s="535" t="e">
        <f>สรุป!R42/สรุป!$E42</f>
        <v>#DIV/0!</v>
      </c>
      <c r="N11" s="535" t="e">
        <f>สรุป!S42/สรุป!$E42</f>
        <v>#DIV/0!</v>
      </c>
      <c r="O11" s="535" t="e">
        <f>สรุป!T42/สรุป!$E42</f>
        <v>#DIV/0!</v>
      </c>
      <c r="P11" s="535" t="e">
        <f>สรุป!U42/สรุป!$E42</f>
        <v>#DIV/0!</v>
      </c>
      <c r="Q11" s="535" t="e">
        <f>สรุป!V42/สรุป!$E42</f>
        <v>#DIV/0!</v>
      </c>
      <c r="R11" s="535" t="e">
        <f>สรุป!W42/สรุป!$E42</f>
        <v>#DIV/0!</v>
      </c>
      <c r="S11" s="535" t="e">
        <f>สรุป!X42/สรุป!$E42</f>
        <v>#DIV/0!</v>
      </c>
      <c r="T11" s="535" t="e">
        <f>สรุป!Y42/สรุป!$E42</f>
        <v>#DIV/0!</v>
      </c>
      <c r="U11" s="535" t="e">
        <f>สรุป!Z42/สรุป!$E42</f>
        <v>#DIV/0!</v>
      </c>
      <c r="V11" s="535" t="e">
        <f>สรุป!AA42/สรุป!$E42</f>
        <v>#DIV/0!</v>
      </c>
      <c r="W11" s="535" t="e">
        <f>สรุป!AB42/สรุป!$E42</f>
        <v>#DIV/0!</v>
      </c>
      <c r="X11" s="535" t="e">
        <f>สรุป!AC42/สรุป!$E42</f>
        <v>#DIV/0!</v>
      </c>
      <c r="Y11" s="535" t="e">
        <f>สรุป!AD42/สรุป!$E42</f>
        <v>#DIV/0!</v>
      </c>
      <c r="Z11" s="535" t="e">
        <f>สรุป!AE42/สรุป!$E42</f>
        <v>#DIV/0!</v>
      </c>
      <c r="AA11" s="535" t="e">
        <f>สรุป!AF42/สรุป!$E42</f>
        <v>#DIV/0!</v>
      </c>
      <c r="AB11" s="535" t="e">
        <f>สรุป!AG42/สรุป!$E42</f>
        <v>#DIV/0!</v>
      </c>
      <c r="AC11" s="535" t="e">
        <f>สรุป!AH42/สรุป!$E42</f>
        <v>#DIV/0!</v>
      </c>
    </row>
    <row r="12" spans="1:44">
      <c r="A12" s="536" t="s">
        <v>110</v>
      </c>
      <c r="B12" s="534">
        <f>สรุป!E43</f>
        <v>214458</v>
      </c>
      <c r="C12" s="534">
        <f>สรุป!F43</f>
        <v>196771</v>
      </c>
      <c r="D12" s="535">
        <f>สรุป!G43</f>
        <v>8.247302502121627E-2</v>
      </c>
      <c r="E12" s="535">
        <f>สรุป!J43/สรุป!$E33</f>
        <v>8.1460864842848417E-3</v>
      </c>
      <c r="F12" s="535">
        <f>สรุป!K43/สรุป!$E33</f>
        <v>6.8087706197814138E-2</v>
      </c>
      <c r="G12" s="535">
        <f>สรุป!L43/สรุป!$E33</f>
        <v>8.7593057724073942E-2</v>
      </c>
      <c r="H12" s="535">
        <f>สรุป!M43/สรุป!$E33</f>
        <v>1.6314800986581585E-2</v>
      </c>
      <c r="I12" s="535">
        <f>สรุป!N43/สรุป!$E33</f>
        <v>0</v>
      </c>
      <c r="J12" s="535">
        <f>สรุป!O43/สรุป!$E33</f>
        <v>7.6935261240467945E-3</v>
      </c>
      <c r="K12" s="535">
        <f>สรุป!P43/สรุป!$E33</f>
        <v>1.4481931527617496E-3</v>
      </c>
      <c r="L12" s="535">
        <f>สรุป!Q43/สรุป!$E33</f>
        <v>5.589120448939877E-3</v>
      </c>
      <c r="M12" s="535">
        <f>สรุป!R43/สรุป!$E33</f>
        <v>2.2265969723711899E-2</v>
      </c>
      <c r="N12" s="535">
        <f>สรุป!S43/สรุป!$E33</f>
        <v>1.1314009005951169E-4</v>
      </c>
      <c r="O12" s="535">
        <f>สรุป!T43/สรุป!$E33</f>
        <v>2.7153621614282804E-4</v>
      </c>
      <c r="P12" s="535">
        <f>สรุป!U43/สรุป!$E33</f>
        <v>1.1314009005951168E-3</v>
      </c>
      <c r="Q12" s="535">
        <f>สรุป!V43/สรุป!$E33</f>
        <v>5.2021813409363474E-2</v>
      </c>
      <c r="R12" s="535">
        <f>สรุป!W43/สรุป!$E33</f>
        <v>5.2700653949720545E-2</v>
      </c>
      <c r="S12" s="535">
        <f>สรุป!X43/สรุป!$E33</f>
        <v>2.1270336931188197E-3</v>
      </c>
      <c r="T12" s="535">
        <f>สรุป!Y43/สรุป!$E33</f>
        <v>2.2401737831783315E-3</v>
      </c>
      <c r="U12" s="535">
        <f>สรุป!Z43/สรุป!$E33</f>
        <v>2.7153621614282804E-4</v>
      </c>
      <c r="V12" s="535">
        <f>สรุป!AA43/สรุป!$E33</f>
        <v>1.1314009005951169E-4</v>
      </c>
      <c r="W12" s="535">
        <f>สรุป!AB43/สรุป!$E33</f>
        <v>1.830606657162899E-2</v>
      </c>
      <c r="X12" s="535">
        <f>สรุป!AC43/สรุป!$E33</f>
        <v>2.4664539632973548E-2</v>
      </c>
      <c r="Y12" s="535">
        <f>สรุป!AD43/สรุป!$E33</f>
        <v>2.4890819813092571E-3</v>
      </c>
      <c r="Z12" s="535">
        <f>สรุป!AE43/สรุป!$E33</f>
        <v>8.4176227004276703E-3</v>
      </c>
      <c r="AA12" s="535">
        <f>สรุป!AF43/สรุป!$E33</f>
        <v>1.0770936573665513E-2</v>
      </c>
      <c r="AB12" s="535">
        <f>สรุป!AG43/สรุป!$E33</f>
        <v>3.620482881904374E-4</v>
      </c>
      <c r="AC12" s="535">
        <f>สรุป!AH43/สรุป!$E33</f>
        <v>7.0825696377254319E-3</v>
      </c>
    </row>
  </sheetData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sheetPr>
    <tabColor rgb="FFFF33CC"/>
  </sheetPr>
  <dimension ref="A1:D33"/>
  <sheetViews>
    <sheetView workbookViewId="0">
      <selection activeCell="S21" sqref="S21"/>
    </sheetView>
  </sheetViews>
  <sheetFormatPr defaultColWidth="9" defaultRowHeight="14.5"/>
  <cols>
    <col min="1" max="1" width="12" style="493" customWidth="1"/>
    <col min="2" max="2" width="7.33203125" style="434" customWidth="1"/>
    <col min="3" max="16384" width="9" style="434"/>
  </cols>
  <sheetData>
    <row r="1" spans="1:4">
      <c r="B1" s="434" t="s">
        <v>116</v>
      </c>
      <c r="C1" s="434" t="s">
        <v>115</v>
      </c>
      <c r="D1" s="434" t="s">
        <v>114</v>
      </c>
    </row>
    <row r="2" spans="1:4">
      <c r="A2" s="492">
        <f>'1'!R1</f>
        <v>244562</v>
      </c>
      <c r="B2" s="435">
        <f>'1'!$Z$29</f>
        <v>30.990497388922183</v>
      </c>
      <c r="C2" s="436">
        <f>'1'!$R$29</f>
        <v>0.95188768084924236</v>
      </c>
      <c r="D2" s="436">
        <f>'1'!$AB$29</f>
        <v>3.8524098964129783</v>
      </c>
    </row>
    <row r="3" spans="1:4">
      <c r="A3" s="492" t="str">
        <f>'2'!$R$1</f>
        <v>00/08/2569</v>
      </c>
      <c r="B3" s="435">
        <f>'2'!$Z$29</f>
        <v>0</v>
      </c>
      <c r="C3" s="436">
        <f>'2'!$R$29</f>
        <v>0</v>
      </c>
      <c r="D3" s="436">
        <f>'2'!$AB$29</f>
        <v>0</v>
      </c>
    </row>
    <row r="4" spans="1:4">
      <c r="A4" s="492">
        <f>'3'!$R$1</f>
        <v>244564</v>
      </c>
      <c r="B4" s="435">
        <f>'3'!$Z$29</f>
        <v>31.31070734773169</v>
      </c>
      <c r="C4" s="436">
        <f>'3'!$R$29</f>
        <v>0.83653296766083873</v>
      </c>
      <c r="D4" s="436">
        <f>'3'!$AB$29</f>
        <v>3.6567249457204891</v>
      </c>
    </row>
    <row r="5" spans="1:4">
      <c r="A5" s="492" t="str">
        <f>'4'!$R$1</f>
        <v>00/08/2569</v>
      </c>
      <c r="B5" s="435">
        <f>'4'!$Z$29</f>
        <v>34.74074074074074</v>
      </c>
      <c r="C5" s="436">
        <f>'4'!$R$29</f>
        <v>0.83259259259259255</v>
      </c>
      <c r="D5" s="436">
        <f>'4'!$AB$29</f>
        <v>4.8148148148148149</v>
      </c>
    </row>
    <row r="6" spans="1:4">
      <c r="A6" s="492">
        <f>'5'!$R$1</f>
        <v>244566</v>
      </c>
      <c r="B6" s="435">
        <f>'5'!$Z$29</f>
        <v>37.667817414652859</v>
      </c>
      <c r="C6" s="436">
        <f>'5'!$R$29</f>
        <v>0.88039892596854619</v>
      </c>
      <c r="D6" s="436">
        <f>'5'!$AB$29</f>
        <v>4.9865746068277712</v>
      </c>
    </row>
    <row r="7" spans="1:4">
      <c r="A7" s="492">
        <f>'6'!$R$1</f>
        <v>244567</v>
      </c>
      <c r="B7" s="435">
        <f>'6'!$Z$29</f>
        <v>42.119565217391305</v>
      </c>
      <c r="C7" s="436">
        <f>'6'!$R$29</f>
        <v>0.90702639751552794</v>
      </c>
      <c r="D7" s="436">
        <f>'6'!$AB$29</f>
        <v>4.8524844720496896</v>
      </c>
    </row>
    <row r="8" spans="1:4">
      <c r="A8" s="492">
        <f>'7'!$R$1</f>
        <v>244568</v>
      </c>
      <c r="B8" s="435">
        <f>'7'!$Z$29</f>
        <v>34.375571402450177</v>
      </c>
      <c r="C8" s="436">
        <f>'7'!$R$29</f>
        <v>0.96147985615895659</v>
      </c>
      <c r="D8" s="436">
        <f>'7'!$AB$29</f>
        <v>4.6931187907600416</v>
      </c>
    </row>
    <row r="9" spans="1:4">
      <c r="A9" s="492">
        <f>'8'!$R$1</f>
        <v>244569</v>
      </c>
      <c r="B9" s="435">
        <f>'8'!$Z$29</f>
        <v>39.84698756773988</v>
      </c>
      <c r="C9" s="436">
        <f>'8'!$R$29</f>
        <v>1.0894166401020082</v>
      </c>
      <c r="D9" s="436">
        <f>'8'!$AB$29</f>
        <v>12.91042397194772</v>
      </c>
    </row>
    <row r="10" spans="1:4">
      <c r="A10" s="492" t="str">
        <f>'9'!$R$1</f>
        <v>00/08/2569</v>
      </c>
      <c r="B10" s="435">
        <f>'9'!$Z$29</f>
        <v>0</v>
      </c>
      <c r="C10" s="436">
        <f>'9'!$R$29</f>
        <v>0</v>
      </c>
      <c r="D10" s="436">
        <f>'9'!$AB$29</f>
        <v>0</v>
      </c>
    </row>
    <row r="11" spans="1:4">
      <c r="A11" s="492">
        <f>'10'!$R$1</f>
        <v>244571</v>
      </c>
      <c r="B11" s="435">
        <f>'10'!$Z$29</f>
        <v>38.647342995169083</v>
      </c>
      <c r="C11" s="436">
        <f>'10'!$R$29</f>
        <v>0.97944051230198859</v>
      </c>
      <c r="D11" s="436">
        <f>'10'!$AB$29</f>
        <v>7.6395910571845862</v>
      </c>
    </row>
    <row r="12" spans="1:4">
      <c r="A12" s="492">
        <f>'11'!$R$1</f>
        <v>244572</v>
      </c>
      <c r="B12" s="435">
        <f>'11'!$Z$29</f>
        <v>33.752913752913756</v>
      </c>
      <c r="C12" s="436">
        <f>'11'!$R$29</f>
        <v>0.91300699300699306</v>
      </c>
      <c r="D12" s="436">
        <f>'11'!$AB$29</f>
        <v>5.6876456876456878</v>
      </c>
    </row>
    <row r="13" spans="1:4">
      <c r="A13" s="492" t="str">
        <f>'12'!$R$1</f>
        <v>00/08/2569</v>
      </c>
      <c r="B13" s="435">
        <f>'12'!$Z$29</f>
        <v>0</v>
      </c>
      <c r="C13" s="436">
        <f>'12'!$R$29</f>
        <v>0</v>
      </c>
      <c r="D13" s="436">
        <f>'12'!$AB$29</f>
        <v>0</v>
      </c>
    </row>
    <row r="14" spans="1:4">
      <c r="A14" s="492">
        <f>'13'!$R$1</f>
        <v>244574</v>
      </c>
      <c r="B14" s="435">
        <f>'13'!$Z$29</f>
        <v>30.843664953129725</v>
      </c>
      <c r="C14" s="436">
        <f>'13'!$R$29</f>
        <v>0.87021469609918356</v>
      </c>
      <c r="D14" s="436">
        <f>'13'!$AB$29</f>
        <v>3.6891442394919869</v>
      </c>
    </row>
    <row r="15" spans="1:4">
      <c r="A15" s="492">
        <f>'14'!$R$1</f>
        <v>244575</v>
      </c>
      <c r="B15" s="435">
        <f>'14'!$Z$29</f>
        <v>31.539024552531771</v>
      </c>
      <c r="C15" s="436">
        <f>'14'!$R$29</f>
        <v>0.87058353849224834</v>
      </c>
      <c r="D15" s="436">
        <f>'14'!$AB$29</f>
        <v>4.1918956683744764</v>
      </c>
    </row>
    <row r="16" spans="1:4">
      <c r="A16" s="492">
        <f>'15'!$R$1</f>
        <v>244576</v>
      </c>
      <c r="B16" s="435">
        <f>'15'!$Z$29</f>
        <v>37.151124801642865</v>
      </c>
      <c r="C16" s="436">
        <f>'15'!$R$29</f>
        <v>0.84215439186035657</v>
      </c>
      <c r="D16" s="436">
        <f>'15'!$AB$29</f>
        <v>4.107159525809764</v>
      </c>
    </row>
    <row r="17" spans="1:4">
      <c r="A17" s="492" t="str">
        <f>'16'!$R$1</f>
        <v>00/08/2569</v>
      </c>
      <c r="B17" s="435">
        <f>'16'!$Z$29</f>
        <v>0</v>
      </c>
      <c r="C17" s="436">
        <f>'16'!$R$29</f>
        <v>0</v>
      </c>
      <c r="D17" s="436">
        <f>'16'!$AB$29</f>
        <v>0</v>
      </c>
    </row>
    <row r="18" spans="1:4">
      <c r="A18" s="492">
        <f>'17'!$R$1</f>
        <v>244578</v>
      </c>
      <c r="B18" s="435">
        <f>'17'!$Z$29</f>
        <v>30.372813842036471</v>
      </c>
      <c r="C18" s="436">
        <f>'17'!$R$29</f>
        <v>0.83705732246218956</v>
      </c>
      <c r="D18" s="436">
        <f>'17'!$AB$29</f>
        <v>4.6679529470342942</v>
      </c>
    </row>
    <row r="19" spans="1:4">
      <c r="A19" s="492">
        <f>'18'!$R$1</f>
        <v>244579</v>
      </c>
      <c r="B19" s="435">
        <f>'18'!$Z$29</f>
        <v>36.161143957101608</v>
      </c>
      <c r="C19" s="436">
        <f>'18'!$R$29</f>
        <v>0.81458820294238965</v>
      </c>
      <c r="D19" s="436">
        <f>'18'!$AB$29</f>
        <v>5.0185618039323527</v>
      </c>
    </row>
    <row r="20" spans="1:4">
      <c r="A20" s="492">
        <f>'19'!$R$1</f>
        <v>244580</v>
      </c>
      <c r="B20" s="435">
        <f>'19'!$Z$29</f>
        <v>31.309707241910633</v>
      </c>
      <c r="C20" s="436">
        <f>'19'!$R$29</f>
        <v>0.8095531587057011</v>
      </c>
      <c r="D20" s="436">
        <f>'19'!$AB$29</f>
        <v>4.8690292758089369</v>
      </c>
    </row>
    <row r="21" spans="1:4">
      <c r="A21" s="492">
        <f>'20'!$R$1</f>
        <v>244581</v>
      </c>
      <c r="B21" s="435">
        <f>'20'!$Z$29</f>
        <v>32.881315252610108</v>
      </c>
      <c r="C21" s="436">
        <f>'20'!$R$29</f>
        <v>0.97329893195727835</v>
      </c>
      <c r="D21" s="436">
        <f>'20'!$AB$29</f>
        <v>4.3801752070082802</v>
      </c>
    </row>
    <row r="22" spans="1:4">
      <c r="A22" s="492">
        <f>'21'!$R$1</f>
        <v>244582</v>
      </c>
      <c r="B22" s="435">
        <f>'21'!$Z$29</f>
        <v>32.990272099252785</v>
      </c>
      <c r="C22" s="436">
        <f>'21'!$R$29</f>
        <v>0.89524883688143242</v>
      </c>
      <c r="D22" s="436">
        <f>'21'!$AB$29</f>
        <v>5.0754264768081203</v>
      </c>
    </row>
    <row r="23" spans="1:4">
      <c r="A23" s="492">
        <f>'22'!$R$1</f>
        <v>244583</v>
      </c>
      <c r="B23" s="435">
        <f>'22'!$Z$29</f>
        <v>37.348895373072111</v>
      </c>
      <c r="C23" s="436">
        <f>'22'!$R$29</f>
        <v>1.1776573572321802</v>
      </c>
      <c r="D23" s="436">
        <f>'22'!$AB$29</f>
        <v>6.0858691121300543</v>
      </c>
    </row>
    <row r="24" spans="1:4">
      <c r="A24" s="492">
        <f>'23'!$R$1</f>
        <v>244584</v>
      </c>
      <c r="B24" s="435">
        <f>'23'!$Z$29</f>
        <v>198.11320754716982</v>
      </c>
      <c r="C24" s="436">
        <f>'23'!$R$29</f>
        <v>0</v>
      </c>
      <c r="D24" s="436">
        <f>'23'!$AB$29</f>
        <v>18.867924528301888</v>
      </c>
    </row>
    <row r="25" spans="1:4">
      <c r="A25" s="492" t="str">
        <f>'24'!$R$1</f>
        <v>00/08/2569</v>
      </c>
      <c r="B25" s="435">
        <f>'24'!$Z$29</f>
        <v>0</v>
      </c>
      <c r="C25" s="436">
        <f>'24'!$R$29</f>
        <v>0</v>
      </c>
      <c r="D25" s="436">
        <f>'24'!$AB$29</f>
        <v>0</v>
      </c>
    </row>
    <row r="26" spans="1:4">
      <c r="A26" s="492" t="str">
        <f>'25'!$R$1</f>
        <v>00/08/2569</v>
      </c>
      <c r="B26" s="435">
        <f>'25'!$Z$29</f>
        <v>0</v>
      </c>
      <c r="C26" s="436">
        <f>'25'!$R$29</f>
        <v>0</v>
      </c>
      <c r="D26" s="436">
        <f>'25'!$AB$29</f>
        <v>0</v>
      </c>
    </row>
    <row r="27" spans="1:4">
      <c r="A27" s="492" t="str">
        <f>'26'!$R$1</f>
        <v>00/08/2569</v>
      </c>
      <c r="B27" s="435">
        <f>'26'!$Z$29</f>
        <v>0</v>
      </c>
      <c r="C27" s="436">
        <f>'26'!$R$29</f>
        <v>0</v>
      </c>
      <c r="D27" s="436">
        <f>'26'!$AB$29</f>
        <v>0</v>
      </c>
    </row>
    <row r="28" spans="1:4">
      <c r="A28" s="492" t="str">
        <f>'27'!$R$1</f>
        <v>00/08/2569</v>
      </c>
      <c r="B28" s="435">
        <f>'27'!$Z$29</f>
        <v>0</v>
      </c>
      <c r="C28" s="436">
        <f>'27'!$R$29</f>
        <v>0</v>
      </c>
      <c r="D28" s="436">
        <f>'27'!$AB$29</f>
        <v>0</v>
      </c>
    </row>
    <row r="29" spans="1:4">
      <c r="A29" s="492" t="str">
        <f>'28'!$R$1</f>
        <v>00/08/2569</v>
      </c>
      <c r="B29" s="435">
        <f>'28'!$Z$29</f>
        <v>0</v>
      </c>
      <c r="C29" s="436">
        <f>'28'!$R$29</f>
        <v>0</v>
      </c>
      <c r="D29" s="436">
        <f>'28'!$AB$29</f>
        <v>0</v>
      </c>
    </row>
    <row r="30" spans="1:4">
      <c r="A30" s="492" t="str">
        <f>'29'!$R$1</f>
        <v>00/08/2569</v>
      </c>
      <c r="B30" s="435">
        <f>'29'!$Z$29</f>
        <v>0</v>
      </c>
      <c r="C30" s="436">
        <f>'29'!$R$29</f>
        <v>0</v>
      </c>
      <c r="D30" s="436">
        <f>'29'!$AB$29</f>
        <v>0</v>
      </c>
    </row>
    <row r="31" spans="1:4">
      <c r="A31" s="492">
        <f>'30'!$R$1</f>
        <v>244592</v>
      </c>
      <c r="B31" s="435">
        <f>'30'!$Z$29</f>
        <v>35.231943628890193</v>
      </c>
      <c r="C31" s="436">
        <f>'30'!$R$29</f>
        <v>0.98285378743394014</v>
      </c>
      <c r="D31" s="436">
        <f>'30'!$AB$29</f>
        <v>5.5196711685261306</v>
      </c>
    </row>
    <row r="32" spans="1:4">
      <c r="A32" s="492">
        <f>'31'!$R$1</f>
        <v>244592</v>
      </c>
      <c r="B32" s="435">
        <f>'31'!$Z$29</f>
        <v>33.790498906777977</v>
      </c>
      <c r="C32" s="436">
        <f>'31'!$R$29</f>
        <v>0</v>
      </c>
      <c r="D32" s="436">
        <f>'31'!$AB$29</f>
        <v>3.1802822500496921</v>
      </c>
    </row>
    <row r="33" spans="1:4">
      <c r="A33" s="493" t="s">
        <v>110</v>
      </c>
      <c r="B33" s="437">
        <f>สรุป!Z29</f>
        <v>34.059032346150978</v>
      </c>
      <c r="C33" s="437">
        <f>สรุป!R29</f>
        <v>0.88649057915249596</v>
      </c>
      <c r="D33" s="436">
        <f>สรุป!AB29</f>
        <v>4.9359117576479736</v>
      </c>
    </row>
  </sheetData>
  <conditionalFormatting sqref="B2:C32">
    <cfRule type="containsErrors" dxfId="0" priority="2">
      <formula>ISERROR(B2)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sheetPr>
    <tabColor rgb="FFFFC000"/>
  </sheetPr>
  <dimension ref="A1:C33"/>
  <sheetViews>
    <sheetView zoomScale="85" zoomScaleNormal="85" workbookViewId="0">
      <selection activeCell="V10" sqref="V10"/>
    </sheetView>
  </sheetViews>
  <sheetFormatPr defaultRowHeight="24.5"/>
  <sheetData>
    <row r="1" spans="1:3">
      <c r="A1" s="464"/>
      <c r="B1" s="464" t="s">
        <v>112</v>
      </c>
      <c r="C1" s="464" t="s">
        <v>113</v>
      </c>
    </row>
    <row r="2" spans="1:3">
      <c r="A2" s="465">
        <f>'1'!$R$1</f>
        <v>244562</v>
      </c>
      <c r="B2" s="466">
        <f>'1'!$H$28</f>
        <v>9.1184937368707697E-2</v>
      </c>
      <c r="C2" s="466">
        <f>'1'!$G$55</f>
        <v>4.5715264104100678E-2</v>
      </c>
    </row>
    <row r="3" spans="1:3">
      <c r="A3" s="465" t="str">
        <f>'2'!$R$1</f>
        <v>00/08/2569</v>
      </c>
      <c r="B3" s="466" t="str">
        <f>'2'!$H$28</f>
        <v/>
      </c>
      <c r="C3" s="466" t="str">
        <f>'2'!$G$55</f>
        <v/>
      </c>
    </row>
    <row r="4" spans="1:3">
      <c r="A4" s="465">
        <f>'3'!$R$1</f>
        <v>244564</v>
      </c>
      <c r="B4" s="466">
        <f>'3'!$H$28</f>
        <v>8.0052562417871218E-2</v>
      </c>
      <c r="C4" s="466">
        <f>'3'!$G$55</f>
        <v>4.6280425094274942E-2</v>
      </c>
    </row>
    <row r="5" spans="1:3">
      <c r="A5" s="465" t="str">
        <f>'4'!$R$1</f>
        <v>00/08/2569</v>
      </c>
      <c r="B5" s="466">
        <f>'4'!$H$28</f>
        <v>0.12457039102522534</v>
      </c>
      <c r="C5" s="466">
        <f>'4'!$G$55</f>
        <v>0.10406091370558376</v>
      </c>
    </row>
    <row r="6" spans="1:3">
      <c r="A6" s="465">
        <f>'5'!$R$1</f>
        <v>244566</v>
      </c>
      <c r="B6" s="466">
        <f>'5'!$H$28</f>
        <v>0.13302294645826404</v>
      </c>
      <c r="C6" s="466">
        <f>'5'!$G$55</f>
        <v>4.4879171461449943E-2</v>
      </c>
    </row>
    <row r="7" spans="1:3">
      <c r="A7" s="465">
        <f>'6'!$R$1</f>
        <v>244567</v>
      </c>
      <c r="B7" s="466">
        <f>'6'!$H$28</f>
        <v>0.10726044013169295</v>
      </c>
      <c r="C7" s="466">
        <f>'6'!$G$55</f>
        <v>5.93944099378882E-2</v>
      </c>
    </row>
    <row r="8" spans="1:3">
      <c r="A8" s="465">
        <f>'7'!$R$1</f>
        <v>244568</v>
      </c>
      <c r="B8" s="466">
        <f>'7'!$H$28</f>
        <v>0.17919855920756417</v>
      </c>
      <c r="C8" s="466">
        <f>'7'!$G$55</f>
        <v>4.7967331017248732E-2</v>
      </c>
    </row>
    <row r="9" spans="1:3">
      <c r="A9" s="465">
        <f>'8'!$R$1</f>
        <v>244569</v>
      </c>
      <c r="B9" s="466">
        <f>'8'!$H$28</f>
        <v>0.13018161652571744</v>
      </c>
      <c r="C9" s="466">
        <f>'8'!$G$55</f>
        <v>8.7822760599298694E-2</v>
      </c>
    </row>
    <row r="10" spans="1:3">
      <c r="A10" s="465" t="str">
        <f>'9'!$R$1</f>
        <v>00/08/2569</v>
      </c>
      <c r="B10" s="466" t="str">
        <f>'9'!$H$28</f>
        <v/>
      </c>
      <c r="C10" s="466" t="str">
        <f>'9'!$G$55</f>
        <v/>
      </c>
    </row>
    <row r="11" spans="1:3">
      <c r="A11" s="465">
        <f>'10'!$R$1</f>
        <v>244571</v>
      </c>
      <c r="B11" s="466">
        <f>'10'!$H$28</f>
        <v>0.13025210084033614</v>
      </c>
      <c r="C11" s="466">
        <f>'10'!$G$55</f>
        <v>9.2910908886641955E-2</v>
      </c>
    </row>
    <row r="12" spans="1:3">
      <c r="A12" s="465">
        <f>'11'!$R$1</f>
        <v>244572</v>
      </c>
      <c r="B12" s="466">
        <f>'11'!$H$28</f>
        <v>9.7298207221614336E-2</v>
      </c>
      <c r="C12" s="466">
        <f>'11'!$G$55</f>
        <v>6.8438228438228443E-2</v>
      </c>
    </row>
    <row r="13" spans="1:3">
      <c r="A13" s="465" t="str">
        <f>'12'!$R$1</f>
        <v>00/08/2569</v>
      </c>
      <c r="B13" s="466" t="str">
        <f>'12'!$H$28</f>
        <v/>
      </c>
      <c r="C13" s="466" t="str">
        <f>'12'!$G$55</f>
        <v/>
      </c>
    </row>
    <row r="14" spans="1:3">
      <c r="A14" s="465">
        <f>'13'!$R$1</f>
        <v>244574</v>
      </c>
      <c r="B14" s="466">
        <f>'13'!$H$28</f>
        <v>8.2408435072142058E-2</v>
      </c>
      <c r="C14" s="466">
        <f>'13'!$G$55</f>
        <v>9.9364983368612034E-2</v>
      </c>
    </row>
    <row r="15" spans="1:3">
      <c r="A15" s="465">
        <f>'14'!$R$1</f>
        <v>244575</v>
      </c>
      <c r="B15" s="466">
        <f>'14'!$H$28</f>
        <v>9.3710426340227942E-2</v>
      </c>
      <c r="C15" s="466">
        <f>'14'!$G$55</f>
        <v>9.807705103466631E-2</v>
      </c>
    </row>
    <row r="16" spans="1:3">
      <c r="A16" s="465">
        <f>'15'!$R$1</f>
        <v>244576</v>
      </c>
      <c r="B16" s="466">
        <f>'15'!$H$28</f>
        <v>7.3029332871852551E-2</v>
      </c>
      <c r="C16" s="466">
        <f>'15'!$G$55</f>
        <v>0.12116120601138804</v>
      </c>
    </row>
    <row r="17" spans="1:3">
      <c r="A17" s="465" t="str">
        <f>'16'!$R$1</f>
        <v>00/08/2569</v>
      </c>
      <c r="B17" s="466" t="str">
        <f>'16'!$H$28</f>
        <v/>
      </c>
      <c r="C17" s="466" t="str">
        <f>'16'!$G$55</f>
        <v/>
      </c>
    </row>
    <row r="18" spans="1:3">
      <c r="A18" s="465">
        <f>'17'!$R$1</f>
        <v>244578</v>
      </c>
      <c r="B18" s="466">
        <f>'17'!$H$28</f>
        <v>9.6801394119961776E-2</v>
      </c>
      <c r="C18" s="466">
        <f>'17'!$G$55</f>
        <v>0.12273604282068837</v>
      </c>
    </row>
    <row r="19" spans="1:3">
      <c r="A19" s="465">
        <f>'18'!$R$1</f>
        <v>244579</v>
      </c>
      <c r="B19" s="466">
        <f>'18'!$H$28</f>
        <v>9.4271481942714813E-2</v>
      </c>
      <c r="C19" s="466">
        <f>'18'!$G$55</f>
        <v>9.8240065997525092E-2</v>
      </c>
    </row>
    <row r="20" spans="1:3">
      <c r="A20" s="465">
        <f>'19'!$R$1</f>
        <v>244580</v>
      </c>
      <c r="B20" s="466">
        <f>'19'!$H$28</f>
        <v>8.8175789591997303E-2</v>
      </c>
      <c r="C20" s="466">
        <f>'19'!$G$55</f>
        <v>0.11963020030816642</v>
      </c>
    </row>
    <row r="21" spans="1:3">
      <c r="A21" s="465">
        <f>'20'!$R$1</f>
        <v>244581</v>
      </c>
      <c r="B21" s="466">
        <f>'20'!$H$28</f>
        <v>9.1176791362198709E-2</v>
      </c>
      <c r="C21" s="466">
        <f>'20'!$G$55</f>
        <v>6.7753595324155966E-2</v>
      </c>
    </row>
    <row r="22" spans="1:3">
      <c r="A22" s="465">
        <f>'21'!$R$1</f>
        <v>244582</v>
      </c>
      <c r="B22" s="466">
        <f>'21'!$H$28</f>
        <v>9.7926999872822079E-2</v>
      </c>
      <c r="C22" s="466">
        <f>'21'!$G$55</f>
        <v>4.5744159451070084E-2</v>
      </c>
    </row>
    <row r="23" spans="1:3">
      <c r="A23" s="465">
        <f>'22'!$R$1</f>
        <v>244583</v>
      </c>
      <c r="B23" s="466">
        <f>'22'!$H$28</f>
        <v>0.12330068703405934</v>
      </c>
      <c r="C23" s="466" t="str">
        <f>'22'!$G$55</f>
        <v/>
      </c>
    </row>
    <row r="24" spans="1:3">
      <c r="A24" s="465">
        <f>'23'!$R$1</f>
        <v>244584</v>
      </c>
      <c r="B24" s="466">
        <f>'23'!$H$28</f>
        <v>0</v>
      </c>
      <c r="C24" s="466">
        <f>'23'!$G$55</f>
        <v>0</v>
      </c>
    </row>
    <row r="25" spans="1:3">
      <c r="A25" s="465" t="str">
        <f>'24'!$R$1</f>
        <v>00/08/2569</v>
      </c>
      <c r="B25" s="466" t="str">
        <f>'24'!$H$28</f>
        <v/>
      </c>
      <c r="C25" s="466" t="str">
        <f>'24'!$G$55</f>
        <v/>
      </c>
    </row>
    <row r="26" spans="1:3">
      <c r="A26" s="465" t="str">
        <f>'25'!$R$1</f>
        <v>00/08/2569</v>
      </c>
      <c r="B26" s="466" t="str">
        <f>'25'!$H$28</f>
        <v/>
      </c>
      <c r="C26" s="466" t="str">
        <f>'25'!$G$55</f>
        <v/>
      </c>
    </row>
    <row r="27" spans="1:3">
      <c r="A27" s="465" t="str">
        <f>'26'!$R$1</f>
        <v>00/08/2569</v>
      </c>
      <c r="B27" s="466" t="str">
        <f>'26'!$H$28</f>
        <v/>
      </c>
      <c r="C27" s="466" t="str">
        <f>'26'!$G$55</f>
        <v/>
      </c>
    </row>
    <row r="28" spans="1:3">
      <c r="A28" s="465" t="str">
        <f>'27'!$R$1</f>
        <v>00/08/2569</v>
      </c>
      <c r="B28" s="466" t="str">
        <f>'27'!$H$28</f>
        <v/>
      </c>
      <c r="C28" s="466" t="str">
        <f>'27'!$G$55</f>
        <v/>
      </c>
    </row>
    <row r="29" spans="1:3">
      <c r="A29" s="465" t="str">
        <f>'28'!$R$1</f>
        <v>00/08/2569</v>
      </c>
      <c r="B29" s="466" t="str">
        <f>'28'!$H$28</f>
        <v/>
      </c>
      <c r="C29" s="466" t="str">
        <f>'28'!$G$55</f>
        <v/>
      </c>
    </row>
    <row r="30" spans="1:3">
      <c r="A30" s="465" t="str">
        <f>'29'!$R$1</f>
        <v>00/08/2569</v>
      </c>
      <c r="B30" s="466" t="str">
        <f>'29'!$H$28</f>
        <v/>
      </c>
      <c r="C30" s="466" t="str">
        <f>'29'!$G$55</f>
        <v/>
      </c>
    </row>
    <row r="31" spans="1:3">
      <c r="A31" s="465">
        <f>'30'!$R$1</f>
        <v>244592</v>
      </c>
      <c r="B31" s="466">
        <f>'30'!$H$28</f>
        <v>0.116792863810808</v>
      </c>
      <c r="C31" s="466">
        <f>'30'!$G$55</f>
        <v>7.9276315789473681E-2</v>
      </c>
    </row>
    <row r="32" spans="1:3">
      <c r="A32" s="465">
        <f>'31'!$R$1</f>
        <v>244592</v>
      </c>
      <c r="B32" s="466">
        <f>'31'!$H$28</f>
        <v>0.10016097299230907</v>
      </c>
      <c r="C32" s="466" t="str">
        <f>'31'!$G$55</f>
        <v/>
      </c>
    </row>
    <row r="33" spans="1:3">
      <c r="A33" s="464" t="s">
        <v>110</v>
      </c>
      <c r="B33" s="466">
        <f>สรุป!H28</f>
        <v>0.10629848472523165</v>
      </c>
      <c r="C33" s="466">
        <f>สรุป!G44</f>
        <v>8.247302502121627E-2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32</vt:i4>
      </vt:variant>
    </vt:vector>
  </HeadingPairs>
  <TitlesOfParts>
    <vt:vector size="68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สรุป</vt:lpstr>
      <vt:lpstr> Pareto Dry reject</vt:lpstr>
      <vt:lpstr>usage</vt:lpstr>
      <vt:lpstr>wet&amp;dry </vt:lpstr>
      <vt:lpstr>'1'!Print_Area</vt:lpstr>
      <vt:lpstr>'10'!Print_Area</vt:lpstr>
      <vt:lpstr>'11'!Print_Area</vt:lpstr>
      <vt:lpstr>'12'!Print_Area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'32'!Print_Area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สรุป!Print_Area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Sonsawan Sonkeaw</dc:creator>
  <cp:lastModifiedBy>g</cp:lastModifiedBy>
  <cp:lastPrinted>2026-09-29T02:31:37Z</cp:lastPrinted>
  <dcterms:created xsi:type="dcterms:W3CDTF">2024-06-01T07:54:50Z</dcterms:created>
  <dcterms:modified xsi:type="dcterms:W3CDTF">2026-09-29T08:37:47Z</dcterms:modified>
</cp:coreProperties>
</file>