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721"/>
  <workbookPr codeName="ThisWorkbook" autoCompressPictures="0"/>
  <bookViews>
    <workbookView xWindow="0" yWindow="0" windowWidth="25600" windowHeight="16060" activeTab="2"/>
  </bookViews>
  <sheets>
    <sheet name="Control" sheetId="60" r:id="rId1"/>
    <sheet name="Preferences" sheetId="24" r:id="rId2"/>
    <sheet name="Intermediate output" sheetId="59" r:id="rId3"/>
    <sheet name="Conversions" sheetId="6" r:id="rId4"/>
    <sheet name="Global assumptions" sheetId="35" r:id="rId5"/>
    <sheet name="Constants" sheetId="12" r:id="rId6"/>
    <sheet name="Structure of the model" sheetId="23" r:id="rId7"/>
    <sheet name="XII.a" sheetId="40" r:id="rId8"/>
    <sheet name="XII.b" sheetId="41" r:id="rId9"/>
    <sheet name="XII.c" sheetId="42" r:id="rId10"/>
    <sheet name="XII.e" sheetId="84" r:id="rId11"/>
    <sheet name="2007" sheetId="29" r:id="rId12"/>
    <sheet name="DUKES 09 (1.2)" sheetId="8" r:id="rId13"/>
    <sheet name="DUKES 09 (1.9)" sheetId="68" r:id="rId14"/>
    <sheet name="DUKES 09 (2.5)" sheetId="14" r:id="rId15"/>
    <sheet name="DUKES 09 (5.1)" sheetId="15" r:id="rId16"/>
    <sheet name="DUKES 09 (5.6)" sheetId="16" r:id="rId17"/>
    <sheet name="DUKES 09 (7.2)" sheetId="10" r:id="rId18"/>
    <sheet name="DUKES 09 (7.4)" sheetId="91" r:id="rId19"/>
    <sheet name="DUKES 09 (A.1)" sheetId="13" r:id="rId20"/>
    <sheet name="DECC Energy Cons. (1.14)" sheetId="9" r:id="rId21"/>
    <sheet name="DECC Energy Cons. (4.1)" sheetId="11" r:id="rId22"/>
  </sheets>
  <externalReferences>
    <externalReference r:id="rId23"/>
    <externalReference r:id="rId24"/>
  </externalReferences>
  <definedNames>
    <definedName name="_xlnm._FilterDatabase" localSheetId="2" hidden="1">'Intermediate output'!$AY$380:$AY$470</definedName>
    <definedName name="Bio.Gas">'Intermediate output'!$AY$245:$BH$245</definedName>
    <definedName name="Bio.liquid">'Intermediate output'!$AY$239:$BH$239</definedName>
    <definedName name="Bio.Solid">'Intermediate output'!$AY$232:$BH$232</definedName>
    <definedName name="Constants.Density.Diesel">Constants!$C$38</definedName>
    <definedName name="Constants.Density.Ethanol">Constants!$C$36</definedName>
    <definedName name="Constants.Density.JetFuel">Constants!$C$37</definedName>
    <definedName name="Constants.Density.MotorSpirit">Constants!$C$35</definedName>
    <definedName name="Constants.GCV.ATF">Constants!$C$18</definedName>
    <definedName name="Constants.GCV.Coal">Constants!$C$8</definedName>
    <definedName name="Constants.GCV.Coke">Constants!$C$9</definedName>
    <definedName name="Constants.GCV.CokeBreeze">Constants!$C$10</definedName>
    <definedName name="Constants.GCV.CrudeOil">Constants!$C$14</definedName>
    <definedName name="Constants.GCV.Diesel">Constants!$C$17</definedName>
    <definedName name="Constants.GCV.LandfillGas">Constants!$C$25</definedName>
    <definedName name="Constants.GCV.MotorSpirit">Constants!$C$16</definedName>
    <definedName name="Constants.GCV.NaturalGasProduced">Constants!$C$21</definedName>
    <definedName name="Constants.GCV.PetroleumProducts">Constants!$C$15</definedName>
    <definedName name="Conversion.to.annual.energy">Conversions!$E$59</definedName>
    <definedName name="Conversion.to.average.power">Conversions!$E$58</definedName>
    <definedName name="Conversion.to.energy.per.second">Conversions!$E$60</definedName>
    <definedName name="Conversion.UKgallons.to.litres">Conversions!$E$65</definedName>
    <definedName name="Conversion.USgallons.to.litres">Conversions!$E$66</definedName>
    <definedName name="Conversions.Area.m2">Conversions!$E$48:$E$53</definedName>
    <definedName name="Conversions.Area.Units">Conversions!$B$48:$B$53</definedName>
    <definedName name="Conversions.Energy.Joules">Conversions!$E$5:$E$23</definedName>
    <definedName name="Conversions.Energy.Units">Conversions!$B$5:$B$23</definedName>
    <definedName name="Conversions.Money.GBP">Conversions!$F$71:$F$78</definedName>
    <definedName name="Conversions.Money.Units">Conversions!$B$71:$B$78</definedName>
    <definedName name="Conversions.Power.Units">Conversions!$B$30:$B$35</definedName>
    <definedName name="Conversions.Power.Watts">Conversions!$E$30:$E$35</definedName>
    <definedName name="Cost.FinanceCostTable">'Global assumptions'!$B$36:$I$86</definedName>
    <definedName name="discount_factors">'Global assumptions'!$D$28:$K$28</definedName>
    <definedName name="Discount_rate">'Global assumptions'!$C$27</definedName>
    <definedName name="EF.BlastFurnaceGas.CO2">Constants!$F$11</definedName>
    <definedName name="EF.Diesel.CH4">Constants!$G$9</definedName>
    <definedName name="EF.Diesel.CO2">Constants!$F$9</definedName>
    <definedName name="EF.Diesel.N2O">Constants!$H$9</definedName>
    <definedName name="EF.IndustrialCoal.CH4">Constants!$G$8</definedName>
    <definedName name="EF.IndustrialCoal.CO2">Constants!$F$8</definedName>
    <definedName name="EF.IndustrialCoal.N2O">Constants!$H$8</definedName>
    <definedName name="EF.NaturalGas.CH4">Constants!$G$10</definedName>
    <definedName name="EF.NaturalGas.CO2">Constants!$F$10</definedName>
    <definedName name="EF.NaturalGas.N2O">Constants!$H$10</definedName>
    <definedName name="Euro2002_">Conversions!$E$75</definedName>
    <definedName name="GBP">Conversions!$E$78</definedName>
    <definedName name="GBPppyr">Conversions!#REF!</definedName>
    <definedName name="GGBP">Conversions!$E$72</definedName>
    <definedName name="Global.UKIncidentSolarEnergy">'Global assumptions'!$D$20</definedName>
    <definedName name="Global.UKIncidentSolarEnergy_SouthFacing">'Global assumptions'!$D$21</definedName>
    <definedName name="GWP.CH4">Constants!$K$9</definedName>
    <definedName name="GWP.N2O">Constants!$K$10</definedName>
    <definedName name="I.a.scenario">Control!$E$14</definedName>
    <definedName name="I.b.1.Scenario">Control!$E$7</definedName>
    <definedName name="I.b.2.Scenario">Control!$E$8</definedName>
    <definedName name="I.b.Scenario">Control!$E$7</definedName>
    <definedName name="II.a.Scenario">Control!$E$5</definedName>
    <definedName name="III.a.1.Scenario">Control!$E$10</definedName>
    <definedName name="III.a.2.Scenario">Control!$E$9</definedName>
    <definedName name="III.a.Scenario">Control!$E$10</definedName>
    <definedName name="III.b.Scenario">Control!$E$18</definedName>
    <definedName name="III.c.Scenario.TidalRange">Control!$E$13</definedName>
    <definedName name="III.c.Scenario.TidalStream">Control!$E$12</definedName>
    <definedName name="III.c.Scenario.Wave">Control!$E$11</definedName>
    <definedName name="III.d.Scenario">Control!$E$17</definedName>
    <definedName name="IV.a.Scenario">Control!$E$15</definedName>
    <definedName name="IV.b.Scenario">Control!$E$16</definedName>
    <definedName name="IV.c.Scenario">Control!$E$19</definedName>
    <definedName name="IX.a.Scenario.Electrification">Control!$E$39</definedName>
    <definedName name="IX.a.Scenario.Fuel">Control!$E$40</definedName>
    <definedName name="IX.a.Scenario.Insulation">Control!$E$38</definedName>
    <definedName name="IX.a.Scenario.ServiceDemand">Control!$E$37</definedName>
    <definedName name="IX.c.Scenario.Demand">Control!$E$48</definedName>
    <definedName name="IX.c.Scenario.Electrification">Control!$E$49</definedName>
    <definedName name="IX.c.Scenario.Fuel">Control!$E$50</definedName>
    <definedName name="kGBP">Conversions!$E$74</definedName>
    <definedName name="MGBP">Conversions!$E$73</definedName>
    <definedName name="Money.Unit">Conversions!$D$71:$D$78</definedName>
    <definedName name="MoneyUnit">#REF!</definedName>
    <definedName name="Peak_Electricity_Generation_Capacity">'Intermediate output'!$AY$132:$BH$132</definedName>
    <definedName name="percentGDP">Conversions!#REF!</definedName>
    <definedName name="plantsize.I.a">#REF!</definedName>
    <definedName name="plantsize.I.b.Coal">#REF!</definedName>
    <definedName name="plantsize.I.b.GasCoal">#REF!</definedName>
    <definedName name="plantsize.Ia.bio">#REF!</definedName>
    <definedName name="plantsize.Ib">#REF!</definedName>
    <definedName name="plantsize.II.a">#REF!</definedName>
    <definedName name="plantsize.II.a.Nuclear">#REF!</definedName>
    <definedName name="plantsize.III.a.1">#REF!</definedName>
    <definedName name="plantsize.III.a.2">#REF!</definedName>
    <definedName name="plantsize.III.b">#REF!</definedName>
    <definedName name="plantsize.III.c.TidalRange">#REF!</definedName>
    <definedName name="plantsize.III.c.TidalStream">#REF!</definedName>
    <definedName name="plantsize.III.c.Wave">#REF!</definedName>
    <definedName name="plantsize.III.d">#REF!</definedName>
    <definedName name="plantsize.IV.a">#REF!</definedName>
    <definedName name="plantsize.IV.b">#REF!</definedName>
    <definedName name="plantsize.IV.c">#REF!</definedName>
    <definedName name="plantsize.V.a.Dry_bio_and_waste_to_gas">#REF!</definedName>
    <definedName name="plantsize.V.a.Dry_bio_and_waste_to_liquid">#REF!</definedName>
    <definedName name="plantsize.V.a.Dry_bio_and_waste_to_solid">#REF!</definedName>
    <definedName name="plantsize.V.a.Energy_crops_1st_generation_to_gas">#REF!</definedName>
    <definedName name="plantsize.V.a.Energy_crops_1st_generation_to_liquid">#REF!</definedName>
    <definedName name="plantsize.V.a.Energy_crops_1st_generation_to_solid">#REF!</definedName>
    <definedName name="plantsize.V.a.Energy_crops_2nd_generation_to_gas">#REF!</definedName>
    <definedName name="plantsize.V.a.Energy_crops_2nd_generation_to_liquid">#REF!</definedName>
    <definedName name="plantsize.V.a.Energy_crops_2nd_generation_to_solid">#REF!</definedName>
    <definedName name="plantsize.V.a.Gaseous_waste_to_gas">#REF!</definedName>
    <definedName name="plantsize.V.a.Gaseous_waste_to_liquid">#REF!</definedName>
    <definedName name="plantsize.V.a.Gaseous_waste_to_solid">#REF!</definedName>
    <definedName name="plantsize.V.a.Wet_bio_and_waste_to_gas">#REF!</definedName>
    <definedName name="plantsize.V.a.Wet_bio_and_waste_to_liquid">#REF!</definedName>
    <definedName name="plantsize.V.a.Wet_bio_and_waste_to_solid">#REF!</definedName>
    <definedName name="plantsize.VI.b.Capturing_landfill_gas">#REF!</definedName>
    <definedName name="plantsize.VI.b.Landfill_site">#REF!</definedName>
    <definedName name="plantsize.VI.b.Recovering_landfill_gas">#REF!</definedName>
    <definedName name="plantsize.VI.b.Recovering_sewage_sludge">#REF!</definedName>
    <definedName name="Preferences.AreaUnits">Preferences!$C$7</definedName>
    <definedName name="Preferences.EnergyUnits">Preferences!$C$3</definedName>
    <definedName name="Preferences.moneyunits">Preferences!$C$9</definedName>
    <definedName name="Preferences.PowerUnits">Preferences!$C$5</definedName>
    <definedName name="Preferences.Unit.Energy">Preferences!$F$3</definedName>
    <definedName name="Preferences.Unit.Power">Preferences!$F$5</definedName>
    <definedName name="Price1990">Conversions!$D$84</definedName>
    <definedName name="Price1991">Conversions!$D$85</definedName>
    <definedName name="Price1992">Conversions!$D$86</definedName>
    <definedName name="Price1993">Conversions!$D$87</definedName>
    <definedName name="Price1994">Conversions!$D$88</definedName>
    <definedName name="Price1995">Conversions!$D$89</definedName>
    <definedName name="Price1996">Conversions!$D$90</definedName>
    <definedName name="Price1997">Conversions!$D$91</definedName>
    <definedName name="Price1998">Conversions!$D$92</definedName>
    <definedName name="Price1999">Conversions!$D$93</definedName>
    <definedName name="Price2000">Conversions!$D$94</definedName>
    <definedName name="Price2001">Conversions!$D$95</definedName>
    <definedName name="Price2002">Conversions!$D$96</definedName>
    <definedName name="Price2003">Conversions!$D$97</definedName>
    <definedName name="Price2004">Conversions!$D$98</definedName>
    <definedName name="Price2005">Conversions!$D$99</definedName>
    <definedName name="Price2006">Conversions!$D$100</definedName>
    <definedName name="Price2007">Conversions!$D$101</definedName>
    <definedName name="Price2008">Conversions!$D$102</definedName>
    <definedName name="Price2009">Conversions!$D$103</definedName>
    <definedName name="Price2010">Conversions!$D$104</definedName>
    <definedName name="Price2011">Conversions!$D$105</definedName>
    <definedName name="TGBP">Conversions!$E$71</definedName>
    <definedName name="this.Year" localSheetId="11">'2007'!$E$2</definedName>
    <definedName name="Unit.acre">Conversions!$F$50</definedName>
    <definedName name="unit.bcm">Conversions!$F$24</definedName>
    <definedName name="Unit.boe">Conversions!$F$15</definedName>
    <definedName name="Unit.Btu">Conversions!$F$21</definedName>
    <definedName name="Unit.calorie">Conversions!$F$22</definedName>
    <definedName name="Unit.day">Conversions!$F$41</definedName>
    <definedName name="Unit.GJ">Conversions!$F$7</definedName>
    <definedName name="Unit.GW">Conversions!$F$30</definedName>
    <definedName name="Unit.GWh">Conversions!$F$13</definedName>
    <definedName name="Unit.GWyear">Conversions!$F$23</definedName>
    <definedName name="Unit.ha">Conversions!$F$48</definedName>
    <definedName name="Unit.hour">Conversions!$F$42</definedName>
    <definedName name="Unit.J">Conversions!$F$8</definedName>
    <definedName name="Unit.km2">Conversions!$F$51</definedName>
    <definedName name="Unit.ktoe">Conversions!$F$18</definedName>
    <definedName name="Unit.kW">Conversions!$F$32</definedName>
    <definedName name="Unit.kWh">Conversions!$F$10</definedName>
    <definedName name="Unit.kWh.p.d">Conversions!$F$11</definedName>
    <definedName name="Unit.m2">Conversions!$F$52</definedName>
    <definedName name="Unit.Mboe">Conversions!$F$16</definedName>
    <definedName name="Unit.mcm.d">Conversions!$F$34</definedName>
    <definedName name="Unit.Mha">Conversions!$F$49</definedName>
    <definedName name="Unit.minute">Conversions!$F$43</definedName>
    <definedName name="Unit.MJ">Conversions!$F$9</definedName>
    <definedName name="Unit.Mtoe">Conversions!$F$19</definedName>
    <definedName name="Unit.Mtoe.y">Conversions!$F$35</definedName>
    <definedName name="Unit.MW">Conversions!$F$31</definedName>
    <definedName name="Unit.MWh">Conversions!$F$14</definedName>
    <definedName name="Unit.PJ">Conversions!$F$5</definedName>
    <definedName name="Unit.therm">Conversions!$F$20</definedName>
    <definedName name="Unit.TJ">Conversions!$F$6</definedName>
    <definedName name="Unit.toe">Conversions!$F$17</definedName>
    <definedName name="Unit.TWh">Conversions!$F$12</definedName>
    <definedName name="Unit.W">Conversions!$F$33</definedName>
    <definedName name="Unit.Wales">Conversions!$F$53</definedName>
    <definedName name="Unit.year">Conversions!$F$40</definedName>
    <definedName name="USD2009_">Conversions!$E$76</definedName>
    <definedName name="USD2010_">Conversions!$E$77</definedName>
    <definedName name="V.a.Scenario">Control!$E$26</definedName>
    <definedName name="V.b.Scenario">Control!$E$27</definedName>
    <definedName name="VI.a.2.Scenario">Control!$E$23</definedName>
    <definedName name="VI.a.Bioenergy">#REF!</definedName>
    <definedName name="VI.a.Scenario">Control!$E$22</definedName>
    <definedName name="VI.b.Scenario">Control!$E$24</definedName>
    <definedName name="VI.c.Scenario">Control!$E$25</definedName>
    <definedName name="VII.a.Scenario">Control!$E$20</definedName>
    <definedName name="VII.c.Scenario">Control!$E$56</definedName>
    <definedName name="X.a.Scenario.Demand">Control!$E$42</definedName>
    <definedName name="X.a.Scenario.Technology">Control!$E$43</definedName>
    <definedName name="X.b.Scenario.Demand">Control!$E$52</definedName>
    <definedName name="X.b.Scenario.Technology">Control!$E$53</definedName>
    <definedName name="XI.a.Scenario">Control!#REF!</definedName>
    <definedName name="XI.a.Scenario.Efficiency">Control!$E$46</definedName>
    <definedName name="XI.a.Scenario.Output">Control!$E$45</definedName>
    <definedName name="XII.a.Scenario.Demand">Control!$E$30</definedName>
    <definedName name="XII.a.Scenario.ElecHydrogen">Control!$E$32</definedName>
    <definedName name="XII.a.Scenario.Technology">Control!$E$31</definedName>
    <definedName name="XII.b.Scenario">Control!$E$33</definedName>
    <definedName name="XII.c.Scenario">Control!$E$34</definedName>
    <definedName name="XII.e.Scenario">Control!$E$35</definedName>
    <definedName name="XIV.a.Scenario">Control!$E$55</definedName>
    <definedName name="XV.b.Scenario">Control!$E$57</definedName>
    <definedName name="Year.Emissions" localSheetId="11">'2007'!$BO$109:$DF$109</definedName>
    <definedName name="Year.EmissionsBySector" localSheetId="11">'2007'!$DH$6:$DH$110</definedName>
    <definedName name="Year.GHG" localSheetId="11">'2007'!$BO$6:$DF$6</definedName>
    <definedName name="Year.IPCC" localSheetId="11">'2007'!$BO$5:$DF$5</definedName>
    <definedName name="Year.Matrix" localSheetId="11">'2007'!$G$6:$BL$110</definedName>
    <definedName name="Year.Modules" localSheetId="11">'2007'!$C$6:$C$110</definedName>
    <definedName name="Year.NetBalance" localSheetId="11">'2007'!$G$109:$BL$109</definedName>
    <definedName name="Year.Vectors" localSheetId="11">'2007'!$G$5:$BL$5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24" i="40" l="1"/>
  <c r="N324" i="40"/>
  <c r="M324" i="40"/>
  <c r="L324" i="40"/>
  <c r="K324" i="40"/>
  <c r="J324" i="40"/>
  <c r="I324" i="40"/>
  <c r="H324" i="40"/>
  <c r="G324" i="40"/>
  <c r="F324" i="40"/>
  <c r="F323" i="40"/>
  <c r="F325" i="40"/>
  <c r="F526" i="40"/>
  <c r="I37" i="40"/>
  <c r="H37" i="40"/>
  <c r="G37" i="40"/>
  <c r="G325" i="40"/>
  <c r="G526" i="40"/>
  <c r="E70" i="6"/>
  <c r="E78" i="6"/>
  <c r="F29" i="6"/>
  <c r="F32" i="6"/>
  <c r="D94" i="6"/>
  <c r="E12" i="6"/>
  <c r="F4" i="6"/>
  <c r="F12" i="6"/>
  <c r="H238" i="40"/>
  <c r="I238" i="40"/>
  <c r="J238" i="40"/>
  <c r="K238" i="40"/>
  <c r="L238" i="40"/>
  <c r="M238" i="40"/>
  <c r="N238" i="40"/>
  <c r="O238" i="40"/>
  <c r="F238" i="40"/>
  <c r="H53" i="42"/>
  <c r="I53" i="42"/>
  <c r="J53" i="42"/>
  <c r="K53" i="42"/>
  <c r="L53" i="42"/>
  <c r="M53" i="42"/>
  <c r="N53" i="42"/>
  <c r="O53" i="42"/>
  <c r="F53" i="42"/>
  <c r="E13" i="6"/>
  <c r="F13" i="6"/>
  <c r="O138" i="41"/>
  <c r="N138" i="41"/>
  <c r="M138" i="41"/>
  <c r="L138" i="41"/>
  <c r="K138" i="41"/>
  <c r="J138" i="41"/>
  <c r="I138" i="41"/>
  <c r="H138" i="41"/>
  <c r="G138" i="41"/>
  <c r="O137" i="41"/>
  <c r="N137" i="41"/>
  <c r="M137" i="41"/>
  <c r="L137" i="41"/>
  <c r="K137" i="41"/>
  <c r="J137" i="41"/>
  <c r="I137" i="41"/>
  <c r="H137" i="41"/>
  <c r="G137" i="41"/>
  <c r="O136" i="41"/>
  <c r="N136" i="41"/>
  <c r="M136" i="41"/>
  <c r="L136" i="41"/>
  <c r="K136" i="41"/>
  <c r="J136" i="41"/>
  <c r="I136" i="41"/>
  <c r="H136" i="41"/>
  <c r="G136" i="41"/>
  <c r="O135" i="41"/>
  <c r="N135" i="41"/>
  <c r="M135" i="41"/>
  <c r="L135" i="41"/>
  <c r="K135" i="41"/>
  <c r="J135" i="41"/>
  <c r="I135" i="41"/>
  <c r="H135" i="41"/>
  <c r="G135" i="41"/>
  <c r="O134" i="41"/>
  <c r="N134" i="41"/>
  <c r="M134" i="41"/>
  <c r="L134" i="41"/>
  <c r="K134" i="41"/>
  <c r="J134" i="41"/>
  <c r="I134" i="41"/>
  <c r="H134" i="41"/>
  <c r="G134" i="41"/>
  <c r="O129" i="41"/>
  <c r="N129" i="41"/>
  <c r="M129" i="41"/>
  <c r="L129" i="41"/>
  <c r="K129" i="41"/>
  <c r="J129" i="41"/>
  <c r="I129" i="41"/>
  <c r="H129" i="41"/>
  <c r="G129" i="41"/>
  <c r="O128" i="41"/>
  <c r="N128" i="41"/>
  <c r="M128" i="41"/>
  <c r="L128" i="41"/>
  <c r="K128" i="41"/>
  <c r="J128" i="41"/>
  <c r="I128" i="41"/>
  <c r="H128" i="41"/>
  <c r="G128" i="41"/>
  <c r="O127" i="41"/>
  <c r="N127" i="41"/>
  <c r="M127" i="41"/>
  <c r="L127" i="41"/>
  <c r="K127" i="41"/>
  <c r="J127" i="41"/>
  <c r="I127" i="41"/>
  <c r="H127" i="41"/>
  <c r="G127" i="41"/>
  <c r="O126" i="41"/>
  <c r="N126" i="41"/>
  <c r="M126" i="41"/>
  <c r="L126" i="41"/>
  <c r="K126" i="41"/>
  <c r="J126" i="41"/>
  <c r="I126" i="41"/>
  <c r="H126" i="41"/>
  <c r="G126" i="41"/>
  <c r="O125" i="41"/>
  <c r="N125" i="41"/>
  <c r="M125" i="41"/>
  <c r="L125" i="41"/>
  <c r="K125" i="41"/>
  <c r="J125" i="41"/>
  <c r="I125" i="41"/>
  <c r="H125" i="41"/>
  <c r="G125" i="41"/>
  <c r="O120" i="41"/>
  <c r="N120" i="41"/>
  <c r="M120" i="41"/>
  <c r="L120" i="41"/>
  <c r="K120" i="41"/>
  <c r="J120" i="41"/>
  <c r="I120" i="41"/>
  <c r="H120" i="41"/>
  <c r="G120" i="41"/>
  <c r="O119" i="41"/>
  <c r="N119" i="41"/>
  <c r="M119" i="41"/>
  <c r="L119" i="41"/>
  <c r="K119" i="41"/>
  <c r="J119" i="41"/>
  <c r="I119" i="41"/>
  <c r="H119" i="41"/>
  <c r="G119" i="41"/>
  <c r="O118" i="41"/>
  <c r="N118" i="41"/>
  <c r="M118" i="41"/>
  <c r="L118" i="41"/>
  <c r="K118" i="41"/>
  <c r="J118" i="41"/>
  <c r="I118" i="41"/>
  <c r="H118" i="41"/>
  <c r="G118" i="41"/>
  <c r="O117" i="41"/>
  <c r="N117" i="41"/>
  <c r="M117" i="41"/>
  <c r="L117" i="41"/>
  <c r="K117" i="41"/>
  <c r="J117" i="41"/>
  <c r="I117" i="41"/>
  <c r="H117" i="41"/>
  <c r="G117" i="41"/>
  <c r="O116" i="41"/>
  <c r="N116" i="41"/>
  <c r="M116" i="41"/>
  <c r="L116" i="41"/>
  <c r="K116" i="41"/>
  <c r="J116" i="41"/>
  <c r="I116" i="41"/>
  <c r="H116" i="41"/>
  <c r="G116" i="41"/>
  <c r="O111" i="41"/>
  <c r="N111" i="41"/>
  <c r="M111" i="41"/>
  <c r="L111" i="41"/>
  <c r="K111" i="41"/>
  <c r="J111" i="41"/>
  <c r="I111" i="41"/>
  <c r="H111" i="41"/>
  <c r="G111" i="41"/>
  <c r="O110" i="41"/>
  <c r="N110" i="41"/>
  <c r="M110" i="41"/>
  <c r="L110" i="41"/>
  <c r="K110" i="41"/>
  <c r="J110" i="41"/>
  <c r="I110" i="41"/>
  <c r="H110" i="41"/>
  <c r="G110" i="41"/>
  <c r="O109" i="41"/>
  <c r="N109" i="41"/>
  <c r="M109" i="41"/>
  <c r="L109" i="41"/>
  <c r="K109" i="41"/>
  <c r="J109" i="41"/>
  <c r="I109" i="41"/>
  <c r="H109" i="41"/>
  <c r="G109" i="41"/>
  <c r="O108" i="41"/>
  <c r="N108" i="41"/>
  <c r="M108" i="41"/>
  <c r="L108" i="41"/>
  <c r="K108" i="41"/>
  <c r="J108" i="41"/>
  <c r="I108" i="41"/>
  <c r="H108" i="41"/>
  <c r="G108" i="41"/>
  <c r="O107" i="41"/>
  <c r="N107" i="41"/>
  <c r="M107" i="41"/>
  <c r="L107" i="41"/>
  <c r="K107" i="41"/>
  <c r="J107" i="41"/>
  <c r="I107" i="41"/>
  <c r="H107" i="41"/>
  <c r="G107" i="41"/>
  <c r="O188" i="40"/>
  <c r="N188" i="40"/>
  <c r="M188" i="40"/>
  <c r="L188" i="40"/>
  <c r="K188" i="40"/>
  <c r="J188" i="40"/>
  <c r="I188" i="40"/>
  <c r="H188" i="40"/>
  <c r="G188" i="40"/>
  <c r="O187" i="40"/>
  <c r="N187" i="40"/>
  <c r="M187" i="40"/>
  <c r="L187" i="40"/>
  <c r="K187" i="40"/>
  <c r="J187" i="40"/>
  <c r="I187" i="40"/>
  <c r="H187" i="40"/>
  <c r="G187" i="40"/>
  <c r="O186" i="40"/>
  <c r="N186" i="40"/>
  <c r="M186" i="40"/>
  <c r="L186" i="40"/>
  <c r="K186" i="40"/>
  <c r="J186" i="40"/>
  <c r="I186" i="40"/>
  <c r="H186" i="40"/>
  <c r="G186" i="40"/>
  <c r="F186" i="40"/>
  <c r="O185" i="40"/>
  <c r="N185" i="40"/>
  <c r="M185" i="40"/>
  <c r="L185" i="40"/>
  <c r="K185" i="40"/>
  <c r="J185" i="40"/>
  <c r="I185" i="40"/>
  <c r="H185" i="40"/>
  <c r="G185" i="40"/>
  <c r="O184" i="40"/>
  <c r="N184" i="40"/>
  <c r="M184" i="40"/>
  <c r="L184" i="40"/>
  <c r="K184" i="40"/>
  <c r="J184" i="40"/>
  <c r="I184" i="40"/>
  <c r="H184" i="40"/>
  <c r="G184" i="40"/>
  <c r="O183" i="40"/>
  <c r="N183" i="40"/>
  <c r="M183" i="40"/>
  <c r="L183" i="40"/>
  <c r="K183" i="40"/>
  <c r="J183" i="40"/>
  <c r="I183" i="40"/>
  <c r="H183" i="40"/>
  <c r="G183" i="40"/>
  <c r="O182" i="40"/>
  <c r="N182" i="40"/>
  <c r="M182" i="40"/>
  <c r="L182" i="40"/>
  <c r="K182" i="40"/>
  <c r="J182" i="40"/>
  <c r="I182" i="40"/>
  <c r="H182" i="40"/>
  <c r="G182" i="40"/>
  <c r="F182" i="40"/>
  <c r="O181" i="40"/>
  <c r="N181" i="40"/>
  <c r="M181" i="40"/>
  <c r="L181" i="40"/>
  <c r="K181" i="40"/>
  <c r="J181" i="40"/>
  <c r="I181" i="40"/>
  <c r="H181" i="40"/>
  <c r="G181" i="40"/>
  <c r="O180" i="40"/>
  <c r="N180" i="40"/>
  <c r="M180" i="40"/>
  <c r="L180" i="40"/>
  <c r="K180" i="40"/>
  <c r="J180" i="40"/>
  <c r="I180" i="40"/>
  <c r="H180" i="40"/>
  <c r="G180" i="40"/>
  <c r="O179" i="40"/>
  <c r="N179" i="40"/>
  <c r="M179" i="40"/>
  <c r="L179" i="40"/>
  <c r="K179" i="40"/>
  <c r="J179" i="40"/>
  <c r="I179" i="40"/>
  <c r="H179" i="40"/>
  <c r="G179" i="40"/>
  <c r="F179" i="40"/>
  <c r="O178" i="40"/>
  <c r="N178" i="40"/>
  <c r="M178" i="40"/>
  <c r="L178" i="40"/>
  <c r="K178" i="40"/>
  <c r="J178" i="40"/>
  <c r="I178" i="40"/>
  <c r="H178" i="40"/>
  <c r="G178" i="40"/>
  <c r="F178" i="40"/>
  <c r="O203" i="40"/>
  <c r="N203" i="40"/>
  <c r="M203" i="40"/>
  <c r="L203" i="40"/>
  <c r="K203" i="40"/>
  <c r="J203" i="40"/>
  <c r="I203" i="40"/>
  <c r="H203" i="40"/>
  <c r="G203" i="40"/>
  <c r="O202" i="40"/>
  <c r="N202" i="40"/>
  <c r="M202" i="40"/>
  <c r="L202" i="40"/>
  <c r="K202" i="40"/>
  <c r="J202" i="40"/>
  <c r="I202" i="40"/>
  <c r="H202" i="40"/>
  <c r="G202" i="40"/>
  <c r="O201" i="40"/>
  <c r="N201" i="40"/>
  <c r="M201" i="40"/>
  <c r="L201" i="40"/>
  <c r="K201" i="40"/>
  <c r="J201" i="40"/>
  <c r="I201" i="40"/>
  <c r="H201" i="40"/>
  <c r="G201" i="40"/>
  <c r="O200" i="40"/>
  <c r="N200" i="40"/>
  <c r="M200" i="40"/>
  <c r="L200" i="40"/>
  <c r="K200" i="40"/>
  <c r="J200" i="40"/>
  <c r="I200" i="40"/>
  <c r="H200" i="40"/>
  <c r="G200" i="40"/>
  <c r="O199" i="40"/>
  <c r="N199" i="40"/>
  <c r="M199" i="40"/>
  <c r="L199" i="40"/>
  <c r="K199" i="40"/>
  <c r="J199" i="40"/>
  <c r="I199" i="40"/>
  <c r="H199" i="40"/>
  <c r="G199" i="40"/>
  <c r="O198" i="40"/>
  <c r="N198" i="40"/>
  <c r="M198" i="40"/>
  <c r="L198" i="40"/>
  <c r="K198" i="40"/>
  <c r="J198" i="40"/>
  <c r="I198" i="40"/>
  <c r="H198" i="40"/>
  <c r="G198" i="40"/>
  <c r="O197" i="40"/>
  <c r="N197" i="40"/>
  <c r="M197" i="40"/>
  <c r="L197" i="40"/>
  <c r="K197" i="40"/>
  <c r="J197" i="40"/>
  <c r="I197" i="40"/>
  <c r="H197" i="40"/>
  <c r="G197" i="40"/>
  <c r="O196" i="40"/>
  <c r="N196" i="40"/>
  <c r="M196" i="40"/>
  <c r="L196" i="40"/>
  <c r="K196" i="40"/>
  <c r="J196" i="40"/>
  <c r="I196" i="40"/>
  <c r="H196" i="40"/>
  <c r="G196" i="40"/>
  <c r="O195" i="40"/>
  <c r="N195" i="40"/>
  <c r="M195" i="40"/>
  <c r="L195" i="40"/>
  <c r="K195" i="40"/>
  <c r="J195" i="40"/>
  <c r="I195" i="40"/>
  <c r="H195" i="40"/>
  <c r="G195" i="40"/>
  <c r="O194" i="40"/>
  <c r="N194" i="40"/>
  <c r="M194" i="40"/>
  <c r="L194" i="40"/>
  <c r="K194" i="40"/>
  <c r="J194" i="40"/>
  <c r="I194" i="40"/>
  <c r="H194" i="40"/>
  <c r="G194" i="40"/>
  <c r="O193" i="40"/>
  <c r="N193" i="40"/>
  <c r="M193" i="40"/>
  <c r="L193" i="40"/>
  <c r="K193" i="40"/>
  <c r="J193" i="40"/>
  <c r="I193" i="40"/>
  <c r="H193" i="40"/>
  <c r="G193" i="40"/>
  <c r="O233" i="40"/>
  <c r="N233" i="40"/>
  <c r="M233" i="40"/>
  <c r="L233" i="40"/>
  <c r="K233" i="40"/>
  <c r="J233" i="40"/>
  <c r="I233" i="40"/>
  <c r="H233" i="40"/>
  <c r="G233" i="40"/>
  <c r="O232" i="40"/>
  <c r="N232" i="40"/>
  <c r="M232" i="40"/>
  <c r="L232" i="40"/>
  <c r="K232" i="40"/>
  <c r="J232" i="40"/>
  <c r="I232" i="40"/>
  <c r="H232" i="40"/>
  <c r="G232" i="40"/>
  <c r="O231" i="40"/>
  <c r="N231" i="40"/>
  <c r="M231" i="40"/>
  <c r="L231" i="40"/>
  <c r="K231" i="40"/>
  <c r="J231" i="40"/>
  <c r="I231" i="40"/>
  <c r="H231" i="40"/>
  <c r="G231" i="40"/>
  <c r="O230" i="40"/>
  <c r="N230" i="40"/>
  <c r="M230" i="40"/>
  <c r="L230" i="40"/>
  <c r="K230" i="40"/>
  <c r="J230" i="40"/>
  <c r="I230" i="40"/>
  <c r="H230" i="40"/>
  <c r="G230" i="40"/>
  <c r="O229" i="40"/>
  <c r="N229" i="40"/>
  <c r="M229" i="40"/>
  <c r="L229" i="40"/>
  <c r="K229" i="40"/>
  <c r="J229" i="40"/>
  <c r="I229" i="40"/>
  <c r="H229" i="40"/>
  <c r="G229" i="40"/>
  <c r="O228" i="40"/>
  <c r="N228" i="40"/>
  <c r="M228" i="40"/>
  <c r="L228" i="40"/>
  <c r="K228" i="40"/>
  <c r="J228" i="40"/>
  <c r="I228" i="40"/>
  <c r="H228" i="40"/>
  <c r="G228" i="40"/>
  <c r="O227" i="40"/>
  <c r="N227" i="40"/>
  <c r="M227" i="40"/>
  <c r="L227" i="40"/>
  <c r="K227" i="40"/>
  <c r="J227" i="40"/>
  <c r="I227" i="40"/>
  <c r="H227" i="40"/>
  <c r="G227" i="40"/>
  <c r="O226" i="40"/>
  <c r="N226" i="40"/>
  <c r="M226" i="40"/>
  <c r="L226" i="40"/>
  <c r="K226" i="40"/>
  <c r="J226" i="40"/>
  <c r="I226" i="40"/>
  <c r="H226" i="40"/>
  <c r="G226" i="40"/>
  <c r="O225" i="40"/>
  <c r="N225" i="40"/>
  <c r="M225" i="40"/>
  <c r="L225" i="40"/>
  <c r="K225" i="40"/>
  <c r="J225" i="40"/>
  <c r="I225" i="40"/>
  <c r="H225" i="40"/>
  <c r="G225" i="40"/>
  <c r="O224" i="40"/>
  <c r="N224" i="40"/>
  <c r="M224" i="40"/>
  <c r="L224" i="40"/>
  <c r="K224" i="40"/>
  <c r="J224" i="40"/>
  <c r="I224" i="40"/>
  <c r="H224" i="40"/>
  <c r="G224" i="40"/>
  <c r="O223" i="40"/>
  <c r="N223" i="40"/>
  <c r="M223" i="40"/>
  <c r="L223" i="40"/>
  <c r="K223" i="40"/>
  <c r="J223" i="40"/>
  <c r="I223" i="40"/>
  <c r="H223" i="40"/>
  <c r="G223" i="40"/>
  <c r="O218" i="40"/>
  <c r="N218" i="40"/>
  <c r="M218" i="40"/>
  <c r="L218" i="40"/>
  <c r="K218" i="40"/>
  <c r="J218" i="40"/>
  <c r="I218" i="40"/>
  <c r="H218" i="40"/>
  <c r="G218" i="40"/>
  <c r="O217" i="40"/>
  <c r="N217" i="40"/>
  <c r="M217" i="40"/>
  <c r="L217" i="40"/>
  <c r="K217" i="40"/>
  <c r="J217" i="40"/>
  <c r="I217" i="40"/>
  <c r="H217" i="40"/>
  <c r="G217" i="40"/>
  <c r="O216" i="40"/>
  <c r="N216" i="40"/>
  <c r="M216" i="40"/>
  <c r="L216" i="40"/>
  <c r="K216" i="40"/>
  <c r="J216" i="40"/>
  <c r="I216" i="40"/>
  <c r="H216" i="40"/>
  <c r="G216" i="40"/>
  <c r="O215" i="40"/>
  <c r="N215" i="40"/>
  <c r="M215" i="40"/>
  <c r="L215" i="40"/>
  <c r="K215" i="40"/>
  <c r="J215" i="40"/>
  <c r="I215" i="40"/>
  <c r="H215" i="40"/>
  <c r="G215" i="40"/>
  <c r="O214" i="40"/>
  <c r="N214" i="40"/>
  <c r="M214" i="40"/>
  <c r="L214" i="40"/>
  <c r="K214" i="40"/>
  <c r="J214" i="40"/>
  <c r="I214" i="40"/>
  <c r="H214" i="40"/>
  <c r="G214" i="40"/>
  <c r="O213" i="40"/>
  <c r="N213" i="40"/>
  <c r="M213" i="40"/>
  <c r="L213" i="40"/>
  <c r="K213" i="40"/>
  <c r="J213" i="40"/>
  <c r="I213" i="40"/>
  <c r="H213" i="40"/>
  <c r="G213" i="40"/>
  <c r="O212" i="40"/>
  <c r="N212" i="40"/>
  <c r="M212" i="40"/>
  <c r="L212" i="40"/>
  <c r="K212" i="40"/>
  <c r="J212" i="40"/>
  <c r="I212" i="40"/>
  <c r="H212" i="40"/>
  <c r="G212" i="40"/>
  <c r="O211" i="40"/>
  <c r="N211" i="40"/>
  <c r="M211" i="40"/>
  <c r="L211" i="40"/>
  <c r="K211" i="40"/>
  <c r="J211" i="40"/>
  <c r="I211" i="40"/>
  <c r="H211" i="40"/>
  <c r="G211" i="40"/>
  <c r="O210" i="40"/>
  <c r="N210" i="40"/>
  <c r="M210" i="40"/>
  <c r="L210" i="40"/>
  <c r="K210" i="40"/>
  <c r="J210" i="40"/>
  <c r="I210" i="40"/>
  <c r="H210" i="40"/>
  <c r="G210" i="40"/>
  <c r="O209" i="40"/>
  <c r="N209" i="40"/>
  <c r="M209" i="40"/>
  <c r="L209" i="40"/>
  <c r="K209" i="40"/>
  <c r="J209" i="40"/>
  <c r="I209" i="40"/>
  <c r="H209" i="40"/>
  <c r="G209" i="40"/>
  <c r="O208" i="40"/>
  <c r="N208" i="40"/>
  <c r="M208" i="40"/>
  <c r="L208" i="40"/>
  <c r="K208" i="40"/>
  <c r="J208" i="40"/>
  <c r="I208" i="40"/>
  <c r="H208" i="40"/>
  <c r="G208" i="40"/>
  <c r="F180" i="40"/>
  <c r="F181" i="40"/>
  <c r="F183" i="40"/>
  <c r="F184" i="40"/>
  <c r="F185" i="40"/>
  <c r="F187" i="40"/>
  <c r="F188" i="40"/>
  <c r="F107" i="41"/>
  <c r="F108" i="41"/>
  <c r="F109" i="41"/>
  <c r="F110" i="41"/>
  <c r="F111" i="41"/>
  <c r="E14" i="6"/>
  <c r="F14" i="6"/>
  <c r="D104" i="6"/>
  <c r="E73" i="6"/>
  <c r="D105" i="6"/>
  <c r="O443" i="40"/>
  <c r="O395" i="40"/>
  <c r="O365" i="40"/>
  <c r="G391" i="40"/>
  <c r="F391" i="40"/>
  <c r="G390" i="40"/>
  <c r="F390" i="40"/>
  <c r="G388" i="40"/>
  <c r="F388" i="40"/>
  <c r="V24" i="84"/>
  <c r="S22" i="84"/>
  <c r="T22" i="84"/>
  <c r="U22" i="84"/>
  <c r="V22" i="84"/>
  <c r="W22" i="84"/>
  <c r="X22" i="84"/>
  <c r="Y22" i="84"/>
  <c r="Z22" i="84"/>
  <c r="AA22" i="84"/>
  <c r="S23" i="84"/>
  <c r="T23" i="84"/>
  <c r="U23" i="84"/>
  <c r="V23" i="84"/>
  <c r="W23" i="84"/>
  <c r="X23" i="84"/>
  <c r="Y23" i="84"/>
  <c r="Z23" i="84"/>
  <c r="AA23" i="84"/>
  <c r="S24" i="84"/>
  <c r="T24" i="84"/>
  <c r="U24" i="84"/>
  <c r="W24" i="84"/>
  <c r="X24" i="84"/>
  <c r="Y24" i="84"/>
  <c r="Z24" i="84"/>
  <c r="AA24" i="84"/>
  <c r="S25" i="84"/>
  <c r="T25" i="84"/>
  <c r="U25" i="84"/>
  <c r="V25" i="84"/>
  <c r="W25" i="84"/>
  <c r="X25" i="84"/>
  <c r="Y25" i="84"/>
  <c r="Z25" i="84"/>
  <c r="AA25" i="84"/>
  <c r="AB22" i="84"/>
  <c r="AB23" i="84"/>
  <c r="AB24" i="84"/>
  <c r="AB25" i="84"/>
  <c r="S22" i="42"/>
  <c r="T22" i="42"/>
  <c r="U22" i="42"/>
  <c r="V22" i="42"/>
  <c r="W22" i="42"/>
  <c r="X22" i="42"/>
  <c r="Y22" i="42"/>
  <c r="Z22" i="42"/>
  <c r="AA22" i="42"/>
  <c r="S23" i="42"/>
  <c r="T23" i="42"/>
  <c r="U23" i="42"/>
  <c r="V23" i="42"/>
  <c r="W23" i="42"/>
  <c r="X23" i="42"/>
  <c r="Y23" i="42"/>
  <c r="Z23" i="42"/>
  <c r="AA23" i="42"/>
  <c r="S24" i="42"/>
  <c r="T24" i="42"/>
  <c r="U24" i="42"/>
  <c r="V24" i="42"/>
  <c r="W24" i="42"/>
  <c r="X24" i="42"/>
  <c r="Y24" i="42"/>
  <c r="Z24" i="42"/>
  <c r="AA24" i="42"/>
  <c r="S25" i="42"/>
  <c r="T25" i="42"/>
  <c r="U25" i="42"/>
  <c r="V25" i="42"/>
  <c r="W25" i="42"/>
  <c r="X25" i="42"/>
  <c r="Y25" i="42"/>
  <c r="Z25" i="42"/>
  <c r="AA25" i="42"/>
  <c r="AB22" i="42"/>
  <c r="AB23" i="42"/>
  <c r="AB24" i="42"/>
  <c r="AB25" i="42"/>
  <c r="F33" i="6"/>
  <c r="F42" i="6"/>
  <c r="F41" i="6"/>
  <c r="F40" i="6"/>
  <c r="F8" i="6"/>
  <c r="C37" i="12"/>
  <c r="E7" i="6"/>
  <c r="F7" i="6"/>
  <c r="Y33" i="42"/>
  <c r="O192" i="41"/>
  <c r="O185" i="41"/>
  <c r="O178" i="41"/>
  <c r="O170" i="41"/>
  <c r="O163" i="41"/>
  <c r="E86" i="84"/>
  <c r="E97" i="42"/>
  <c r="E98" i="42"/>
  <c r="E96" i="42"/>
  <c r="O61" i="42"/>
  <c r="U32" i="42"/>
  <c r="V32" i="42"/>
  <c r="W32" i="42"/>
  <c r="U33" i="42"/>
  <c r="V33" i="42"/>
  <c r="W33" i="42"/>
  <c r="U34" i="42"/>
  <c r="V34" i="42"/>
  <c r="W34" i="42"/>
  <c r="U35" i="42"/>
  <c r="V35" i="42"/>
  <c r="W35" i="42"/>
  <c r="AB35" i="42"/>
  <c r="AA35" i="42"/>
  <c r="Z35" i="42"/>
  <c r="Y35" i="42"/>
  <c r="X35" i="42"/>
  <c r="T35" i="42"/>
  <c r="S35" i="42"/>
  <c r="AB34" i="42"/>
  <c r="AA34" i="42"/>
  <c r="Z34" i="42"/>
  <c r="Y34" i="42"/>
  <c r="X34" i="42"/>
  <c r="T34" i="42"/>
  <c r="S34" i="42"/>
  <c r="AB33" i="42"/>
  <c r="AA33" i="42"/>
  <c r="Z33" i="42"/>
  <c r="X33" i="42"/>
  <c r="T33" i="42"/>
  <c r="S33" i="42"/>
  <c r="AB32" i="42"/>
  <c r="AA32" i="42"/>
  <c r="Z32" i="42"/>
  <c r="Y32" i="42"/>
  <c r="X32" i="42"/>
  <c r="T32" i="42"/>
  <c r="S32" i="42"/>
  <c r="O13" i="42"/>
  <c r="O13" i="84"/>
  <c r="C16" i="35"/>
  <c r="F5" i="24"/>
  <c r="F3" i="24"/>
  <c r="E48" i="6"/>
  <c r="E49" i="6"/>
  <c r="F47" i="6"/>
  <c r="E51" i="6"/>
  <c r="F77" i="6"/>
  <c r="E77" i="6"/>
  <c r="E15" i="6"/>
  <c r="F15" i="6"/>
  <c r="E20" i="6"/>
  <c r="F20" i="6"/>
  <c r="E5" i="6"/>
  <c r="F5" i="6"/>
  <c r="E17" i="6"/>
  <c r="E18" i="6"/>
  <c r="F18" i="6"/>
  <c r="E10" i="6"/>
  <c r="F10" i="6"/>
  <c r="E19" i="6"/>
  <c r="F19" i="6"/>
  <c r="E8" i="84"/>
  <c r="E8" i="42"/>
  <c r="E8" i="41"/>
  <c r="M214" i="41"/>
  <c r="C38" i="12"/>
  <c r="F18" i="41"/>
  <c r="F50" i="41"/>
  <c r="F275" i="40"/>
  <c r="F477" i="40"/>
  <c r="E8" i="40"/>
  <c r="G20" i="40"/>
  <c r="G468" i="40"/>
  <c r="E9" i="40"/>
  <c r="G83" i="40"/>
  <c r="O144" i="40"/>
  <c r="G144" i="40"/>
  <c r="F468" i="40"/>
  <c r="H20" i="40"/>
  <c r="H468" i="40"/>
  <c r="H83" i="40"/>
  <c r="H144" i="40"/>
  <c r="I20" i="40"/>
  <c r="I468" i="40"/>
  <c r="I83" i="40"/>
  <c r="I144" i="40"/>
  <c r="J20" i="40"/>
  <c r="J468" i="40"/>
  <c r="J83" i="40"/>
  <c r="J144" i="40"/>
  <c r="K20" i="40"/>
  <c r="K468" i="40"/>
  <c r="K83" i="40"/>
  <c r="K144" i="40"/>
  <c r="L20" i="40"/>
  <c r="L468" i="40"/>
  <c r="L83" i="40"/>
  <c r="L144" i="40"/>
  <c r="M20" i="40"/>
  <c r="M468" i="40"/>
  <c r="M83" i="40"/>
  <c r="M144" i="40"/>
  <c r="N20" i="40"/>
  <c r="N468" i="40"/>
  <c r="N83" i="40"/>
  <c r="N144" i="40"/>
  <c r="O20" i="40"/>
  <c r="O468" i="40"/>
  <c r="O83" i="40"/>
  <c r="F274" i="40"/>
  <c r="F476" i="40"/>
  <c r="G81" i="40"/>
  <c r="G143" i="40"/>
  <c r="F81" i="40"/>
  <c r="H81" i="40"/>
  <c r="H143" i="40"/>
  <c r="I81" i="40"/>
  <c r="I143" i="40"/>
  <c r="J81" i="40"/>
  <c r="J143" i="40"/>
  <c r="K81" i="40"/>
  <c r="K143" i="40"/>
  <c r="L81" i="40"/>
  <c r="L143" i="40"/>
  <c r="M81" i="40"/>
  <c r="M143" i="40"/>
  <c r="N81" i="40"/>
  <c r="N143" i="40"/>
  <c r="O81" i="40"/>
  <c r="F271" i="40"/>
  <c r="F473" i="40"/>
  <c r="G315" i="40"/>
  <c r="H315" i="40"/>
  <c r="I315" i="40"/>
  <c r="J315" i="40"/>
  <c r="K315" i="40"/>
  <c r="L315" i="40"/>
  <c r="M315" i="40"/>
  <c r="N315" i="40"/>
  <c r="F273" i="40"/>
  <c r="F475" i="40"/>
  <c r="E10" i="40"/>
  <c r="O142" i="40"/>
  <c r="G142" i="40"/>
  <c r="F272" i="40"/>
  <c r="F474" i="40"/>
  <c r="I45" i="40"/>
  <c r="O141" i="40"/>
  <c r="J141" i="40"/>
  <c r="D12" i="35"/>
  <c r="E6" i="6"/>
  <c r="F6" i="6"/>
  <c r="O167" i="40"/>
  <c r="F52" i="6"/>
  <c r="F76" i="6"/>
  <c r="D103" i="6"/>
  <c r="D129" i="84"/>
  <c r="D130" i="84"/>
  <c r="D131" i="84"/>
  <c r="O155" i="41"/>
  <c r="E7" i="35"/>
  <c r="E8" i="35"/>
  <c r="E813" i="40"/>
  <c r="E814" i="40"/>
  <c r="E812" i="40"/>
  <c r="E805" i="40"/>
  <c r="E806" i="40"/>
  <c r="E804" i="40"/>
  <c r="E797" i="40"/>
  <c r="E798" i="40"/>
  <c r="E796" i="40"/>
  <c r="E789" i="40"/>
  <c r="E790" i="40"/>
  <c r="E788" i="40"/>
  <c r="D779" i="40"/>
  <c r="D777" i="40"/>
  <c r="D778" i="40"/>
  <c r="D776" i="40"/>
  <c r="D768" i="40"/>
  <c r="D769" i="40"/>
  <c r="D770" i="40"/>
  <c r="D767" i="40"/>
  <c r="D759" i="40"/>
  <c r="D760" i="40"/>
  <c r="D761" i="40"/>
  <c r="D758" i="40"/>
  <c r="D752" i="40"/>
  <c r="D749" i="40"/>
  <c r="D750" i="40"/>
  <c r="D751" i="40"/>
  <c r="D748" i="40"/>
  <c r="D747" i="40"/>
  <c r="D834" i="40"/>
  <c r="D833" i="40"/>
  <c r="E833" i="40"/>
  <c r="D828" i="40"/>
  <c r="D823" i="40"/>
  <c r="D904" i="40"/>
  <c r="D905" i="40"/>
  <c r="D906" i="40"/>
  <c r="D907" i="40"/>
  <c r="D908" i="40"/>
  <c r="D903" i="40"/>
  <c r="D894" i="40"/>
  <c r="D895" i="40"/>
  <c r="D896" i="40"/>
  <c r="D897" i="40"/>
  <c r="D898" i="40"/>
  <c r="D893" i="40"/>
  <c r="D888" i="40"/>
  <c r="D884" i="40"/>
  <c r="D885" i="40"/>
  <c r="D886" i="40"/>
  <c r="D887" i="40"/>
  <c r="D883" i="40"/>
  <c r="D874" i="40"/>
  <c r="D875" i="40"/>
  <c r="D876" i="40"/>
  <c r="D877" i="40"/>
  <c r="D878" i="40"/>
  <c r="D873" i="40"/>
  <c r="D864" i="40"/>
  <c r="D865" i="40"/>
  <c r="D866" i="40"/>
  <c r="D867" i="40"/>
  <c r="D868" i="40"/>
  <c r="D863" i="40"/>
  <c r="D854" i="40"/>
  <c r="D855" i="40"/>
  <c r="D856" i="40"/>
  <c r="D857" i="40"/>
  <c r="D858" i="40"/>
  <c r="D853" i="40"/>
  <c r="D845" i="40"/>
  <c r="D846" i="40"/>
  <c r="D847" i="40"/>
  <c r="D848" i="40"/>
  <c r="D844" i="40"/>
  <c r="D843" i="40"/>
  <c r="G715" i="40"/>
  <c r="G700" i="40"/>
  <c r="G685" i="40"/>
  <c r="E336" i="41"/>
  <c r="E335" i="41"/>
  <c r="F334" i="41"/>
  <c r="F434" i="41"/>
  <c r="E334" i="41"/>
  <c r="O312" i="41"/>
  <c r="O42" i="84"/>
  <c r="O37" i="84"/>
  <c r="O32" i="84"/>
  <c r="O27" i="84"/>
  <c r="O45" i="42"/>
  <c r="O40" i="42"/>
  <c r="O35" i="42"/>
  <c r="C946" i="40"/>
  <c r="C945" i="40"/>
  <c r="C944" i="40"/>
  <c r="C943" i="40"/>
  <c r="C937" i="40"/>
  <c r="C936" i="40"/>
  <c r="C935" i="40"/>
  <c r="C934" i="40"/>
  <c r="C928" i="40"/>
  <c r="C927" i="40"/>
  <c r="C926" i="40"/>
  <c r="C925" i="40"/>
  <c r="C919" i="40"/>
  <c r="C918" i="40"/>
  <c r="C917" i="40"/>
  <c r="C916" i="40"/>
  <c r="O220" i="40"/>
  <c r="O205" i="40"/>
  <c r="O190" i="40"/>
  <c r="O175" i="40"/>
  <c r="O284" i="41"/>
  <c r="F834" i="40"/>
  <c r="E828" i="40"/>
  <c r="E823" i="40"/>
  <c r="O773" i="40"/>
  <c r="O764" i="40"/>
  <c r="O755" i="40"/>
  <c r="O744" i="40"/>
  <c r="O731" i="40"/>
  <c r="O716" i="40"/>
  <c r="O701" i="40"/>
  <c r="O686" i="40"/>
  <c r="O667" i="40"/>
  <c r="O649" i="40"/>
  <c r="O631" i="40"/>
  <c r="O613" i="40"/>
  <c r="O594" i="40"/>
  <c r="O575" i="40"/>
  <c r="O430" i="40"/>
  <c r="O415" i="40"/>
  <c r="O400" i="40"/>
  <c r="O385" i="40"/>
  <c r="O370" i="40"/>
  <c r="O50" i="84"/>
  <c r="E87" i="84"/>
  <c r="E85" i="84"/>
  <c r="AB31" i="84"/>
  <c r="AA31" i="84"/>
  <c r="Z31" i="84"/>
  <c r="Y31" i="84"/>
  <c r="X31" i="84"/>
  <c r="W31" i="84"/>
  <c r="V31" i="84"/>
  <c r="U31" i="84"/>
  <c r="T31" i="84"/>
  <c r="S31" i="84"/>
  <c r="AB30" i="84"/>
  <c r="AA30" i="84"/>
  <c r="Z30" i="84"/>
  <c r="Y30" i="84"/>
  <c r="X30" i="84"/>
  <c r="W30" i="84"/>
  <c r="V30" i="84"/>
  <c r="U30" i="84"/>
  <c r="T30" i="84"/>
  <c r="S30" i="84"/>
  <c r="AB29" i="84"/>
  <c r="AA29" i="84"/>
  <c r="Z29" i="84"/>
  <c r="Y29" i="84"/>
  <c r="X29" i="84"/>
  <c r="W29" i="84"/>
  <c r="V29" i="84"/>
  <c r="U29" i="84"/>
  <c r="T29" i="84"/>
  <c r="S29" i="84"/>
  <c r="AB28" i="84"/>
  <c r="AA28" i="84"/>
  <c r="Z28" i="84"/>
  <c r="Y28" i="84"/>
  <c r="X28" i="84"/>
  <c r="W28" i="84"/>
  <c r="V28" i="84"/>
  <c r="T28" i="84"/>
  <c r="S28" i="84"/>
  <c r="U28" i="84"/>
  <c r="H53" i="23"/>
  <c r="I53" i="23"/>
  <c r="H52" i="23"/>
  <c r="I52" i="23"/>
  <c r="D145" i="84"/>
  <c r="D144" i="84"/>
  <c r="D143" i="84"/>
  <c r="D142" i="84"/>
  <c r="O30" i="42"/>
  <c r="D150" i="42"/>
  <c r="D149" i="42"/>
  <c r="D148" i="42"/>
  <c r="D147" i="42"/>
  <c r="D479" i="41"/>
  <c r="D480" i="41"/>
  <c r="D481" i="41"/>
  <c r="D482" i="41"/>
  <c r="D470" i="41"/>
  <c r="D471" i="41"/>
  <c r="D472" i="41"/>
  <c r="D473" i="41"/>
  <c r="D452" i="41"/>
  <c r="D453" i="41"/>
  <c r="D454" i="41"/>
  <c r="D455" i="41"/>
  <c r="D461" i="41"/>
  <c r="D462" i="41"/>
  <c r="D463" i="41"/>
  <c r="D464" i="41"/>
  <c r="O131" i="41"/>
  <c r="O122" i="41"/>
  <c r="O113" i="41"/>
  <c r="O104" i="41"/>
  <c r="H43" i="12"/>
  <c r="C46" i="12"/>
  <c r="G46" i="12"/>
  <c r="C47" i="12"/>
  <c r="G47" i="12"/>
  <c r="C48" i="12"/>
  <c r="G48" i="12"/>
  <c r="C49" i="12"/>
  <c r="G49" i="12"/>
  <c r="C50" i="12"/>
  <c r="G50" i="12"/>
  <c r="C51" i="12"/>
  <c r="G51" i="12"/>
  <c r="C52" i="12"/>
  <c r="G52" i="12"/>
  <c r="C53" i="12"/>
  <c r="G53" i="12"/>
  <c r="C54" i="12"/>
  <c r="G54" i="12"/>
  <c r="C55" i="12"/>
  <c r="G55" i="12"/>
  <c r="C56" i="12"/>
  <c r="G56" i="12"/>
  <c r="C57" i="12"/>
  <c r="G57" i="12"/>
  <c r="C58" i="12"/>
  <c r="G58" i="12"/>
  <c r="C59" i="12"/>
  <c r="G59" i="12"/>
  <c r="C60" i="12"/>
  <c r="G60" i="12"/>
  <c r="C61" i="12"/>
  <c r="G61" i="12"/>
  <c r="C62" i="12"/>
  <c r="G62" i="12"/>
  <c r="C63" i="12"/>
  <c r="G63" i="12"/>
  <c r="C64" i="12"/>
  <c r="G64" i="12"/>
  <c r="C65" i="12"/>
  <c r="G65" i="12"/>
  <c r="C66" i="12"/>
  <c r="G66" i="12"/>
  <c r="C67" i="12"/>
  <c r="G67" i="12"/>
  <c r="C68" i="12"/>
  <c r="G68" i="12"/>
  <c r="C69" i="12"/>
  <c r="G69" i="12"/>
  <c r="C70" i="12"/>
  <c r="G70" i="12"/>
  <c r="C71" i="12"/>
  <c r="G71" i="12"/>
  <c r="C72" i="12"/>
  <c r="G72" i="12"/>
  <c r="C73" i="12"/>
  <c r="G73" i="12"/>
  <c r="C74" i="12"/>
  <c r="G74" i="12"/>
  <c r="C75" i="12"/>
  <c r="C76" i="12"/>
  <c r="C77" i="12"/>
  <c r="C78" i="12"/>
  <c r="C79" i="12"/>
  <c r="C80" i="12"/>
  <c r="C81" i="12"/>
  <c r="G81" i="12"/>
  <c r="C82" i="12"/>
  <c r="G82" i="12"/>
  <c r="C83" i="12"/>
  <c r="C84" i="12"/>
  <c r="C85" i="12"/>
  <c r="C86" i="12"/>
  <c r="C87" i="12"/>
  <c r="G87" i="12"/>
  <c r="C88" i="12"/>
  <c r="G88" i="12"/>
  <c r="C89" i="12"/>
  <c r="G89" i="12"/>
  <c r="C90" i="12"/>
  <c r="G90" i="12"/>
  <c r="C91" i="12"/>
  <c r="G91" i="12"/>
  <c r="D84" i="6"/>
  <c r="D85" i="6"/>
  <c r="D86" i="6"/>
  <c r="D87" i="6"/>
  <c r="D88" i="6"/>
  <c r="D89" i="6"/>
  <c r="D90" i="6"/>
  <c r="D91" i="6"/>
  <c r="D92" i="6"/>
  <c r="D93" i="6"/>
  <c r="D95" i="6"/>
  <c r="D96" i="6"/>
  <c r="D97" i="6"/>
  <c r="D98" i="6"/>
  <c r="D99" i="6"/>
  <c r="D100" i="6"/>
  <c r="D101" i="6"/>
  <c r="D102" i="6"/>
  <c r="D27" i="35"/>
  <c r="E27" i="35"/>
  <c r="F27" i="35"/>
  <c r="G27" i="35"/>
  <c r="H27" i="35"/>
  <c r="I27" i="35"/>
  <c r="D28" i="35"/>
  <c r="H7" i="23"/>
  <c r="I7" i="23"/>
  <c r="H8" i="23"/>
  <c r="I8" i="23"/>
  <c r="H9" i="23"/>
  <c r="I9" i="23"/>
  <c r="H10" i="23"/>
  <c r="I10" i="23"/>
  <c r="H11" i="23"/>
  <c r="I11" i="23"/>
  <c r="H12" i="23"/>
  <c r="I12" i="23"/>
  <c r="H13" i="23"/>
  <c r="I13" i="23"/>
  <c r="H14" i="23"/>
  <c r="I14" i="23"/>
  <c r="H15" i="23"/>
  <c r="I15" i="23"/>
  <c r="H16" i="23"/>
  <c r="I16" i="23"/>
  <c r="H17" i="23"/>
  <c r="I17" i="23"/>
  <c r="H18" i="23"/>
  <c r="I18" i="23"/>
  <c r="H19" i="23"/>
  <c r="I19" i="23"/>
  <c r="H20" i="23"/>
  <c r="I20" i="23"/>
  <c r="H21" i="23"/>
  <c r="I21" i="23"/>
  <c r="H22" i="23"/>
  <c r="I22" i="23"/>
  <c r="H23" i="23"/>
  <c r="I23" i="23"/>
  <c r="H24" i="23"/>
  <c r="I24" i="23"/>
  <c r="H25" i="23"/>
  <c r="I25" i="23"/>
  <c r="I26" i="23"/>
  <c r="H27" i="23"/>
  <c r="I27" i="23"/>
  <c r="H28" i="23"/>
  <c r="I28" i="23"/>
  <c r="H29" i="23"/>
  <c r="I29" i="23"/>
  <c r="H30" i="23"/>
  <c r="I30" i="23"/>
  <c r="H31" i="23"/>
  <c r="I31" i="23"/>
  <c r="H32" i="23"/>
  <c r="I32" i="23"/>
  <c r="H33" i="23"/>
  <c r="I33" i="23"/>
  <c r="H35" i="23"/>
  <c r="I35" i="23"/>
  <c r="H36" i="23"/>
  <c r="I36" i="23"/>
  <c r="H37" i="23"/>
  <c r="I37" i="23"/>
  <c r="H38" i="23"/>
  <c r="I38" i="23"/>
  <c r="H39" i="23"/>
  <c r="I39" i="23"/>
  <c r="H40" i="23"/>
  <c r="I40" i="23"/>
  <c r="H41" i="23"/>
  <c r="I41" i="23"/>
  <c r="H42" i="23"/>
  <c r="I42" i="23"/>
  <c r="H43" i="23"/>
  <c r="I43" i="23"/>
  <c r="H44" i="23"/>
  <c r="I44" i="23"/>
  <c r="H45" i="23"/>
  <c r="I45" i="23"/>
  <c r="H46" i="23"/>
  <c r="I46" i="23"/>
  <c r="H47" i="23"/>
  <c r="I47" i="23"/>
  <c r="H48" i="23"/>
  <c r="I48" i="23"/>
  <c r="H49" i="23"/>
  <c r="I49" i="23"/>
  <c r="H50" i="23"/>
  <c r="I50" i="23"/>
  <c r="H51" i="23"/>
  <c r="I51" i="23"/>
  <c r="F75" i="6"/>
  <c r="E28" i="35"/>
  <c r="F28" i="35"/>
  <c r="G28" i="35"/>
  <c r="H28" i="35"/>
  <c r="I28" i="35"/>
  <c r="J28" i="35"/>
  <c r="K28" i="35"/>
  <c r="E71" i="6"/>
  <c r="F329" i="41"/>
  <c r="F432" i="41"/>
  <c r="F339" i="41"/>
  <c r="F436" i="41"/>
  <c r="O355" i="40"/>
  <c r="O294" i="41"/>
  <c r="O275" i="41"/>
  <c r="E331" i="41"/>
  <c r="E330" i="41"/>
  <c r="E329" i="41"/>
  <c r="E341" i="41"/>
  <c r="E340" i="41"/>
  <c r="E339" i="41"/>
  <c r="BC8" i="60"/>
  <c r="O321" i="41"/>
  <c r="O303" i="41"/>
  <c r="D128" i="84"/>
  <c r="D127" i="84"/>
  <c r="D126" i="84"/>
  <c r="D134" i="84"/>
  <c r="D133" i="84"/>
  <c r="D139" i="42"/>
  <c r="D138" i="42"/>
  <c r="D435" i="41"/>
  <c r="D433" i="41"/>
  <c r="D432" i="41"/>
  <c r="D434" i="41"/>
  <c r="D437" i="41"/>
  <c r="D132" i="84"/>
  <c r="D137" i="42"/>
  <c r="D436" i="41"/>
  <c r="E9" i="6"/>
  <c r="E11" i="6"/>
  <c r="E23" i="6"/>
  <c r="F24" i="6"/>
  <c r="E34" i="6"/>
  <c r="F7" i="24"/>
  <c r="B58" i="6"/>
  <c r="F58" i="6"/>
  <c r="B59" i="6"/>
  <c r="F59" i="6"/>
  <c r="B60" i="6"/>
  <c r="F60" i="6"/>
  <c r="BD25" i="60"/>
  <c r="BG30" i="60"/>
  <c r="E40" i="13"/>
  <c r="B40" i="13"/>
  <c r="E39" i="13"/>
  <c r="B39" i="13"/>
  <c r="B38" i="13"/>
  <c r="B33" i="13"/>
  <c r="B32" i="13"/>
  <c r="B31" i="13"/>
  <c r="B30" i="13"/>
  <c r="B29" i="13"/>
  <c r="B25" i="13"/>
  <c r="B24" i="13"/>
  <c r="B21" i="13"/>
  <c r="B20" i="13"/>
  <c r="B19" i="13"/>
  <c r="B18" i="13"/>
  <c r="B17" i="13"/>
  <c r="B16" i="13"/>
  <c r="E15" i="13"/>
  <c r="B15" i="13"/>
  <c r="E14" i="13"/>
  <c r="B14" i="13"/>
  <c r="E13" i="13"/>
  <c r="B13" i="13"/>
  <c r="E12" i="13"/>
  <c r="B12" i="13"/>
  <c r="E11" i="13"/>
  <c r="B11" i="13"/>
  <c r="E10" i="13"/>
  <c r="E9" i="13"/>
  <c r="B9" i="13"/>
  <c r="B8" i="13"/>
  <c r="B7" i="13"/>
  <c r="AK194" i="16"/>
  <c r="AJ194" i="16"/>
  <c r="AI194" i="16"/>
  <c r="AH194" i="16"/>
  <c r="AG194" i="16"/>
  <c r="AF194" i="16"/>
  <c r="J98" i="68"/>
  <c r="H98" i="68"/>
  <c r="G98" i="68"/>
  <c r="H86" i="68"/>
  <c r="G86" i="68"/>
  <c r="I42" i="68"/>
  <c r="G22" i="68"/>
  <c r="G23" i="68"/>
  <c r="H22" i="68"/>
  <c r="BL108" i="29"/>
  <c r="BL107" i="29"/>
  <c r="BL105" i="29"/>
  <c r="D104" i="29"/>
  <c r="BJ103" i="29"/>
  <c r="AR103" i="29"/>
  <c r="Q103" i="29"/>
  <c r="D103" i="29"/>
  <c r="D102" i="29"/>
  <c r="DH101" i="29"/>
  <c r="DH100" i="29"/>
  <c r="D99" i="29"/>
  <c r="D98" i="29"/>
  <c r="DH97" i="29"/>
  <c r="D96" i="29"/>
  <c r="DH95" i="29"/>
  <c r="DH94" i="29"/>
  <c r="BL94" i="29"/>
  <c r="D93" i="29"/>
  <c r="D92" i="29"/>
  <c r="D91" i="29"/>
  <c r="BL90" i="29"/>
  <c r="D89" i="29"/>
  <c r="BL87" i="29"/>
  <c r="BL86" i="29"/>
  <c r="BL85" i="29"/>
  <c r="BF83" i="29"/>
  <c r="BL83" i="29"/>
  <c r="D82" i="29"/>
  <c r="D81" i="29"/>
  <c r="DH80" i="29"/>
  <c r="BL80" i="29"/>
  <c r="D79" i="29"/>
  <c r="DH78" i="29"/>
  <c r="BL78" i="29"/>
  <c r="DH77" i="29"/>
  <c r="BL77" i="29"/>
  <c r="D76" i="29"/>
  <c r="D75" i="29"/>
  <c r="DH74" i="29"/>
  <c r="BJ74" i="29"/>
  <c r="BL74" i="29"/>
  <c r="DH73" i="29"/>
  <c r="D72" i="29"/>
  <c r="D71" i="29"/>
  <c r="DH70" i="29"/>
  <c r="BJ70" i="29"/>
  <c r="BL70" i="29"/>
  <c r="DH69" i="29"/>
  <c r="BL69" i="29"/>
  <c r="D68" i="29"/>
  <c r="D67" i="29"/>
  <c r="D66" i="29"/>
  <c r="D65" i="29"/>
  <c r="DH64" i="29"/>
  <c r="D63" i="29"/>
  <c r="D62" i="29"/>
  <c r="D61" i="29"/>
  <c r="D60" i="29"/>
  <c r="D59" i="29"/>
  <c r="D58" i="29"/>
  <c r="D57" i="29"/>
  <c r="DH56" i="29"/>
  <c r="BL56" i="29"/>
  <c r="D55" i="29"/>
  <c r="D54" i="29"/>
  <c r="D53" i="29"/>
  <c r="DH52" i="29"/>
  <c r="BL52" i="29"/>
  <c r="D51" i="29"/>
  <c r="D50" i="29"/>
  <c r="D49" i="29"/>
  <c r="D48" i="29"/>
  <c r="DH47" i="29"/>
  <c r="BL47" i="29"/>
  <c r="D46" i="29"/>
  <c r="D45" i="29"/>
  <c r="DH44" i="29"/>
  <c r="BL44" i="29"/>
  <c r="BL43" i="29"/>
  <c r="BL42" i="29"/>
  <c r="BL41" i="29"/>
  <c r="BF39" i="29"/>
  <c r="BL39" i="29"/>
  <c r="D38" i="29"/>
  <c r="D37" i="29"/>
  <c r="DH36" i="29"/>
  <c r="BL36" i="29"/>
  <c r="D35" i="29"/>
  <c r="D34" i="29"/>
  <c r="DH33" i="29"/>
  <c r="BL33" i="29"/>
  <c r="D32" i="29"/>
  <c r="D30" i="29"/>
  <c r="D29" i="29"/>
  <c r="D27" i="29"/>
  <c r="D26" i="29"/>
  <c r="D25" i="29"/>
  <c r="D24" i="29"/>
  <c r="DH23" i="29"/>
  <c r="BL23" i="29"/>
  <c r="D22" i="29"/>
  <c r="D21" i="29"/>
  <c r="DH20" i="29"/>
  <c r="BL20" i="29"/>
  <c r="D19" i="29"/>
  <c r="D18" i="29"/>
  <c r="D17" i="29"/>
  <c r="DH16" i="29"/>
  <c r="BL16" i="29"/>
  <c r="D15" i="29"/>
  <c r="D13" i="29"/>
  <c r="D12" i="29"/>
  <c r="D10" i="29"/>
  <c r="D9" i="29"/>
  <c r="DC4" i="29"/>
  <c r="CY4" i="29"/>
  <c r="CU4" i="29"/>
  <c r="CQ4" i="29"/>
  <c r="CM4" i="29"/>
  <c r="CI4" i="29"/>
  <c r="CE4" i="29"/>
  <c r="CA4" i="29"/>
  <c r="BW4" i="29"/>
  <c r="BS4" i="29"/>
  <c r="BO4" i="29"/>
  <c r="BL4" i="29"/>
  <c r="BI4" i="29"/>
  <c r="BH4" i="29"/>
  <c r="BE4" i="29"/>
  <c r="BD4" i="29"/>
  <c r="BC4" i="29"/>
  <c r="BB4" i="29"/>
  <c r="BA4" i="29"/>
  <c r="AZ4" i="29"/>
  <c r="AY4" i="29"/>
  <c r="AX4" i="29"/>
  <c r="AW4" i="29"/>
  <c r="AV4" i="29"/>
  <c r="AU4" i="29"/>
  <c r="AT4" i="29"/>
  <c r="AS4" i="29"/>
  <c r="AR4" i="29"/>
  <c r="AQ4" i="29"/>
  <c r="AP4" i="29"/>
  <c r="AO4" i="29"/>
  <c r="AN4" i="29"/>
  <c r="AM4" i="29"/>
  <c r="AJ4" i="29"/>
  <c r="AI4" i="29"/>
  <c r="AH4" i="29"/>
  <c r="AG4" i="29"/>
  <c r="AF4" i="29"/>
  <c r="AE4" i="29"/>
  <c r="AD4" i="29"/>
  <c r="AC4" i="29"/>
  <c r="AB4" i="29"/>
  <c r="AA4" i="29"/>
  <c r="Z4" i="29"/>
  <c r="Y4" i="29"/>
  <c r="X4" i="29"/>
  <c r="W4" i="29"/>
  <c r="V4" i="29"/>
  <c r="U4" i="29"/>
  <c r="T4" i="29"/>
  <c r="S4" i="29"/>
  <c r="P4" i="29"/>
  <c r="O4" i="29"/>
  <c r="N4" i="29"/>
  <c r="M4" i="29"/>
  <c r="L4" i="29"/>
  <c r="K4" i="29"/>
  <c r="J4" i="29"/>
  <c r="I4" i="29"/>
  <c r="H4" i="29"/>
  <c r="G4" i="29"/>
  <c r="E3" i="29"/>
  <c r="D117" i="84"/>
  <c r="D116" i="84"/>
  <c r="E116" i="84"/>
  <c r="E106" i="84"/>
  <c r="E105" i="84"/>
  <c r="E104" i="84"/>
  <c r="D95" i="84"/>
  <c r="D94" i="84"/>
  <c r="O91" i="84"/>
  <c r="E68" i="84"/>
  <c r="C68" i="84"/>
  <c r="B2" i="84"/>
  <c r="B1" i="84"/>
  <c r="D128" i="42"/>
  <c r="D127" i="42"/>
  <c r="E127" i="42"/>
  <c r="E117" i="42"/>
  <c r="E116" i="42"/>
  <c r="E115" i="42"/>
  <c r="D106" i="42"/>
  <c r="D105" i="42"/>
  <c r="O102" i="42"/>
  <c r="E80" i="42"/>
  <c r="F25" i="42"/>
  <c r="B2" i="42"/>
  <c r="B1" i="42"/>
  <c r="D423" i="41"/>
  <c r="O422" i="41"/>
  <c r="N422" i="41"/>
  <c r="M422" i="41"/>
  <c r="L422" i="41"/>
  <c r="K422" i="41"/>
  <c r="J422" i="41"/>
  <c r="I422" i="41"/>
  <c r="H422" i="41"/>
  <c r="G422" i="41"/>
  <c r="F422" i="41"/>
  <c r="D422" i="41"/>
  <c r="E422" i="41"/>
  <c r="D421" i="41"/>
  <c r="E421" i="41"/>
  <c r="E411" i="41"/>
  <c r="E410" i="41"/>
  <c r="E409" i="41"/>
  <c r="E403" i="41"/>
  <c r="E402" i="41"/>
  <c r="E401" i="41"/>
  <c r="E395" i="41"/>
  <c r="E394" i="41"/>
  <c r="E393" i="41"/>
  <c r="E387" i="41"/>
  <c r="E386" i="41"/>
  <c r="E385" i="41"/>
  <c r="D375" i="41"/>
  <c r="D374" i="41"/>
  <c r="O371" i="41"/>
  <c r="D368" i="41"/>
  <c r="D367" i="41"/>
  <c r="D366" i="41"/>
  <c r="O363" i="41"/>
  <c r="D360" i="41"/>
  <c r="D359" i="41"/>
  <c r="D358" i="41"/>
  <c r="O355" i="41"/>
  <c r="D352" i="41"/>
  <c r="D351" i="41"/>
  <c r="D350" i="41"/>
  <c r="D349" i="41"/>
  <c r="D348" i="41"/>
  <c r="O345" i="41"/>
  <c r="E231" i="41"/>
  <c r="E228" i="41"/>
  <c r="E227" i="41"/>
  <c r="E223" i="41"/>
  <c r="E222" i="41"/>
  <c r="E218" i="41"/>
  <c r="E216" i="41"/>
  <c r="E215" i="41"/>
  <c r="D102" i="41"/>
  <c r="D101" i="41"/>
  <c r="O98" i="41"/>
  <c r="G98" i="41"/>
  <c r="O77" i="41"/>
  <c r="O69" i="41"/>
  <c r="O61" i="41"/>
  <c r="F51" i="41"/>
  <c r="F49" i="41"/>
  <c r="F48" i="41"/>
  <c r="O21" i="41"/>
  <c r="F19" i="41"/>
  <c r="F17" i="41"/>
  <c r="F16" i="41"/>
  <c r="B2" i="41"/>
  <c r="B1" i="41"/>
  <c r="U664" i="40" a="1"/>
  <c r="U664" i="40"/>
  <c r="O345" i="40"/>
  <c r="O337" i="40"/>
  <c r="O327" i="40"/>
  <c r="F270" i="40"/>
  <c r="F472" i="40"/>
  <c r="O170" i="40"/>
  <c r="O164" i="40"/>
  <c r="O156" i="40"/>
  <c r="O146" i="40"/>
  <c r="O115" i="40"/>
  <c r="N115" i="40"/>
  <c r="M115" i="40"/>
  <c r="L115" i="40"/>
  <c r="K115" i="40"/>
  <c r="J115" i="40"/>
  <c r="I115" i="40"/>
  <c r="H115" i="40"/>
  <c r="G115" i="40"/>
  <c r="O113" i="40"/>
  <c r="N113" i="40"/>
  <c r="M113" i="40"/>
  <c r="L113" i="40"/>
  <c r="K113" i="40"/>
  <c r="J113" i="40"/>
  <c r="I113" i="40"/>
  <c r="H113" i="40"/>
  <c r="G113" i="40"/>
  <c r="F113" i="40"/>
  <c r="O99" i="40"/>
  <c r="N99" i="40"/>
  <c r="M99" i="40"/>
  <c r="L99" i="40"/>
  <c r="K99" i="40"/>
  <c r="J99" i="40"/>
  <c r="I99" i="40"/>
  <c r="H99" i="40"/>
  <c r="G99" i="40"/>
  <c r="O97" i="40"/>
  <c r="N97" i="40"/>
  <c r="M97" i="40"/>
  <c r="L97" i="40"/>
  <c r="K97" i="40"/>
  <c r="J97" i="40"/>
  <c r="I97" i="40"/>
  <c r="H97" i="40"/>
  <c r="G97" i="40"/>
  <c r="F97" i="40"/>
  <c r="O67" i="40"/>
  <c r="N67" i="40"/>
  <c r="M67" i="40"/>
  <c r="L67" i="40"/>
  <c r="K67" i="40"/>
  <c r="J67" i="40"/>
  <c r="I67" i="40"/>
  <c r="H67" i="40"/>
  <c r="G67" i="40"/>
  <c r="O65" i="40"/>
  <c r="N65" i="40"/>
  <c r="M65" i="40"/>
  <c r="L65" i="40"/>
  <c r="K65" i="40"/>
  <c r="J65" i="40"/>
  <c r="I65" i="40"/>
  <c r="H65" i="40"/>
  <c r="G65" i="40"/>
  <c r="F65" i="40"/>
  <c r="F48" i="40"/>
  <c r="F316" i="40" a="1"/>
  <c r="G46" i="40"/>
  <c r="J45" i="40"/>
  <c r="H45" i="40"/>
  <c r="G45" i="40"/>
  <c r="J32" i="40"/>
  <c r="I32" i="40"/>
  <c r="H32" i="40"/>
  <c r="G32" i="40"/>
  <c r="F32" i="40"/>
  <c r="B2" i="40"/>
  <c r="B1" i="40"/>
  <c r="C35" i="12"/>
  <c r="C20" i="12"/>
  <c r="C13" i="12"/>
  <c r="C7" i="12"/>
  <c r="H4" i="12"/>
  <c r="D17" i="59"/>
  <c r="D16" i="59"/>
  <c r="D15" i="59"/>
  <c r="D14" i="59"/>
  <c r="D12" i="59"/>
  <c r="D11" i="59"/>
  <c r="D10" i="59"/>
  <c r="D9" i="59"/>
  <c r="D8" i="59"/>
  <c r="D7" i="59"/>
  <c r="D4" i="59"/>
  <c r="BF10" i="60"/>
  <c r="BC10" i="60"/>
  <c r="BF9" i="60"/>
  <c r="BC9" i="60"/>
  <c r="AR46" i="60"/>
  <c r="AR45" i="60"/>
  <c r="AR44" i="60"/>
  <c r="AR42" i="60"/>
  <c r="AR41" i="60"/>
  <c r="AR40" i="60"/>
  <c r="AR39" i="60"/>
  <c r="AR38" i="60"/>
  <c r="AR37" i="60"/>
  <c r="AR36" i="60"/>
  <c r="BD26" i="60"/>
  <c r="BD24" i="60"/>
  <c r="BD23" i="60"/>
  <c r="BD22" i="60"/>
  <c r="BG21" i="60"/>
  <c r="G221" i="41"/>
  <c r="M226" i="41"/>
  <c r="H221" i="41"/>
  <c r="N226" i="41"/>
  <c r="F11" i="6"/>
  <c r="F9" i="6"/>
  <c r="M101" i="41"/>
  <c r="N45" i="84"/>
  <c r="L45" i="84"/>
  <c r="J45" i="84"/>
  <c r="H45" i="84"/>
  <c r="N40" i="84"/>
  <c r="L40" i="84"/>
  <c r="J40" i="84"/>
  <c r="H40" i="84"/>
  <c r="O35" i="84"/>
  <c r="M35" i="84"/>
  <c r="K35" i="84"/>
  <c r="I35" i="84"/>
  <c r="G35" i="84"/>
  <c r="F35" i="84"/>
  <c r="O30" i="84"/>
  <c r="M30" i="84"/>
  <c r="K30" i="84"/>
  <c r="I30" i="84"/>
  <c r="G30" i="84"/>
  <c r="F30" i="84"/>
  <c r="O45" i="84"/>
  <c r="K45" i="84"/>
  <c r="G45" i="84"/>
  <c r="F45" i="84"/>
  <c r="O40" i="84"/>
  <c r="K40" i="84"/>
  <c r="G40" i="84"/>
  <c r="F40" i="84"/>
  <c r="N35" i="84"/>
  <c r="J35" i="84"/>
  <c r="L30" i="84"/>
  <c r="H30" i="84"/>
  <c r="F233" i="40"/>
  <c r="F231" i="40"/>
  <c r="F229" i="40"/>
  <c r="F227" i="40"/>
  <c r="F225" i="40"/>
  <c r="M45" i="84"/>
  <c r="I45" i="84"/>
  <c r="M40" i="84"/>
  <c r="I40" i="84"/>
  <c r="L35" i="84"/>
  <c r="H35" i="84"/>
  <c r="N30" i="84"/>
  <c r="J30" i="84"/>
  <c r="F137" i="41"/>
  <c r="F135" i="41"/>
  <c r="F232" i="40"/>
  <c r="F230" i="40"/>
  <c r="F228" i="40"/>
  <c r="F226" i="40"/>
  <c r="F224" i="40"/>
  <c r="F217" i="40"/>
  <c r="F215" i="40"/>
  <c r="F213" i="40"/>
  <c r="F211" i="40"/>
  <c r="F209" i="40"/>
  <c r="F202" i="40"/>
  <c r="F200" i="40"/>
  <c r="F198" i="40"/>
  <c r="F196" i="40"/>
  <c r="F194" i="40"/>
  <c r="F223" i="40"/>
  <c r="F218" i="40"/>
  <c r="F216" i="40"/>
  <c r="F214" i="40"/>
  <c r="F212" i="40"/>
  <c r="F210" i="40"/>
  <c r="F208" i="40"/>
  <c r="F203" i="40"/>
  <c r="F201" i="40"/>
  <c r="F199" i="40"/>
  <c r="F197" i="40"/>
  <c r="F195" i="40"/>
  <c r="F193" i="40"/>
  <c r="E53" i="6"/>
  <c r="F129" i="41"/>
  <c r="F128" i="41"/>
  <c r="F127" i="41"/>
  <c r="F126" i="41"/>
  <c r="F125" i="41"/>
  <c r="F120" i="41"/>
  <c r="F119" i="41"/>
  <c r="F118" i="41"/>
  <c r="F117" i="41"/>
  <c r="F116" i="41"/>
  <c r="F23" i="6"/>
  <c r="F22" i="6"/>
  <c r="F50" i="6"/>
  <c r="E21" i="6"/>
  <c r="F21" i="6"/>
  <c r="G214" i="41"/>
  <c r="H226" i="41"/>
  <c r="J221" i="41"/>
  <c r="J214" i="41"/>
  <c r="K226" i="41"/>
  <c r="M221" i="41"/>
  <c r="O214" i="41"/>
  <c r="F17" i="6"/>
  <c r="F53" i="6"/>
  <c r="F51" i="6"/>
  <c r="I101" i="41"/>
  <c r="F276" i="40"/>
  <c r="M102" i="41"/>
  <c r="F34" i="6"/>
  <c r="E60" i="6"/>
  <c r="F16" i="6"/>
  <c r="F11" i="12"/>
  <c r="F173" i="40"/>
  <c r="G173" i="40"/>
  <c r="H173" i="40"/>
  <c r="I173" i="40"/>
  <c r="J173" i="40"/>
  <c r="K173" i="40"/>
  <c r="L173" i="40"/>
  <c r="M173" i="40"/>
  <c r="N173" i="40"/>
  <c r="O173" i="40"/>
  <c r="D86" i="12"/>
  <c r="G86" i="12"/>
  <c r="G21" i="13"/>
  <c r="O101" i="41"/>
  <c r="G101" i="41"/>
  <c r="G102" i="41"/>
  <c r="C24" i="12"/>
  <c r="C25" i="12"/>
  <c r="C23" i="12"/>
  <c r="K101" i="41"/>
  <c r="C26" i="12"/>
  <c r="C22" i="12"/>
  <c r="C21" i="12"/>
  <c r="F136" i="41"/>
  <c r="F134" i="41"/>
  <c r="F138" i="41"/>
  <c r="F6" i="35"/>
  <c r="G6" i="35"/>
  <c r="F7" i="35"/>
  <c r="G7" i="35"/>
  <c r="L27" i="41"/>
  <c r="H27" i="41"/>
  <c r="L25" i="41"/>
  <c r="H25" i="41"/>
  <c r="N24" i="41"/>
  <c r="J24" i="41"/>
  <c r="F24" i="41"/>
  <c r="L162" i="40"/>
  <c r="H162" i="40"/>
  <c r="F153" i="40"/>
  <c r="O27" i="41"/>
  <c r="K27" i="41"/>
  <c r="G27" i="41"/>
  <c r="O25" i="41"/>
  <c r="K25" i="41"/>
  <c r="G25" i="41"/>
  <c r="M24" i="41"/>
  <c r="I24" i="41"/>
  <c r="O162" i="40"/>
  <c r="K162" i="40"/>
  <c r="G162" i="40"/>
  <c r="N27" i="41"/>
  <c r="J27" i="41"/>
  <c r="F27" i="41"/>
  <c r="N25" i="41"/>
  <c r="J25" i="41"/>
  <c r="F25" i="41"/>
  <c r="F218" i="41"/>
  <c r="L24" i="41"/>
  <c r="H24" i="41"/>
  <c r="N162" i="40"/>
  <c r="J162" i="40"/>
  <c r="F162" i="40"/>
  <c r="F149" i="40"/>
  <c r="M27" i="41"/>
  <c r="I27" i="41"/>
  <c r="M25" i="41"/>
  <c r="I25" i="41"/>
  <c r="O24" i="41"/>
  <c r="K24" i="41"/>
  <c r="G24" i="41"/>
  <c r="M162" i="40"/>
  <c r="I162" i="40"/>
  <c r="F151" i="40"/>
  <c r="E24" i="6"/>
  <c r="J101" i="41"/>
  <c r="J102" i="41"/>
  <c r="I102" i="41"/>
  <c r="H101" i="41"/>
  <c r="H102" i="41"/>
  <c r="F154" i="40"/>
  <c r="N154" i="40"/>
  <c r="C11" i="12"/>
  <c r="C9" i="12"/>
  <c r="C16" i="12"/>
  <c r="C14" i="12"/>
  <c r="C10" i="12"/>
  <c r="C15" i="12"/>
  <c r="O67" i="41"/>
  <c r="K67" i="41"/>
  <c r="G67" i="41"/>
  <c r="M66" i="41"/>
  <c r="I66" i="41"/>
  <c r="O65" i="41"/>
  <c r="K65" i="41"/>
  <c r="G65" i="41"/>
  <c r="M64" i="41"/>
  <c r="I64" i="41"/>
  <c r="N167" i="40"/>
  <c r="J167" i="40"/>
  <c r="O160" i="40"/>
  <c r="K160" i="40"/>
  <c r="G160" i="40"/>
  <c r="L159" i="40"/>
  <c r="H159" i="40"/>
  <c r="M151" i="40"/>
  <c r="I151" i="40"/>
  <c r="O150" i="40"/>
  <c r="K150" i="40"/>
  <c r="G150" i="40"/>
  <c r="L149" i="40"/>
  <c r="H149" i="40"/>
  <c r="M167" i="40"/>
  <c r="I167" i="40"/>
  <c r="O161" i="40"/>
  <c r="K161" i="40"/>
  <c r="G161" i="40"/>
  <c r="L160" i="40"/>
  <c r="H160" i="40"/>
  <c r="M159" i="40"/>
  <c r="I159" i="40"/>
  <c r="O152" i="40"/>
  <c r="K152" i="40"/>
  <c r="G152" i="40"/>
  <c r="L150" i="40"/>
  <c r="H150" i="40"/>
  <c r="M149" i="40"/>
  <c r="I149" i="40"/>
  <c r="M67" i="41"/>
  <c r="I67" i="41"/>
  <c r="O66" i="41"/>
  <c r="K66" i="41"/>
  <c r="L66" i="41"/>
  <c r="G66" i="41"/>
  <c r="H66" i="41"/>
  <c r="M65" i="41"/>
  <c r="N65" i="41"/>
  <c r="I65" i="41"/>
  <c r="J65" i="41"/>
  <c r="O64" i="41"/>
  <c r="K64" i="41"/>
  <c r="G64" i="41"/>
  <c r="L167" i="40"/>
  <c r="H167" i="40"/>
  <c r="M160" i="40"/>
  <c r="I160" i="40"/>
  <c r="N159" i="40"/>
  <c r="J159" i="40"/>
  <c r="O151" i="40"/>
  <c r="K151" i="40"/>
  <c r="J151" i="40"/>
  <c r="G151" i="40"/>
  <c r="M150" i="40"/>
  <c r="I150" i="40"/>
  <c r="N149" i="40"/>
  <c r="J149" i="40"/>
  <c r="K167" i="40"/>
  <c r="G167" i="40"/>
  <c r="M161" i="40"/>
  <c r="I161" i="40"/>
  <c r="N160" i="40"/>
  <c r="J160" i="40"/>
  <c r="O159" i="40"/>
  <c r="K159" i="40"/>
  <c r="G159" i="40"/>
  <c r="M152" i="40"/>
  <c r="I152" i="40"/>
  <c r="J152" i="40"/>
  <c r="N150" i="40"/>
  <c r="J150" i="40"/>
  <c r="O149" i="40"/>
  <c r="K149" i="40"/>
  <c r="G149" i="40"/>
  <c r="O102" i="41"/>
  <c r="N101" i="41"/>
  <c r="N102" i="41"/>
  <c r="K102" i="41"/>
  <c r="L101" i="41"/>
  <c r="L102" i="41"/>
  <c r="O222" i="41"/>
  <c r="N218" i="41"/>
  <c r="N367" i="41"/>
  <c r="I218" i="41"/>
  <c r="I367" i="41"/>
  <c r="G218" i="41"/>
  <c r="G367" i="41"/>
  <c r="H218" i="41"/>
  <c r="H367" i="41"/>
  <c r="N161" i="40"/>
  <c r="H151" i="40"/>
  <c r="L64" i="41"/>
  <c r="M72" i="41"/>
  <c r="M73" i="41"/>
  <c r="M74" i="41"/>
  <c r="M75" i="41"/>
  <c r="N67" i="41"/>
  <c r="N74" i="41"/>
  <c r="L152" i="40"/>
  <c r="H161" i="40"/>
  <c r="N64" i="41"/>
  <c r="G72" i="41"/>
  <c r="G73" i="41"/>
  <c r="G74" i="41"/>
  <c r="G75" i="41"/>
  <c r="H67" i="41"/>
  <c r="H222" i="41"/>
  <c r="O72" i="41"/>
  <c r="O73" i="41"/>
  <c r="O74" i="41"/>
  <c r="O75" i="41"/>
  <c r="J154" i="40"/>
  <c r="K154" i="40"/>
  <c r="L154" i="40"/>
  <c r="M154" i="40"/>
  <c r="L65" i="41"/>
  <c r="J66" i="41"/>
  <c r="J161" i="40"/>
  <c r="G222" i="41"/>
  <c r="H64" i="41"/>
  <c r="I74" i="41"/>
  <c r="I75" i="41"/>
  <c r="I227" i="41"/>
  <c r="J67" i="41"/>
  <c r="J75" i="41"/>
  <c r="J227" i="41"/>
  <c r="I72" i="41"/>
  <c r="I73" i="41"/>
  <c r="L161" i="40"/>
  <c r="J64" i="41"/>
  <c r="K74" i="41"/>
  <c r="K75" i="41"/>
  <c r="L67" i="41"/>
  <c r="L72" i="41"/>
  <c r="K72" i="41"/>
  <c r="K73" i="41"/>
  <c r="H65" i="41"/>
  <c r="N66" i="41"/>
  <c r="K227" i="41"/>
  <c r="O227" i="41"/>
  <c r="J74" i="41"/>
  <c r="J73" i="41"/>
  <c r="J72" i="41"/>
  <c r="N75" i="41"/>
  <c r="N73" i="41"/>
  <c r="L73" i="41"/>
  <c r="H72" i="41"/>
  <c r="H74" i="41"/>
  <c r="M246" i="41"/>
  <c r="M255" i="41"/>
  <c r="F8" i="35"/>
  <c r="G8" i="35"/>
  <c r="E9" i="35"/>
  <c r="N227" i="41"/>
  <c r="M227" i="41"/>
  <c r="L222" i="41"/>
  <c r="G227" i="41"/>
  <c r="N222" i="41"/>
  <c r="J222" i="41"/>
  <c r="J223" i="41"/>
  <c r="I222" i="41"/>
  <c r="M222" i="41"/>
  <c r="M223" i="41"/>
  <c r="K222" i="41"/>
  <c r="K218" i="41"/>
  <c r="K367" i="41"/>
  <c r="L218" i="41"/>
  <c r="L367" i="41"/>
  <c r="O218" i="41"/>
  <c r="O367" i="41"/>
  <c r="J218" i="41"/>
  <c r="M218" i="41"/>
  <c r="F221" i="41"/>
  <c r="K214" i="41"/>
  <c r="I221" i="41"/>
  <c r="G226" i="41"/>
  <c r="O226" i="41"/>
  <c r="N214" i="41"/>
  <c r="N221" i="41"/>
  <c r="L226" i="41"/>
  <c r="F226" i="41"/>
  <c r="H214" i="41"/>
  <c r="O221" i="41"/>
  <c r="O223" i="41"/>
  <c r="I214" i="41"/>
  <c r="O246" i="41"/>
  <c r="O255" i="41"/>
  <c r="N247" i="41"/>
  <c r="N256" i="41"/>
  <c r="F80" i="41"/>
  <c r="I5" i="9"/>
  <c r="O26" i="41"/>
  <c r="N26" i="41"/>
  <c r="M26" i="41"/>
  <c r="K26" i="41"/>
  <c r="I26" i="41"/>
  <c r="F26" i="41"/>
  <c r="F9" i="12"/>
  <c r="F8" i="12"/>
  <c r="K4" i="6"/>
  <c r="E35" i="6"/>
  <c r="F35" i="6"/>
  <c r="E58" i="6"/>
  <c r="E72" i="6"/>
  <c r="E75" i="6"/>
  <c r="E74" i="6"/>
  <c r="E76" i="6"/>
  <c r="O407" i="40"/>
  <c r="G407" i="40"/>
  <c r="H152" i="40"/>
  <c r="N152" i="40"/>
  <c r="N151" i="40"/>
  <c r="L141" i="40"/>
  <c r="H141" i="40"/>
  <c r="AB37" i="42"/>
  <c r="O65" i="42"/>
  <c r="X37" i="42"/>
  <c r="K65" i="42"/>
  <c r="T37" i="42"/>
  <c r="G65" i="42"/>
  <c r="Z37" i="42"/>
  <c r="M65" i="42"/>
  <c r="V37" i="42"/>
  <c r="I65" i="42"/>
  <c r="W37" i="42"/>
  <c r="J65" i="42"/>
  <c r="U37" i="42"/>
  <c r="H65" i="42"/>
  <c r="Y37" i="42"/>
  <c r="L65" i="42"/>
  <c r="S37" i="42"/>
  <c r="F65" i="42"/>
  <c r="AA37" i="42"/>
  <c r="N65" i="42"/>
  <c r="AA32" i="84"/>
  <c r="N54" i="84"/>
  <c r="Y32" i="84"/>
  <c r="L54" i="84"/>
  <c r="W32" i="84"/>
  <c r="J54" i="84"/>
  <c r="U32" i="84"/>
  <c r="H54" i="84"/>
  <c r="S32" i="84"/>
  <c r="F54" i="84"/>
  <c r="AB32" i="84"/>
  <c r="O54" i="84"/>
  <c r="Z32" i="84"/>
  <c r="M54" i="84"/>
  <c r="X32" i="84"/>
  <c r="K54" i="84"/>
  <c r="V32" i="84"/>
  <c r="I54" i="84"/>
  <c r="T32" i="84"/>
  <c r="G54" i="84"/>
  <c r="N228" i="41"/>
  <c r="N444" i="41"/>
  <c r="K228" i="41"/>
  <c r="K351" i="41"/>
  <c r="L151" i="40"/>
  <c r="I154" i="40"/>
  <c r="H154" i="40"/>
  <c r="G154" i="40"/>
  <c r="O154" i="40"/>
  <c r="O270" i="40"/>
  <c r="O472" i="40"/>
  <c r="M141" i="40"/>
  <c r="K141" i="40"/>
  <c r="I141" i="40"/>
  <c r="M228" i="41"/>
  <c r="M444" i="41"/>
  <c r="G228" i="41"/>
  <c r="G359" i="41"/>
  <c r="G442" i="41"/>
  <c r="G223" i="41"/>
  <c r="G443" i="41"/>
  <c r="J226" i="41"/>
  <c r="L221" i="41"/>
  <c r="L223" i="41"/>
  <c r="L214" i="41"/>
  <c r="F227" i="41"/>
  <c r="I226" i="41"/>
  <c r="K221" i="41"/>
  <c r="K223" i="41"/>
  <c r="K360" i="41"/>
  <c r="F214" i="41"/>
  <c r="I228" i="41"/>
  <c r="N467" i="40"/>
  <c r="N469" i="40"/>
  <c r="K467" i="40"/>
  <c r="K469" i="40"/>
  <c r="I442" i="41"/>
  <c r="K442" i="41"/>
  <c r="O391" i="40"/>
  <c r="N223" i="41"/>
  <c r="D84" i="12"/>
  <c r="O467" i="40"/>
  <c r="O469" i="40"/>
  <c r="M467" i="40"/>
  <c r="M469" i="40"/>
  <c r="I467" i="40"/>
  <c r="I469" i="40"/>
  <c r="L467" i="40"/>
  <c r="L469" i="40"/>
  <c r="J467" i="40"/>
  <c r="J469" i="40"/>
  <c r="H467" i="40"/>
  <c r="H469" i="40"/>
  <c r="G376" i="40"/>
  <c r="O418" i="40"/>
  <c r="F376" i="40"/>
  <c r="O190" i="41"/>
  <c r="F316" i="40"/>
  <c r="F330" i="40"/>
  <c r="F319" i="40"/>
  <c r="F335" i="40"/>
  <c r="F317" i="40"/>
  <c r="F332" i="40"/>
  <c r="F318" i="40"/>
  <c r="N142" i="40"/>
  <c r="M142" i="40"/>
  <c r="L142" i="40"/>
  <c r="K142" i="40"/>
  <c r="J142" i="40"/>
  <c r="I142" i="40"/>
  <c r="H142" i="40"/>
  <c r="G48" i="40"/>
  <c r="H48" i="40"/>
  <c r="I48" i="40"/>
  <c r="J48" i="40"/>
  <c r="O316" i="40" a="1"/>
  <c r="F283" i="40" a="1"/>
  <c r="I288" i="40"/>
  <c r="I304" i="40"/>
  <c r="F367" i="41"/>
  <c r="F442" i="41"/>
  <c r="F246" i="41"/>
  <c r="F255" i="41"/>
  <c r="O247" i="41"/>
  <c r="O256" i="41"/>
  <c r="O317" i="41"/>
  <c r="N246" i="41"/>
  <c r="N255" i="41"/>
  <c r="M247" i="41"/>
  <c r="M256" i="41"/>
  <c r="O360" i="40"/>
  <c r="F360" i="40"/>
  <c r="O358" i="40"/>
  <c r="F358" i="40"/>
  <c r="O388" i="40"/>
  <c r="G360" i="40"/>
  <c r="G358" i="40"/>
  <c r="G181" i="41"/>
  <c r="G183" i="41"/>
  <c r="O181" i="41"/>
  <c r="E181" i="41"/>
  <c r="O183" i="41"/>
  <c r="E183" i="41"/>
  <c r="O368" i="40"/>
  <c r="G413" i="40"/>
  <c r="G412" i="40"/>
  <c r="O412" i="40"/>
  <c r="O402" i="40"/>
  <c r="G410" i="40"/>
  <c r="O410" i="40"/>
  <c r="G364" i="40"/>
  <c r="G405" i="40"/>
  <c r="O405" i="40"/>
  <c r="O363" i="40"/>
  <c r="G408" i="40"/>
  <c r="O408" i="40"/>
  <c r="G362" i="40"/>
  <c r="O362" i="40"/>
  <c r="G180" i="41"/>
  <c r="G182" i="41"/>
  <c r="O180" i="41"/>
  <c r="E180" i="41"/>
  <c r="O182" i="41"/>
  <c r="G368" i="40"/>
  <c r="O413" i="40"/>
  <c r="G411" i="40"/>
  <c r="O411" i="40"/>
  <c r="G365" i="40"/>
  <c r="G361" i="40"/>
  <c r="O361" i="40"/>
  <c r="G406" i="40"/>
  <c r="O406" i="40"/>
  <c r="O364" i="40"/>
  <c r="G409" i="40"/>
  <c r="O409" i="40"/>
  <c r="G363" i="40"/>
  <c r="G404" i="40"/>
  <c r="O404" i="40"/>
  <c r="M359" i="41"/>
  <c r="G246" i="41"/>
  <c r="G255" i="41"/>
  <c r="O272" i="40"/>
  <c r="O273" i="40"/>
  <c r="O271" i="40"/>
  <c r="G271" i="40"/>
  <c r="O274" i="40"/>
  <c r="F467" i="40"/>
  <c r="F469" i="40"/>
  <c r="G467" i="40"/>
  <c r="G469" i="40"/>
  <c r="I351" i="41"/>
  <c r="K294" i="40"/>
  <c r="K310" i="40"/>
  <c r="G292" i="40"/>
  <c r="G308" i="40"/>
  <c r="J292" i="40"/>
  <c r="J308" i="40"/>
  <c r="N292" i="40"/>
  <c r="N308" i="40"/>
  <c r="O283" i="40"/>
  <c r="O299" i="40"/>
  <c r="F287" i="40"/>
  <c r="I287" i="40"/>
  <c r="K287" i="40"/>
  <c r="M287" i="40"/>
  <c r="O286" i="40"/>
  <c r="I285" i="40"/>
  <c r="I301" i="40"/>
  <c r="M285" i="40"/>
  <c r="M301" i="40"/>
  <c r="O294" i="40"/>
  <c r="O310" i="40"/>
  <c r="I293" i="40"/>
  <c r="I309" i="40"/>
  <c r="M293" i="40"/>
  <c r="M309" i="40"/>
  <c r="I283" i="40"/>
  <c r="I299" i="40"/>
  <c r="M283" i="40"/>
  <c r="M299" i="40"/>
  <c r="G286" i="40"/>
  <c r="I291" i="40"/>
  <c r="K291" i="40"/>
  <c r="M291" i="40"/>
  <c r="O290" i="40"/>
  <c r="H289" i="40"/>
  <c r="H305" i="40"/>
  <c r="L289" i="40"/>
  <c r="L305" i="40"/>
  <c r="O285" i="40"/>
  <c r="O301" i="40"/>
  <c r="L247" i="41"/>
  <c r="L256" i="41"/>
  <c r="L246" i="41"/>
  <c r="L255" i="41"/>
  <c r="K247" i="41"/>
  <c r="K256" i="41"/>
  <c r="G190" i="41"/>
  <c r="E190" i="41"/>
  <c r="H190" i="41"/>
  <c r="I190" i="41"/>
  <c r="J190" i="41"/>
  <c r="K190" i="41"/>
  <c r="K246" i="41"/>
  <c r="K255" i="41"/>
  <c r="J247" i="41"/>
  <c r="J256" i="41"/>
  <c r="J246" i="41"/>
  <c r="J255" i="41"/>
  <c r="I247" i="41"/>
  <c r="I256" i="41"/>
  <c r="I246" i="41"/>
  <c r="I255" i="41"/>
  <c r="H247" i="41"/>
  <c r="H256" i="41"/>
  <c r="H246" i="41"/>
  <c r="H255" i="41"/>
  <c r="F247" i="41"/>
  <c r="F256" i="41"/>
  <c r="G247" i="41"/>
  <c r="G256" i="41"/>
  <c r="O436" i="40"/>
  <c r="F435" i="40"/>
  <c r="F434" i="40"/>
  <c r="G433" i="40"/>
  <c r="G381" i="40"/>
  <c r="G366" i="40"/>
  <c r="F367" i="40"/>
  <c r="F397" i="40"/>
  <c r="F366" i="40"/>
  <c r="G435" i="40"/>
  <c r="G434" i="40"/>
  <c r="O434" i="40"/>
  <c r="F433" i="40"/>
  <c r="G396" i="40"/>
  <c r="G367" i="40"/>
  <c r="O367" i="40"/>
  <c r="F382" i="40"/>
  <c r="F396" i="40"/>
  <c r="O366" i="40"/>
  <c r="F381" i="40"/>
  <c r="O437" i="40"/>
  <c r="O382" i="40"/>
  <c r="O439" i="40"/>
  <c r="F424" i="40"/>
  <c r="O381" i="40"/>
  <c r="O403" i="40"/>
  <c r="F363" i="40"/>
  <c r="F373" i="40"/>
  <c r="G166" i="41"/>
  <c r="F158" i="41"/>
  <c r="G175" i="41"/>
  <c r="F174" i="41"/>
  <c r="G167" i="41"/>
  <c r="G158" i="41"/>
  <c r="O160" i="41"/>
  <c r="G173" i="41"/>
  <c r="F166" i="41"/>
  <c r="G159" i="41"/>
  <c r="O159" i="41"/>
  <c r="O158" i="41"/>
  <c r="O175" i="41"/>
  <c r="O172" i="41"/>
  <c r="G174" i="41"/>
  <c r="F175" i="41"/>
  <c r="F172" i="41"/>
  <c r="O166" i="41"/>
  <c r="F167" i="41"/>
  <c r="G160" i="41"/>
  <c r="F161" i="41"/>
  <c r="O161" i="41"/>
  <c r="F173" i="41"/>
  <c r="F159" i="41"/>
  <c r="O173" i="41"/>
  <c r="O174" i="41"/>
  <c r="G172" i="41"/>
  <c r="O167" i="41"/>
  <c r="G161" i="41"/>
  <c r="F160" i="41"/>
  <c r="G375" i="40"/>
  <c r="G389" i="40"/>
  <c r="F374" i="40"/>
  <c r="F359" i="40"/>
  <c r="O359" i="40"/>
  <c r="F375" i="40"/>
  <c r="F389" i="40"/>
  <c r="G374" i="40"/>
  <c r="G359" i="40"/>
  <c r="E10" i="35"/>
  <c r="F9" i="35"/>
  <c r="G9" i="35"/>
  <c r="O307" i="41"/>
  <c r="M367" i="41"/>
  <c r="M442" i="41"/>
  <c r="J442" i="41"/>
  <c r="J367" i="41"/>
  <c r="N289" i="40"/>
  <c r="N305" i="40"/>
  <c r="J289" i="40"/>
  <c r="J305" i="40"/>
  <c r="G289" i="40"/>
  <c r="G305" i="40"/>
  <c r="N291" i="40"/>
  <c r="L291" i="40"/>
  <c r="J291" i="40"/>
  <c r="H291" i="40"/>
  <c r="G291" i="40"/>
  <c r="K283" i="40"/>
  <c r="K299" i="40"/>
  <c r="F283" i="40"/>
  <c r="F299" i="40"/>
  <c r="K293" i="40"/>
  <c r="K309" i="40"/>
  <c r="F293" i="40"/>
  <c r="F309" i="40"/>
  <c r="G294" i="40"/>
  <c r="G310" i="40"/>
  <c r="K285" i="40"/>
  <c r="K301" i="40"/>
  <c r="F285" i="40"/>
  <c r="F301" i="40"/>
  <c r="N287" i="40"/>
  <c r="L287" i="40"/>
  <c r="J287" i="40"/>
  <c r="H287" i="40"/>
  <c r="F290" i="40"/>
  <c r="O292" i="40"/>
  <c r="O308" i="40"/>
  <c r="L292" i="40"/>
  <c r="L308" i="40"/>
  <c r="H292" i="40"/>
  <c r="H308" i="40"/>
  <c r="M294" i="40"/>
  <c r="M310" i="40"/>
  <c r="I294" i="40"/>
  <c r="I310" i="40"/>
  <c r="N359" i="41"/>
  <c r="I270" i="40"/>
  <c r="I472" i="40"/>
  <c r="I223" i="41"/>
  <c r="K55" i="84"/>
  <c r="K53" i="84"/>
  <c r="O55" i="84"/>
  <c r="O53" i="84"/>
  <c r="H55" i="84"/>
  <c r="H53" i="84"/>
  <c r="L55" i="84"/>
  <c r="L53" i="84"/>
  <c r="N64" i="42"/>
  <c r="N66" i="42"/>
  <c r="D83" i="12"/>
  <c r="D75" i="12"/>
  <c r="D78" i="12"/>
  <c r="G8" i="12"/>
  <c r="H8" i="12"/>
  <c r="F81" i="41"/>
  <c r="F83" i="41"/>
  <c r="F231" i="41"/>
  <c r="F82" i="41"/>
  <c r="G9" i="12"/>
  <c r="H9" i="12"/>
  <c r="D79" i="12"/>
  <c r="D76" i="12"/>
  <c r="G187" i="41"/>
  <c r="L190" i="41"/>
  <c r="M190" i="41"/>
  <c r="N190" i="41"/>
  <c r="O188" i="41"/>
  <c r="O397" i="40"/>
  <c r="G442" i="40"/>
  <c r="O442" i="40"/>
  <c r="O376" i="40"/>
  <c r="G421" i="40"/>
  <c r="O421" i="40"/>
  <c r="G420" i="40"/>
  <c r="G379" i="40"/>
  <c r="O420" i="40"/>
  <c r="O374" i="40"/>
  <c r="G423" i="40"/>
  <c r="O423" i="40"/>
  <c r="G373" i="40"/>
  <c r="O373" i="40"/>
  <c r="G418" i="40"/>
  <c r="G168" i="41"/>
  <c r="G398" i="40"/>
  <c r="O390" i="40"/>
  <c r="G394" i="40"/>
  <c r="O393" i="40"/>
  <c r="O392" i="40"/>
  <c r="G194" i="41"/>
  <c r="G195" i="41"/>
  <c r="G196" i="41"/>
  <c r="G197" i="41"/>
  <c r="F194" i="41"/>
  <c r="F196" i="41"/>
  <c r="G436" i="40"/>
  <c r="O435" i="40"/>
  <c r="O433" i="40"/>
  <c r="G403" i="40"/>
  <c r="E167" i="41"/>
  <c r="O187" i="41"/>
  <c r="E187" i="41"/>
  <c r="H187" i="41"/>
  <c r="I187" i="41"/>
  <c r="J187" i="41"/>
  <c r="K187" i="41"/>
  <c r="L187" i="41"/>
  <c r="M187" i="41"/>
  <c r="N187" i="41"/>
  <c r="G397" i="40"/>
  <c r="O441" i="40"/>
  <c r="G380" i="40"/>
  <c r="G425" i="40"/>
  <c r="G424" i="40"/>
  <c r="O378" i="40"/>
  <c r="G378" i="40"/>
  <c r="O419" i="40"/>
  <c r="O377" i="40"/>
  <c r="O422" i="40"/>
  <c r="O396" i="40"/>
  <c r="G395" i="40"/>
  <c r="O389" i="40"/>
  <c r="G392" i="40"/>
  <c r="O194" i="41"/>
  <c r="E194" i="41"/>
  <c r="H194" i="41"/>
  <c r="I194" i="41"/>
  <c r="J194" i="41"/>
  <c r="K194" i="41"/>
  <c r="L194" i="41"/>
  <c r="M194" i="41"/>
  <c r="N194" i="41"/>
  <c r="F195" i="41"/>
  <c r="G443" i="40"/>
  <c r="G440" i="40"/>
  <c r="G439" i="40"/>
  <c r="G438" i="40"/>
  <c r="G437" i="40"/>
  <c r="F419" i="40"/>
  <c r="O379" i="40"/>
  <c r="E379" i="40"/>
  <c r="H379" i="40"/>
  <c r="I379" i="40"/>
  <c r="J379" i="40"/>
  <c r="K379" i="40"/>
  <c r="L379" i="40"/>
  <c r="M379" i="40"/>
  <c r="N379" i="40"/>
  <c r="F188" i="41"/>
  <c r="F183" i="41"/>
  <c r="F181" i="41"/>
  <c r="F438" i="40"/>
  <c r="F422" i="40"/>
  <c r="F418" i="40"/>
  <c r="F410" i="40"/>
  <c r="F406" i="40"/>
  <c r="F380" i="40"/>
  <c r="F378" i="40"/>
  <c r="F442" i="40"/>
  <c r="F437" i="40"/>
  <c r="F423" i="40"/>
  <c r="F411" i="40"/>
  <c r="F407" i="40"/>
  <c r="F403" i="40"/>
  <c r="F394" i="40"/>
  <c r="F392" i="40"/>
  <c r="F368" i="40"/>
  <c r="F364" i="40"/>
  <c r="E166" i="41"/>
  <c r="H166" i="41"/>
  <c r="I166" i="41"/>
  <c r="J166" i="41"/>
  <c r="K166" i="41"/>
  <c r="L166" i="41"/>
  <c r="M166" i="41"/>
  <c r="N166" i="41"/>
  <c r="G188" i="41"/>
  <c r="G441" i="40"/>
  <c r="O425" i="40"/>
  <c r="O375" i="40"/>
  <c r="O424" i="40"/>
  <c r="G419" i="40"/>
  <c r="G377" i="40"/>
  <c r="G422" i="40"/>
  <c r="E172" i="41"/>
  <c r="H172" i="41"/>
  <c r="I172" i="41"/>
  <c r="O398" i="40"/>
  <c r="O394" i="40"/>
  <c r="G393" i="40"/>
  <c r="O195" i="41"/>
  <c r="E195" i="41"/>
  <c r="H195" i="41"/>
  <c r="I195" i="41"/>
  <c r="J195" i="41"/>
  <c r="K195" i="41"/>
  <c r="L195" i="41"/>
  <c r="M195" i="41"/>
  <c r="N195" i="41"/>
  <c r="O197" i="41"/>
  <c r="E197" i="41"/>
  <c r="F197" i="41"/>
  <c r="O440" i="40"/>
  <c r="O438" i="40"/>
  <c r="F441" i="40"/>
  <c r="F426" i="40"/>
  <c r="F190" i="41"/>
  <c r="F187" i="41"/>
  <c r="F182" i="41"/>
  <c r="F180" i="41"/>
  <c r="F440" i="40"/>
  <c r="F436" i="40"/>
  <c r="F420" i="40"/>
  <c r="F412" i="40"/>
  <c r="F408" i="40"/>
  <c r="F404" i="40"/>
  <c r="F398" i="40"/>
  <c r="F379" i="40"/>
  <c r="F377" i="40"/>
  <c r="F365" i="40"/>
  <c r="F361" i="40"/>
  <c r="F443" i="40"/>
  <c r="F439" i="40"/>
  <c r="F425" i="40"/>
  <c r="F421" i="40"/>
  <c r="F413" i="40"/>
  <c r="F409" i="40"/>
  <c r="F405" i="40"/>
  <c r="F395" i="40"/>
  <c r="F393" i="40"/>
  <c r="F362" i="40"/>
  <c r="F9" i="24"/>
  <c r="O426" i="40"/>
  <c r="G383" i="40"/>
  <c r="G427" i="40"/>
  <c r="G382" i="40"/>
  <c r="E389" i="40"/>
  <c r="H389" i="40"/>
  <c r="I389" i="40"/>
  <c r="J389" i="40"/>
  <c r="K389" i="40"/>
  <c r="L389" i="40"/>
  <c r="M389" i="40"/>
  <c r="N389" i="40"/>
  <c r="G426" i="40"/>
  <c r="O427" i="40"/>
  <c r="E390" i="40"/>
  <c r="H390" i="40"/>
  <c r="I390" i="40"/>
  <c r="J390" i="40"/>
  <c r="K390" i="40"/>
  <c r="L390" i="40"/>
  <c r="M390" i="40"/>
  <c r="N390" i="40"/>
  <c r="E418" i="40"/>
  <c r="H418" i="40"/>
  <c r="I418" i="40"/>
  <c r="J418" i="40"/>
  <c r="K418" i="40"/>
  <c r="L418" i="40"/>
  <c r="M418" i="40"/>
  <c r="N418" i="40"/>
  <c r="M351" i="41"/>
  <c r="E161" i="41"/>
  <c r="H161" i="41"/>
  <c r="I161" i="41"/>
  <c r="J161" i="41"/>
  <c r="K161" i="41"/>
  <c r="L161" i="41"/>
  <c r="M161" i="41"/>
  <c r="N161" i="41"/>
  <c r="O168" i="41"/>
  <c r="E168" i="41"/>
  <c r="H168" i="41"/>
  <c r="I168" i="41"/>
  <c r="J168" i="41"/>
  <c r="K168" i="41"/>
  <c r="L168" i="41"/>
  <c r="M168" i="41"/>
  <c r="N168" i="41"/>
  <c r="E407" i="40"/>
  <c r="H407" i="40"/>
  <c r="I407" i="40"/>
  <c r="J407" i="40"/>
  <c r="K407" i="40"/>
  <c r="L407" i="40"/>
  <c r="M407" i="40"/>
  <c r="N407" i="40"/>
  <c r="E361" i="40"/>
  <c r="E365" i="40"/>
  <c r="O383" i="40"/>
  <c r="E383" i="40"/>
  <c r="H383" i="40"/>
  <c r="G55" i="84"/>
  <c r="G53" i="84"/>
  <c r="H270" i="40"/>
  <c r="H472" i="40"/>
  <c r="H480" i="40"/>
  <c r="F288" i="40"/>
  <c r="F304" i="40"/>
  <c r="O288" i="40"/>
  <c r="O304" i="40"/>
  <c r="K288" i="40"/>
  <c r="K304" i="40"/>
  <c r="G284" i="40"/>
  <c r="G300" i="40"/>
  <c r="H288" i="40"/>
  <c r="H304" i="40"/>
  <c r="I444" i="41"/>
  <c r="I348" i="41"/>
  <c r="I358" i="41"/>
  <c r="K359" i="41"/>
  <c r="K444" i="41"/>
  <c r="N443" i="41"/>
  <c r="O289" i="40"/>
  <c r="O305" i="40"/>
  <c r="M289" i="40"/>
  <c r="M305" i="40"/>
  <c r="K289" i="40"/>
  <c r="K305" i="40"/>
  <c r="I289" i="40"/>
  <c r="I305" i="40"/>
  <c r="G285" i="40"/>
  <c r="G301" i="40"/>
  <c r="O287" i="40"/>
  <c r="O302" i="40"/>
  <c r="N286" i="40"/>
  <c r="N303" i="40"/>
  <c r="M286" i="40"/>
  <c r="M302" i="40"/>
  <c r="L286" i="40"/>
  <c r="L303" i="40"/>
  <c r="K286" i="40"/>
  <c r="J286" i="40"/>
  <c r="I286" i="40"/>
  <c r="I302" i="40"/>
  <c r="H286" i="40"/>
  <c r="H302" i="40"/>
  <c r="F286" i="40"/>
  <c r="F291" i="40"/>
  <c r="F306" i="40"/>
  <c r="N283" i="40"/>
  <c r="N299" i="40"/>
  <c r="L283" i="40"/>
  <c r="L299" i="40"/>
  <c r="J283" i="40"/>
  <c r="J299" i="40"/>
  <c r="H283" i="40"/>
  <c r="H299" i="40"/>
  <c r="G283" i="40"/>
  <c r="G299" i="40"/>
  <c r="M292" i="40"/>
  <c r="M308" i="40"/>
  <c r="K292" i="40"/>
  <c r="K308" i="40"/>
  <c r="I292" i="40"/>
  <c r="I308" i="40"/>
  <c r="F292" i="40"/>
  <c r="F308" i="40"/>
  <c r="F294" i="40"/>
  <c r="F310" i="40"/>
  <c r="N285" i="40"/>
  <c r="N301" i="40"/>
  <c r="L285" i="40"/>
  <c r="L301" i="40"/>
  <c r="J285" i="40"/>
  <c r="J301" i="40"/>
  <c r="H285" i="40"/>
  <c r="H301" i="40"/>
  <c r="F289" i="40"/>
  <c r="F305" i="40"/>
  <c r="O291" i="40"/>
  <c r="O307" i="40"/>
  <c r="N290" i="40"/>
  <c r="N306" i="40"/>
  <c r="M290" i="40"/>
  <c r="M306" i="40"/>
  <c r="L290" i="40"/>
  <c r="L306" i="40"/>
  <c r="K290" i="40"/>
  <c r="J290" i="40"/>
  <c r="J306" i="40"/>
  <c r="I290" i="40"/>
  <c r="I307" i="40"/>
  <c r="H290" i="40"/>
  <c r="H306" i="40"/>
  <c r="G287" i="40"/>
  <c r="G303" i="40"/>
  <c r="G290" i="40"/>
  <c r="G306" i="40"/>
  <c r="O293" i="40"/>
  <c r="O309" i="40"/>
  <c r="N293" i="40"/>
  <c r="N309" i="40"/>
  <c r="L293" i="40"/>
  <c r="L309" i="40"/>
  <c r="J293" i="40"/>
  <c r="J309" i="40"/>
  <c r="H293" i="40"/>
  <c r="H309" i="40"/>
  <c r="G293" i="40"/>
  <c r="G309" i="40"/>
  <c r="N294" i="40"/>
  <c r="N310" i="40"/>
  <c r="L294" i="40"/>
  <c r="L310" i="40"/>
  <c r="J294" i="40"/>
  <c r="J310" i="40"/>
  <c r="H294" i="40"/>
  <c r="H310" i="40"/>
  <c r="I359" i="41"/>
  <c r="N351" i="41"/>
  <c r="G288" i="40"/>
  <c r="G304" i="40"/>
  <c r="M288" i="40"/>
  <c r="M304" i="40"/>
  <c r="N288" i="40"/>
  <c r="N304" i="40"/>
  <c r="L270" i="40"/>
  <c r="L472" i="40"/>
  <c r="L288" i="40"/>
  <c r="L304" i="40"/>
  <c r="E404" i="40"/>
  <c r="H404" i="40"/>
  <c r="I404" i="40"/>
  <c r="J404" i="40"/>
  <c r="K404" i="40"/>
  <c r="L404" i="40"/>
  <c r="M404" i="40"/>
  <c r="N404" i="40"/>
  <c r="E406" i="40"/>
  <c r="H406" i="40"/>
  <c r="I406" i="40"/>
  <c r="J406" i="40"/>
  <c r="K406" i="40"/>
  <c r="L406" i="40"/>
  <c r="M406" i="40"/>
  <c r="N406" i="40"/>
  <c r="E411" i="40"/>
  <c r="H411" i="40"/>
  <c r="I411" i="40"/>
  <c r="J411" i="40"/>
  <c r="K411" i="40"/>
  <c r="L411" i="40"/>
  <c r="M411" i="40"/>
  <c r="N411" i="40"/>
  <c r="E413" i="40"/>
  <c r="H413" i="40"/>
  <c r="I413" i="40"/>
  <c r="J413" i="40"/>
  <c r="K413" i="40"/>
  <c r="L413" i="40"/>
  <c r="M413" i="40"/>
  <c r="N413" i="40"/>
  <c r="E405" i="40"/>
  <c r="H405" i="40"/>
  <c r="I405" i="40"/>
  <c r="J405" i="40"/>
  <c r="K405" i="40"/>
  <c r="L405" i="40"/>
  <c r="M405" i="40"/>
  <c r="N405" i="40"/>
  <c r="E359" i="40"/>
  <c r="H359" i="40"/>
  <c r="I359" i="40"/>
  <c r="J359" i="40"/>
  <c r="K359" i="40"/>
  <c r="L359" i="40"/>
  <c r="M359" i="40"/>
  <c r="N359" i="40"/>
  <c r="E388" i="40"/>
  <c r="H388" i="40"/>
  <c r="I388" i="40"/>
  <c r="J388" i="40"/>
  <c r="K388" i="40"/>
  <c r="L388" i="40"/>
  <c r="M388" i="40"/>
  <c r="N388" i="40"/>
  <c r="I284" i="40"/>
  <c r="I300" i="40"/>
  <c r="N284" i="40"/>
  <c r="N300" i="40"/>
  <c r="H284" i="40"/>
  <c r="H300" i="40"/>
  <c r="F284" i="40"/>
  <c r="F300" i="40"/>
  <c r="J284" i="40"/>
  <c r="J300" i="40"/>
  <c r="M284" i="40"/>
  <c r="M300" i="40"/>
  <c r="K284" i="40"/>
  <c r="K300" i="40"/>
  <c r="O284" i="40"/>
  <c r="O300" i="40"/>
  <c r="L284" i="40"/>
  <c r="L300" i="40"/>
  <c r="F334" i="40"/>
  <c r="F343" i="40"/>
  <c r="O317" i="40"/>
  <c r="O318" i="40"/>
  <c r="O316" i="40"/>
  <c r="N316" i="40"/>
  <c r="O319" i="40"/>
  <c r="E364" i="40"/>
  <c r="H364" i="40"/>
  <c r="E366" i="40"/>
  <c r="H366" i="40"/>
  <c r="I366" i="40"/>
  <c r="J366" i="40"/>
  <c r="K366" i="40"/>
  <c r="L366" i="40"/>
  <c r="M366" i="40"/>
  <c r="N366" i="40"/>
  <c r="H361" i="40"/>
  <c r="I361" i="40"/>
  <c r="J361" i="40"/>
  <c r="K361" i="40"/>
  <c r="L361" i="40"/>
  <c r="M361" i="40"/>
  <c r="N361" i="40"/>
  <c r="E368" i="40"/>
  <c r="H368" i="40"/>
  <c r="I368" i="40"/>
  <c r="J368" i="40"/>
  <c r="K368" i="40"/>
  <c r="L368" i="40"/>
  <c r="M368" i="40"/>
  <c r="N368" i="40"/>
  <c r="H181" i="41"/>
  <c r="I181" i="41"/>
  <c r="J181" i="41"/>
  <c r="K181" i="41"/>
  <c r="L181" i="41"/>
  <c r="M181" i="41"/>
  <c r="N181" i="41"/>
  <c r="E358" i="40"/>
  <c r="H358" i="40"/>
  <c r="I358" i="40"/>
  <c r="J358" i="40"/>
  <c r="K358" i="40"/>
  <c r="L358" i="40"/>
  <c r="M358" i="40"/>
  <c r="N358" i="40"/>
  <c r="E391" i="40"/>
  <c r="H391" i="40"/>
  <c r="I391" i="40"/>
  <c r="J391" i="40"/>
  <c r="K391" i="40"/>
  <c r="L391" i="40"/>
  <c r="M391" i="40"/>
  <c r="N391" i="40"/>
  <c r="E409" i="40"/>
  <c r="H409" i="40"/>
  <c r="I409" i="40"/>
  <c r="J409" i="40"/>
  <c r="K409" i="40"/>
  <c r="L409" i="40"/>
  <c r="M409" i="40"/>
  <c r="N409" i="40"/>
  <c r="H365" i="40"/>
  <c r="I365" i="40"/>
  <c r="J365" i="40"/>
  <c r="K365" i="40"/>
  <c r="L365" i="40"/>
  <c r="M365" i="40"/>
  <c r="N365" i="40"/>
  <c r="H180" i="41"/>
  <c r="I180" i="41"/>
  <c r="J180" i="41"/>
  <c r="K180" i="41"/>
  <c r="L180" i="41"/>
  <c r="M180" i="41"/>
  <c r="N180" i="41"/>
  <c r="E159" i="41"/>
  <c r="H159" i="41"/>
  <c r="I159" i="41"/>
  <c r="J159" i="41"/>
  <c r="K159" i="41"/>
  <c r="L159" i="41"/>
  <c r="M159" i="41"/>
  <c r="N159" i="41"/>
  <c r="E362" i="40"/>
  <c r="H362" i="40"/>
  <c r="I362" i="40"/>
  <c r="J362" i="40"/>
  <c r="K362" i="40"/>
  <c r="L362" i="40"/>
  <c r="M362" i="40"/>
  <c r="N362" i="40"/>
  <c r="E408" i="40"/>
  <c r="H408" i="40"/>
  <c r="I408" i="40"/>
  <c r="J408" i="40"/>
  <c r="K408" i="40"/>
  <c r="L408" i="40"/>
  <c r="M408" i="40"/>
  <c r="N408" i="40"/>
  <c r="E363" i="40"/>
  <c r="H363" i="40"/>
  <c r="I363" i="40"/>
  <c r="J363" i="40"/>
  <c r="K363" i="40"/>
  <c r="L363" i="40"/>
  <c r="M363" i="40"/>
  <c r="N363" i="40"/>
  <c r="E410" i="40"/>
  <c r="H410" i="40"/>
  <c r="I410" i="40"/>
  <c r="J410" i="40"/>
  <c r="K410" i="40"/>
  <c r="L410" i="40"/>
  <c r="M410" i="40"/>
  <c r="N410" i="40"/>
  <c r="E412" i="40"/>
  <c r="H412" i="40"/>
  <c r="I412" i="40"/>
  <c r="J412" i="40"/>
  <c r="K412" i="40"/>
  <c r="L412" i="40"/>
  <c r="M412" i="40"/>
  <c r="N412" i="40"/>
  <c r="E367" i="40"/>
  <c r="H367" i="40"/>
  <c r="I367" i="40"/>
  <c r="J367" i="40"/>
  <c r="K367" i="40"/>
  <c r="L367" i="40"/>
  <c r="M367" i="40"/>
  <c r="N367" i="40"/>
  <c r="H183" i="41"/>
  <c r="I183" i="41"/>
  <c r="J183" i="41"/>
  <c r="E160" i="41"/>
  <c r="H160" i="41"/>
  <c r="I160" i="41"/>
  <c r="J160" i="41"/>
  <c r="K160" i="41"/>
  <c r="L160" i="41"/>
  <c r="M160" i="41"/>
  <c r="N160" i="41"/>
  <c r="E360" i="40"/>
  <c r="H360" i="40"/>
  <c r="I360" i="40"/>
  <c r="J360" i="40"/>
  <c r="K360" i="40"/>
  <c r="L360" i="40"/>
  <c r="M360" i="40"/>
  <c r="N360" i="40"/>
  <c r="J271" i="40"/>
  <c r="H271" i="40"/>
  <c r="O473" i="40"/>
  <c r="O481" i="40"/>
  <c r="K273" i="40"/>
  <c r="K475" i="40"/>
  <c r="K483" i="40"/>
  <c r="M273" i="40"/>
  <c r="M475" i="40"/>
  <c r="N273" i="40"/>
  <c r="N475" i="40"/>
  <c r="O475" i="40"/>
  <c r="O483" i="40"/>
  <c r="G273" i="40"/>
  <c r="G475" i="40"/>
  <c r="H273" i="40"/>
  <c r="H475" i="40"/>
  <c r="I273" i="40"/>
  <c r="I475" i="40"/>
  <c r="J273" i="40"/>
  <c r="J475" i="40"/>
  <c r="L273" i="40"/>
  <c r="L475" i="40"/>
  <c r="G274" i="40"/>
  <c r="G476" i="40"/>
  <c r="H274" i="40"/>
  <c r="H476" i="40"/>
  <c r="H484" i="40"/>
  <c r="I274" i="40"/>
  <c r="I476" i="40"/>
  <c r="I484" i="40"/>
  <c r="L274" i="40"/>
  <c r="L476" i="40"/>
  <c r="L484" i="40"/>
  <c r="M274" i="40"/>
  <c r="M476" i="40"/>
  <c r="M484" i="40"/>
  <c r="J274" i="40"/>
  <c r="J476" i="40"/>
  <c r="J484" i="40"/>
  <c r="K274" i="40"/>
  <c r="K476" i="40"/>
  <c r="N274" i="40"/>
  <c r="N476" i="40"/>
  <c r="O476" i="40"/>
  <c r="O484" i="40"/>
  <c r="G272" i="40"/>
  <c r="G474" i="40"/>
  <c r="H272" i="40"/>
  <c r="H474" i="40"/>
  <c r="I272" i="40"/>
  <c r="I474" i="40"/>
  <c r="I482" i="40"/>
  <c r="K272" i="40"/>
  <c r="K474" i="40"/>
  <c r="M272" i="40"/>
  <c r="M474" i="40"/>
  <c r="N272" i="40"/>
  <c r="N474" i="40"/>
  <c r="O474" i="40"/>
  <c r="O482" i="40"/>
  <c r="J272" i="40"/>
  <c r="J474" i="40"/>
  <c r="L272" i="40"/>
  <c r="L474" i="40"/>
  <c r="K263" i="41"/>
  <c r="N302" i="40"/>
  <c r="M303" i="40"/>
  <c r="J302" i="40"/>
  <c r="I303" i="40"/>
  <c r="H303" i="40"/>
  <c r="N307" i="40"/>
  <c r="M307" i="40"/>
  <c r="L307" i="40"/>
  <c r="K306" i="40"/>
  <c r="J307" i="40"/>
  <c r="H307" i="40"/>
  <c r="G307" i="40"/>
  <c r="H264" i="41"/>
  <c r="G308" i="41"/>
  <c r="G317" i="41"/>
  <c r="G326" i="41"/>
  <c r="K264" i="41"/>
  <c r="J317" i="41"/>
  <c r="L263" i="41"/>
  <c r="O306" i="40"/>
  <c r="G302" i="40"/>
  <c r="O303" i="40"/>
  <c r="F307" i="40"/>
  <c r="F165" i="41"/>
  <c r="E158" i="41"/>
  <c r="H158" i="41"/>
  <c r="O165" i="41"/>
  <c r="G165" i="41"/>
  <c r="E165" i="41"/>
  <c r="E378" i="40"/>
  <c r="E11" i="35"/>
  <c r="F10" i="35"/>
  <c r="G10" i="35"/>
  <c r="H167" i="41"/>
  <c r="I167" i="41"/>
  <c r="J167" i="41"/>
  <c r="K167" i="41"/>
  <c r="L167" i="41"/>
  <c r="M167" i="41"/>
  <c r="N167" i="41"/>
  <c r="I360" i="41"/>
  <c r="I443" i="41"/>
  <c r="I464" i="41"/>
  <c r="F83" i="12"/>
  <c r="F84" i="12"/>
  <c r="E83" i="12"/>
  <c r="E84" i="12"/>
  <c r="I364" i="40"/>
  <c r="J364" i="40"/>
  <c r="F28" i="42"/>
  <c r="F79" i="12"/>
  <c r="F76" i="12"/>
  <c r="O725" i="41"/>
  <c r="M725" i="41"/>
  <c r="K725" i="41"/>
  <c r="I725" i="41"/>
  <c r="G725" i="41"/>
  <c r="O642" i="42"/>
  <c r="N723" i="84"/>
  <c r="M642" i="42"/>
  <c r="L723" i="84"/>
  <c r="K642" i="42"/>
  <c r="J723" i="84"/>
  <c r="I642" i="42"/>
  <c r="H723" i="84"/>
  <c r="G642" i="42"/>
  <c r="F723" i="84"/>
  <c r="O723" i="84"/>
  <c r="N642" i="42"/>
  <c r="M723" i="84"/>
  <c r="L642" i="42"/>
  <c r="K723" i="84"/>
  <c r="J642" i="42"/>
  <c r="I723" i="84"/>
  <c r="H642" i="42"/>
  <c r="G723" i="84"/>
  <c r="F642" i="42"/>
  <c r="N725" i="41"/>
  <c r="L725" i="41"/>
  <c r="J725" i="41"/>
  <c r="H725" i="41"/>
  <c r="F725" i="41"/>
  <c r="O19" i="42"/>
  <c r="K19" i="42"/>
  <c r="G19" i="42"/>
  <c r="M18" i="42"/>
  <c r="I18" i="42"/>
  <c r="O17" i="42"/>
  <c r="K17" i="42"/>
  <c r="G17" i="42"/>
  <c r="M16" i="42"/>
  <c r="I16" i="42"/>
  <c r="I88" i="42"/>
  <c r="N19" i="42"/>
  <c r="J19" i="42"/>
  <c r="F19" i="42"/>
  <c r="L18" i="42"/>
  <c r="H18" i="42"/>
  <c r="N17" i="42"/>
  <c r="J17" i="42"/>
  <c r="F17" i="42"/>
  <c r="L16" i="42"/>
  <c r="H16" i="42"/>
  <c r="H88" i="42"/>
  <c r="M19" i="42"/>
  <c r="I19" i="42"/>
  <c r="O18" i="42"/>
  <c r="K18" i="42"/>
  <c r="G18" i="42"/>
  <c r="M17" i="42"/>
  <c r="I17" i="42"/>
  <c r="O16" i="42"/>
  <c r="O88" i="42"/>
  <c r="K16" i="42"/>
  <c r="G16" i="42"/>
  <c r="G88" i="42"/>
  <c r="L19" i="42"/>
  <c r="H19" i="42"/>
  <c r="N18" i="42"/>
  <c r="J18" i="42"/>
  <c r="F18" i="42"/>
  <c r="L17" i="42"/>
  <c r="H17" i="42"/>
  <c r="N16" i="42"/>
  <c r="N88" i="42"/>
  <c r="J16" i="42"/>
  <c r="J88" i="42"/>
  <c r="F16" i="42"/>
  <c r="F88" i="42"/>
  <c r="F75" i="12"/>
  <c r="F78" i="12"/>
  <c r="E76" i="12"/>
  <c r="G76" i="12"/>
  <c r="E79" i="12"/>
  <c r="E75" i="12"/>
  <c r="E78" i="12"/>
  <c r="G79" i="12"/>
  <c r="F428" i="40"/>
  <c r="F168" i="41"/>
  <c r="O428" i="40"/>
  <c r="G428" i="40"/>
  <c r="E437" i="40"/>
  <c r="H437" i="40"/>
  <c r="I437" i="40"/>
  <c r="J437" i="40"/>
  <c r="K437" i="40"/>
  <c r="L437" i="40"/>
  <c r="M437" i="40"/>
  <c r="N437" i="40"/>
  <c r="E439" i="40"/>
  <c r="H439" i="40"/>
  <c r="I439" i="40"/>
  <c r="J439" i="40"/>
  <c r="K439" i="40"/>
  <c r="L439" i="40"/>
  <c r="M439" i="40"/>
  <c r="N439" i="40"/>
  <c r="E438" i="40"/>
  <c r="H438" i="40"/>
  <c r="I438" i="40"/>
  <c r="J438" i="40"/>
  <c r="K438" i="40"/>
  <c r="L438" i="40"/>
  <c r="M438" i="40"/>
  <c r="N438" i="40"/>
  <c r="E440" i="40"/>
  <c r="H440" i="40"/>
  <c r="I440" i="40"/>
  <c r="J440" i="40"/>
  <c r="K440" i="40"/>
  <c r="L440" i="40"/>
  <c r="M440" i="40"/>
  <c r="N440" i="40"/>
  <c r="E424" i="40"/>
  <c r="H424" i="40"/>
  <c r="I424" i="40"/>
  <c r="J424" i="40"/>
  <c r="K424" i="40"/>
  <c r="L424" i="40"/>
  <c r="M424" i="40"/>
  <c r="N424" i="40"/>
  <c r="E425" i="40"/>
  <c r="H425" i="40"/>
  <c r="I425" i="40"/>
  <c r="J425" i="40"/>
  <c r="K425" i="40"/>
  <c r="L425" i="40"/>
  <c r="M425" i="40"/>
  <c r="N425" i="40"/>
  <c r="E174" i="41"/>
  <c r="H174" i="41"/>
  <c r="I174" i="41"/>
  <c r="J174" i="41"/>
  <c r="K174" i="41"/>
  <c r="L174" i="41"/>
  <c r="M174" i="41"/>
  <c r="N174" i="41"/>
  <c r="E433" i="40"/>
  <c r="H433" i="40"/>
  <c r="I433" i="40"/>
  <c r="J433" i="40"/>
  <c r="K433" i="40"/>
  <c r="L433" i="40"/>
  <c r="M433" i="40"/>
  <c r="N433" i="40"/>
  <c r="E434" i="40"/>
  <c r="H434" i="40"/>
  <c r="I434" i="40"/>
  <c r="J434" i="40"/>
  <c r="K434" i="40"/>
  <c r="L434" i="40"/>
  <c r="M434" i="40"/>
  <c r="N434" i="40"/>
  <c r="E435" i="40"/>
  <c r="H435" i="40"/>
  <c r="I435" i="40"/>
  <c r="J435" i="40"/>
  <c r="K435" i="40"/>
  <c r="L435" i="40"/>
  <c r="M435" i="40"/>
  <c r="N435" i="40"/>
  <c r="E436" i="40"/>
  <c r="H436" i="40"/>
  <c r="I436" i="40"/>
  <c r="J436" i="40"/>
  <c r="K436" i="40"/>
  <c r="L436" i="40"/>
  <c r="M436" i="40"/>
  <c r="N436" i="40"/>
  <c r="E423" i="40"/>
  <c r="H423" i="40"/>
  <c r="I423" i="40"/>
  <c r="J423" i="40"/>
  <c r="K423" i="40"/>
  <c r="L423" i="40"/>
  <c r="M423" i="40"/>
  <c r="N423" i="40"/>
  <c r="E420" i="40"/>
  <c r="H420" i="40"/>
  <c r="I420" i="40"/>
  <c r="J420" i="40"/>
  <c r="K420" i="40"/>
  <c r="L420" i="40"/>
  <c r="M420" i="40"/>
  <c r="N420" i="40"/>
  <c r="E421" i="40"/>
  <c r="H421" i="40"/>
  <c r="I421" i="40"/>
  <c r="J421" i="40"/>
  <c r="K421" i="40"/>
  <c r="L421" i="40"/>
  <c r="M421" i="40"/>
  <c r="N421" i="40"/>
  <c r="E442" i="40"/>
  <c r="H442" i="40"/>
  <c r="I442" i="40"/>
  <c r="J442" i="40"/>
  <c r="K442" i="40"/>
  <c r="L442" i="40"/>
  <c r="M442" i="40"/>
  <c r="N442" i="40"/>
  <c r="E375" i="40"/>
  <c r="H375" i="40"/>
  <c r="I375" i="40"/>
  <c r="J375" i="40"/>
  <c r="K375" i="40"/>
  <c r="L375" i="40"/>
  <c r="M375" i="40"/>
  <c r="N375" i="40"/>
  <c r="E377" i="40"/>
  <c r="H377" i="40"/>
  <c r="I377" i="40"/>
  <c r="J377" i="40"/>
  <c r="K377" i="40"/>
  <c r="L377" i="40"/>
  <c r="M377" i="40"/>
  <c r="N377" i="40"/>
  <c r="E393" i="40"/>
  <c r="H393" i="40"/>
  <c r="I393" i="40"/>
  <c r="J393" i="40"/>
  <c r="K393" i="40"/>
  <c r="L393" i="40"/>
  <c r="M393" i="40"/>
  <c r="N393" i="40"/>
  <c r="E373" i="40"/>
  <c r="H373" i="40"/>
  <c r="I373" i="40"/>
  <c r="E374" i="40"/>
  <c r="H374" i="40"/>
  <c r="I374" i="40"/>
  <c r="J374" i="40"/>
  <c r="K374" i="40"/>
  <c r="L374" i="40"/>
  <c r="M374" i="40"/>
  <c r="N374" i="40"/>
  <c r="E376" i="40"/>
  <c r="H376" i="40"/>
  <c r="I376" i="40"/>
  <c r="J376" i="40"/>
  <c r="K376" i="40"/>
  <c r="L376" i="40"/>
  <c r="M376" i="40"/>
  <c r="N376" i="40"/>
  <c r="E397" i="40"/>
  <c r="H397" i="40"/>
  <c r="I397" i="40"/>
  <c r="J397" i="40"/>
  <c r="K397" i="40"/>
  <c r="L397" i="40"/>
  <c r="M397" i="40"/>
  <c r="N397" i="40"/>
  <c r="E443" i="40"/>
  <c r="H443" i="40"/>
  <c r="I443" i="40"/>
  <c r="J443" i="40"/>
  <c r="K443" i="40"/>
  <c r="L443" i="40"/>
  <c r="M443" i="40"/>
  <c r="N443" i="40"/>
  <c r="E175" i="41"/>
  <c r="H175" i="41"/>
  <c r="I175" i="41"/>
  <c r="J175" i="41"/>
  <c r="K175" i="41"/>
  <c r="L175" i="41"/>
  <c r="M175" i="41"/>
  <c r="N175" i="41"/>
  <c r="E188" i="41"/>
  <c r="H188" i="41"/>
  <c r="I188" i="41"/>
  <c r="J188" i="41"/>
  <c r="K188" i="41"/>
  <c r="L188" i="41"/>
  <c r="M188" i="41"/>
  <c r="N188" i="41"/>
  <c r="E403" i="40"/>
  <c r="H403" i="40"/>
  <c r="I403" i="40"/>
  <c r="J403" i="40"/>
  <c r="K403" i="40"/>
  <c r="L403" i="40"/>
  <c r="M403" i="40"/>
  <c r="N403" i="40"/>
  <c r="E394" i="40"/>
  <c r="H394" i="40"/>
  <c r="I394" i="40"/>
  <c r="J394" i="40"/>
  <c r="K394" i="40"/>
  <c r="E398" i="40"/>
  <c r="H398" i="40"/>
  <c r="I398" i="40"/>
  <c r="J398" i="40"/>
  <c r="K398" i="40"/>
  <c r="L398" i="40"/>
  <c r="M398" i="40"/>
  <c r="N398" i="40"/>
  <c r="E396" i="40"/>
  <c r="H396" i="40"/>
  <c r="I396" i="40"/>
  <c r="J396" i="40"/>
  <c r="K396" i="40"/>
  <c r="L396" i="40"/>
  <c r="M396" i="40"/>
  <c r="N396" i="40"/>
  <c r="H378" i="40"/>
  <c r="I378" i="40"/>
  <c r="J378" i="40"/>
  <c r="K378" i="40"/>
  <c r="L378" i="40"/>
  <c r="M378" i="40"/>
  <c r="N378" i="40"/>
  <c r="E392" i="40"/>
  <c r="H392" i="40"/>
  <c r="I392" i="40"/>
  <c r="J392" i="40"/>
  <c r="K392" i="40"/>
  <c r="L392" i="40"/>
  <c r="M392" i="40"/>
  <c r="N392" i="40"/>
  <c r="E395" i="40"/>
  <c r="H395" i="40"/>
  <c r="I395" i="40"/>
  <c r="J395" i="40"/>
  <c r="K395" i="40"/>
  <c r="L395" i="40"/>
  <c r="M395" i="40"/>
  <c r="N395" i="40"/>
  <c r="F427" i="40"/>
  <c r="E422" i="40"/>
  <c r="H422" i="40"/>
  <c r="I422" i="40"/>
  <c r="J422" i="40"/>
  <c r="K422" i="40"/>
  <c r="L422" i="40"/>
  <c r="M422" i="40"/>
  <c r="N422" i="40"/>
  <c r="E419" i="40"/>
  <c r="H419" i="40"/>
  <c r="I419" i="40"/>
  <c r="J419" i="40"/>
  <c r="K419" i="40"/>
  <c r="L419" i="40"/>
  <c r="M419" i="40"/>
  <c r="N419" i="40"/>
  <c r="E441" i="40"/>
  <c r="H441" i="40"/>
  <c r="I441" i="40"/>
  <c r="J441" i="40"/>
  <c r="K441" i="40"/>
  <c r="L441" i="40"/>
  <c r="M441" i="40"/>
  <c r="N441" i="40"/>
  <c r="H197" i="41"/>
  <c r="E173" i="41"/>
  <c r="H173" i="41"/>
  <c r="I173" i="41"/>
  <c r="J173" i="41"/>
  <c r="K173" i="41"/>
  <c r="L173" i="41"/>
  <c r="M173" i="41"/>
  <c r="N173" i="41"/>
  <c r="E428" i="40"/>
  <c r="H428" i="40"/>
  <c r="I428" i="40"/>
  <c r="O495" i="40"/>
  <c r="I383" i="40"/>
  <c r="J383" i="40"/>
  <c r="K383" i="40"/>
  <c r="L383" i="40"/>
  <c r="M383" i="40"/>
  <c r="N383" i="40"/>
  <c r="E381" i="40"/>
  <c r="H381" i="40"/>
  <c r="I381" i="40"/>
  <c r="J381" i="40"/>
  <c r="K381" i="40"/>
  <c r="L381" i="40"/>
  <c r="M381" i="40"/>
  <c r="N381" i="40"/>
  <c r="G316" i="40"/>
  <c r="O341" i="40"/>
  <c r="O330" i="40"/>
  <c r="O331" i="40"/>
  <c r="O348" i="40"/>
  <c r="O340" i="40"/>
  <c r="L316" i="40"/>
  <c r="J316" i="40"/>
  <c r="K316" i="40"/>
  <c r="H316" i="40"/>
  <c r="M316" i="40"/>
  <c r="I316" i="40"/>
  <c r="O349" i="40"/>
  <c r="I317" i="40"/>
  <c r="H317" i="40"/>
  <c r="G319" i="40"/>
  <c r="G335" i="40"/>
  <c r="H319" i="40"/>
  <c r="H335" i="40"/>
  <c r="I319" i="40"/>
  <c r="I335" i="40"/>
  <c r="J319" i="40"/>
  <c r="J335" i="40"/>
  <c r="K319" i="40"/>
  <c r="K335" i="40"/>
  <c r="L319" i="40"/>
  <c r="L335" i="40"/>
  <c r="M319" i="40"/>
  <c r="M335" i="40"/>
  <c r="N319" i="40"/>
  <c r="N335" i="40"/>
  <c r="O335" i="40"/>
  <c r="K318" i="40"/>
  <c r="L318" i="40"/>
  <c r="M318" i="40"/>
  <c r="M343" i="40"/>
  <c r="N318" i="40"/>
  <c r="O343" i="40"/>
  <c r="G318" i="40"/>
  <c r="H318" i="40"/>
  <c r="I318" i="40"/>
  <c r="J318" i="40"/>
  <c r="J343" i="40"/>
  <c r="E426" i="40"/>
  <c r="H426" i="40"/>
  <c r="I426" i="40"/>
  <c r="J426" i="40"/>
  <c r="K426" i="40"/>
  <c r="L426" i="40"/>
  <c r="M426" i="40"/>
  <c r="N426" i="40"/>
  <c r="E427" i="40"/>
  <c r="H427" i="40"/>
  <c r="I427" i="40"/>
  <c r="J427" i="40"/>
  <c r="K427" i="40"/>
  <c r="L427" i="40"/>
  <c r="M427" i="40"/>
  <c r="N427" i="40"/>
  <c r="E382" i="40"/>
  <c r="H382" i="40"/>
  <c r="I382" i="40"/>
  <c r="J382" i="40"/>
  <c r="K382" i="40"/>
  <c r="L382" i="40"/>
  <c r="M382" i="40"/>
  <c r="N382" i="40"/>
  <c r="N331" i="40"/>
  <c r="N341" i="40"/>
  <c r="N340" i="40"/>
  <c r="N330" i="40"/>
  <c r="N348" i="40"/>
  <c r="O492" i="40"/>
  <c r="O509" i="40"/>
  <c r="H473" i="40"/>
  <c r="J473" i="40"/>
  <c r="O494" i="40"/>
  <c r="O511" i="40"/>
  <c r="O528" i="40"/>
  <c r="O493" i="40"/>
  <c r="G473" i="40"/>
  <c r="G481" i="40"/>
  <c r="G492" i="40"/>
  <c r="G509" i="40"/>
  <c r="O512" i="40"/>
  <c r="O529" i="40"/>
  <c r="O672" i="40"/>
  <c r="J172" i="41"/>
  <c r="K172" i="41"/>
  <c r="F11" i="35"/>
  <c r="G11" i="35"/>
  <c r="E12" i="35"/>
  <c r="E13" i="35"/>
  <c r="I463" i="41"/>
  <c r="I462" i="41"/>
  <c r="I461" i="41"/>
  <c r="O724" i="84"/>
  <c r="N643" i="42"/>
  <c r="M724" i="84"/>
  <c r="L643" i="42"/>
  <c r="K724" i="84"/>
  <c r="J643" i="42"/>
  <c r="I724" i="84"/>
  <c r="H643" i="42"/>
  <c r="G724" i="84"/>
  <c r="F643" i="42"/>
  <c r="N726" i="41"/>
  <c r="L726" i="41"/>
  <c r="J726" i="41"/>
  <c r="H726" i="41"/>
  <c r="F726" i="41"/>
  <c r="O726" i="41"/>
  <c r="M726" i="41"/>
  <c r="K726" i="41"/>
  <c r="I726" i="41"/>
  <c r="G726" i="41"/>
  <c r="O643" i="42"/>
  <c r="N724" i="84"/>
  <c r="M643" i="42"/>
  <c r="L724" i="84"/>
  <c r="K643" i="42"/>
  <c r="J724" i="84"/>
  <c r="I643" i="42"/>
  <c r="H724" i="84"/>
  <c r="G643" i="42"/>
  <c r="F724" i="84"/>
  <c r="J92" i="42"/>
  <c r="J20" i="42"/>
  <c r="J80" i="42"/>
  <c r="K92" i="42"/>
  <c r="L92" i="42"/>
  <c r="M92" i="42"/>
  <c r="O725" i="84"/>
  <c r="N644" i="42"/>
  <c r="M725" i="84"/>
  <c r="L644" i="42"/>
  <c r="K725" i="84"/>
  <c r="J644" i="42"/>
  <c r="I725" i="84"/>
  <c r="H644" i="42"/>
  <c r="G725" i="84"/>
  <c r="F644" i="42"/>
  <c r="N727" i="41"/>
  <c r="L727" i="41"/>
  <c r="J727" i="41"/>
  <c r="H727" i="41"/>
  <c r="F727" i="41"/>
  <c r="O727" i="41"/>
  <c r="M727" i="41"/>
  <c r="K727" i="41"/>
  <c r="I727" i="41"/>
  <c r="G727" i="41"/>
  <c r="O644" i="42"/>
  <c r="N725" i="84"/>
  <c r="M644" i="42"/>
  <c r="L725" i="84"/>
  <c r="K644" i="42"/>
  <c r="J725" i="84"/>
  <c r="I644" i="42"/>
  <c r="H725" i="84"/>
  <c r="G644" i="42"/>
  <c r="F725" i="84"/>
  <c r="G84" i="12"/>
  <c r="F92" i="42"/>
  <c r="F20" i="42"/>
  <c r="F80" i="42"/>
  <c r="N92" i="42"/>
  <c r="N20" i="42"/>
  <c r="N80" i="42"/>
  <c r="G92" i="42"/>
  <c r="G20" i="42"/>
  <c r="G80" i="42"/>
  <c r="O92" i="42"/>
  <c r="O20" i="42"/>
  <c r="O80" i="42"/>
  <c r="H92" i="42"/>
  <c r="H20" i="42"/>
  <c r="H80" i="42"/>
  <c r="I92" i="42"/>
  <c r="I20" i="42"/>
  <c r="I80" i="42"/>
  <c r="G83" i="12"/>
  <c r="I197" i="41"/>
  <c r="J197" i="41"/>
  <c r="K197" i="41"/>
  <c r="I326" i="41"/>
  <c r="I343" i="40"/>
  <c r="G343" i="40"/>
  <c r="N343" i="40"/>
  <c r="L343" i="40"/>
  <c r="I340" i="40"/>
  <c r="I341" i="40"/>
  <c r="I330" i="40"/>
  <c r="I348" i="40"/>
  <c r="I331" i="40"/>
  <c r="H348" i="40"/>
  <c r="H331" i="40"/>
  <c r="H340" i="40"/>
  <c r="H341" i="40"/>
  <c r="H330" i="40"/>
  <c r="J330" i="40"/>
  <c r="J331" i="40"/>
  <c r="J348" i="40"/>
  <c r="J340" i="40"/>
  <c r="J341" i="40"/>
  <c r="H343" i="40"/>
  <c r="K343" i="40"/>
  <c r="H332" i="40"/>
  <c r="H333" i="40"/>
  <c r="I333" i="40"/>
  <c r="I332" i="40"/>
  <c r="I342" i="40"/>
  <c r="I349" i="40"/>
  <c r="M331" i="40"/>
  <c r="M341" i="40"/>
  <c r="K340" i="40"/>
  <c r="K330" i="40"/>
  <c r="K341" i="40"/>
  <c r="L348" i="40"/>
  <c r="L331" i="40"/>
  <c r="G341" i="40"/>
  <c r="G348" i="40"/>
  <c r="G340" i="40"/>
  <c r="O510" i="40"/>
  <c r="O527" i="40"/>
  <c r="F12" i="35"/>
  <c r="G12" i="35"/>
  <c r="J373" i="40"/>
  <c r="K373" i="40"/>
  <c r="L373" i="40"/>
  <c r="M373" i="40"/>
  <c r="N373" i="40"/>
  <c r="K364" i="40"/>
  <c r="L364" i="40"/>
  <c r="M364" i="40"/>
  <c r="N364" i="40"/>
  <c r="G16" i="84"/>
  <c r="I16" i="84"/>
  <c r="K16" i="84"/>
  <c r="K77" i="84"/>
  <c r="M16" i="84"/>
  <c r="O16" i="84"/>
  <c r="G17" i="84"/>
  <c r="I17" i="84"/>
  <c r="K17" i="84"/>
  <c r="M17" i="84"/>
  <c r="O17" i="84"/>
  <c r="G18" i="84"/>
  <c r="I18" i="84"/>
  <c r="K18" i="84"/>
  <c r="M18" i="84"/>
  <c r="O18" i="84"/>
  <c r="G19" i="84"/>
  <c r="I19" i="84"/>
  <c r="K19" i="84"/>
  <c r="M19" i="84"/>
  <c r="O19" i="84"/>
  <c r="F16" i="84"/>
  <c r="F20" i="84"/>
  <c r="F68" i="84"/>
  <c r="H16" i="84"/>
  <c r="H77" i="84"/>
  <c r="J16" i="84"/>
  <c r="J77" i="84"/>
  <c r="L16" i="84"/>
  <c r="N16" i="84"/>
  <c r="F17" i="84"/>
  <c r="H17" i="84"/>
  <c r="J17" i="84"/>
  <c r="L17" i="84"/>
  <c r="N17" i="84"/>
  <c r="F18" i="84"/>
  <c r="H18" i="84"/>
  <c r="J18" i="84"/>
  <c r="L18" i="84"/>
  <c r="N18" i="84"/>
  <c r="F19" i="84"/>
  <c r="H19" i="84"/>
  <c r="J19" i="84"/>
  <c r="L19" i="84"/>
  <c r="N19" i="84"/>
  <c r="I106" i="42"/>
  <c r="I85" i="42"/>
  <c r="I117" i="42"/>
  <c r="I84" i="42"/>
  <c r="I116" i="42"/>
  <c r="I83" i="42"/>
  <c r="I115" i="42"/>
  <c r="J428" i="40"/>
  <c r="K428" i="40"/>
  <c r="L428" i="40"/>
  <c r="M428" i="40"/>
  <c r="N428" i="40"/>
  <c r="J326" i="41"/>
  <c r="L172" i="41"/>
  <c r="M172" i="41"/>
  <c r="M20" i="84"/>
  <c r="M68" i="84"/>
  <c r="M72" i="84"/>
  <c r="M105" i="84"/>
  <c r="N20" i="84"/>
  <c r="N68" i="84"/>
  <c r="O77" i="84"/>
  <c r="K326" i="41"/>
  <c r="L394" i="40"/>
  <c r="M394" i="40"/>
  <c r="N172" i="41"/>
  <c r="N394" i="40"/>
  <c r="O89" i="42"/>
  <c r="O90" i="42"/>
  <c r="K499" i="40"/>
  <c r="O66" i="42"/>
  <c r="O64" i="42"/>
  <c r="O333" i="40"/>
  <c r="G317" i="40"/>
  <c r="N317" i="40"/>
  <c r="N342" i="40"/>
  <c r="O342" i="40"/>
  <c r="M317" i="40"/>
  <c r="L317" i="40"/>
  <c r="O332" i="40"/>
  <c r="K317" i="40"/>
  <c r="J317" i="40"/>
  <c r="F302" i="40"/>
  <c r="F303" i="40"/>
  <c r="K302" i="40"/>
  <c r="K303" i="40"/>
  <c r="J360" i="41"/>
  <c r="K498" i="40"/>
  <c r="F350" i="41"/>
  <c r="L264" i="41"/>
  <c r="L271" i="41"/>
  <c r="L299" i="41"/>
  <c r="J264" i="41"/>
  <c r="I263" i="41"/>
  <c r="I270" i="41"/>
  <c r="I279" i="41"/>
  <c r="M483" i="40"/>
  <c r="I271" i="40"/>
  <c r="I473" i="40"/>
  <c r="I481" i="40"/>
  <c r="L271" i="40"/>
  <c r="L473" i="40"/>
  <c r="L481" i="40"/>
  <c r="L492" i="40"/>
  <c r="L509" i="40"/>
  <c r="N270" i="40"/>
  <c r="N472" i="40"/>
  <c r="N480" i="40"/>
  <c r="I306" i="40"/>
  <c r="N348" i="41"/>
  <c r="N358" i="41"/>
  <c r="N360" i="41"/>
  <c r="F445" i="41"/>
  <c r="M482" i="40"/>
  <c r="K271" i="40"/>
  <c r="K473" i="40"/>
  <c r="K481" i="40"/>
  <c r="K492" i="40"/>
  <c r="K509" i="40"/>
  <c r="N271" i="40"/>
  <c r="N473" i="40"/>
  <c r="N481" i="40"/>
  <c r="N492" i="40"/>
  <c r="N509" i="40"/>
  <c r="K348" i="41"/>
  <c r="K358" i="41"/>
  <c r="K361" i="41"/>
  <c r="M270" i="40"/>
  <c r="M472" i="40"/>
  <c r="M480" i="40"/>
  <c r="G444" i="41"/>
  <c r="G462" i="41"/>
  <c r="O442" i="41"/>
  <c r="G270" i="40"/>
  <c r="F228" i="41"/>
  <c r="N442" i="41"/>
  <c r="I308" i="41"/>
  <c r="N482" i="40"/>
  <c r="N495" i="40"/>
  <c r="N484" i="40"/>
  <c r="N483" i="40"/>
  <c r="N498" i="40"/>
  <c r="M271" i="40"/>
  <c r="M473" i="40"/>
  <c r="M481" i="40"/>
  <c r="M492" i="40"/>
  <c r="M509" i="40"/>
  <c r="K443" i="41"/>
  <c r="K463" i="41"/>
  <c r="K270" i="40"/>
  <c r="K472" i="40"/>
  <c r="K480" i="40"/>
  <c r="L302" i="40"/>
  <c r="G348" i="41"/>
  <c r="G358" i="41"/>
  <c r="M348" i="41"/>
  <c r="I361" i="41"/>
  <c r="J270" i="40"/>
  <c r="J472" i="40"/>
  <c r="G351" i="41"/>
  <c r="I502" i="40"/>
  <c r="I501" i="40"/>
  <c r="F326" i="41"/>
  <c r="F317" i="41"/>
  <c r="G264" i="41"/>
  <c r="G271" i="41"/>
  <c r="F308" i="41"/>
  <c r="G66" i="42"/>
  <c r="G64" i="42"/>
  <c r="F484" i="40"/>
  <c r="F502" i="40"/>
  <c r="F519" i="40"/>
  <c r="F536" i="40"/>
  <c r="G553" i="40"/>
  <c r="F480" i="40"/>
  <c r="F481" i="40"/>
  <c r="F492" i="40"/>
  <c r="F509" i="40"/>
  <c r="F482" i="40"/>
  <c r="F485" i="40"/>
  <c r="F503" i="40"/>
  <c r="F520" i="40"/>
  <c r="F537" i="40"/>
  <c r="G554" i="40"/>
  <c r="F483" i="40"/>
  <c r="F325" i="41"/>
  <c r="F307" i="41"/>
  <c r="G263" i="41"/>
  <c r="G270" i="41"/>
  <c r="N461" i="41"/>
  <c r="N463" i="41"/>
  <c r="N464" i="41"/>
  <c r="M53" i="84"/>
  <c r="M55" i="84"/>
  <c r="K307" i="40"/>
  <c r="K500" i="40"/>
  <c r="K517" i="40"/>
  <c r="K534" i="40"/>
  <c r="J303" i="40"/>
  <c r="I465" i="41"/>
  <c r="I483" i="40"/>
  <c r="O498" i="40"/>
  <c r="O515" i="40"/>
  <c r="O532" i="40"/>
  <c r="O500" i="40"/>
  <c r="O499" i="40"/>
  <c r="N496" i="40"/>
  <c r="N513" i="40"/>
  <c r="I495" i="40"/>
  <c r="I512" i="40"/>
  <c r="I529" i="40"/>
  <c r="I496" i="40"/>
  <c r="I493" i="40"/>
  <c r="I494" i="40"/>
  <c r="I511" i="40"/>
  <c r="I528" i="40"/>
  <c r="J53" i="84"/>
  <c r="J55" i="84"/>
  <c r="O264" i="41"/>
  <c r="O271" i="41"/>
  <c r="N317" i="41"/>
  <c r="H66" i="42"/>
  <c r="H64" i="42"/>
  <c r="N263" i="41"/>
  <c r="N270" i="41"/>
  <c r="N289" i="41"/>
  <c r="F53" i="84"/>
  <c r="F55" i="84"/>
  <c r="N55" i="84"/>
  <c r="N53" i="84"/>
  <c r="O360" i="41"/>
  <c r="O443" i="41"/>
  <c r="I53" i="84"/>
  <c r="I55" i="84"/>
  <c r="I64" i="42"/>
  <c r="I66" i="42"/>
  <c r="J443" i="41"/>
  <c r="G360" i="41"/>
  <c r="J228" i="41"/>
  <c r="L442" i="41"/>
  <c r="O308" i="41"/>
  <c r="I480" i="40"/>
  <c r="J288" i="40"/>
  <c r="J304" i="40"/>
  <c r="H442" i="41"/>
  <c r="M145" i="84"/>
  <c r="M142" i="84"/>
  <c r="N143" i="84"/>
  <c r="K271" i="41"/>
  <c r="K280" i="41"/>
  <c r="J271" i="41"/>
  <c r="G463" i="41"/>
  <c r="G464" i="41"/>
  <c r="M494" i="40"/>
  <c r="M511" i="40"/>
  <c r="M528" i="40"/>
  <c r="K349" i="40"/>
  <c r="K333" i="40"/>
  <c r="K342" i="40"/>
  <c r="K332" i="40"/>
  <c r="K461" i="41"/>
  <c r="K462" i="41"/>
  <c r="N502" i="40"/>
  <c r="N519" i="40"/>
  <c r="F480" i="41"/>
  <c r="J332" i="40"/>
  <c r="J333" i="40"/>
  <c r="J342" i="40"/>
  <c r="J349" i="40"/>
  <c r="M332" i="40"/>
  <c r="M342" i="40"/>
  <c r="M333" i="40"/>
  <c r="M349" i="40"/>
  <c r="K515" i="40"/>
  <c r="K532" i="40"/>
  <c r="K657" i="40"/>
  <c r="L349" i="40"/>
  <c r="L333" i="40"/>
  <c r="L342" i="40"/>
  <c r="L332" i="40"/>
  <c r="G332" i="40"/>
  <c r="G333" i="40"/>
  <c r="G349" i="40"/>
  <c r="G342" i="40"/>
  <c r="M358" i="41"/>
  <c r="N499" i="40"/>
  <c r="N516" i="40"/>
  <c r="N533" i="40"/>
  <c r="N658" i="40"/>
  <c r="M500" i="40"/>
  <c r="M498" i="40"/>
  <c r="M515" i="40"/>
  <c r="M532" i="40"/>
  <c r="M497" i="40"/>
  <c r="M514" i="40"/>
  <c r="M531" i="40"/>
  <c r="M656" i="40"/>
  <c r="M499" i="40"/>
  <c r="I519" i="40"/>
  <c r="I536" i="40"/>
  <c r="F500" i="40"/>
  <c r="F499" i="40"/>
  <c r="F516" i="40"/>
  <c r="F533" i="40"/>
  <c r="G550" i="40"/>
  <c r="I497" i="40"/>
  <c r="I514" i="40"/>
  <c r="I531" i="40"/>
  <c r="I499" i="40"/>
  <c r="I516" i="40"/>
  <c r="I533" i="40"/>
  <c r="I498" i="40"/>
  <c r="I515" i="40"/>
  <c r="I532" i="40"/>
  <c r="I500" i="40"/>
  <c r="I517" i="40"/>
  <c r="I534" i="40"/>
  <c r="F493" i="40"/>
  <c r="F510" i="40"/>
  <c r="F527" i="40"/>
  <c r="G544" i="40"/>
  <c r="F496" i="40"/>
  <c r="F495" i="40"/>
  <c r="F512" i="40"/>
  <c r="F529" i="40"/>
  <c r="G546" i="40"/>
  <c r="F494" i="40"/>
  <c r="O516" i="40"/>
  <c r="O533" i="40"/>
  <c r="I510" i="40"/>
  <c r="I527" i="40"/>
  <c r="K290" i="41"/>
  <c r="K299" i="41"/>
  <c r="J299" i="41"/>
  <c r="N536" i="40"/>
  <c r="O553" i="40"/>
  <c r="M517" i="40"/>
  <c r="M534" i="40"/>
  <c r="F511" i="40"/>
  <c r="F528" i="40"/>
  <c r="F513" i="40"/>
  <c r="F530" i="40"/>
  <c r="G547" i="40"/>
  <c r="F517" i="40"/>
  <c r="F534" i="40"/>
  <c r="G551" i="40"/>
  <c r="M677" i="40"/>
  <c r="N493" i="40"/>
  <c r="N89" i="42"/>
  <c r="N90" i="42"/>
  <c r="N85" i="42"/>
  <c r="N117" i="42"/>
  <c r="N105" i="42"/>
  <c r="N106" i="42"/>
  <c r="N83" i="42"/>
  <c r="N93" i="42"/>
  <c r="N84" i="42"/>
  <c r="N116" i="42"/>
  <c r="N512" i="40"/>
  <c r="N494" i="40"/>
  <c r="N511" i="40"/>
  <c r="M516" i="40"/>
  <c r="M533" i="40"/>
  <c r="M658" i="40"/>
  <c r="I513" i="40"/>
  <c r="I530" i="40"/>
  <c r="I655" i="40"/>
  <c r="O517" i="40"/>
  <c r="O534" i="40"/>
  <c r="O641" i="40"/>
  <c r="I518" i="40"/>
  <c r="I535" i="40"/>
  <c r="I660" i="40"/>
  <c r="O501" i="40"/>
  <c r="O518" i="40"/>
  <c r="O535" i="40"/>
  <c r="O678" i="40"/>
  <c r="O502" i="40"/>
  <c r="O519" i="40"/>
  <c r="O536" i="40"/>
  <c r="M95" i="84"/>
  <c r="N95" i="84"/>
  <c r="L480" i="40"/>
  <c r="M71" i="84"/>
  <c r="M104" i="84"/>
  <c r="H483" i="40"/>
  <c r="H482" i="40"/>
  <c r="L360" i="41"/>
  <c r="L443" i="41"/>
  <c r="J501" i="40"/>
  <c r="J502" i="40"/>
  <c r="J519" i="40"/>
  <c r="J536" i="40"/>
  <c r="H501" i="40"/>
  <c r="H502" i="40"/>
  <c r="H519" i="40"/>
  <c r="H536" i="40"/>
  <c r="M94" i="84"/>
  <c r="M96" i="84"/>
  <c r="M144" i="84"/>
  <c r="I93" i="42"/>
  <c r="J481" i="40"/>
  <c r="J492" i="40"/>
  <c r="J509" i="40"/>
  <c r="J482" i="40"/>
  <c r="J495" i="40"/>
  <c r="J512" i="40"/>
  <c r="J529" i="40"/>
  <c r="L483" i="40"/>
  <c r="L498" i="40"/>
  <c r="L515" i="40"/>
  <c r="L532" i="40"/>
  <c r="J480" i="40"/>
  <c r="H481" i="40"/>
  <c r="H492" i="40"/>
  <c r="H509" i="40"/>
  <c r="L482" i="40"/>
  <c r="L493" i="40"/>
  <c r="L510" i="40"/>
  <c r="L527" i="40"/>
  <c r="J483" i="40"/>
  <c r="J498" i="40"/>
  <c r="J515" i="40"/>
  <c r="J532" i="40"/>
  <c r="J639" i="40"/>
  <c r="G280" i="41"/>
  <c r="I89" i="42"/>
  <c r="I90" i="42"/>
  <c r="I105" i="42"/>
  <c r="N71" i="84"/>
  <c r="N104" i="84"/>
  <c r="K484" i="40"/>
  <c r="K502" i="40"/>
  <c r="K482" i="40"/>
  <c r="G484" i="40"/>
  <c r="O280" i="41"/>
  <c r="O290" i="41"/>
  <c r="O299" i="41"/>
  <c r="N298" i="41"/>
  <c r="N279" i="41"/>
  <c r="I298" i="41"/>
  <c r="I289" i="41"/>
  <c r="H496" i="40"/>
  <c r="H513" i="40"/>
  <c r="H530" i="40"/>
  <c r="H325" i="41"/>
  <c r="J263" i="41"/>
  <c r="J270" i="41"/>
  <c r="M263" i="41"/>
  <c r="M270" i="41"/>
  <c r="M298" i="41"/>
  <c r="L66" i="42"/>
  <c r="L64" i="42"/>
  <c r="K66" i="42"/>
  <c r="K64" i="42"/>
  <c r="I264" i="41"/>
  <c r="I271" i="41"/>
  <c r="I299" i="41"/>
  <c r="H317" i="41"/>
  <c r="H308" i="41"/>
  <c r="H326" i="41"/>
  <c r="M264" i="41"/>
  <c r="M271" i="41"/>
  <c r="L317" i="41"/>
  <c r="F66" i="42"/>
  <c r="F64" i="42"/>
  <c r="L270" i="41"/>
  <c r="G482" i="40"/>
  <c r="G483" i="40"/>
  <c r="G498" i="40"/>
  <c r="G515" i="40"/>
  <c r="G532" i="40"/>
  <c r="N462" i="41"/>
  <c r="N465" i="41"/>
  <c r="H223" i="41"/>
  <c r="H271" i="41"/>
  <c r="H280" i="41"/>
  <c r="O228" i="41"/>
  <c r="O444" i="41"/>
  <c r="I642" i="40"/>
  <c r="G543" i="40"/>
  <c r="G560" i="40"/>
  <c r="K639" i="40"/>
  <c r="L280" i="41"/>
  <c r="L290" i="41"/>
  <c r="N142" i="84"/>
  <c r="N144" i="84"/>
  <c r="H543" i="40"/>
  <c r="G89" i="42"/>
  <c r="G90" i="42"/>
  <c r="G84" i="42"/>
  <c r="G116" i="42"/>
  <c r="G105" i="42"/>
  <c r="G83" i="42"/>
  <c r="G85" i="42"/>
  <c r="G117" i="42"/>
  <c r="G106" i="42"/>
  <c r="O654" i="40"/>
  <c r="M73" i="84"/>
  <c r="M106" i="84"/>
  <c r="M107" i="84"/>
  <c r="M143" i="84"/>
  <c r="M146" i="84"/>
  <c r="M74" i="84"/>
  <c r="O634" i="40"/>
  <c r="O652" i="40"/>
  <c r="O670" i="40"/>
  <c r="H89" i="42"/>
  <c r="H90" i="42"/>
  <c r="H106" i="42"/>
  <c r="H83" i="42"/>
  <c r="H115" i="42"/>
  <c r="H85" i="42"/>
  <c r="H117" i="42"/>
  <c r="H84" i="42"/>
  <c r="H116" i="42"/>
  <c r="H105" i="42"/>
  <c r="H107" i="42"/>
  <c r="F105" i="42"/>
  <c r="F85" i="42"/>
  <c r="F117" i="42"/>
  <c r="F106" i="42"/>
  <c r="F83" i="42"/>
  <c r="F84" i="42"/>
  <c r="F116" i="42"/>
  <c r="J85" i="42"/>
  <c r="J117" i="42"/>
  <c r="J83" i="42"/>
  <c r="J105" i="42"/>
  <c r="M280" i="41"/>
  <c r="L501" i="40"/>
  <c r="L502" i="40"/>
  <c r="L519" i="40"/>
  <c r="L536" i="40"/>
  <c r="H263" i="41"/>
  <c r="H270" i="41"/>
  <c r="G307" i="41"/>
  <c r="G325" i="41"/>
  <c r="O263" i="41"/>
  <c r="O270" i="41"/>
  <c r="K270" i="41"/>
  <c r="N264" i="41"/>
  <c r="N271" i="41"/>
  <c r="N280" i="41"/>
  <c r="M317" i="41"/>
  <c r="O480" i="40"/>
  <c r="N510" i="40"/>
  <c r="L494" i="40"/>
  <c r="J493" i="40"/>
  <c r="J510" i="40"/>
  <c r="J527" i="40"/>
  <c r="J652" i="40"/>
  <c r="H498" i="40"/>
  <c r="H515" i="40"/>
  <c r="H532" i="40"/>
  <c r="H675" i="40"/>
  <c r="H499" i="40"/>
  <c r="H516" i="40"/>
  <c r="H533" i="40"/>
  <c r="H500" i="40"/>
  <c r="L500" i="40"/>
  <c r="L517" i="40"/>
  <c r="L534" i="40"/>
  <c r="L499" i="40"/>
  <c r="L516" i="40"/>
  <c r="L533" i="40"/>
  <c r="H518" i="40"/>
  <c r="H535" i="40"/>
  <c r="J518" i="40"/>
  <c r="J535" i="40"/>
  <c r="J660" i="40"/>
  <c r="H493" i="40"/>
  <c r="H510" i="40"/>
  <c r="H527" i="40"/>
  <c r="H670" i="40"/>
  <c r="G502" i="40"/>
  <c r="G519" i="40"/>
  <c r="K493" i="40"/>
  <c r="K510" i="40"/>
  <c r="K494" i="40"/>
  <c r="K511" i="40"/>
  <c r="K528" i="40"/>
  <c r="K495" i="40"/>
  <c r="K512" i="40"/>
  <c r="K529" i="40"/>
  <c r="L546" i="40"/>
  <c r="K496" i="40"/>
  <c r="H360" i="41"/>
  <c r="H443" i="41"/>
  <c r="G495" i="40"/>
  <c r="G512" i="40"/>
  <c r="G496" i="40"/>
  <c r="G513" i="40"/>
  <c r="G494" i="40"/>
  <c r="G511" i="40"/>
  <c r="J298" i="41"/>
  <c r="O351" i="41"/>
  <c r="H299" i="41"/>
  <c r="H290" i="41"/>
  <c r="G499" i="40"/>
  <c r="G516" i="40"/>
  <c r="G533" i="40"/>
  <c r="L518" i="40"/>
  <c r="L535" i="40"/>
  <c r="F115" i="42"/>
  <c r="F93" i="42"/>
  <c r="H93" i="42"/>
  <c r="G115" i="42"/>
  <c r="G93" i="42"/>
  <c r="N290" i="41"/>
  <c r="N299" i="41"/>
  <c r="J115" i="42"/>
  <c r="J93" i="42"/>
  <c r="L511" i="40"/>
  <c r="L528" i="40"/>
  <c r="L671" i="40"/>
  <c r="H517" i="40"/>
  <c r="H534" i="40"/>
  <c r="H659" i="40"/>
  <c r="K527" i="40"/>
  <c r="K670" i="40"/>
  <c r="K513" i="40"/>
  <c r="K530" i="40"/>
  <c r="K655" i="40"/>
  <c r="G536" i="40"/>
  <c r="H553" i="40"/>
  <c r="L642" i="40"/>
  <c r="L677" i="40"/>
  <c r="I158" i="41"/>
  <c r="H165" i="41"/>
  <c r="F89" i="42"/>
  <c r="F90" i="42"/>
  <c r="E182" i="41"/>
  <c r="H182" i="41"/>
  <c r="F31" i="6"/>
  <c r="N141" i="40"/>
  <c r="N530" i="40"/>
  <c r="O275" i="40"/>
  <c r="O323" i="40"/>
  <c r="O417" i="40"/>
  <c r="F417" i="40"/>
  <c r="G417" i="40"/>
  <c r="E417" i="40"/>
  <c r="H417" i="40"/>
  <c r="I417" i="40"/>
  <c r="J417" i="40"/>
  <c r="K417" i="40"/>
  <c r="L417" i="40"/>
  <c r="M417" i="40"/>
  <c r="N417" i="40"/>
  <c r="O387" i="40"/>
  <c r="F357" i="40"/>
  <c r="G357" i="40"/>
  <c r="O357" i="40"/>
  <c r="F432" i="40"/>
  <c r="G432" i="40"/>
  <c r="G669" i="40"/>
  <c r="G888" i="40"/>
  <c r="O372" i="40"/>
  <c r="O432" i="40"/>
  <c r="E432" i="40"/>
  <c r="H432" i="40"/>
  <c r="I432" i="40"/>
  <c r="J432" i="40"/>
  <c r="K432" i="40"/>
  <c r="L432" i="40"/>
  <c r="M432" i="40"/>
  <c r="N432" i="40"/>
  <c r="G651" i="40"/>
  <c r="G886" i="40"/>
  <c r="F387" i="40"/>
  <c r="F402" i="40"/>
  <c r="G402" i="40"/>
  <c r="K501" i="40"/>
  <c r="K518" i="40"/>
  <c r="K535" i="40"/>
  <c r="K678" i="40"/>
  <c r="J547" i="40"/>
  <c r="J494" i="40"/>
  <c r="J511" i="40"/>
  <c r="J528" i="40"/>
  <c r="J671" i="40"/>
  <c r="L495" i="40"/>
  <c r="L512" i="40"/>
  <c r="L529" i="40"/>
  <c r="L654" i="40"/>
  <c r="N501" i="40"/>
  <c r="N518" i="40"/>
  <c r="N535" i="40"/>
  <c r="N642" i="40"/>
  <c r="L496" i="40"/>
  <c r="L513" i="40"/>
  <c r="L530" i="40"/>
  <c r="L637" i="40"/>
  <c r="O636" i="40"/>
  <c r="L549" i="40"/>
  <c r="I673" i="40"/>
  <c r="K675" i="40"/>
  <c r="K652" i="40"/>
  <c r="I637" i="40"/>
  <c r="J636" i="40"/>
  <c r="K546" i="40"/>
  <c r="K563" i="40"/>
  <c r="K634" i="40"/>
  <c r="N643" i="40"/>
  <c r="O497" i="40"/>
  <c r="O514" i="40"/>
  <c r="O531" i="40"/>
  <c r="L544" i="40"/>
  <c r="I549" i="40"/>
  <c r="G493" i="40"/>
  <c r="G510" i="40"/>
  <c r="L551" i="40"/>
  <c r="K641" i="40"/>
  <c r="K677" i="40"/>
  <c r="K659" i="40"/>
  <c r="L545" i="40"/>
  <c r="K671" i="40"/>
  <c r="H678" i="40"/>
  <c r="I552" i="40"/>
  <c r="H641" i="40"/>
  <c r="K876" i="40"/>
  <c r="K516" i="40"/>
  <c r="K533" i="40"/>
  <c r="H497" i="40"/>
  <c r="H514" i="40"/>
  <c r="H531" i="40"/>
  <c r="H638" i="40"/>
  <c r="K673" i="40"/>
  <c r="K878" i="40"/>
  <c r="H639" i="40"/>
  <c r="G661" i="40"/>
  <c r="K497" i="40"/>
  <c r="K514" i="40"/>
  <c r="K531" i="40"/>
  <c r="G501" i="40"/>
  <c r="G518" i="40"/>
  <c r="G535" i="40"/>
  <c r="H552" i="40"/>
  <c r="H549" i="40"/>
  <c r="G639" i="40"/>
  <c r="L643" i="40"/>
  <c r="L661" i="40"/>
  <c r="M550" i="40"/>
  <c r="L658" i="40"/>
  <c r="L640" i="40"/>
  <c r="K519" i="40"/>
  <c r="K536" i="40"/>
  <c r="K661" i="40"/>
  <c r="I492" i="40"/>
  <c r="I509" i="40"/>
  <c r="J275" i="40"/>
  <c r="O477" i="40"/>
  <c r="O485" i="40"/>
  <c r="O503" i="40"/>
  <c r="O520" i="40"/>
  <c r="O537" i="40"/>
  <c r="N275" i="40"/>
  <c r="N477" i="40"/>
  <c r="N485" i="40"/>
  <c r="N503" i="40"/>
  <c r="M275" i="40"/>
  <c r="O276" i="40"/>
  <c r="L275" i="40"/>
  <c r="H275" i="40"/>
  <c r="G275" i="40"/>
  <c r="G477" i="40"/>
  <c r="G485" i="40"/>
  <c r="G503" i="40"/>
  <c r="G520" i="40"/>
  <c r="G537" i="40"/>
  <c r="I275" i="40"/>
  <c r="K275" i="40"/>
  <c r="K477" i="40"/>
  <c r="K485" i="40"/>
  <c r="K503" i="40"/>
  <c r="K520" i="40"/>
  <c r="K537" i="40"/>
  <c r="G658" i="40"/>
  <c r="G676" i="40"/>
  <c r="O657" i="40"/>
  <c r="O675" i="40"/>
  <c r="O639" i="40"/>
  <c r="O653" i="40"/>
  <c r="O671" i="40"/>
  <c r="O635" i="40"/>
  <c r="M501" i="40"/>
  <c r="M518" i="40"/>
  <c r="M535" i="40"/>
  <c r="M502" i="40"/>
  <c r="M519" i="40"/>
  <c r="M536" i="40"/>
  <c r="J642" i="40"/>
  <c r="M545" i="40"/>
  <c r="H677" i="40"/>
  <c r="K637" i="40"/>
  <c r="G643" i="40"/>
  <c r="L672" i="40"/>
  <c r="I551" i="40"/>
  <c r="N673" i="40"/>
  <c r="N500" i="40"/>
  <c r="L497" i="40"/>
  <c r="L514" i="40"/>
  <c r="L531" i="40"/>
  <c r="L674" i="40"/>
  <c r="O547" i="40"/>
  <c r="N661" i="40"/>
  <c r="N497" i="40"/>
  <c r="N514" i="40"/>
  <c r="N531" i="40"/>
  <c r="K635" i="40"/>
  <c r="K653" i="40"/>
  <c r="K856" i="40"/>
  <c r="F501" i="40"/>
  <c r="F518" i="40"/>
  <c r="F535" i="40"/>
  <c r="G552" i="40"/>
  <c r="H634" i="40"/>
  <c r="L678" i="40"/>
  <c r="M552" i="40"/>
  <c r="L660" i="40"/>
  <c r="L896" i="40"/>
  <c r="G678" i="40"/>
  <c r="L641" i="40"/>
  <c r="L874" i="40"/>
  <c r="M551" i="40"/>
  <c r="K289" i="41"/>
  <c r="K298" i="41"/>
  <c r="K279" i="41"/>
  <c r="O463" i="41"/>
  <c r="O464" i="41"/>
  <c r="J289" i="41"/>
  <c r="J279" i="41"/>
  <c r="H495" i="40"/>
  <c r="H512" i="40"/>
  <c r="H529" i="40"/>
  <c r="H672" i="40"/>
  <c r="H494" i="40"/>
  <c r="H511" i="40"/>
  <c r="H528" i="40"/>
  <c r="N676" i="40"/>
  <c r="N640" i="40"/>
  <c r="O550" i="40"/>
  <c r="O567" i="40"/>
  <c r="I670" i="40"/>
  <c r="J544" i="40"/>
  <c r="I634" i="40"/>
  <c r="I652" i="40"/>
  <c r="K676" i="40"/>
  <c r="K640" i="40"/>
  <c r="K658" i="40"/>
  <c r="L550" i="40"/>
  <c r="F444" i="41"/>
  <c r="F359" i="41"/>
  <c r="F351" i="41"/>
  <c r="F421" i="41"/>
  <c r="K545" i="40"/>
  <c r="J635" i="40"/>
  <c r="J854" i="40"/>
  <c r="H679" i="40"/>
  <c r="H643" i="40"/>
  <c r="N550" i="40"/>
  <c r="N567" i="40"/>
  <c r="M640" i="40"/>
  <c r="M676" i="40"/>
  <c r="M641" i="40"/>
  <c r="M659" i="40"/>
  <c r="N551" i="40"/>
  <c r="J351" i="41"/>
  <c r="J359" i="41"/>
  <c r="G98" i="42"/>
  <c r="G139" i="42"/>
  <c r="G97" i="42"/>
  <c r="G138" i="42"/>
  <c r="L298" i="41"/>
  <c r="L279" i="41"/>
  <c r="L289" i="41"/>
  <c r="L547" i="40"/>
  <c r="L653" i="40"/>
  <c r="F118" i="42"/>
  <c r="M495" i="40"/>
  <c r="M512" i="40"/>
  <c r="M529" i="40"/>
  <c r="M496" i="40"/>
  <c r="M513" i="40"/>
  <c r="M530" i="40"/>
  <c r="M493" i="40"/>
  <c r="M510" i="40"/>
  <c r="M527" i="40"/>
  <c r="N894" i="40"/>
  <c r="N679" i="40"/>
  <c r="J290" i="41"/>
  <c r="J280" i="41"/>
  <c r="K858" i="40"/>
  <c r="J496" i="40"/>
  <c r="J513" i="40"/>
  <c r="J530" i="40"/>
  <c r="K547" i="40"/>
  <c r="K564" i="40"/>
  <c r="F497" i="40"/>
  <c r="F498" i="40"/>
  <c r="F515" i="40"/>
  <c r="F532" i="40"/>
  <c r="F486" i="40"/>
  <c r="G472" i="40"/>
  <c r="G480" i="40"/>
  <c r="G276" i="40"/>
  <c r="F479" i="41"/>
  <c r="F481" i="41"/>
  <c r="F482" i="41"/>
  <c r="N333" i="40"/>
  <c r="N515" i="40"/>
  <c r="N532" i="40"/>
  <c r="N332" i="40"/>
  <c r="N349" i="40"/>
  <c r="I80" i="84"/>
  <c r="I77" i="84"/>
  <c r="I20" i="84"/>
  <c r="I68" i="84"/>
  <c r="L326" i="41"/>
  <c r="L197" i="41"/>
  <c r="M80" i="84"/>
  <c r="M81" i="84"/>
  <c r="M82" i="84"/>
  <c r="M77" i="84"/>
  <c r="M78" i="84"/>
  <c r="M87" i="84"/>
  <c r="M127" i="84"/>
  <c r="G78" i="12"/>
  <c r="G75" i="12"/>
  <c r="F383" i="40"/>
  <c r="L75" i="41"/>
  <c r="L227" i="41"/>
  <c r="L228" i="41"/>
  <c r="F10" i="12"/>
  <c r="H26" i="41"/>
  <c r="G26" i="41"/>
  <c r="J26" i="41"/>
  <c r="L26" i="41"/>
  <c r="G141" i="40"/>
  <c r="G530" i="40"/>
  <c r="G655" i="40"/>
  <c r="O380" i="40"/>
  <c r="E380" i="40"/>
  <c r="H380" i="40"/>
  <c r="I380" i="40"/>
  <c r="J380" i="40"/>
  <c r="K380" i="40"/>
  <c r="L380" i="40"/>
  <c r="M380" i="40"/>
  <c r="N380" i="40"/>
  <c r="F30" i="6"/>
  <c r="N361" i="41"/>
  <c r="L80" i="84"/>
  <c r="L20" i="84"/>
  <c r="L68" i="84"/>
  <c r="L77" i="84"/>
  <c r="H80" i="84"/>
  <c r="H20" i="84"/>
  <c r="H68" i="84"/>
  <c r="G96" i="42"/>
  <c r="G137" i="42"/>
  <c r="G118" i="42"/>
  <c r="N115" i="42"/>
  <c r="J444" i="41"/>
  <c r="J463" i="41"/>
  <c r="J348" i="41"/>
  <c r="F95" i="84"/>
  <c r="F71" i="84"/>
  <c r="F104" i="84"/>
  <c r="F94" i="84"/>
  <c r="F74" i="84"/>
  <c r="F143" i="84"/>
  <c r="F145" i="84"/>
  <c r="F144" i="84"/>
  <c r="F142" i="84"/>
  <c r="N72" i="84"/>
  <c r="N105" i="84"/>
  <c r="N74" i="84"/>
  <c r="N73" i="84"/>
  <c r="N106" i="84"/>
  <c r="N94" i="84"/>
  <c r="N145" i="84"/>
  <c r="J89" i="42"/>
  <c r="J90" i="42"/>
  <c r="J97" i="42"/>
  <c r="J138" i="42"/>
  <c r="J106" i="42"/>
  <c r="J84" i="42"/>
  <c r="J116" i="42"/>
  <c r="F107" i="42"/>
  <c r="I107" i="42"/>
  <c r="I95" i="84"/>
  <c r="N80" i="84"/>
  <c r="N81" i="84"/>
  <c r="N82" i="84"/>
  <c r="N77" i="84"/>
  <c r="J80" i="84"/>
  <c r="J20" i="84"/>
  <c r="J68" i="84"/>
  <c r="F80" i="84"/>
  <c r="F81" i="84"/>
  <c r="F82" i="84"/>
  <c r="F77" i="84"/>
  <c r="F78" i="84"/>
  <c r="K80" i="84"/>
  <c r="K20" i="84"/>
  <c r="K68" i="84"/>
  <c r="G80" i="84"/>
  <c r="G20" i="84"/>
  <c r="G68" i="84"/>
  <c r="G77" i="84"/>
  <c r="E59" i="6"/>
  <c r="G567" i="40"/>
  <c r="H550" i="40"/>
  <c r="H567" i="40"/>
  <c r="G640" i="40"/>
  <c r="G657" i="40"/>
  <c r="G675" i="40"/>
  <c r="G679" i="40"/>
  <c r="G898" i="40"/>
  <c r="G570" i="40"/>
  <c r="K679" i="40"/>
  <c r="K898" i="40"/>
  <c r="L553" i="40"/>
  <c r="L570" i="40"/>
  <c r="K643" i="40"/>
  <c r="K562" i="40"/>
  <c r="G642" i="40"/>
  <c r="G894" i="40"/>
  <c r="G660" i="40"/>
  <c r="G896" i="40"/>
  <c r="L552" i="40"/>
  <c r="L569" i="40"/>
  <c r="K660" i="40"/>
  <c r="K896" i="40"/>
  <c r="K642" i="40"/>
  <c r="K672" i="40"/>
  <c r="K868" i="40"/>
  <c r="K636" i="40"/>
  <c r="K864" i="40"/>
  <c r="K654" i="40"/>
  <c r="K866" i="40"/>
  <c r="L636" i="40"/>
  <c r="L864" i="40"/>
  <c r="M546" i="40"/>
  <c r="M563" i="40"/>
  <c r="L563" i="40"/>
  <c r="L670" i="40"/>
  <c r="L652" i="40"/>
  <c r="L634" i="40"/>
  <c r="M544" i="40"/>
  <c r="M561" i="40"/>
  <c r="L561" i="40"/>
  <c r="L659" i="40"/>
  <c r="M568" i="40"/>
  <c r="L568" i="40"/>
  <c r="I544" i="40"/>
  <c r="I561" i="40"/>
  <c r="H652" i="40"/>
  <c r="K544" i="40"/>
  <c r="K561" i="40"/>
  <c r="J634" i="40"/>
  <c r="J670" i="40"/>
  <c r="J561" i="40"/>
  <c r="H657" i="40"/>
  <c r="I566" i="40"/>
  <c r="H566" i="40"/>
  <c r="H640" i="40"/>
  <c r="I550" i="40"/>
  <c r="I567" i="40"/>
  <c r="H676" i="40"/>
  <c r="H868" i="40"/>
  <c r="H658" i="40"/>
  <c r="J657" i="40"/>
  <c r="K549" i="40"/>
  <c r="K566" i="40"/>
  <c r="J675" i="40"/>
  <c r="J858" i="40"/>
  <c r="I545" i="40"/>
  <c r="I562" i="40"/>
  <c r="H653" i="40"/>
  <c r="O461" i="41"/>
  <c r="O462" i="41"/>
  <c r="M549" i="40"/>
  <c r="M566" i="40"/>
  <c r="L657" i="40"/>
  <c r="L856" i="40"/>
  <c r="L566" i="40"/>
  <c r="M548" i="40"/>
  <c r="M565" i="40"/>
  <c r="L656" i="40"/>
  <c r="H654" i="40"/>
  <c r="H866" i="40"/>
  <c r="I546" i="40"/>
  <c r="I563" i="40"/>
  <c r="H636" i="40"/>
  <c r="H642" i="40"/>
  <c r="H894" i="40"/>
  <c r="H660" i="40"/>
  <c r="H569" i="40"/>
  <c r="J643" i="40"/>
  <c r="J894" i="40"/>
  <c r="J661" i="40"/>
  <c r="J896" i="40"/>
  <c r="M660" i="40"/>
  <c r="M678" i="40"/>
  <c r="M569" i="40"/>
  <c r="M643" i="40"/>
  <c r="M661" i="40"/>
  <c r="N97" i="42"/>
  <c r="N138" i="42"/>
  <c r="N96" i="42"/>
  <c r="N137" i="42"/>
  <c r="N98" i="42"/>
  <c r="N139" i="42"/>
  <c r="F98" i="42"/>
  <c r="F139" i="42"/>
  <c r="F97" i="42"/>
  <c r="F138" i="42"/>
  <c r="K854" i="40"/>
  <c r="M279" i="41"/>
  <c r="M289" i="41"/>
  <c r="G571" i="40"/>
  <c r="J637" i="40"/>
  <c r="J552" i="40"/>
  <c r="J569" i="40"/>
  <c r="I569" i="40"/>
  <c r="I640" i="40"/>
  <c r="J550" i="40"/>
  <c r="I658" i="40"/>
  <c r="I676" i="40"/>
  <c r="J551" i="40"/>
  <c r="I677" i="40"/>
  <c r="I878" i="40"/>
  <c r="I659" i="40"/>
  <c r="I876" i="40"/>
  <c r="I641" i="40"/>
  <c r="I874" i="40"/>
  <c r="I568" i="40"/>
  <c r="N549" i="40"/>
  <c r="M639" i="40"/>
  <c r="M657" i="40"/>
  <c r="M675" i="40"/>
  <c r="O552" i="40"/>
  <c r="N660" i="40"/>
  <c r="N896" i="40"/>
  <c r="N548" i="40"/>
  <c r="M674" i="40"/>
  <c r="I635" i="40"/>
  <c r="I653" i="40"/>
  <c r="I671" i="40"/>
  <c r="I661" i="40"/>
  <c r="I896" i="40"/>
  <c r="J553" i="40"/>
  <c r="J570" i="40"/>
  <c r="I679" i="40"/>
  <c r="I643" i="40"/>
  <c r="I894" i="40"/>
  <c r="J653" i="40"/>
  <c r="H674" i="40"/>
  <c r="H848" i="40"/>
  <c r="H656" i="40"/>
  <c r="H898" i="40"/>
  <c r="M547" i="40"/>
  <c r="M564" i="40"/>
  <c r="L655" i="40"/>
  <c r="L673" i="40"/>
  <c r="L878" i="40"/>
  <c r="L564" i="40"/>
  <c r="L635" i="40"/>
  <c r="M562" i="40"/>
  <c r="L562" i="40"/>
  <c r="L676" i="40"/>
  <c r="L868" i="40"/>
  <c r="L567" i="40"/>
  <c r="M567" i="40"/>
  <c r="M553" i="40"/>
  <c r="M570" i="40"/>
  <c r="L679" i="40"/>
  <c r="L898" i="40"/>
  <c r="K644" i="40"/>
  <c r="K904" i="40"/>
  <c r="L554" i="40"/>
  <c r="H97" i="42"/>
  <c r="H138" i="42"/>
  <c r="H96" i="42"/>
  <c r="H137" i="42"/>
  <c r="H98" i="42"/>
  <c r="H139" i="42"/>
  <c r="H673" i="40"/>
  <c r="H878" i="40"/>
  <c r="K552" i="40"/>
  <c r="K569" i="40"/>
  <c r="J678" i="40"/>
  <c r="I553" i="40"/>
  <c r="I570" i="40"/>
  <c r="H661" i="40"/>
  <c r="H570" i="40"/>
  <c r="O643" i="40"/>
  <c r="O570" i="40"/>
  <c r="O642" i="40"/>
  <c r="O660" i="40"/>
  <c r="O569" i="40"/>
  <c r="I678" i="40"/>
  <c r="O359" i="41"/>
  <c r="O348" i="41"/>
  <c r="J672" i="40"/>
  <c r="J654" i="40"/>
  <c r="G486" i="40"/>
  <c r="G500" i="40"/>
  <c r="G517" i="40"/>
  <c r="G534" i="40"/>
  <c r="G497" i="40"/>
  <c r="F96" i="42"/>
  <c r="F137" i="42"/>
  <c r="M290" i="41"/>
  <c r="M299" i="41"/>
  <c r="I290" i="41"/>
  <c r="I280" i="41"/>
  <c r="N678" i="40"/>
  <c r="N898" i="40"/>
  <c r="M638" i="40"/>
  <c r="I97" i="42"/>
  <c r="I138" i="42"/>
  <c r="I98" i="42"/>
  <c r="I139" i="42"/>
  <c r="I96" i="42"/>
  <c r="I137" i="42"/>
  <c r="J545" i="40"/>
  <c r="J562" i="40"/>
  <c r="J497" i="40"/>
  <c r="J499" i="40"/>
  <c r="J516" i="40"/>
  <c r="J533" i="40"/>
  <c r="J500" i="40"/>
  <c r="J517" i="40"/>
  <c r="J534" i="40"/>
  <c r="O638" i="40"/>
  <c r="O656" i="40"/>
  <c r="O674" i="40"/>
  <c r="I672" i="40"/>
  <c r="I636" i="40"/>
  <c r="I654" i="40"/>
  <c r="I866" i="40"/>
  <c r="J546" i="40"/>
  <c r="J563" i="40"/>
  <c r="O658" i="40"/>
  <c r="O866" i="40"/>
  <c r="O676" i="40"/>
  <c r="O868" i="40"/>
  <c r="O640" i="40"/>
  <c r="O864" i="40"/>
  <c r="G279" i="41"/>
  <c r="G289" i="41"/>
  <c r="G298" i="41"/>
  <c r="G680" i="40"/>
  <c r="G908" i="40"/>
  <c r="G644" i="40"/>
  <c r="G904" i="40"/>
  <c r="G662" i="40"/>
  <c r="G906" i="40"/>
  <c r="H554" i="40"/>
  <c r="G290" i="41"/>
  <c r="G299" i="41"/>
  <c r="K486" i="40"/>
  <c r="N486" i="40"/>
  <c r="O659" i="40"/>
  <c r="O105" i="42"/>
  <c r="O84" i="42"/>
  <c r="O116" i="42"/>
  <c r="O85" i="42"/>
  <c r="O117" i="42"/>
  <c r="O83" i="42"/>
  <c r="O106" i="42"/>
  <c r="J308" i="41"/>
  <c r="K183" i="41"/>
  <c r="F375" i="41"/>
  <c r="F374" i="41"/>
  <c r="J64" i="42"/>
  <c r="J96" i="42"/>
  <c r="J137" i="42"/>
  <c r="J66" i="42"/>
  <c r="J98" i="42"/>
  <c r="J139" i="42"/>
  <c r="M64" i="42"/>
  <c r="M66" i="42"/>
  <c r="M360" i="41"/>
  <c r="M361" i="41"/>
  <c r="M443" i="41"/>
  <c r="H75" i="41"/>
  <c r="H227" i="41"/>
  <c r="H228" i="41"/>
  <c r="H73" i="41"/>
  <c r="L74" i="41"/>
  <c r="N72" i="41"/>
  <c r="C8" i="12"/>
  <c r="C17" i="12"/>
  <c r="C18" i="12"/>
  <c r="I196" i="41"/>
  <c r="J325" i="41"/>
  <c r="K196" i="41"/>
  <c r="L325" i="41"/>
  <c r="M196" i="41"/>
  <c r="N325" i="41"/>
  <c r="O196" i="41"/>
  <c r="E196" i="41"/>
  <c r="G189" i="41"/>
  <c r="H196" i="41"/>
  <c r="I325" i="41"/>
  <c r="J196" i="41"/>
  <c r="K325" i="41"/>
  <c r="L196" i="41"/>
  <c r="M325" i="41"/>
  <c r="N196" i="41"/>
  <c r="O325" i="41"/>
  <c r="O189" i="41"/>
  <c r="F189" i="41"/>
  <c r="F316" i="41"/>
  <c r="F48" i="6"/>
  <c r="N48" i="42"/>
  <c r="N150" i="42"/>
  <c r="L48" i="42"/>
  <c r="J48" i="42"/>
  <c r="J150" i="42"/>
  <c r="H48" i="42"/>
  <c r="H150" i="42"/>
  <c r="O43" i="42"/>
  <c r="O149" i="42"/>
  <c r="M43" i="42"/>
  <c r="K43" i="42"/>
  <c r="I43" i="42"/>
  <c r="I149" i="42"/>
  <c r="G43" i="42"/>
  <c r="N38" i="42"/>
  <c r="N148" i="42"/>
  <c r="L38" i="42"/>
  <c r="J38" i="42"/>
  <c r="J148" i="42"/>
  <c r="H38" i="42"/>
  <c r="H148" i="42"/>
  <c r="O33" i="42"/>
  <c r="O147" i="42"/>
  <c r="M33" i="42"/>
  <c r="K33" i="42"/>
  <c r="I33" i="42"/>
  <c r="I147" i="42"/>
  <c r="G33" i="42"/>
  <c r="O48" i="42"/>
  <c r="O150" i="42"/>
  <c r="M48" i="42"/>
  <c r="K48" i="42"/>
  <c r="I48" i="42"/>
  <c r="I150" i="42"/>
  <c r="G48" i="42"/>
  <c r="N43" i="42"/>
  <c r="N149" i="42"/>
  <c r="L43" i="42"/>
  <c r="J43" i="42"/>
  <c r="J149" i="42"/>
  <c r="H43" i="42"/>
  <c r="H149" i="42"/>
  <c r="O38" i="42"/>
  <c r="O148" i="42"/>
  <c r="M38" i="42"/>
  <c r="K38" i="42"/>
  <c r="I38" i="42"/>
  <c r="I148" i="42"/>
  <c r="G38" i="42"/>
  <c r="N33" i="42"/>
  <c r="N147" i="42"/>
  <c r="L33" i="42"/>
  <c r="J33" i="42"/>
  <c r="J147" i="42"/>
  <c r="H33" i="42"/>
  <c r="H147" i="42"/>
  <c r="E357" i="40"/>
  <c r="H357" i="40"/>
  <c r="I357" i="40"/>
  <c r="J357" i="40"/>
  <c r="K357" i="40"/>
  <c r="L357" i="40"/>
  <c r="M357" i="40"/>
  <c r="N357" i="40"/>
  <c r="N655" i="40"/>
  <c r="N637" i="40"/>
  <c r="H307" i="41"/>
  <c r="I182" i="41"/>
  <c r="N529" i="40"/>
  <c r="N528" i="40"/>
  <c r="F376" i="41"/>
  <c r="F483" i="41"/>
  <c r="F85" i="84"/>
  <c r="F133" i="84"/>
  <c r="N78" i="84"/>
  <c r="E402" i="40"/>
  <c r="H402" i="40"/>
  <c r="I402" i="40"/>
  <c r="J402" i="40"/>
  <c r="K402" i="40"/>
  <c r="L402" i="40"/>
  <c r="M402" i="40"/>
  <c r="N402" i="40"/>
  <c r="G633" i="40"/>
  <c r="G884" i="40"/>
  <c r="F372" i="40"/>
  <c r="G372" i="40"/>
  <c r="E372" i="40"/>
  <c r="L323" i="40"/>
  <c r="L325" i="40"/>
  <c r="L526" i="40"/>
  <c r="H323" i="40"/>
  <c r="H325" i="40"/>
  <c r="H526" i="40"/>
  <c r="K323" i="40"/>
  <c r="K325" i="40"/>
  <c r="K526" i="40"/>
  <c r="J323" i="40"/>
  <c r="J325" i="40"/>
  <c r="J526" i="40"/>
  <c r="N323" i="40"/>
  <c r="N325" i="40"/>
  <c r="N526" i="40"/>
  <c r="O325" i="40"/>
  <c r="O526" i="40"/>
  <c r="I323" i="40"/>
  <c r="I325" i="40"/>
  <c r="I526" i="40"/>
  <c r="I669" i="40"/>
  <c r="I888" i="40"/>
  <c r="M323" i="40"/>
  <c r="M325" i="40"/>
  <c r="M526" i="40"/>
  <c r="G387" i="40"/>
  <c r="E387" i="40"/>
  <c r="H387" i="40"/>
  <c r="I387" i="40"/>
  <c r="N527" i="40"/>
  <c r="K580" i="40"/>
  <c r="K599" i="40"/>
  <c r="K874" i="40"/>
  <c r="L638" i="40"/>
  <c r="L844" i="40"/>
  <c r="O486" i="40"/>
  <c r="N566" i="40"/>
  <c r="N565" i="40"/>
  <c r="H844" i="40"/>
  <c r="L548" i="40"/>
  <c r="L565" i="40"/>
  <c r="K674" i="40"/>
  <c r="K848" i="40"/>
  <c r="G673" i="40"/>
  <c r="N702" i="40" a="1"/>
  <c r="N707" i="40"/>
  <c r="O858" i="40"/>
  <c r="O856" i="40"/>
  <c r="I548" i="40"/>
  <c r="I565" i="40"/>
  <c r="K618" i="40"/>
  <c r="N276" i="40"/>
  <c r="K702" i="40" a="1"/>
  <c r="G569" i="40"/>
  <c r="G624" i="40"/>
  <c r="K662" i="40"/>
  <c r="K906" i="40"/>
  <c r="K680" i="40"/>
  <c r="K908" i="40"/>
  <c r="L477" i="40"/>
  <c r="L485" i="40"/>
  <c r="L276" i="40"/>
  <c r="O662" i="40"/>
  <c r="O906" i="40"/>
  <c r="O644" i="40"/>
  <c r="O904" i="40"/>
  <c r="O680" i="40"/>
  <c r="O908" i="40"/>
  <c r="N517" i="40"/>
  <c r="N534" i="40"/>
  <c r="N709" i="40"/>
  <c r="K638" i="40"/>
  <c r="K844" i="40"/>
  <c r="K656" i="40"/>
  <c r="K846" i="40"/>
  <c r="I477" i="40"/>
  <c r="I485" i="40"/>
  <c r="I276" i="40"/>
  <c r="J477" i="40"/>
  <c r="J485" i="40"/>
  <c r="J276" i="40"/>
  <c r="N553" i="40"/>
  <c r="N570" i="40"/>
  <c r="M679" i="40"/>
  <c r="M898" i="40"/>
  <c r="M477" i="40"/>
  <c r="M485" i="40"/>
  <c r="M503" i="40"/>
  <c r="M520" i="40"/>
  <c r="M537" i="40"/>
  <c r="M276" i="40"/>
  <c r="L848" i="40"/>
  <c r="N552" i="40"/>
  <c r="N569" i="40"/>
  <c r="M642" i="40"/>
  <c r="M894" i="40"/>
  <c r="O854" i="40"/>
  <c r="H477" i="40"/>
  <c r="H485" i="40"/>
  <c r="H276" i="40"/>
  <c r="N520" i="40"/>
  <c r="N537" i="40"/>
  <c r="I864" i="40"/>
  <c r="H896" i="40"/>
  <c r="K894" i="40"/>
  <c r="I547" i="40"/>
  <c r="I564" i="40"/>
  <c r="H655" i="40"/>
  <c r="H876" i="40"/>
  <c r="H637" i="40"/>
  <c r="H874" i="40"/>
  <c r="O661" i="40"/>
  <c r="O896" i="40"/>
  <c r="O679" i="40"/>
  <c r="O898" i="40"/>
  <c r="M86" i="84"/>
  <c r="M130" i="84"/>
  <c r="M85" i="84"/>
  <c r="M133" i="84"/>
  <c r="G596" i="40"/>
  <c r="G885" i="40"/>
  <c r="G577" i="40"/>
  <c r="G883" i="40"/>
  <c r="G615" i="40"/>
  <c r="G887" i="40"/>
  <c r="I638" i="40"/>
  <c r="I844" i="40"/>
  <c r="I674" i="40"/>
  <c r="I848" i="40"/>
  <c r="J548" i="40"/>
  <c r="I656" i="40"/>
  <c r="I846" i="40"/>
  <c r="I657" i="40"/>
  <c r="I856" i="40"/>
  <c r="I639" i="40"/>
  <c r="I854" i="40"/>
  <c r="I675" i="40"/>
  <c r="J549" i="40"/>
  <c r="J566" i="40"/>
  <c r="N545" i="40"/>
  <c r="N562" i="40"/>
  <c r="M635" i="40"/>
  <c r="M854" i="40"/>
  <c r="M671" i="40"/>
  <c r="M858" i="40"/>
  <c r="M653" i="40"/>
  <c r="M856" i="40"/>
  <c r="J679" i="40"/>
  <c r="J898" i="40"/>
  <c r="K553" i="40"/>
  <c r="K570" i="40"/>
  <c r="N634" i="40"/>
  <c r="O544" i="40"/>
  <c r="O561" i="40"/>
  <c r="O289" i="41"/>
  <c r="O279" i="41"/>
  <c r="O298" i="41"/>
  <c r="H289" i="41"/>
  <c r="H298" i="41"/>
  <c r="H279" i="41"/>
  <c r="H669" i="40"/>
  <c r="H888" i="40"/>
  <c r="I543" i="40"/>
  <c r="I560" i="40"/>
  <c r="H633" i="40"/>
  <c r="H884" i="40"/>
  <c r="L639" i="40"/>
  <c r="L854" i="40"/>
  <c r="L675" i="40"/>
  <c r="L858" i="40"/>
  <c r="N546" i="40"/>
  <c r="N563" i="40"/>
  <c r="M636" i="40"/>
  <c r="M864" i="40"/>
  <c r="M672" i="40"/>
  <c r="M868" i="40"/>
  <c r="M654" i="40"/>
  <c r="M866" i="40"/>
  <c r="G545" i="40"/>
  <c r="N710" i="40"/>
  <c r="N703" i="40"/>
  <c r="N823" i="40"/>
  <c r="H118" i="42"/>
  <c r="L866" i="40"/>
  <c r="L894" i="40"/>
  <c r="G107" i="42"/>
  <c r="O677" i="40"/>
  <c r="N107" i="42"/>
  <c r="F73" i="84"/>
  <c r="F106" i="84"/>
  <c r="F72" i="84"/>
  <c r="F105" i="84"/>
  <c r="K276" i="40"/>
  <c r="K464" i="41"/>
  <c r="G461" i="41"/>
  <c r="G361" i="41"/>
  <c r="J158" i="41"/>
  <c r="I165" i="41"/>
  <c r="O633" i="40"/>
  <c r="O884" i="40"/>
  <c r="O651" i="40"/>
  <c r="O886" i="40"/>
  <c r="O669" i="40"/>
  <c r="O888" i="40"/>
  <c r="H349" i="40"/>
  <c r="H342" i="40"/>
  <c r="M348" i="40"/>
  <c r="M340" i="40"/>
  <c r="M702" i="40" a="1"/>
  <c r="M330" i="40"/>
  <c r="K348" i="40"/>
  <c r="K331" i="40"/>
  <c r="L330" i="40"/>
  <c r="L341" i="40"/>
  <c r="L340" i="40"/>
  <c r="G331" i="40"/>
  <c r="G330" i="40"/>
  <c r="H372" i="40"/>
  <c r="I372" i="40"/>
  <c r="J372" i="40"/>
  <c r="K372" i="40"/>
  <c r="L372" i="40"/>
  <c r="M372" i="40"/>
  <c r="N372" i="40"/>
  <c r="M486" i="40"/>
  <c r="O80" i="84"/>
  <c r="O20" i="84"/>
  <c r="O68" i="84"/>
  <c r="F13" i="35"/>
  <c r="G13" i="35"/>
  <c r="E14" i="35"/>
  <c r="K88" i="42"/>
  <c r="K20" i="42"/>
  <c r="K80" i="42"/>
  <c r="L88" i="42"/>
  <c r="L20" i="42"/>
  <c r="L80" i="42"/>
  <c r="M88" i="42"/>
  <c r="M20" i="42"/>
  <c r="M80" i="42"/>
  <c r="I118" i="42"/>
  <c r="O496" i="40"/>
  <c r="I317" i="41"/>
  <c r="K317" i="41"/>
  <c r="F49" i="6"/>
  <c r="D13" i="35"/>
  <c r="F96" i="84"/>
  <c r="J358" i="41"/>
  <c r="J361" i="41"/>
  <c r="N107" i="84"/>
  <c r="H81" i="84"/>
  <c r="H82" i="84"/>
  <c r="J462" i="41"/>
  <c r="J107" i="42"/>
  <c r="F87" i="84"/>
  <c r="F127" i="84"/>
  <c r="G81" i="84"/>
  <c r="G82" i="84"/>
  <c r="K81" i="84"/>
  <c r="K82" i="84"/>
  <c r="F86" i="84"/>
  <c r="F130" i="84"/>
  <c r="J81" i="84"/>
  <c r="J82" i="84"/>
  <c r="N96" i="84"/>
  <c r="F146" i="84"/>
  <c r="J118" i="42"/>
  <c r="L81" i="84"/>
  <c r="N118" i="42"/>
  <c r="G71" i="84"/>
  <c r="G104" i="84"/>
  <c r="G143" i="84"/>
  <c r="G72" i="84"/>
  <c r="G105" i="84"/>
  <c r="G95" i="84"/>
  <c r="G142" i="84"/>
  <c r="G73" i="84"/>
  <c r="G106" i="84"/>
  <c r="G94" i="84"/>
  <c r="G144" i="84"/>
  <c r="G74" i="84"/>
  <c r="G78" i="84"/>
  <c r="G145" i="84"/>
  <c r="K144" i="84"/>
  <c r="K143" i="84"/>
  <c r="K71" i="84"/>
  <c r="K104" i="84"/>
  <c r="K142" i="84"/>
  <c r="K95" i="84"/>
  <c r="K94" i="84"/>
  <c r="K145" i="84"/>
  <c r="K74" i="84"/>
  <c r="K78" i="84"/>
  <c r="K86" i="84"/>
  <c r="K130" i="84"/>
  <c r="K72" i="84"/>
  <c r="K105" i="84"/>
  <c r="K73" i="84"/>
  <c r="K106" i="84"/>
  <c r="J142" i="84"/>
  <c r="J72" i="84"/>
  <c r="J105" i="84"/>
  <c r="J74" i="84"/>
  <c r="J78" i="84"/>
  <c r="J73" i="84"/>
  <c r="J106" i="84"/>
  <c r="J145" i="84"/>
  <c r="J143" i="84"/>
  <c r="J144" i="84"/>
  <c r="J95" i="84"/>
  <c r="J94" i="84"/>
  <c r="J71" i="84"/>
  <c r="J104" i="84"/>
  <c r="N85" i="84"/>
  <c r="N133" i="84"/>
  <c r="N87" i="84"/>
  <c r="N127" i="84"/>
  <c r="N86" i="84"/>
  <c r="N130" i="84"/>
  <c r="K85" i="84"/>
  <c r="K133" i="84"/>
  <c r="K87" i="84"/>
  <c r="K127" i="84"/>
  <c r="N146" i="84"/>
  <c r="F107" i="84"/>
  <c r="J464" i="41"/>
  <c r="J461" i="41"/>
  <c r="H74" i="84"/>
  <c r="H78" i="84"/>
  <c r="H144" i="84"/>
  <c r="H95" i="84"/>
  <c r="H142" i="84"/>
  <c r="H71" i="84"/>
  <c r="H104" i="84"/>
  <c r="H143" i="84"/>
  <c r="H145" i="84"/>
  <c r="H94" i="84"/>
  <c r="H73" i="84"/>
  <c r="H106" i="84"/>
  <c r="H72" i="84"/>
  <c r="H105" i="84"/>
  <c r="L144" i="84"/>
  <c r="L73" i="84"/>
  <c r="L106" i="84"/>
  <c r="L143" i="84"/>
  <c r="L95" i="84"/>
  <c r="L94" i="84"/>
  <c r="L72" i="84"/>
  <c r="L105" i="84"/>
  <c r="L145" i="84"/>
  <c r="L71" i="84"/>
  <c r="L104" i="84"/>
  <c r="L142" i="84"/>
  <c r="L74" i="84"/>
  <c r="L78" i="84"/>
  <c r="H151" i="42"/>
  <c r="I858" i="40"/>
  <c r="O465" i="41"/>
  <c r="J151" i="42"/>
  <c r="N151" i="42"/>
  <c r="I898" i="40"/>
  <c r="O894" i="40"/>
  <c r="L876" i="40"/>
  <c r="O848" i="40"/>
  <c r="M896" i="40"/>
  <c r="H856" i="40"/>
  <c r="H864" i="40"/>
  <c r="F38" i="42"/>
  <c r="F148" i="42"/>
  <c r="G148" i="42"/>
  <c r="F48" i="42"/>
  <c r="F150" i="42"/>
  <c r="G150" i="42"/>
  <c r="F33" i="42"/>
  <c r="F147" i="42"/>
  <c r="G147" i="42"/>
  <c r="I151" i="42"/>
  <c r="O151" i="42"/>
  <c r="F43" i="42"/>
  <c r="F149" i="42"/>
  <c r="G149" i="42"/>
  <c r="O316" i="41"/>
  <c r="E189" i="41"/>
  <c r="G316" i="41"/>
  <c r="H189" i="41"/>
  <c r="F215" i="41"/>
  <c r="M83" i="41"/>
  <c r="M231" i="41"/>
  <c r="O82" i="41"/>
  <c r="G82" i="41"/>
  <c r="I81" i="41"/>
  <c r="K80" i="41"/>
  <c r="L153" i="40"/>
  <c r="L334" i="40"/>
  <c r="N83" i="41"/>
  <c r="N231" i="41"/>
  <c r="N82" i="41"/>
  <c r="N81" i="41"/>
  <c r="N80" i="41"/>
  <c r="F67" i="41"/>
  <c r="F222" i="41"/>
  <c r="F223" i="41"/>
  <c r="O153" i="40"/>
  <c r="O334" i="40"/>
  <c r="O687" i="40" a="1"/>
  <c r="O693" i="40"/>
  <c r="I153" i="40"/>
  <c r="I334" i="40"/>
  <c r="K83" i="41"/>
  <c r="K231" i="41"/>
  <c r="M82" i="41"/>
  <c r="O81" i="41"/>
  <c r="G81" i="41"/>
  <c r="I80" i="41"/>
  <c r="J153" i="40"/>
  <c r="J334" i="40"/>
  <c r="H83" i="41"/>
  <c r="H231" i="41"/>
  <c r="H82" i="41"/>
  <c r="H81" i="41"/>
  <c r="H80" i="41"/>
  <c r="F64" i="41"/>
  <c r="G153" i="40"/>
  <c r="G334" i="40"/>
  <c r="F101" i="41"/>
  <c r="I83" i="41"/>
  <c r="I231" i="41"/>
  <c r="K82" i="41"/>
  <c r="M81" i="41"/>
  <c r="O80" i="41"/>
  <c r="G80" i="41"/>
  <c r="H153" i="40"/>
  <c r="H334" i="40"/>
  <c r="J83" i="41"/>
  <c r="J231" i="41"/>
  <c r="J82" i="41"/>
  <c r="J81" i="41"/>
  <c r="J80" i="41"/>
  <c r="F65" i="41"/>
  <c r="M153" i="40"/>
  <c r="M334" i="40"/>
  <c r="M687" i="40" a="1"/>
  <c r="O83" i="41"/>
  <c r="O231" i="41"/>
  <c r="G83" i="41"/>
  <c r="G231" i="41"/>
  <c r="I82" i="41"/>
  <c r="K81" i="41"/>
  <c r="M80" i="41"/>
  <c r="N153" i="40"/>
  <c r="N334" i="40"/>
  <c r="N687" i="40" a="1"/>
  <c r="L83" i="41"/>
  <c r="L231" i="41"/>
  <c r="L82" i="41"/>
  <c r="L81" i="41"/>
  <c r="L80" i="41"/>
  <c r="F66" i="41"/>
  <c r="K153" i="40"/>
  <c r="K334" i="40"/>
  <c r="K687" i="40" a="1"/>
  <c r="L82" i="84"/>
  <c r="H351" i="41"/>
  <c r="H359" i="41"/>
  <c r="H444" i="41"/>
  <c r="H348" i="41"/>
  <c r="M463" i="41"/>
  <c r="M464" i="41"/>
  <c r="M462" i="41"/>
  <c r="M461" i="41"/>
  <c r="L183" i="41"/>
  <c r="K308" i="41"/>
  <c r="O93" i="42"/>
  <c r="O115" i="42"/>
  <c r="O107" i="42"/>
  <c r="O687" i="40"/>
  <c r="O688" i="40"/>
  <c r="O689" i="40"/>
  <c r="O691" i="40"/>
  <c r="O697" i="40"/>
  <c r="O692" i="40"/>
  <c r="O690" i="40"/>
  <c r="O696" i="40"/>
  <c r="O695" i="40"/>
  <c r="J618" i="40"/>
  <c r="J599" i="40"/>
  <c r="J580" i="40"/>
  <c r="O846" i="40"/>
  <c r="O844" i="40"/>
  <c r="I596" i="40"/>
  <c r="I577" i="40"/>
  <c r="J641" i="40"/>
  <c r="J874" i="40"/>
  <c r="J677" i="40"/>
  <c r="J659" i="40"/>
  <c r="K551" i="40"/>
  <c r="K568" i="40"/>
  <c r="J568" i="40"/>
  <c r="J658" i="40"/>
  <c r="J866" i="40"/>
  <c r="K550" i="40"/>
  <c r="J676" i="40"/>
  <c r="J868" i="40"/>
  <c r="J640" i="40"/>
  <c r="J864" i="40"/>
  <c r="J567" i="40"/>
  <c r="K567" i="40"/>
  <c r="J514" i="40"/>
  <c r="J531" i="40"/>
  <c r="G514" i="40"/>
  <c r="G531" i="40"/>
  <c r="G687" i="40" a="1"/>
  <c r="G702" i="40" a="1"/>
  <c r="G659" i="40"/>
  <c r="G876" i="40"/>
  <c r="H551" i="40"/>
  <c r="G641" i="40"/>
  <c r="G677" i="40"/>
  <c r="G878" i="40"/>
  <c r="G568" i="40"/>
  <c r="H568" i="40"/>
  <c r="O358" i="41"/>
  <c r="O361" i="41"/>
  <c r="O586" i="40"/>
  <c r="O605" i="40"/>
  <c r="O624" i="40"/>
  <c r="O587" i="40"/>
  <c r="O625" i="40"/>
  <c r="O606" i="40"/>
  <c r="H587" i="40"/>
  <c r="H625" i="40"/>
  <c r="H606" i="40"/>
  <c r="I625" i="40"/>
  <c r="I587" i="40"/>
  <c r="I606" i="40"/>
  <c r="I619" i="40"/>
  <c r="I581" i="40"/>
  <c r="I600" i="40"/>
  <c r="M587" i="40"/>
  <c r="M625" i="40"/>
  <c r="M606" i="40"/>
  <c r="M584" i="40"/>
  <c r="M622" i="40"/>
  <c r="M603" i="40"/>
  <c r="L584" i="40"/>
  <c r="L622" i="40"/>
  <c r="L603" i="40"/>
  <c r="L617" i="40"/>
  <c r="L598" i="40"/>
  <c r="L579" i="40"/>
  <c r="M598" i="40"/>
  <c r="M617" i="40"/>
  <c r="M579" i="40"/>
  <c r="L600" i="40"/>
  <c r="L619" i="40"/>
  <c r="L581" i="40"/>
  <c r="M581" i="40"/>
  <c r="M600" i="40"/>
  <c r="M619" i="40"/>
  <c r="I582" i="40"/>
  <c r="I620" i="40"/>
  <c r="I601" i="40"/>
  <c r="J598" i="40"/>
  <c r="J579" i="40"/>
  <c r="J617" i="40"/>
  <c r="J856" i="40"/>
  <c r="I598" i="40"/>
  <c r="I579" i="40"/>
  <c r="I617" i="40"/>
  <c r="N620" i="40"/>
  <c r="N601" i="40"/>
  <c r="N582" i="40"/>
  <c r="N586" i="40"/>
  <c r="N624" i="40"/>
  <c r="N605" i="40"/>
  <c r="N621" i="40"/>
  <c r="N583" i="40"/>
  <c r="N602" i="40"/>
  <c r="I585" i="40"/>
  <c r="I623" i="40"/>
  <c r="I604" i="40"/>
  <c r="I586" i="40"/>
  <c r="I605" i="40"/>
  <c r="I895" i="40"/>
  <c r="I624" i="40"/>
  <c r="J624" i="40"/>
  <c r="J605" i="40"/>
  <c r="J586" i="40"/>
  <c r="K581" i="40"/>
  <c r="K600" i="40"/>
  <c r="K619" i="40"/>
  <c r="G626" i="40"/>
  <c r="G907" i="40"/>
  <c r="G607" i="40"/>
  <c r="G905" i="40"/>
  <c r="G588" i="40"/>
  <c r="G903" i="40"/>
  <c r="O616" i="40"/>
  <c r="O597" i="40"/>
  <c r="O578" i="40"/>
  <c r="N625" i="40"/>
  <c r="N606" i="40"/>
  <c r="N587" i="40"/>
  <c r="M605" i="40"/>
  <c r="M895" i="40"/>
  <c r="M624" i="40"/>
  <c r="M586" i="40"/>
  <c r="M893" i="40"/>
  <c r="J625" i="40"/>
  <c r="J587" i="40"/>
  <c r="J606" i="40"/>
  <c r="H586" i="40"/>
  <c r="H624" i="40"/>
  <c r="H605" i="40"/>
  <c r="I599" i="40"/>
  <c r="I580" i="40"/>
  <c r="I618" i="40"/>
  <c r="M601" i="40"/>
  <c r="M582" i="40"/>
  <c r="M620" i="40"/>
  <c r="L582" i="40"/>
  <c r="L601" i="40"/>
  <c r="L620" i="40"/>
  <c r="L621" i="40"/>
  <c r="L583" i="40"/>
  <c r="L602" i="40"/>
  <c r="M602" i="40"/>
  <c r="M621" i="40"/>
  <c r="M583" i="40"/>
  <c r="K621" i="40"/>
  <c r="K602" i="40"/>
  <c r="K583" i="40"/>
  <c r="I584" i="40"/>
  <c r="I603" i="40"/>
  <c r="I622" i="40"/>
  <c r="H602" i="40"/>
  <c r="H583" i="40"/>
  <c r="H621" i="40"/>
  <c r="I602" i="40"/>
  <c r="I583" i="40"/>
  <c r="I621" i="40"/>
  <c r="J616" i="40"/>
  <c r="J578" i="40"/>
  <c r="J597" i="40"/>
  <c r="K578" i="40"/>
  <c r="K616" i="40"/>
  <c r="K597" i="40"/>
  <c r="I597" i="40"/>
  <c r="I616" i="40"/>
  <c r="I847" i="40"/>
  <c r="I578" i="40"/>
  <c r="L585" i="40"/>
  <c r="L623" i="40"/>
  <c r="L604" i="40"/>
  <c r="M604" i="40"/>
  <c r="M623" i="40"/>
  <c r="M585" i="40"/>
  <c r="M873" i="40"/>
  <c r="L616" i="40"/>
  <c r="L847" i="40"/>
  <c r="L578" i="40"/>
  <c r="L597" i="40"/>
  <c r="M578" i="40"/>
  <c r="M597" i="40"/>
  <c r="M616" i="40"/>
  <c r="L618" i="40"/>
  <c r="L599" i="40"/>
  <c r="L580" i="40"/>
  <c r="M599" i="40"/>
  <c r="M618" i="40"/>
  <c r="M580" i="40"/>
  <c r="K624" i="40"/>
  <c r="K605" i="40"/>
  <c r="K586" i="40"/>
  <c r="L605" i="40"/>
  <c r="L586" i="40"/>
  <c r="L624" i="40"/>
  <c r="K598" i="40"/>
  <c r="K855" i="40"/>
  <c r="K617" i="40"/>
  <c r="K579" i="40"/>
  <c r="L587" i="40"/>
  <c r="L625" i="40"/>
  <c r="L606" i="40"/>
  <c r="G625" i="40"/>
  <c r="G897" i="40"/>
  <c r="G587" i="40"/>
  <c r="G606" i="40"/>
  <c r="H603" i="40"/>
  <c r="H584" i="40"/>
  <c r="H622" i="40"/>
  <c r="G603" i="40"/>
  <c r="G622" i="40"/>
  <c r="G584" i="40"/>
  <c r="M867" i="40"/>
  <c r="L867" i="40"/>
  <c r="M853" i="40"/>
  <c r="L893" i="40"/>
  <c r="I863" i="40"/>
  <c r="K857" i="40"/>
  <c r="L865" i="40"/>
  <c r="H895" i="40"/>
  <c r="I893" i="40"/>
  <c r="O694" i="40"/>
  <c r="N702" i="40"/>
  <c r="N705" i="40"/>
  <c r="N708" i="40"/>
  <c r="N706" i="40"/>
  <c r="N704" i="40"/>
  <c r="N828" i="40"/>
  <c r="N711" i="40"/>
  <c r="H893" i="40"/>
  <c r="K702" i="40"/>
  <c r="K703" i="40"/>
  <c r="K823" i="40"/>
  <c r="K709" i="40"/>
  <c r="K706" i="40"/>
  <c r="K712" i="40"/>
  <c r="K711" i="40"/>
  <c r="K710" i="40"/>
  <c r="K707" i="40"/>
  <c r="K704" i="40"/>
  <c r="K828" i="40"/>
  <c r="K705" i="40"/>
  <c r="K708" i="40"/>
  <c r="N769" i="40"/>
  <c r="I853" i="40"/>
  <c r="M865" i="40"/>
  <c r="L853" i="40"/>
  <c r="H897" i="40"/>
  <c r="I897" i="40"/>
  <c r="J503" i="40"/>
  <c r="J486" i="40"/>
  <c r="N644" i="40"/>
  <c r="N904" i="40"/>
  <c r="O554" i="40"/>
  <c r="O571" i="40"/>
  <c r="N662" i="40"/>
  <c r="N906" i="40"/>
  <c r="N680" i="40"/>
  <c r="N908" i="40"/>
  <c r="M897" i="40"/>
  <c r="M662" i="40"/>
  <c r="M906" i="40"/>
  <c r="M644" i="40"/>
  <c r="M904" i="40"/>
  <c r="M680" i="40"/>
  <c r="M908" i="40"/>
  <c r="N554" i="40"/>
  <c r="N571" i="40"/>
  <c r="I503" i="40"/>
  <c r="I702" i="40" a="1"/>
  <c r="I486" i="40"/>
  <c r="O551" i="40"/>
  <c r="O568" i="40"/>
  <c r="N659" i="40"/>
  <c r="N876" i="40"/>
  <c r="N677" i="40"/>
  <c r="N878" i="40"/>
  <c r="N641" i="40"/>
  <c r="N874" i="40"/>
  <c r="N568" i="40"/>
  <c r="L873" i="40"/>
  <c r="H503" i="40"/>
  <c r="F717" i="40" a="1"/>
  <c r="H486" i="40"/>
  <c r="L503" i="40"/>
  <c r="L687" i="40" a="1"/>
  <c r="L486" i="40"/>
  <c r="L444" i="41"/>
  <c r="L351" i="41"/>
  <c r="L359" i="41"/>
  <c r="L348" i="41"/>
  <c r="O622" i="40"/>
  <c r="O584" i="40"/>
  <c r="O603" i="40"/>
  <c r="I145" i="84"/>
  <c r="I143" i="84"/>
  <c r="I72" i="84"/>
  <c r="I105" i="84"/>
  <c r="I74" i="84"/>
  <c r="I78" i="84"/>
  <c r="I94" i="84"/>
  <c r="N544" i="40"/>
  <c r="N561" i="40"/>
  <c r="M652" i="40"/>
  <c r="M634" i="40"/>
  <c r="M670" i="40"/>
  <c r="M848" i="40"/>
  <c r="H671" i="40"/>
  <c r="H635" i="40"/>
  <c r="H854" i="40"/>
  <c r="G527" i="40"/>
  <c r="I868" i="40"/>
  <c r="L846" i="40"/>
  <c r="I73" i="84"/>
  <c r="I106" i="84"/>
  <c r="M197" i="41"/>
  <c r="M326" i="41"/>
  <c r="J655" i="40"/>
  <c r="J876" i="40"/>
  <c r="J564" i="40"/>
  <c r="J673" i="40"/>
  <c r="J878" i="40"/>
  <c r="M655" i="40"/>
  <c r="M876" i="40"/>
  <c r="M673" i="40"/>
  <c r="M878" i="40"/>
  <c r="M637" i="40"/>
  <c r="M874" i="40"/>
  <c r="N547" i="40"/>
  <c r="N564" i="40"/>
  <c r="N622" i="40"/>
  <c r="N603" i="40"/>
  <c r="N584" i="40"/>
  <c r="G605" i="40"/>
  <c r="G895" i="40"/>
  <c r="G586" i="40"/>
  <c r="G893" i="40"/>
  <c r="I71" i="84"/>
  <c r="I104" i="84"/>
  <c r="I144" i="84"/>
  <c r="O548" i="40"/>
  <c r="O565" i="40"/>
  <c r="N638" i="40"/>
  <c r="N844" i="40"/>
  <c r="N674" i="40"/>
  <c r="N656" i="40"/>
  <c r="I81" i="84"/>
  <c r="I82" i="84"/>
  <c r="G549" i="40"/>
  <c r="G566" i="40"/>
  <c r="G528" i="40"/>
  <c r="K760" i="40"/>
  <c r="H846" i="40"/>
  <c r="I142" i="84"/>
  <c r="G637" i="40"/>
  <c r="G874" i="40"/>
  <c r="G564" i="40"/>
  <c r="H547" i="40"/>
  <c r="H564" i="40"/>
  <c r="D85" i="12"/>
  <c r="D80" i="12"/>
  <c r="H10" i="12"/>
  <c r="D77" i="12"/>
  <c r="G10" i="12"/>
  <c r="N657" i="40"/>
  <c r="N639" i="40"/>
  <c r="O549" i="40"/>
  <c r="O566" i="40"/>
  <c r="N675" i="40"/>
  <c r="F514" i="40"/>
  <c r="F531" i="40"/>
  <c r="G548" i="40"/>
  <c r="F702" i="40" a="1"/>
  <c r="F687" i="40" a="1"/>
  <c r="G529" i="40"/>
  <c r="N618" i="40"/>
  <c r="N867" i="40"/>
  <c r="N599" i="40"/>
  <c r="N865" i="40"/>
  <c r="N580" i="40"/>
  <c r="N863" i="40"/>
  <c r="K625" i="40"/>
  <c r="K587" i="40"/>
  <c r="K893" i="40"/>
  <c r="K606" i="40"/>
  <c r="K895" i="40"/>
  <c r="M847" i="40"/>
  <c r="I873" i="40"/>
  <c r="D14" i="35"/>
  <c r="M105" i="42"/>
  <c r="M84" i="42"/>
  <c r="M116" i="42"/>
  <c r="M106" i="42"/>
  <c r="M83" i="42"/>
  <c r="M85" i="42"/>
  <c r="M117" i="42"/>
  <c r="L83" i="42"/>
  <c r="L106" i="42"/>
  <c r="L84" i="42"/>
  <c r="L116" i="42"/>
  <c r="L105" i="42"/>
  <c r="L85" i="42"/>
  <c r="L117" i="42"/>
  <c r="K83" i="42"/>
  <c r="K85" i="42"/>
  <c r="K117" i="42"/>
  <c r="K106" i="42"/>
  <c r="K105" i="42"/>
  <c r="K84" i="42"/>
  <c r="K116" i="42"/>
  <c r="E15" i="35"/>
  <c r="F15" i="35"/>
  <c r="G15" i="35"/>
  <c r="F14" i="35"/>
  <c r="G14" i="35"/>
  <c r="O81" i="84"/>
  <c r="O82" i="84"/>
  <c r="G465" i="41"/>
  <c r="N579" i="40"/>
  <c r="N853" i="40"/>
  <c r="N617" i="40"/>
  <c r="N857" i="40"/>
  <c r="N598" i="40"/>
  <c r="N855" i="40"/>
  <c r="J602" i="40"/>
  <c r="J855" i="40"/>
  <c r="J621" i="40"/>
  <c r="J583" i="40"/>
  <c r="J853" i="40"/>
  <c r="K149" i="42"/>
  <c r="M147" i="42"/>
  <c r="L149" i="42"/>
  <c r="M149" i="42"/>
  <c r="M150" i="42"/>
  <c r="L147" i="42"/>
  <c r="K897" i="40"/>
  <c r="J857" i="40"/>
  <c r="O513" i="40"/>
  <c r="O530" i="40"/>
  <c r="O702" i="40" a="1"/>
  <c r="M89" i="42"/>
  <c r="M90" i="42"/>
  <c r="L89" i="42"/>
  <c r="L90" i="42"/>
  <c r="K89" i="42"/>
  <c r="K90" i="42"/>
  <c r="O95" i="84"/>
  <c r="O72" i="84"/>
  <c r="O105" i="84"/>
  <c r="O94" i="84"/>
  <c r="O74" i="84"/>
  <c r="O78" i="84"/>
  <c r="O144" i="84"/>
  <c r="O145" i="84"/>
  <c r="O142" i="84"/>
  <c r="O73" i="84"/>
  <c r="O106" i="84"/>
  <c r="O143" i="84"/>
  <c r="O71" i="84"/>
  <c r="O104" i="84"/>
  <c r="L702" i="40" a="1"/>
  <c r="M702" i="40"/>
  <c r="M703" i="40"/>
  <c r="M823" i="40"/>
  <c r="M707" i="40"/>
  <c r="M710" i="40"/>
  <c r="M705" i="40"/>
  <c r="M709" i="40"/>
  <c r="M712" i="40"/>
  <c r="M711" i="40"/>
  <c r="M769" i="40"/>
  <c r="M706" i="40"/>
  <c r="M708" i="40"/>
  <c r="M704" i="40"/>
  <c r="M828" i="40"/>
  <c r="K158" i="41"/>
  <c r="J165" i="41"/>
  <c r="K465" i="41"/>
  <c r="L148" i="42"/>
  <c r="K150" i="42"/>
  <c r="M148" i="42"/>
  <c r="L150" i="42"/>
  <c r="K147" i="42"/>
  <c r="K148" i="42"/>
  <c r="L146" i="84"/>
  <c r="L96" i="84"/>
  <c r="H107" i="84"/>
  <c r="H85" i="84"/>
  <c r="H133" i="84"/>
  <c r="H86" i="84"/>
  <c r="H130" i="84"/>
  <c r="H87" i="84"/>
  <c r="H127" i="84"/>
  <c r="J107" i="84"/>
  <c r="K146" i="84"/>
  <c r="L107" i="84"/>
  <c r="H96" i="84"/>
  <c r="H146" i="84"/>
  <c r="J465" i="41"/>
  <c r="J96" i="84"/>
  <c r="J86" i="84"/>
  <c r="J130" i="84"/>
  <c r="J87" i="84"/>
  <c r="J127" i="84"/>
  <c r="J85" i="84"/>
  <c r="J133" i="84"/>
  <c r="J146" i="84"/>
  <c r="G85" i="84"/>
  <c r="G133" i="84"/>
  <c r="G87" i="84"/>
  <c r="G127" i="84"/>
  <c r="G86" i="84"/>
  <c r="G130" i="84"/>
  <c r="G96" i="84"/>
  <c r="K96" i="84"/>
  <c r="K107" i="84"/>
  <c r="G146" i="84"/>
  <c r="G107" i="84"/>
  <c r="L843" i="40"/>
  <c r="M843" i="40"/>
  <c r="I867" i="40"/>
  <c r="I865" i="40"/>
  <c r="N895" i="40"/>
  <c r="N893" i="40"/>
  <c r="I857" i="40"/>
  <c r="I855" i="40"/>
  <c r="L897" i="40"/>
  <c r="L895" i="40"/>
  <c r="K853" i="40"/>
  <c r="L845" i="40"/>
  <c r="M845" i="40"/>
  <c r="J895" i="40"/>
  <c r="J893" i="40"/>
  <c r="J897" i="40"/>
  <c r="N897" i="40"/>
  <c r="I845" i="40"/>
  <c r="I843" i="40"/>
  <c r="M877" i="40"/>
  <c r="L877" i="40"/>
  <c r="M855" i="40"/>
  <c r="L855" i="40"/>
  <c r="L863" i="40"/>
  <c r="O895" i="40"/>
  <c r="J216" i="41"/>
  <c r="H216" i="41"/>
  <c r="K216" i="41"/>
  <c r="O216" i="41"/>
  <c r="G151" i="42"/>
  <c r="M875" i="40"/>
  <c r="L875" i="40"/>
  <c r="M857" i="40"/>
  <c r="L857" i="40"/>
  <c r="M863" i="40"/>
  <c r="I875" i="40"/>
  <c r="I877" i="40"/>
  <c r="O897" i="40"/>
  <c r="O893" i="40"/>
  <c r="F151" i="42"/>
  <c r="H623" i="40"/>
  <c r="H604" i="40"/>
  <c r="H585" i="40"/>
  <c r="G604" i="40"/>
  <c r="G585" i="40"/>
  <c r="G623" i="40"/>
  <c r="G702" i="40"/>
  <c r="G704" i="40"/>
  <c r="G828" i="40"/>
  <c r="G706" i="40"/>
  <c r="G708" i="40"/>
  <c r="G710" i="40"/>
  <c r="G712" i="40"/>
  <c r="G703" i="40"/>
  <c r="G823" i="40"/>
  <c r="G705" i="40"/>
  <c r="G707" i="40"/>
  <c r="G709" i="40"/>
  <c r="G711" i="40"/>
  <c r="G688" i="40"/>
  <c r="G690" i="40"/>
  <c r="G692" i="40"/>
  <c r="G694" i="40"/>
  <c r="G696" i="40"/>
  <c r="G687" i="40"/>
  <c r="G689" i="40"/>
  <c r="G691" i="40"/>
  <c r="G693" i="40"/>
  <c r="G695" i="40"/>
  <c r="G697" i="40"/>
  <c r="G674" i="40"/>
  <c r="G565" i="40"/>
  <c r="G656" i="40"/>
  <c r="G638" i="40"/>
  <c r="H548" i="40"/>
  <c r="H565" i="40"/>
  <c r="J656" i="40"/>
  <c r="J638" i="40"/>
  <c r="K548" i="40"/>
  <c r="K565" i="40"/>
  <c r="J565" i="40"/>
  <c r="J674" i="40"/>
  <c r="K584" i="40"/>
  <c r="K863" i="40"/>
  <c r="K603" i="40"/>
  <c r="K865" i="40"/>
  <c r="K622" i="40"/>
  <c r="K867" i="40"/>
  <c r="J622" i="40"/>
  <c r="J867" i="40"/>
  <c r="J603" i="40"/>
  <c r="J865" i="40"/>
  <c r="J584" i="40"/>
  <c r="J863" i="40"/>
  <c r="J623" i="40"/>
  <c r="J604" i="40"/>
  <c r="J585" i="40"/>
  <c r="K585" i="40"/>
  <c r="K873" i="40"/>
  <c r="K604" i="40"/>
  <c r="K875" i="40"/>
  <c r="K623" i="40"/>
  <c r="K877" i="40"/>
  <c r="I883" i="40"/>
  <c r="I885" i="40"/>
  <c r="O934" i="40"/>
  <c r="O936" i="40"/>
  <c r="O935" i="40"/>
  <c r="O768" i="40"/>
  <c r="O937" i="40"/>
  <c r="O946" i="40"/>
  <c r="O944" i="40"/>
  <c r="O777" i="40"/>
  <c r="O945" i="40"/>
  <c r="O943" i="40"/>
  <c r="O759" i="40"/>
  <c r="O917" i="40"/>
  <c r="O928" i="40"/>
  <c r="O916" i="40"/>
  <c r="O918" i="40"/>
  <c r="O926" i="40"/>
  <c r="O698" i="40"/>
  <c r="O919" i="40"/>
  <c r="O925" i="40"/>
  <c r="O927" i="40"/>
  <c r="O118" i="42"/>
  <c r="O97" i="42"/>
  <c r="O138" i="42"/>
  <c r="O98" i="42"/>
  <c r="O139" i="42"/>
  <c r="O96" i="42"/>
  <c r="O137" i="42"/>
  <c r="M183" i="41"/>
  <c r="L308" i="41"/>
  <c r="M465" i="41"/>
  <c r="H358" i="41"/>
  <c r="H361" i="41"/>
  <c r="H463" i="41"/>
  <c r="H462" i="41"/>
  <c r="H461" i="41"/>
  <c r="H464" i="41"/>
  <c r="L86" i="84"/>
  <c r="L130" i="84"/>
  <c r="L85" i="84"/>
  <c r="L133" i="84"/>
  <c r="L87" i="84"/>
  <c r="L127" i="84"/>
  <c r="K687" i="40"/>
  <c r="K689" i="40"/>
  <c r="K691" i="40"/>
  <c r="K693" i="40"/>
  <c r="K695" i="40"/>
  <c r="K688" i="40"/>
  <c r="K690" i="40"/>
  <c r="K692" i="40"/>
  <c r="K694" i="40"/>
  <c r="K696" i="40"/>
  <c r="K697" i="40"/>
  <c r="L350" i="41"/>
  <c r="L445" i="41"/>
  <c r="L374" i="41"/>
  <c r="L375" i="41"/>
  <c r="N688" i="40"/>
  <c r="N690" i="40"/>
  <c r="N692" i="40"/>
  <c r="N694" i="40"/>
  <c r="N696" i="40"/>
  <c r="N697" i="40"/>
  <c r="N687" i="40"/>
  <c r="N689" i="40"/>
  <c r="N691" i="40"/>
  <c r="N693" i="40"/>
  <c r="N695" i="40"/>
  <c r="G375" i="41"/>
  <c r="G350" i="41"/>
  <c r="G445" i="41"/>
  <c r="G374" i="41"/>
  <c r="O374" i="41"/>
  <c r="O375" i="41"/>
  <c r="O445" i="41"/>
  <c r="O350" i="41"/>
  <c r="M688" i="40"/>
  <c r="M690" i="40"/>
  <c r="M692" i="40"/>
  <c r="M694" i="40"/>
  <c r="M696" i="40"/>
  <c r="M697" i="40"/>
  <c r="M687" i="40"/>
  <c r="M689" i="40"/>
  <c r="M691" i="40"/>
  <c r="M693" i="40"/>
  <c r="M695" i="40"/>
  <c r="J445" i="41"/>
  <c r="J375" i="41"/>
  <c r="J350" i="41"/>
  <c r="J374" i="41"/>
  <c r="I374" i="41"/>
  <c r="I375" i="41"/>
  <c r="I445" i="41"/>
  <c r="I350" i="41"/>
  <c r="H445" i="41"/>
  <c r="H374" i="41"/>
  <c r="H350" i="41"/>
  <c r="H375" i="41"/>
  <c r="K374" i="41"/>
  <c r="K350" i="41"/>
  <c r="K375" i="41"/>
  <c r="K445" i="41"/>
  <c r="F443" i="41"/>
  <c r="F360" i="41"/>
  <c r="F348" i="41"/>
  <c r="N350" i="41"/>
  <c r="N445" i="41"/>
  <c r="N375" i="41"/>
  <c r="N374" i="41"/>
  <c r="M350" i="41"/>
  <c r="M445" i="41"/>
  <c r="M374" i="41"/>
  <c r="M375" i="41"/>
  <c r="M216" i="41"/>
  <c r="G216" i="41"/>
  <c r="L216" i="41"/>
  <c r="F216" i="41"/>
  <c r="N216" i="41"/>
  <c r="I216" i="41"/>
  <c r="I189" i="41"/>
  <c r="H316" i="41"/>
  <c r="AI45" i="29"/>
  <c r="P9" i="29"/>
  <c r="DC71" i="29"/>
  <c r="DB89" i="29"/>
  <c r="AN49" i="29"/>
  <c r="CB81" i="29"/>
  <c r="P89" i="29"/>
  <c r="BO103" i="29"/>
  <c r="CG96" i="29"/>
  <c r="X9" i="29"/>
  <c r="BZ67" i="29"/>
  <c r="AM102" i="29"/>
  <c r="AB10" i="29"/>
  <c r="BP27" i="29"/>
  <c r="V59" i="29"/>
  <c r="CZ13" i="29"/>
  <c r="BC27" i="29"/>
  <c r="AR27" i="29"/>
  <c r="DF61" i="29"/>
  <c r="AJ25" i="29"/>
  <c r="DE53" i="29"/>
  <c r="BZ57" i="29"/>
  <c r="CM29" i="29"/>
  <c r="BU75" i="29"/>
  <c r="AB59" i="29"/>
  <c r="BI89" i="29"/>
  <c r="AH37" i="29"/>
  <c r="K102" i="29"/>
  <c r="BA37" i="29"/>
  <c r="AN67" i="29"/>
  <c r="J30" i="29"/>
  <c r="CA29" i="29"/>
  <c r="BS89" i="29"/>
  <c r="CQ81" i="29"/>
  <c r="BR21" i="29"/>
  <c r="BC29" i="29"/>
  <c r="AO75" i="29"/>
  <c r="CU79" i="29"/>
  <c r="I62" i="29"/>
  <c r="AP89" i="29"/>
  <c r="J34" i="29"/>
  <c r="DD62" i="29"/>
  <c r="BE67" i="29"/>
  <c r="DC24" i="29"/>
  <c r="J75" i="29"/>
  <c r="DD17" i="29"/>
  <c r="Z45" i="29"/>
  <c r="AO29" i="29"/>
  <c r="N18" i="29"/>
  <c r="CK48" i="29"/>
  <c r="BY9" i="29"/>
  <c r="AZ24" i="29"/>
  <c r="CA10" i="29"/>
  <c r="CV71" i="29"/>
  <c r="CF60" i="29"/>
  <c r="DA89" i="29"/>
  <c r="J27" i="29"/>
  <c r="BA65" i="29"/>
  <c r="AE75" i="29"/>
  <c r="M67" i="29"/>
  <c r="CJ96" i="29"/>
  <c r="X45" i="29"/>
  <c r="BY37" i="29"/>
  <c r="CL59" i="29"/>
  <c r="AP66" i="29"/>
  <c r="BI67" i="29"/>
  <c r="T21" i="29"/>
  <c r="BA21" i="29"/>
  <c r="CM54" i="29"/>
  <c r="DA45" i="29"/>
  <c r="Z58" i="29"/>
  <c r="CE92" i="29"/>
  <c r="AX29" i="29"/>
  <c r="DC27" i="29"/>
  <c r="AJ62" i="29"/>
  <c r="CF34" i="29"/>
  <c r="BC21" i="29"/>
  <c r="BX57" i="29"/>
  <c r="AD17" i="29"/>
  <c r="BP89" i="29"/>
  <c r="AD81" i="29"/>
  <c r="BB53" i="29"/>
  <c r="BE91" i="29"/>
  <c r="AM92" i="29"/>
  <c r="DC89" i="29"/>
  <c r="BA75" i="29"/>
  <c r="CJ50" i="29"/>
  <c r="BR53" i="29"/>
  <c r="DF65" i="29"/>
  <c r="CD91" i="29"/>
  <c r="T29" i="29"/>
  <c r="AE66" i="29"/>
  <c r="CU75" i="29"/>
  <c r="AJ13" i="29"/>
  <c r="H59" i="29"/>
  <c r="AQ21" i="29"/>
  <c r="BX89" i="29"/>
  <c r="BU30" i="29"/>
  <c r="AT67" i="29"/>
  <c r="S96" i="29"/>
  <c r="AF102" i="29"/>
  <c r="CE10" i="29"/>
  <c r="CM81" i="29"/>
  <c r="BD59" i="29"/>
  <c r="BW9" i="29"/>
  <c r="AC67" i="29"/>
  <c r="K96" i="29"/>
  <c r="BO26" i="29"/>
  <c r="P24" i="29"/>
  <c r="CN18" i="29"/>
  <c r="BU67" i="29"/>
  <c r="CC102" i="29"/>
  <c r="AS89" i="29"/>
  <c r="CX92" i="29"/>
  <c r="AQ92" i="29"/>
  <c r="DD102" i="29"/>
  <c r="AU37" i="29"/>
  <c r="BY58" i="29"/>
  <c r="AF25" i="29"/>
  <c r="CH10" i="29"/>
  <c r="AP21" i="29"/>
  <c r="CE49" i="29"/>
  <c r="AI18" i="29"/>
  <c r="BX17" i="29"/>
  <c r="DE66" i="29"/>
  <c r="DB21" i="29"/>
  <c r="AP79" i="29"/>
  <c r="AN37" i="29"/>
  <c r="DC9" i="29"/>
  <c r="P58" i="29"/>
  <c r="CR10" i="29"/>
  <c r="J18" i="29"/>
  <c r="K79" i="29"/>
  <c r="AF27" i="29"/>
  <c r="CF57" i="29"/>
  <c r="P30" i="29"/>
  <c r="G25" i="29"/>
  <c r="AO24" i="29"/>
  <c r="AP92" i="29"/>
  <c r="BE92" i="29"/>
  <c r="I92" i="29"/>
  <c r="BS53" i="29"/>
  <c r="AI58" i="29"/>
  <c r="AN66" i="29"/>
  <c r="BC18" i="29"/>
  <c r="CP26" i="29"/>
  <c r="AM66" i="29"/>
  <c r="CO45" i="29"/>
  <c r="BD60" i="29"/>
  <c r="AX81" i="29"/>
  <c r="CH17" i="29"/>
  <c r="P92" i="29"/>
  <c r="BX13" i="29"/>
  <c r="CL92" i="29"/>
  <c r="DE79" i="29"/>
  <c r="CL67" i="29"/>
  <c r="BU57" i="29"/>
  <c r="BY26" i="29"/>
  <c r="AS62" i="29"/>
  <c r="AR10" i="29"/>
  <c r="CN25" i="29"/>
  <c r="BO45" i="29"/>
  <c r="BS81" i="29"/>
  <c r="BH30" i="29"/>
  <c r="AZ12" i="29"/>
  <c r="BP26" i="29"/>
  <c r="CV92" i="29"/>
  <c r="J92" i="29"/>
  <c r="BQ65" i="29"/>
  <c r="AN58" i="29"/>
  <c r="BT103" i="29"/>
  <c r="CW10" i="29"/>
  <c r="J17" i="29"/>
  <c r="P61" i="29"/>
  <c r="CU48" i="29"/>
  <c r="H98" i="29"/>
  <c r="CE59" i="29"/>
  <c r="BI26" i="29"/>
  <c r="CZ37" i="29"/>
  <c r="U53" i="29"/>
  <c r="BR66" i="29"/>
  <c r="CT96" i="29"/>
  <c r="H30" i="29"/>
  <c r="AR57" i="29"/>
  <c r="I21" i="29"/>
  <c r="AZ18" i="29"/>
  <c r="BE75" i="29"/>
  <c r="BI98" i="29"/>
  <c r="CK89" i="29"/>
  <c r="O48" i="29"/>
  <c r="I81" i="29"/>
  <c r="DD59" i="29"/>
  <c r="CB50" i="29"/>
  <c r="BU60" i="29"/>
  <c r="AC26" i="29"/>
  <c r="Y67" i="29"/>
  <c r="Z96" i="29"/>
  <c r="CL79" i="29"/>
  <c r="BH66" i="29"/>
  <c r="X24" i="29"/>
  <c r="CC96" i="29"/>
  <c r="BQ89" i="29"/>
  <c r="AT9" i="29"/>
  <c r="DC66" i="29"/>
  <c r="DB13" i="29"/>
  <c r="DD79" i="29"/>
  <c r="BQ98" i="29"/>
  <c r="BQ29" i="29"/>
  <c r="CK9" i="29"/>
  <c r="CT53" i="29"/>
  <c r="CI12" i="29"/>
  <c r="BO67" i="29"/>
  <c r="CC24" i="29"/>
  <c r="T102" i="29"/>
  <c r="O81" i="29"/>
  <c r="AT54" i="29"/>
  <c r="BU27" i="29"/>
  <c r="CG58" i="29"/>
  <c r="BE61" i="29"/>
  <c r="BR29" i="29"/>
  <c r="DD10" i="29"/>
  <c r="AN12" i="29"/>
  <c r="AV29" i="29"/>
  <c r="AC45" i="29"/>
  <c r="BI54" i="29"/>
  <c r="AX27" i="29"/>
  <c r="CG89" i="29"/>
  <c r="BR26" i="29"/>
  <c r="AF17" i="29"/>
  <c r="BT29" i="29"/>
  <c r="BI25" i="29"/>
  <c r="CC48" i="29"/>
  <c r="CY102" i="29"/>
  <c r="Z29" i="29"/>
  <c r="CK13" i="29"/>
  <c r="AM27" i="29"/>
  <c r="DF53" i="29"/>
  <c r="AA27" i="29"/>
  <c r="L26" i="29"/>
  <c r="CO26" i="29"/>
  <c r="W17" i="29"/>
  <c r="AC96" i="29"/>
  <c r="CS96" i="29"/>
  <c r="AQ48" i="29"/>
  <c r="CR96" i="29"/>
  <c r="AV96" i="29"/>
  <c r="CV59" i="29"/>
  <c r="CF59" i="29"/>
  <c r="BW98" i="29"/>
  <c r="CZ12" i="29"/>
  <c r="BB81" i="29"/>
  <c r="CQ91" i="29"/>
  <c r="BV58" i="29"/>
  <c r="BD34" i="29"/>
  <c r="CM50" i="29"/>
  <c r="CI102" i="29"/>
  <c r="AU26" i="29"/>
  <c r="CJ79" i="29"/>
  <c r="AB45" i="29"/>
  <c r="CQ54" i="29"/>
  <c r="DF96" i="29"/>
  <c r="AC50" i="29"/>
  <c r="CX75" i="29"/>
  <c r="CU60" i="29"/>
  <c r="X89" i="29"/>
  <c r="CJ30" i="29"/>
  <c r="AM26" i="29"/>
  <c r="AC37" i="29"/>
  <c r="CA17" i="29"/>
  <c r="N65" i="29"/>
  <c r="BE96" i="29"/>
  <c r="CN61" i="29"/>
  <c r="AA62" i="29"/>
  <c r="BP34" i="29"/>
  <c r="M66" i="29"/>
  <c r="BZ12" i="29"/>
  <c r="AV54" i="29"/>
  <c r="BW26" i="29"/>
  <c r="CT92" i="29"/>
  <c r="CL12" i="29"/>
  <c r="DB65" i="29"/>
  <c r="BW17" i="29"/>
  <c r="BA49" i="29"/>
  <c r="T34" i="29"/>
  <c r="V17" i="29"/>
  <c r="O27" i="29"/>
  <c r="CQ49" i="29"/>
  <c r="AB50" i="29"/>
  <c r="N75" i="29"/>
  <c r="BX75" i="29"/>
  <c r="BC59" i="29"/>
  <c r="BX58" i="29"/>
  <c r="K91" i="29"/>
  <c r="BV61" i="29"/>
  <c r="S67" i="29"/>
  <c r="CG62" i="29"/>
  <c r="CI29" i="29"/>
  <c r="AF66" i="29"/>
  <c r="AT89" i="29"/>
  <c r="U67" i="29"/>
  <c r="DC59" i="29"/>
  <c r="CD17" i="29"/>
  <c r="BH65" i="29"/>
  <c r="CX60" i="29"/>
  <c r="H27" i="29"/>
  <c r="CA27" i="29"/>
  <c r="X34" i="29"/>
  <c r="BE57" i="29"/>
  <c r="AC59" i="29"/>
  <c r="AU81" i="29"/>
  <c r="K49" i="29"/>
  <c r="AM79" i="29"/>
  <c r="BV57" i="29"/>
  <c r="CK34" i="29"/>
  <c r="CN98" i="29"/>
  <c r="BA81" i="29"/>
  <c r="AC65" i="29"/>
  <c r="BU21" i="29"/>
  <c r="X60" i="29"/>
  <c r="AN24" i="29"/>
  <c r="CS92" i="29"/>
  <c r="CU102" i="29"/>
  <c r="BT9" i="29"/>
  <c r="CY12" i="29"/>
  <c r="CH21" i="29"/>
  <c r="Z25" i="29"/>
  <c r="BH61" i="29"/>
  <c r="CA75" i="29"/>
  <c r="AZ21" i="29"/>
  <c r="AJ27" i="29"/>
  <c r="N48" i="29"/>
  <c r="BD29" i="29"/>
  <c r="DD27" i="29"/>
  <c r="BO13" i="29"/>
  <c r="AJ61" i="29"/>
  <c r="AZ29" i="29"/>
  <c r="AO30" i="29"/>
  <c r="CJ71" i="29"/>
  <c r="L98" i="29"/>
  <c r="CT29" i="29"/>
  <c r="CN92" i="29"/>
  <c r="BT91" i="29"/>
  <c r="CU62" i="29"/>
  <c r="BX29" i="29"/>
  <c r="Z91" i="29"/>
  <c r="U26" i="29"/>
  <c r="DB24" i="29"/>
  <c r="CN59" i="29"/>
  <c r="DB27" i="29"/>
  <c r="BT89" i="29"/>
  <c r="AN50" i="29"/>
  <c r="BX10" i="29"/>
  <c r="BX61" i="29"/>
  <c r="K66" i="29"/>
  <c r="CK24" i="29"/>
  <c r="BQ61" i="29"/>
  <c r="BA66" i="29"/>
  <c r="CY13" i="29"/>
  <c r="CC26" i="29"/>
  <c r="AD60" i="29"/>
  <c r="CM60" i="29"/>
  <c r="CQ48" i="29"/>
  <c r="J98" i="29"/>
  <c r="CZ25" i="29"/>
  <c r="N26" i="29"/>
  <c r="DB12" i="29"/>
  <c r="CX21" i="29"/>
  <c r="AA81" i="29"/>
  <c r="BS60" i="29"/>
  <c r="CO75" i="29"/>
  <c r="AJ66" i="29"/>
  <c r="AR49" i="29"/>
  <c r="CZ96" i="29"/>
  <c r="DA54" i="29"/>
  <c r="AJ91" i="29"/>
  <c r="CK98" i="29"/>
  <c r="CG18" i="29"/>
  <c r="BX59" i="29"/>
  <c r="CZ45" i="29"/>
  <c r="CE50" i="29"/>
  <c r="CW91" i="29"/>
  <c r="K67" i="29"/>
  <c r="T37" i="29"/>
  <c r="AP53" i="29"/>
  <c r="BA98" i="29"/>
  <c r="CN21" i="29"/>
  <c r="CF66" i="29"/>
  <c r="CK57" i="29"/>
  <c r="DD30" i="29"/>
  <c r="AM53" i="29"/>
  <c r="CH30" i="29"/>
  <c r="S59" i="29"/>
  <c r="AS48" i="29"/>
  <c r="AW62" i="29"/>
  <c r="AB29" i="29"/>
  <c r="AQ62" i="29"/>
  <c r="BQ102" i="29"/>
  <c r="S98" i="29"/>
  <c r="DE92" i="29"/>
  <c r="CV98" i="29"/>
  <c r="CV66" i="29"/>
  <c r="BC53" i="29"/>
  <c r="CN37" i="29"/>
  <c r="CO37" i="29"/>
  <c r="CA62" i="29"/>
  <c r="AF29" i="29"/>
  <c r="AM59" i="29"/>
  <c r="BX98" i="29"/>
  <c r="AV59" i="29"/>
  <c r="DA48" i="29"/>
  <c r="I49" i="29"/>
  <c r="CW57" i="29"/>
  <c r="G79" i="29"/>
  <c r="CH13" i="29"/>
  <c r="CP25" i="29"/>
  <c r="N12" i="29"/>
  <c r="AR75" i="29"/>
  <c r="Y49" i="29"/>
  <c r="AM30" i="29"/>
  <c r="DD71" i="29"/>
  <c r="AY102" i="29"/>
  <c r="AR18" i="29"/>
  <c r="BS67" i="29"/>
  <c r="BV29" i="29"/>
  <c r="AG17" i="29"/>
  <c r="AR48" i="29"/>
  <c r="AI10" i="29"/>
  <c r="AW75" i="29"/>
  <c r="BE65" i="29"/>
  <c r="CF18" i="29"/>
  <c r="O18" i="29"/>
  <c r="AR13" i="29"/>
  <c r="BC58" i="29"/>
  <c r="AW91" i="29"/>
  <c r="BS13" i="29"/>
  <c r="BP71" i="29"/>
  <c r="I58" i="29"/>
  <c r="AU53" i="29"/>
  <c r="P65" i="29"/>
  <c r="CL57" i="29"/>
  <c r="BD61" i="29"/>
  <c r="AB30" i="29"/>
  <c r="AV60" i="29"/>
  <c r="CR75" i="29"/>
  <c r="CJ48" i="29"/>
  <c r="CQ92" i="29"/>
  <c r="V79" i="29"/>
  <c r="BX9" i="29"/>
  <c r="DC67" i="29"/>
  <c r="AZ53" i="29"/>
  <c r="BH62" i="29"/>
  <c r="AM37" i="29"/>
  <c r="J91" i="29"/>
  <c r="AG65" i="29"/>
  <c r="BU50" i="29"/>
  <c r="BE21" i="29"/>
  <c r="AP59" i="29"/>
  <c r="AH27" i="29"/>
  <c r="AX54" i="29"/>
  <c r="DF54" i="29"/>
  <c r="W29" i="29"/>
  <c r="O75" i="29"/>
  <c r="CG92" i="29"/>
  <c r="X67" i="29"/>
  <c r="AF57" i="29"/>
  <c r="G18" i="29"/>
  <c r="BZ79" i="29"/>
  <c r="CT79" i="29"/>
  <c r="BZ25" i="29"/>
  <c r="BC91" i="29"/>
  <c r="BV65" i="29"/>
  <c r="CZ60" i="29"/>
  <c r="AU91" i="29"/>
  <c r="CJ10" i="29"/>
  <c r="AG62" i="29"/>
  <c r="O53" i="29"/>
  <c r="BA25" i="29"/>
  <c r="BR79" i="29"/>
  <c r="L62" i="29"/>
  <c r="BP66" i="29"/>
  <c r="CU10" i="29"/>
  <c r="BD89" i="29"/>
  <c r="BY71" i="29"/>
  <c r="Z62" i="29"/>
  <c r="CD89" i="29"/>
  <c r="CW49" i="29"/>
  <c r="DB10" i="29"/>
  <c r="BS61" i="29"/>
  <c r="CS53" i="29"/>
  <c r="CS66" i="29"/>
  <c r="BW66" i="29"/>
  <c r="CP66" i="29"/>
  <c r="H71" i="29"/>
  <c r="DD103" i="29"/>
  <c r="CU27" i="29"/>
  <c r="CD48" i="29"/>
  <c r="AB13" i="29"/>
  <c r="CM102" i="29"/>
  <c r="DE17" i="29"/>
  <c r="BC65" i="29"/>
  <c r="AE92" i="29"/>
  <c r="T54" i="29"/>
  <c r="BY21" i="29"/>
  <c r="Z71" i="29"/>
  <c r="DA27" i="29"/>
  <c r="BA79" i="29"/>
  <c r="CZ34" i="29"/>
  <c r="J102" i="29"/>
  <c r="DB34" i="29"/>
  <c r="AQ29" i="29"/>
  <c r="BT25" i="29"/>
  <c r="CY81" i="29"/>
  <c r="AD102" i="29"/>
  <c r="BT60" i="29"/>
  <c r="CY49" i="29"/>
  <c r="CR25" i="29"/>
  <c r="CY29" i="29"/>
  <c r="CF10" i="29"/>
  <c r="BT61" i="29"/>
  <c r="BU49" i="29"/>
  <c r="AR98" i="29"/>
  <c r="BS25" i="29"/>
  <c r="CG37" i="29"/>
  <c r="DB53" i="29"/>
  <c r="CF30" i="29"/>
  <c r="BA67" i="29"/>
  <c r="AS29" i="29"/>
  <c r="CF25" i="29"/>
  <c r="AU75" i="29"/>
  <c r="BA26" i="29"/>
  <c r="AN98" i="29"/>
  <c r="T48" i="29"/>
  <c r="AQ96" i="29"/>
  <c r="BV53" i="29"/>
  <c r="CX49" i="29"/>
  <c r="BP75" i="29"/>
  <c r="CR79" i="29"/>
  <c r="Z57" i="29"/>
  <c r="AT25" i="29"/>
  <c r="CY66" i="29"/>
  <c r="CG71" i="29"/>
  <c r="AT96" i="29"/>
  <c r="BX54" i="29"/>
  <c r="AE71" i="29"/>
  <c r="CH75" i="29"/>
  <c r="U60" i="29"/>
  <c r="Z26" i="29"/>
  <c r="BQ71" i="29"/>
  <c r="K10" i="29"/>
  <c r="M9" i="29"/>
  <c r="CB102" i="29"/>
  <c r="CN60" i="29"/>
  <c r="X65" i="29"/>
  <c r="CU49" i="29"/>
  <c r="I27" i="29"/>
  <c r="BO66" i="29"/>
  <c r="CO27" i="29"/>
  <c r="BA29" i="29"/>
  <c r="AS21" i="29"/>
  <c r="AS61" i="29"/>
  <c r="CB9" i="29"/>
  <c r="BR57" i="29"/>
  <c r="L58" i="29"/>
  <c r="BZ27" i="29"/>
  <c r="CV61" i="29"/>
  <c r="CS98" i="29"/>
  <c r="BR17" i="29"/>
  <c r="CD96" i="29"/>
  <c r="CR71" i="29"/>
  <c r="BQ103" i="29"/>
  <c r="Y18" i="29"/>
  <c r="CO9" i="29"/>
  <c r="BW92" i="29"/>
  <c r="BT24" i="29"/>
  <c r="K81" i="29"/>
  <c r="Y9" i="29"/>
  <c r="BB58" i="29"/>
  <c r="M25" i="29"/>
  <c r="CB13" i="29"/>
  <c r="CT98" i="29"/>
  <c r="CM9" i="29"/>
  <c r="CB12" i="29"/>
  <c r="P50" i="29"/>
  <c r="BQ58" i="29"/>
  <c r="S71" i="29"/>
  <c r="CH27" i="29"/>
  <c r="CQ27" i="29"/>
  <c r="BR30" i="29"/>
  <c r="N45" i="29"/>
  <c r="AR54" i="29"/>
  <c r="AJ92" i="29"/>
  <c r="AJ49" i="29"/>
  <c r="T18" i="29"/>
  <c r="CE81" i="29"/>
  <c r="AU12" i="29"/>
  <c r="CU18" i="29"/>
  <c r="AO21" i="29"/>
  <c r="CM58" i="29"/>
  <c r="O37" i="29"/>
  <c r="L92" i="29"/>
  <c r="W34" i="29"/>
  <c r="Y89" i="29"/>
  <c r="AC98" i="29"/>
  <c r="BR37" i="29"/>
  <c r="BO89" i="29"/>
  <c r="AQ58" i="29"/>
  <c r="BD49" i="29"/>
  <c r="H53" i="29"/>
  <c r="BA91" i="29"/>
  <c r="AR61" i="29"/>
  <c r="BD17" i="29"/>
  <c r="AB92" i="29"/>
  <c r="AR71" i="29"/>
  <c r="BE17" i="29"/>
  <c r="CQ71" i="29"/>
  <c r="CY91" i="29"/>
  <c r="AU13" i="29"/>
  <c r="CZ89" i="29"/>
  <c r="BH24" i="29"/>
  <c r="CJ27" i="29"/>
  <c r="AH30" i="29"/>
  <c r="BO57" i="29"/>
  <c r="CI60" i="29"/>
  <c r="CJ75" i="29"/>
  <c r="AY91" i="29"/>
  <c r="BU79" i="29"/>
  <c r="BE53" i="29"/>
  <c r="DF60" i="29"/>
  <c r="CL50" i="29"/>
  <c r="BQ48" i="29"/>
  <c r="O24" i="29"/>
  <c r="BR58" i="29"/>
  <c r="W59" i="29"/>
  <c r="BD67" i="29"/>
  <c r="AB65" i="29"/>
  <c r="CC10" i="29"/>
  <c r="CL96" i="29"/>
  <c r="CQ45" i="29"/>
  <c r="BH27" i="29"/>
  <c r="P10" i="29"/>
  <c r="AE29" i="29"/>
  <c r="AO45" i="29"/>
  <c r="Y27" i="29"/>
  <c r="AY62" i="29"/>
  <c r="AJ37" i="29"/>
  <c r="X75" i="29"/>
  <c r="CF91" i="29"/>
  <c r="X96" i="29"/>
  <c r="CL62" i="29"/>
  <c r="BU17" i="29"/>
  <c r="CS12" i="29"/>
  <c r="CO65" i="29"/>
  <c r="AP37" i="29"/>
  <c r="AY13" i="29"/>
  <c r="CL49" i="29"/>
  <c r="DD66" i="29"/>
  <c r="BD71" i="29"/>
  <c r="BP58" i="29"/>
  <c r="AM29" i="29"/>
  <c r="CW12" i="29"/>
  <c r="AT102" i="29"/>
  <c r="CW60" i="29"/>
  <c r="CW102" i="29"/>
  <c r="AS60" i="29"/>
  <c r="BI13" i="29"/>
  <c r="CY61" i="29"/>
  <c r="CB21" i="29"/>
  <c r="AV30" i="29"/>
  <c r="CW58" i="29"/>
  <c r="CX37" i="29"/>
  <c r="CG34" i="29"/>
  <c r="M53" i="29"/>
  <c r="AH61" i="29"/>
  <c r="CV25" i="29"/>
  <c r="CM27" i="29"/>
  <c r="CJ17" i="29"/>
  <c r="U24" i="29"/>
  <c r="AC71" i="29"/>
  <c r="AU79" i="29"/>
  <c r="W10" i="29"/>
  <c r="AH10" i="29"/>
  <c r="AF98" i="29"/>
  <c r="CR17" i="29"/>
  <c r="CW103" i="29"/>
  <c r="BB89" i="29"/>
  <c r="AG58" i="29"/>
  <c r="AT12" i="29"/>
  <c r="AH57" i="29"/>
  <c r="CS59" i="29"/>
  <c r="V71" i="29"/>
  <c r="BY17" i="29"/>
  <c r="AC30" i="29"/>
  <c r="AY92" i="29"/>
  <c r="AO61" i="29"/>
  <c r="BA54" i="29"/>
  <c r="CC58" i="29"/>
  <c r="AO10" i="29"/>
  <c r="BC61" i="29"/>
  <c r="AB34" i="29"/>
  <c r="CL54" i="29"/>
  <c r="BZ30" i="29"/>
  <c r="CK65" i="29"/>
  <c r="CF89" i="29"/>
  <c r="AV65" i="29"/>
  <c r="BP62" i="29"/>
  <c r="CS60" i="29"/>
  <c r="AA75" i="29"/>
  <c r="CD61" i="29"/>
  <c r="AT53" i="29"/>
  <c r="AG102" i="29"/>
  <c r="J66" i="29"/>
  <c r="AJ57" i="29"/>
  <c r="W60" i="29"/>
  <c r="AW92" i="29"/>
  <c r="AF65" i="29"/>
  <c r="DA17" i="29"/>
  <c r="CA60" i="29"/>
  <c r="DB103" i="29"/>
  <c r="CR66" i="29"/>
  <c r="BZ17" i="29"/>
  <c r="AH67" i="29"/>
  <c r="CT9" i="29"/>
  <c r="BE54" i="29"/>
  <c r="AA96" i="29"/>
  <c r="BB30" i="29"/>
  <c r="AZ50" i="29"/>
  <c r="DF25" i="29"/>
  <c r="DE25" i="29"/>
  <c r="CG65" i="29"/>
  <c r="CD71" i="29"/>
  <c r="AE12" i="29"/>
  <c r="CR81" i="29"/>
  <c r="CZ92" i="29"/>
  <c r="CB75" i="29"/>
  <c r="CP37" i="29"/>
  <c r="S50" i="29"/>
  <c r="CH66" i="29"/>
  <c r="DE61" i="29"/>
  <c r="BA27" i="29"/>
  <c r="L13" i="29"/>
  <c r="CR45" i="29"/>
  <c r="AI30" i="29"/>
  <c r="M59" i="29"/>
  <c r="CO67" i="29"/>
  <c r="I102" i="29"/>
  <c r="AE57" i="29"/>
  <c r="BC13" i="29"/>
  <c r="BC30" i="29"/>
  <c r="CE30" i="29"/>
  <c r="BV62" i="29"/>
  <c r="CH54" i="29"/>
  <c r="BX71" i="29"/>
  <c r="AU45" i="29"/>
  <c r="CS81" i="29"/>
  <c r="CW62" i="29"/>
  <c r="CI49" i="29"/>
  <c r="U75" i="29"/>
  <c r="CV89" i="29"/>
  <c r="CT67" i="29"/>
  <c r="BT21" i="29"/>
  <c r="AF71" i="29"/>
  <c r="P27" i="29"/>
  <c r="CX98" i="29"/>
  <c r="BV9" i="29"/>
  <c r="CM30" i="29"/>
  <c r="CV79" i="29"/>
  <c r="BZ53" i="29"/>
  <c r="BU29" i="29"/>
  <c r="AW96" i="29"/>
  <c r="AG9" i="29"/>
  <c r="BZ98" i="29"/>
  <c r="AQ24" i="29"/>
  <c r="BR98" i="29"/>
  <c r="BQ49" i="29"/>
  <c r="AG29" i="29"/>
  <c r="CH96" i="29"/>
  <c r="CY48" i="29"/>
  <c r="AT81" i="29"/>
  <c r="U57" i="29"/>
  <c r="CF26" i="29"/>
  <c r="Z34" i="29"/>
  <c r="L9" i="29"/>
  <c r="AT30" i="29"/>
  <c r="AP9" i="29"/>
  <c r="CX58" i="29"/>
  <c r="DE37" i="29"/>
  <c r="BE12" i="29"/>
  <c r="DD12" i="29"/>
  <c r="BV49" i="29"/>
  <c r="CD34" i="29"/>
  <c r="CG98" i="29"/>
  <c r="AA18" i="29"/>
  <c r="T24" i="29"/>
  <c r="S10" i="29"/>
  <c r="O96" i="29"/>
  <c r="CG102" i="29"/>
  <c r="BH25" i="29"/>
  <c r="BA53" i="29"/>
  <c r="CZ65" i="29"/>
  <c r="CW59" i="29"/>
  <c r="AU71" i="29"/>
  <c r="AZ67" i="29"/>
  <c r="CO59" i="29"/>
  <c r="AC48" i="29"/>
  <c r="AG81" i="29"/>
  <c r="DC65" i="29"/>
  <c r="AJ79" i="29"/>
  <c r="AD53" i="29"/>
  <c r="AT10" i="29"/>
  <c r="AO25" i="29"/>
  <c r="CR18" i="29"/>
  <c r="AE67" i="29"/>
  <c r="BT65" i="29"/>
  <c r="CI57" i="29"/>
  <c r="L71" i="29"/>
  <c r="BD75" i="29"/>
  <c r="AC89" i="29"/>
  <c r="CX61" i="29"/>
  <c r="BC10" i="29"/>
  <c r="BA61" i="29"/>
  <c r="T62" i="29"/>
  <c r="CI66" i="29"/>
  <c r="BW60" i="29"/>
  <c r="CG49" i="29"/>
  <c r="AU30" i="29"/>
  <c r="CO13" i="29"/>
  <c r="AS66" i="29"/>
  <c r="BZ49" i="29"/>
  <c r="AD29" i="29"/>
  <c r="L96" i="29"/>
  <c r="BO102" i="29"/>
  <c r="DB50" i="29"/>
  <c r="Y59" i="29"/>
  <c r="CL48" i="29"/>
  <c r="P71" i="29"/>
  <c r="BQ13" i="29"/>
  <c r="BE81" i="29"/>
  <c r="X29" i="29"/>
  <c r="CF48" i="29"/>
  <c r="CM34" i="29"/>
  <c r="BO91" i="29"/>
  <c r="BQ37" i="29"/>
  <c r="CL89" i="29"/>
  <c r="DB49" i="29"/>
  <c r="M71" i="29"/>
  <c r="CS65" i="29"/>
  <c r="CJ49" i="29"/>
  <c r="I60" i="29"/>
  <c r="AR89" i="29"/>
  <c r="AE58" i="29"/>
  <c r="AY53" i="29"/>
  <c r="DE81" i="29"/>
  <c r="S30" i="29"/>
  <c r="CB26" i="29"/>
  <c r="Y65" i="29"/>
  <c r="O58" i="29"/>
  <c r="AX10" i="29"/>
  <c r="CY54" i="29"/>
  <c r="AU9" i="29"/>
  <c r="K30" i="29"/>
  <c r="DD18" i="29"/>
  <c r="AU34" i="29"/>
  <c r="O66" i="29"/>
  <c r="CQ50" i="29"/>
  <c r="AP18" i="29"/>
  <c r="CM98" i="29"/>
  <c r="AW30" i="29"/>
  <c r="CK10" i="29"/>
  <c r="CT18" i="29"/>
  <c r="BP29" i="29"/>
  <c r="CZ62" i="29"/>
  <c r="AX59" i="29"/>
  <c r="O61" i="29"/>
  <c r="DE60" i="29"/>
  <c r="AG67" i="29"/>
  <c r="BH26" i="29"/>
  <c r="CU65" i="29"/>
  <c r="AW34" i="29"/>
  <c r="CX9" i="29"/>
  <c r="CR21" i="29"/>
  <c r="DF98" i="29"/>
  <c r="AA48" i="29"/>
  <c r="DD67" i="29"/>
  <c r="AP29" i="29"/>
  <c r="U79" i="29"/>
  <c r="J57" i="29"/>
  <c r="CJ54" i="29"/>
  <c r="AE65" i="29"/>
  <c r="CL13" i="29"/>
  <c r="AC62" i="29"/>
  <c r="L65" i="29"/>
  <c r="CU17" i="29"/>
  <c r="CT81" i="29"/>
  <c r="AY25" i="29"/>
  <c r="Y30" i="29"/>
  <c r="G24" i="29"/>
  <c r="AA10" i="29"/>
  <c r="CD26" i="29"/>
  <c r="DB79" i="29"/>
  <c r="P29" i="29"/>
  <c r="DC58" i="29"/>
  <c r="BH29" i="29"/>
  <c r="AU27" i="29"/>
  <c r="DF27" i="29"/>
  <c r="AE18" i="29"/>
  <c r="BR67" i="29"/>
  <c r="CC54" i="29"/>
  <c r="CE27" i="29"/>
  <c r="G81" i="29"/>
  <c r="L25" i="29"/>
  <c r="BA71" i="29"/>
  <c r="BU89" i="29"/>
  <c r="AZ96" i="29"/>
  <c r="Z27" i="29"/>
  <c r="BV98" i="29"/>
  <c r="M58" i="29"/>
  <c r="BS27" i="29"/>
  <c r="AS9" i="29"/>
  <c r="AS58" i="29"/>
  <c r="AG12" i="29"/>
  <c r="CN75" i="29"/>
  <c r="AN21" i="29"/>
  <c r="BA59" i="29"/>
  <c r="BR96" i="29"/>
  <c r="CK50" i="29"/>
  <c r="DC60" i="29"/>
  <c r="AS18" i="29"/>
  <c r="AS10" i="29"/>
  <c r="BZ29" i="29"/>
  <c r="AC60" i="29"/>
  <c r="BR13" i="29"/>
  <c r="BY103" i="29"/>
  <c r="AB89" i="29"/>
  <c r="BB98" i="29"/>
  <c r="AB67" i="29"/>
  <c r="AQ59" i="29"/>
  <c r="BB17" i="29"/>
  <c r="BS9" i="29"/>
  <c r="DE89" i="29"/>
  <c r="N54" i="29"/>
  <c r="BR34" i="29"/>
  <c r="BB24" i="29"/>
  <c r="AX49" i="29"/>
  <c r="CS103" i="29"/>
  <c r="BD21" i="29"/>
  <c r="Z37" i="29"/>
  <c r="N59" i="29"/>
  <c r="S17" i="29"/>
  <c r="CD21" i="29"/>
  <c r="CX91" i="29"/>
  <c r="BV30" i="29"/>
  <c r="AD18" i="29"/>
  <c r="BB71" i="29"/>
  <c r="AM60" i="29"/>
  <c r="CX96" i="29"/>
  <c r="BY102" i="29"/>
  <c r="CL71" i="29"/>
  <c r="DD29" i="29"/>
  <c r="CE66" i="29"/>
  <c r="AJ29" i="29"/>
  <c r="P62" i="29"/>
  <c r="AM18" i="29"/>
  <c r="BA13" i="29"/>
  <c r="AC92" i="29"/>
  <c r="O49" i="29"/>
  <c r="AH66" i="29"/>
  <c r="BT17" i="29"/>
  <c r="CJ59" i="29"/>
  <c r="DD26" i="29"/>
  <c r="BB21" i="29"/>
  <c r="CJ13" i="29"/>
  <c r="CS71" i="29"/>
  <c r="CZ54" i="29"/>
  <c r="BU37" i="29"/>
  <c r="BB66" i="29"/>
  <c r="AR9" i="29"/>
  <c r="CR26" i="29"/>
  <c r="AS91" i="29"/>
  <c r="CL17" i="29"/>
  <c r="DA60" i="29"/>
  <c r="DA26" i="29"/>
  <c r="N29" i="29"/>
  <c r="AR30" i="29"/>
  <c r="H62" i="29"/>
  <c r="DC103" i="29"/>
  <c r="AJ48" i="29"/>
  <c r="O91" i="29"/>
  <c r="BW21" i="29"/>
  <c r="BD13" i="29"/>
  <c r="AX30" i="29"/>
  <c r="CM24" i="29"/>
  <c r="CD57" i="29"/>
  <c r="BU61" i="29"/>
  <c r="CK29" i="29"/>
  <c r="DF91" i="29"/>
  <c r="BV24" i="29"/>
  <c r="AS27" i="29"/>
  <c r="X53" i="29"/>
  <c r="BC81" i="29"/>
  <c r="CT17" i="29"/>
  <c r="AT26" i="29"/>
  <c r="T27" i="29"/>
  <c r="CD10" i="29"/>
  <c r="AN102" i="29"/>
  <c r="AO37" i="29"/>
  <c r="AI37" i="29"/>
  <c r="U59" i="29"/>
  <c r="DC62" i="29"/>
  <c r="CR103" i="29"/>
  <c r="AT21" i="29"/>
  <c r="N96" i="29"/>
  <c r="AT45" i="29"/>
  <c r="O17" i="29"/>
  <c r="BC92" i="29"/>
  <c r="BE34" i="29"/>
  <c r="BT53" i="29"/>
  <c r="CJ102" i="29"/>
  <c r="CX29" i="29"/>
  <c r="S92" i="29"/>
  <c r="AO53" i="29"/>
  <c r="BS24" i="29"/>
  <c r="W13" i="29"/>
  <c r="AX13" i="29"/>
  <c r="CS61" i="29"/>
  <c r="J29" i="29"/>
  <c r="CG67" i="29"/>
  <c r="DE30" i="29"/>
  <c r="BZ48" i="29"/>
  <c r="CZ50" i="29"/>
  <c r="CD53" i="29"/>
  <c r="AM17" i="29"/>
  <c r="G91" i="29"/>
  <c r="N91" i="29"/>
  <c r="AH34" i="29"/>
  <c r="AZ30" i="29"/>
  <c r="CF98" i="29"/>
  <c r="W79" i="29"/>
  <c r="AW58" i="29"/>
  <c r="CR48" i="29"/>
  <c r="P45" i="29"/>
  <c r="CF92" i="29"/>
  <c r="BE30" i="29"/>
  <c r="CB25" i="29"/>
  <c r="DE45" i="29"/>
  <c r="CO66" i="29"/>
  <c r="CP21" i="29"/>
  <c r="CN71" i="29"/>
  <c r="Y13" i="29"/>
  <c r="AA89" i="29"/>
  <c r="CM75" i="29"/>
  <c r="V61" i="29"/>
  <c r="AR81" i="29"/>
  <c r="AT65" i="29"/>
  <c r="AQ71" i="29"/>
  <c r="AI91" i="29"/>
  <c r="H79" i="29"/>
  <c r="CK27" i="29"/>
  <c r="AR53" i="29"/>
  <c r="DA98" i="29"/>
  <c r="AD67" i="29"/>
  <c r="BR50" i="29"/>
  <c r="CH92" i="29"/>
  <c r="AG54" i="29"/>
  <c r="CQ58" i="29"/>
  <c r="CM89" i="29"/>
  <c r="CJ45" i="29"/>
  <c r="T25" i="29"/>
  <c r="BP96" i="29"/>
  <c r="AS53" i="29"/>
  <c r="AE91" i="29"/>
  <c r="P98" i="29"/>
  <c r="DA66" i="29"/>
  <c r="CM57" i="29"/>
  <c r="AY71" i="29"/>
  <c r="L10" i="29"/>
  <c r="AH13" i="29"/>
  <c r="BU53" i="29"/>
  <c r="BQ62" i="29"/>
  <c r="DC17" i="29"/>
  <c r="DE49" i="29"/>
  <c r="AA37" i="29"/>
  <c r="AZ34" i="29"/>
  <c r="DA67" i="29"/>
  <c r="BD96" i="29"/>
  <c r="L37" i="29"/>
  <c r="AQ25" i="29"/>
  <c r="BD98" i="29"/>
  <c r="O98" i="29"/>
  <c r="BE27" i="29"/>
  <c r="CH60" i="29"/>
  <c r="AZ26" i="29"/>
  <c r="CE102" i="29"/>
  <c r="BY81" i="29"/>
  <c r="AQ13" i="29"/>
  <c r="X66" i="29"/>
  <c r="BB75" i="29"/>
  <c r="AP54" i="29"/>
  <c r="AZ37" i="29"/>
  <c r="BW54" i="29"/>
  <c r="AM71" i="29"/>
  <c r="AF75" i="29"/>
  <c r="BT18" i="29"/>
  <c r="DC29" i="29"/>
  <c r="DA29" i="29"/>
  <c r="AD61" i="29"/>
  <c r="CN26" i="29"/>
  <c r="CI61" i="29"/>
  <c r="CC13" i="29"/>
  <c r="CA81" i="29"/>
  <c r="CT103" i="29"/>
  <c r="BY27" i="29"/>
  <c r="L48" i="29"/>
  <c r="CR9" i="29"/>
  <c r="DE34" i="29"/>
  <c r="CV54" i="29"/>
  <c r="BD57" i="29"/>
  <c r="Z81" i="29"/>
  <c r="AT57" i="29"/>
  <c r="AP62" i="29"/>
  <c r="AH53" i="29"/>
  <c r="AI53" i="29"/>
  <c r="CE9" i="29"/>
  <c r="CK54" i="29"/>
  <c r="AP49" i="29"/>
  <c r="CY103" i="29"/>
  <c r="L29" i="29"/>
  <c r="X91" i="29"/>
  <c r="CO58" i="29"/>
  <c r="CH29" i="29"/>
  <c r="AH81" i="29"/>
  <c r="BI30" i="29"/>
  <c r="AV53" i="29"/>
  <c r="DA18" i="29"/>
  <c r="DD98" i="29"/>
  <c r="DF10" i="29"/>
  <c r="AP13" i="29"/>
  <c r="Z65" i="29"/>
  <c r="M65" i="29"/>
  <c r="BZ9" i="29"/>
  <c r="J79" i="29"/>
  <c r="AE48" i="29"/>
  <c r="CC34" i="29"/>
  <c r="BV12" i="29"/>
  <c r="CY50" i="29"/>
  <c r="DB9" i="29"/>
  <c r="X27" i="29"/>
  <c r="CC25" i="29"/>
  <c r="DD37" i="29"/>
  <c r="G10" i="29"/>
  <c r="AN34" i="29"/>
  <c r="CN50" i="29"/>
  <c r="H12" i="29"/>
  <c r="M21" i="29"/>
  <c r="AW53" i="29"/>
  <c r="AE21" i="29"/>
  <c r="AJ30" i="29"/>
  <c r="CU24" i="29"/>
  <c r="BB67" i="29"/>
  <c r="AT60" i="29"/>
  <c r="M89" i="29"/>
  <c r="CN10" i="29"/>
  <c r="N71" i="29"/>
  <c r="CJ37" i="29"/>
  <c r="H57" i="29"/>
  <c r="U17" i="29"/>
  <c r="AS54" i="29"/>
  <c r="DC92" i="29"/>
  <c r="BW103" i="29"/>
  <c r="AS26" i="29"/>
  <c r="AH24" i="29"/>
  <c r="Y60" i="29"/>
  <c r="I50" i="29"/>
  <c r="BT26" i="29"/>
  <c r="BU81" i="29"/>
  <c r="CE91" i="29"/>
  <c r="AA45" i="29"/>
  <c r="BA10" i="29"/>
  <c r="I13" i="29"/>
  <c r="CX57" i="29"/>
  <c r="CZ26" i="29"/>
  <c r="CN13" i="29"/>
  <c r="DC37" i="29"/>
  <c r="AV9" i="29"/>
  <c r="CP9" i="29"/>
  <c r="CP45" i="29"/>
  <c r="AV25" i="29"/>
  <c r="M75" i="29"/>
  <c r="CC89" i="29"/>
  <c r="Y45" i="29"/>
  <c r="CM103" i="29"/>
  <c r="O10" i="29"/>
  <c r="AV81" i="29"/>
  <c r="CT50" i="29"/>
  <c r="CZ57" i="29"/>
  <c r="BP30" i="29"/>
  <c r="DA10" i="29"/>
  <c r="AJ58" i="29"/>
  <c r="T17" i="29"/>
  <c r="U58" i="29"/>
  <c r="BC67" i="29"/>
  <c r="M49" i="29"/>
  <c r="CZ103" i="29"/>
  <c r="DE24" i="29"/>
  <c r="AO89" i="29"/>
  <c r="AO12" i="29"/>
  <c r="BW37" i="29"/>
  <c r="CW96" i="29"/>
  <c r="N92" i="29"/>
  <c r="P18" i="29"/>
  <c r="AF59" i="29"/>
  <c r="J54" i="29"/>
  <c r="CT49" i="29"/>
  <c r="AQ54" i="29"/>
  <c r="BY34" i="29"/>
  <c r="AQ17" i="29"/>
  <c r="BW34" i="29"/>
  <c r="CJ12" i="29"/>
  <c r="AY75" i="29"/>
  <c r="CI67" i="29"/>
  <c r="CL18" i="29"/>
  <c r="AB54" i="29"/>
  <c r="AN81" i="29"/>
  <c r="H60" i="29"/>
  <c r="AR24" i="29"/>
  <c r="CW89" i="29"/>
  <c r="CR53" i="29"/>
  <c r="CE53" i="29"/>
  <c r="CZ66" i="29"/>
  <c r="AT79" i="29"/>
  <c r="CA21" i="29"/>
  <c r="AQ50" i="29"/>
  <c r="Y48" i="29"/>
  <c r="CB92" i="29"/>
  <c r="DA103" i="29"/>
  <c r="CN17" i="29"/>
  <c r="CF62" i="29"/>
  <c r="BR75" i="29"/>
  <c r="CL103" i="29"/>
  <c r="BD58" i="29"/>
  <c r="CT37" i="29"/>
  <c r="AY21" i="29"/>
  <c r="CI89" i="29"/>
  <c r="AO71" i="29"/>
  <c r="CC65" i="29"/>
  <c r="AM25" i="29"/>
  <c r="DC12" i="29"/>
  <c r="AG89" i="29"/>
  <c r="AJ60" i="29"/>
  <c r="CV57" i="29"/>
  <c r="AC25" i="29"/>
  <c r="AS65" i="29"/>
  <c r="BA60" i="29"/>
  <c r="AE89" i="29"/>
  <c r="P91" i="29"/>
  <c r="BY91" i="29"/>
  <c r="CZ49" i="29"/>
  <c r="CQ79" i="29"/>
  <c r="CH81" i="29"/>
  <c r="U37" i="29"/>
  <c r="AE102" i="29"/>
  <c r="AI65" i="29"/>
  <c r="DA12" i="29"/>
  <c r="CW45" i="29"/>
  <c r="AA24" i="29"/>
  <c r="CO61" i="29"/>
  <c r="CX27" i="29"/>
  <c r="BS75" i="29"/>
  <c r="DC18" i="29"/>
  <c r="AY89" i="29"/>
  <c r="BB54" i="29"/>
  <c r="AA57" i="29"/>
  <c r="CS34" i="29"/>
  <c r="CF102" i="29"/>
  <c r="CH45" i="29"/>
  <c r="AN26" i="29"/>
  <c r="CB103" i="29"/>
  <c r="CO103" i="29"/>
  <c r="AY60" i="29"/>
  <c r="AM75" i="29"/>
  <c r="CP96" i="29"/>
  <c r="CH34" i="29"/>
  <c r="BE59" i="29"/>
  <c r="CS27" i="29"/>
  <c r="CM71" i="29"/>
  <c r="AY65" i="29"/>
  <c r="DC34" i="29"/>
  <c r="BD30" i="29"/>
  <c r="BU48" i="29"/>
  <c r="G98" i="29"/>
  <c r="I25" i="29"/>
  <c r="CF45" i="29"/>
  <c r="K71" i="29"/>
  <c r="J67" i="29"/>
  <c r="CM48" i="29"/>
  <c r="AJ17" i="29"/>
  <c r="CE71" i="29"/>
  <c r="M96" i="29"/>
  <c r="BS66" i="29"/>
  <c r="AS59" i="29"/>
  <c r="V89" i="29"/>
  <c r="AE60" i="29"/>
  <c r="AN9" i="29"/>
  <c r="AN89" i="29"/>
  <c r="DE75" i="29"/>
  <c r="CZ58" i="29"/>
  <c r="W71" i="29"/>
  <c r="BV60" i="29"/>
  <c r="CI53" i="29"/>
  <c r="AU59" i="29"/>
  <c r="CM79" i="29"/>
  <c r="BH67" i="29"/>
  <c r="AX9" i="29"/>
  <c r="AX65" i="29"/>
  <c r="CT66" i="29"/>
  <c r="AT62" i="29"/>
  <c r="G59" i="29"/>
  <c r="BT48" i="29"/>
  <c r="CV62" i="29"/>
  <c r="O25" i="29"/>
  <c r="CA49" i="29"/>
  <c r="BQ34" i="29"/>
  <c r="AH49" i="29"/>
  <c r="CK18" i="29"/>
  <c r="CQ66" i="29"/>
  <c r="CX30" i="29"/>
  <c r="CI45" i="29"/>
  <c r="BT96" i="29"/>
  <c r="AA67" i="29"/>
  <c r="BS12" i="29"/>
  <c r="AO9" i="29"/>
  <c r="BS50" i="29"/>
  <c r="S61" i="29"/>
  <c r="CQ10" i="29"/>
  <c r="CW17" i="29"/>
  <c r="CS58" i="29"/>
  <c r="AV12" i="29"/>
  <c r="G34" i="29"/>
  <c r="BY66" i="29"/>
  <c r="CW34" i="29"/>
  <c r="CW67" i="29"/>
  <c r="DA81" i="29"/>
  <c r="CX50" i="29"/>
  <c r="AH89" i="29"/>
  <c r="AR29" i="29"/>
  <c r="BR54" i="29"/>
  <c r="CD67" i="29"/>
  <c r="CA12" i="29"/>
  <c r="DE9" i="29"/>
  <c r="Z59" i="29"/>
  <c r="AQ26" i="29"/>
  <c r="CU96" i="29"/>
  <c r="J10" i="29"/>
  <c r="CJ65" i="29"/>
  <c r="G92" i="29"/>
  <c r="AZ54" i="29"/>
  <c r="CD18" i="29"/>
  <c r="CT27" i="29"/>
  <c r="AX102" i="29"/>
  <c r="CD58" i="29"/>
  <c r="AD79" i="29"/>
  <c r="BY54" i="29"/>
  <c r="CQ89" i="29"/>
  <c r="AV61" i="29"/>
  <c r="AH26" i="29"/>
  <c r="BQ96" i="29"/>
  <c r="CJ81" i="29"/>
  <c r="CA67" i="29"/>
  <c r="DB48" i="29"/>
  <c r="BB48" i="29"/>
  <c r="O65" i="29"/>
  <c r="CX81" i="29"/>
  <c r="S27" i="29"/>
  <c r="BD26" i="29"/>
  <c r="CZ102" i="29"/>
  <c r="BV45" i="29"/>
  <c r="BW89" i="29"/>
  <c r="AP17" i="29"/>
  <c r="H61" i="29"/>
  <c r="AT27" i="29"/>
  <c r="CQ25" i="29"/>
  <c r="CC62" i="29"/>
  <c r="CO91" i="29"/>
  <c r="DD13" i="29"/>
  <c r="J49" i="29"/>
  <c r="AY58" i="29"/>
  <c r="CQ75" i="29"/>
  <c r="BZ75" i="29"/>
  <c r="M48" i="29"/>
  <c r="O26" i="29"/>
  <c r="U30" i="29"/>
  <c r="K62" i="29"/>
  <c r="BQ57" i="29"/>
  <c r="BQ60" i="29"/>
  <c r="K18" i="29"/>
  <c r="BH49" i="29"/>
  <c r="AH50" i="29"/>
  <c r="CQ57" i="29"/>
  <c r="CX89" i="29"/>
  <c r="AZ58" i="29"/>
  <c r="CF81" i="29"/>
  <c r="CL91" i="29"/>
  <c r="AF89" i="29"/>
  <c r="AZ17" i="29"/>
  <c r="J45" i="29"/>
  <c r="DB98" i="29"/>
  <c r="AG34" i="29"/>
  <c r="CW71" i="29"/>
  <c r="DB59" i="29"/>
  <c r="CW13" i="29"/>
  <c r="DF26" i="29"/>
  <c r="BV67" i="29"/>
  <c r="S65" i="29"/>
  <c r="AF48" i="29"/>
  <c r="AJ18" i="29"/>
  <c r="CG79" i="29"/>
  <c r="BQ59" i="29"/>
  <c r="DF37" i="29"/>
  <c r="CU12" i="29"/>
  <c r="AJ50" i="29"/>
  <c r="BI10" i="29"/>
  <c r="AZ62" i="29"/>
  <c r="AN92" i="29"/>
  <c r="DA50" i="29"/>
  <c r="CR54" i="29"/>
  <c r="BX21" i="29"/>
  <c r="V10" i="29"/>
  <c r="AN29" i="29"/>
  <c r="DB67" i="29"/>
  <c r="BC75" i="29"/>
  <c r="BT27" i="29"/>
  <c r="CH67" i="29"/>
  <c r="AS98" i="29"/>
  <c r="CA91" i="29"/>
  <c r="Z10" i="29"/>
  <c r="BX92" i="29"/>
  <c r="AT34" i="29"/>
  <c r="BU98" i="29"/>
  <c r="BH12" i="29"/>
  <c r="J13" i="29"/>
  <c r="BT57" i="29"/>
  <c r="AD45" i="29"/>
  <c r="AB48" i="29"/>
  <c r="BP13" i="29"/>
  <c r="BH50" i="29"/>
  <c r="AM65" i="29"/>
  <c r="CP49" i="29"/>
  <c r="CJ91" i="29"/>
  <c r="Y62" i="29"/>
  <c r="BX67" i="29"/>
  <c r="BX53" i="29"/>
  <c r="AQ53" i="29"/>
  <c r="AI61" i="29"/>
  <c r="CG26" i="29"/>
  <c r="CU26" i="29"/>
  <c r="Z53" i="29"/>
  <c r="AF79" i="29"/>
  <c r="CC49" i="29"/>
  <c r="BE79" i="29"/>
  <c r="CC45" i="29"/>
  <c r="CK75" i="29"/>
  <c r="AO62" i="29"/>
  <c r="CL9" i="29"/>
  <c r="V60" i="29"/>
  <c r="CR27" i="29"/>
  <c r="BY48" i="29"/>
  <c r="CX62" i="29"/>
  <c r="DD57" i="29"/>
  <c r="BX25" i="29"/>
  <c r="Z9" i="29"/>
  <c r="Y61" i="29"/>
  <c r="CD27" i="29"/>
  <c r="CW37" i="29"/>
  <c r="BZ10" i="29"/>
  <c r="AF81" i="29"/>
  <c r="CK30" i="29"/>
  <c r="N17" i="29"/>
  <c r="AB102" i="29"/>
  <c r="BV27" i="29"/>
  <c r="N60" i="29"/>
  <c r="AN57" i="29"/>
  <c r="AO81" i="29"/>
  <c r="DE58" i="29"/>
  <c r="AD12" i="29"/>
  <c r="AH9" i="29"/>
  <c r="V34" i="29"/>
  <c r="J96" i="29"/>
  <c r="CB66" i="29"/>
  <c r="CK58" i="29"/>
  <c r="AC21" i="29"/>
  <c r="G21" i="29"/>
  <c r="AF21" i="29"/>
  <c r="P81" i="29"/>
  <c r="BR9" i="29"/>
  <c r="CB37" i="29"/>
  <c r="BW58" i="29"/>
  <c r="CL24" i="29"/>
  <c r="CT89" i="29"/>
  <c r="BW96" i="29"/>
  <c r="AR91" i="29"/>
  <c r="CD29" i="29"/>
  <c r="X59" i="29"/>
  <c r="AC49" i="29"/>
  <c r="AD62" i="29"/>
  <c r="P67" i="29"/>
  <c r="BY57" i="29"/>
  <c r="Z24" i="29"/>
  <c r="CJ21" i="29"/>
  <c r="AB37" i="29"/>
  <c r="J59" i="29"/>
  <c r="G53" i="29"/>
  <c r="DA57" i="29"/>
  <c r="DA49" i="29"/>
  <c r="CU57" i="29"/>
  <c r="BI50" i="29"/>
  <c r="AN10" i="29"/>
  <c r="CE13" i="29"/>
  <c r="BR49" i="29"/>
  <c r="AY96" i="29"/>
  <c r="AY50" i="29"/>
  <c r="L34" i="29"/>
  <c r="CP91" i="29"/>
  <c r="BC98" i="29"/>
  <c r="AY54" i="29"/>
  <c r="AY98" i="29"/>
  <c r="AN65" i="29"/>
  <c r="BC60" i="29"/>
  <c r="CI21" i="29"/>
  <c r="CM91" i="29"/>
  <c r="CP103" i="29"/>
  <c r="H26" i="29"/>
  <c r="L79" i="29"/>
  <c r="BH18" i="29"/>
  <c r="AE13" i="29"/>
  <c r="BZ24" i="29"/>
  <c r="BI9" i="29"/>
  <c r="BY45" i="29"/>
  <c r="G57" i="29"/>
  <c r="AR79" i="29"/>
  <c r="AJ54" i="29"/>
  <c r="AI66" i="29"/>
  <c r="M81" i="29"/>
  <c r="BA48" i="29"/>
  <c r="AO13" i="29"/>
  <c r="CA53" i="29"/>
  <c r="M54" i="29"/>
  <c r="CP30" i="29"/>
  <c r="BH59" i="29"/>
  <c r="AG30" i="29"/>
  <c r="DD24" i="29"/>
  <c r="AM48" i="29"/>
  <c r="DE65" i="29"/>
  <c r="CS37" i="29"/>
  <c r="BW18" i="29"/>
  <c r="CP71" i="29"/>
  <c r="AD58" i="29"/>
  <c r="H9" i="29"/>
  <c r="BY24" i="29"/>
  <c r="H81" i="29"/>
  <c r="CF27" i="29"/>
  <c r="I65" i="29"/>
  <c r="AC29" i="29"/>
  <c r="CA96" i="29"/>
  <c r="AE61" i="29"/>
  <c r="CI24" i="29"/>
  <c r="G60" i="29"/>
  <c r="CR34" i="29"/>
  <c r="BS21" i="29"/>
  <c r="CL60" i="29"/>
  <c r="BC89" i="29"/>
  <c r="BP37" i="29"/>
  <c r="H17" i="29"/>
  <c r="BV59" i="29"/>
  <c r="CL21" i="29"/>
  <c r="AT71" i="29"/>
  <c r="BH9" i="29"/>
  <c r="AY12" i="29"/>
  <c r="CM13" i="29"/>
  <c r="DD75" i="29"/>
  <c r="CE96" i="29"/>
  <c r="BT12" i="29"/>
  <c r="N57" i="29"/>
  <c r="CH103" i="29"/>
  <c r="BW45" i="29"/>
  <c r="AQ61" i="29"/>
  <c r="CB18" i="29"/>
  <c r="BW62" i="29"/>
  <c r="N58" i="29"/>
  <c r="AJ67" i="29"/>
  <c r="M91" i="29"/>
  <c r="CP65" i="29"/>
  <c r="W18" i="29"/>
  <c r="AR65" i="29"/>
  <c r="T10" i="29"/>
  <c r="CG60" i="29"/>
  <c r="DF102" i="29"/>
  <c r="AW89" i="29"/>
  <c r="AI48" i="29"/>
  <c r="AQ91" i="29"/>
  <c r="AP10" i="29"/>
  <c r="AA71" i="29"/>
  <c r="AI57" i="29"/>
  <c r="AV58" i="29"/>
  <c r="CN65" i="29"/>
  <c r="CW25" i="29"/>
  <c r="AZ75" i="29"/>
  <c r="CF17" i="29"/>
  <c r="N89" i="29"/>
  <c r="W89" i="29"/>
  <c r="AW102" i="29"/>
  <c r="CG21" i="29"/>
  <c r="J61" i="29"/>
  <c r="X18" i="29"/>
  <c r="AH48" i="29"/>
  <c r="AB27" i="29"/>
  <c r="AM81" i="29"/>
  <c r="AQ12" i="29"/>
  <c r="AN59" i="29"/>
  <c r="BI71" i="29"/>
  <c r="CT45" i="29"/>
  <c r="CS48" i="29"/>
  <c r="AV37" i="29"/>
  <c r="CE25" i="29"/>
  <c r="CC59" i="29"/>
  <c r="CQ37" i="29"/>
  <c r="Y50" i="29"/>
  <c r="BB10" i="29"/>
  <c r="CC92" i="29"/>
  <c r="DE29" i="29"/>
  <c r="X21" i="29"/>
  <c r="Y98" i="29"/>
  <c r="AY49" i="29"/>
  <c r="W58" i="29"/>
  <c r="BS49" i="29"/>
  <c r="H24" i="29"/>
  <c r="CX24" i="29"/>
  <c r="Z48" i="29"/>
  <c r="T49" i="29"/>
  <c r="BV66" i="29"/>
  <c r="CY21" i="29"/>
  <c r="AC66" i="29"/>
  <c r="G102" i="29"/>
  <c r="CF9" i="29"/>
  <c r="CZ48" i="29"/>
  <c r="S58" i="29"/>
  <c r="CD81" i="29"/>
  <c r="CL37" i="29"/>
  <c r="CV34" i="29"/>
  <c r="DB26" i="29"/>
  <c r="DA30" i="29"/>
  <c r="CM62" i="29"/>
  <c r="CH62" i="29"/>
  <c r="BV91" i="29"/>
  <c r="CR57" i="29"/>
  <c r="CX103" i="29"/>
  <c r="CW21" i="29"/>
  <c r="AH75" i="29"/>
  <c r="DC98" i="29"/>
  <c r="BO34" i="29"/>
  <c r="CU67" i="29"/>
  <c r="BU12" i="29"/>
  <c r="AV24" i="29"/>
  <c r="J58" i="29"/>
  <c r="CQ59" i="29"/>
  <c r="CC67" i="29"/>
  <c r="CZ61" i="29"/>
  <c r="BI57" i="29"/>
  <c r="BX12" i="29"/>
  <c r="CP12" i="29"/>
  <c r="BY12" i="29"/>
  <c r="CE98" i="29"/>
  <c r="CC66" i="29"/>
  <c r="BV21" i="29"/>
  <c r="BS29" i="29"/>
  <c r="CY24" i="29"/>
  <c r="BS102" i="29"/>
  <c r="CG53" i="29"/>
  <c r="AH92" i="29"/>
  <c r="AU65" i="29"/>
  <c r="BC96" i="29"/>
  <c r="CJ24" i="29"/>
  <c r="S13" i="29"/>
  <c r="CO54" i="29"/>
  <c r="BU96" i="29"/>
  <c r="N62" i="29"/>
  <c r="V67" i="29"/>
  <c r="CI27" i="29"/>
  <c r="CU59" i="29"/>
  <c r="CU9" i="29"/>
  <c r="BZ45" i="29"/>
  <c r="J37" i="29"/>
  <c r="CI34" i="29"/>
  <c r="AS34" i="29"/>
  <c r="G65" i="29"/>
  <c r="AS49" i="29"/>
  <c r="CA9" i="29"/>
  <c r="K60" i="29"/>
  <c r="CW66" i="29"/>
  <c r="O57" i="29"/>
  <c r="BW25" i="29"/>
  <c r="AD91" i="29"/>
  <c r="AX53" i="29"/>
  <c r="V66" i="29"/>
  <c r="BD27" i="29"/>
  <c r="AP25" i="29"/>
  <c r="AA59" i="29"/>
  <c r="BO62" i="29"/>
  <c r="N102" i="29"/>
  <c r="CB60" i="29"/>
  <c r="DB29" i="29"/>
  <c r="CV21" i="29"/>
  <c r="AB62" i="29"/>
  <c r="BE25" i="29"/>
  <c r="CN49" i="29"/>
  <c r="AZ10" i="29"/>
  <c r="CN29" i="29"/>
  <c r="AV10" i="29"/>
  <c r="U34" i="29"/>
  <c r="Z89" i="29"/>
  <c r="CI30" i="29"/>
  <c r="X57" i="29"/>
  <c r="CD25" i="29"/>
  <c r="BO96" i="29"/>
  <c r="BE9" i="29"/>
  <c r="AJ81" i="29"/>
  <c r="BV79" i="29"/>
  <c r="CS18" i="29"/>
  <c r="CF71" i="29"/>
  <c r="CY71" i="29"/>
  <c r="Y25" i="29"/>
  <c r="BW53" i="29"/>
  <c r="BW49" i="29"/>
  <c r="AH58" i="29"/>
  <c r="W30" i="29"/>
  <c r="G66" i="29"/>
  <c r="BI45" i="29"/>
  <c r="CM25" i="29"/>
  <c r="DB25" i="29"/>
  <c r="DB17" i="29"/>
  <c r="DE71" i="29"/>
  <c r="AU29" i="29"/>
  <c r="CK62" i="29"/>
  <c r="AA54" i="29"/>
  <c r="BS98" i="29"/>
  <c r="I67" i="29"/>
  <c r="AI67" i="29"/>
  <c r="AU50" i="29"/>
  <c r="AN53" i="29"/>
  <c r="CX34" i="29"/>
  <c r="BE45" i="29"/>
  <c r="AC81" i="29"/>
  <c r="BV50" i="29"/>
  <c r="CZ17" i="29"/>
  <c r="CH61" i="29"/>
  <c r="AY17" i="29"/>
  <c r="DC91" i="29"/>
  <c r="P17" i="29"/>
  <c r="DE27" i="29"/>
  <c r="BU26" i="29"/>
  <c r="CI81" i="29"/>
  <c r="Z21" i="29"/>
  <c r="Y21" i="29"/>
  <c r="AC13" i="29"/>
  <c r="DE10" i="29"/>
  <c r="CZ53" i="29"/>
  <c r="DB102" i="29"/>
  <c r="X25" i="29"/>
  <c r="AD48" i="29"/>
  <c r="G49" i="29"/>
  <c r="AA58" i="29"/>
  <c r="CR29" i="29"/>
  <c r="AP30" i="29"/>
  <c r="AN60" i="29"/>
  <c r="CC29" i="29"/>
  <c r="CF21" i="29"/>
  <c r="CB34" i="29"/>
  <c r="CG45" i="29"/>
  <c r="CJ61" i="29"/>
  <c r="AQ66" i="29"/>
  <c r="AJ59" i="29"/>
  <c r="AZ57" i="29"/>
  <c r="CV48" i="29"/>
  <c r="BA18" i="29"/>
  <c r="CY18" i="29"/>
  <c r="AE45" i="29"/>
  <c r="CX13" i="29"/>
  <c r="BE58" i="29"/>
  <c r="CJ58" i="29"/>
  <c r="CP98" i="29"/>
  <c r="BA89" i="29"/>
  <c r="CD103" i="29"/>
  <c r="AR21" i="29"/>
  <c r="BB96" i="29"/>
  <c r="BZ26" i="29"/>
  <c r="BI62" i="29"/>
  <c r="G67" i="29"/>
  <c r="BW10" i="29"/>
  <c r="X62" i="29"/>
  <c r="AG24" i="29"/>
  <c r="AN13" i="29"/>
  <c r="BW91" i="29"/>
  <c r="DB81" i="29"/>
  <c r="CZ81" i="29"/>
  <c r="W91" i="29"/>
  <c r="G37" i="29"/>
  <c r="CD66" i="29"/>
  <c r="BZ61" i="29"/>
  <c r="CP17" i="29"/>
  <c r="CW65" i="29"/>
  <c r="CE54" i="29"/>
  <c r="CU103" i="29"/>
  <c r="AP67" i="29"/>
  <c r="BY75" i="29"/>
  <c r="CE12" i="29"/>
  <c r="CO57" i="29"/>
  <c r="L81" i="29"/>
  <c r="AT18" i="29"/>
  <c r="BY62" i="29"/>
  <c r="I71" i="29"/>
  <c r="Z13" i="29"/>
  <c r="BA50" i="29"/>
  <c r="Z12" i="29"/>
  <c r="BV26" i="29"/>
  <c r="T50" i="29"/>
  <c r="I96" i="29"/>
  <c r="CV30" i="29"/>
  <c r="DF62" i="29"/>
  <c r="AQ10" i="29"/>
  <c r="X50" i="29"/>
  <c r="N49" i="29"/>
  <c r="O50" i="29"/>
  <c r="CT65" i="29"/>
  <c r="BB65" i="29"/>
  <c r="CM45" i="29"/>
  <c r="K75" i="29"/>
  <c r="AM91" i="29"/>
  <c r="BI60" i="29"/>
  <c r="W26" i="29"/>
  <c r="CA103" i="29"/>
  <c r="CK49" i="29"/>
  <c r="AF18" i="29"/>
  <c r="O21" i="29"/>
  <c r="BU25" i="29"/>
  <c r="AA50" i="29"/>
  <c r="BI58" i="29"/>
  <c r="W61" i="29"/>
  <c r="CG103" i="29"/>
  <c r="CE45" i="29"/>
  <c r="CH12" i="29"/>
  <c r="BR25" i="29"/>
  <c r="BD24" i="29"/>
  <c r="V30" i="29"/>
  <c r="AI24" i="29"/>
  <c r="DD91" i="29"/>
  <c r="CC27" i="29"/>
  <c r="BB18" i="29"/>
  <c r="BT59" i="29"/>
  <c r="CX71" i="29"/>
  <c r="BV48" i="29"/>
  <c r="BU91" i="29"/>
  <c r="CN48" i="29"/>
  <c r="AA60" i="29"/>
  <c r="AI98" i="29"/>
  <c r="AE24" i="29"/>
  <c r="CJ25" i="29"/>
  <c r="CT71" i="29"/>
  <c r="AC17" i="29"/>
  <c r="BV10" i="29"/>
  <c r="CM96" i="29"/>
  <c r="K53" i="29"/>
  <c r="CN9" i="29"/>
  <c r="X13" i="29"/>
  <c r="AV66" i="29"/>
  <c r="AW48" i="29"/>
  <c r="CM49" i="29"/>
  <c r="BS58" i="29"/>
  <c r="BP59" i="29"/>
  <c r="J60" i="29"/>
  <c r="CX67" i="29"/>
  <c r="BQ45" i="29"/>
  <c r="BU58" i="29"/>
  <c r="BB57" i="29"/>
  <c r="CG66" i="29"/>
  <c r="M24" i="29"/>
  <c r="DE13" i="29"/>
  <c r="AZ61" i="29"/>
  <c r="BS30" i="29"/>
  <c r="DB58" i="29"/>
  <c r="L61" i="29"/>
  <c r="CE21" i="29"/>
  <c r="Y96" i="29"/>
  <c r="AJ34" i="29"/>
  <c r="BO65" i="29"/>
  <c r="CP102" i="29"/>
  <c r="AJ53" i="29"/>
  <c r="BT98" i="29"/>
  <c r="I98" i="29"/>
  <c r="U13" i="29"/>
  <c r="T61" i="29"/>
  <c r="M62" i="29"/>
  <c r="P57" i="29"/>
  <c r="AY24" i="29"/>
  <c r="S89" i="29"/>
  <c r="DF92" i="29"/>
  <c r="AQ79" i="29"/>
  <c r="DF57" i="29"/>
  <c r="BQ75" i="29"/>
  <c r="P60" i="29"/>
  <c r="CA45" i="29"/>
  <c r="AG60" i="29"/>
  <c r="U62" i="29"/>
  <c r="CI91" i="29"/>
  <c r="H37" i="29"/>
  <c r="CU54" i="29"/>
  <c r="AT29" i="29"/>
  <c r="CR37" i="29"/>
  <c r="BH34" i="29"/>
  <c r="BP45" i="29"/>
  <c r="CE103" i="29"/>
  <c r="AW27" i="29"/>
  <c r="O34" i="29"/>
  <c r="AX34" i="29"/>
  <c r="AG18" i="29"/>
  <c r="CO18" i="29"/>
  <c r="CX25" i="29"/>
  <c r="BT50" i="29"/>
  <c r="Y91" i="29"/>
  <c r="AZ45" i="29"/>
  <c r="BB62" i="29"/>
  <c r="BZ81" i="29"/>
  <c r="BW48" i="29"/>
  <c r="CT48" i="29"/>
  <c r="CF24" i="29"/>
  <c r="CV91" i="29"/>
  <c r="CU21" i="29"/>
  <c r="N21" i="29"/>
  <c r="AD89" i="29"/>
  <c r="N66" i="29"/>
  <c r="DC13" i="29"/>
  <c r="T67" i="29"/>
  <c r="AG57" i="29"/>
  <c r="BI59" i="29"/>
  <c r="AS13" i="29"/>
  <c r="CT75" i="29"/>
  <c r="AZ65" i="29"/>
  <c r="J50" i="29"/>
  <c r="CO48" i="29"/>
  <c r="DA61" i="29"/>
  <c r="BU92" i="29"/>
  <c r="DF59" i="29"/>
  <c r="BY89" i="29"/>
  <c r="AV79" i="29"/>
  <c r="AH79" i="29"/>
  <c r="J81" i="29"/>
  <c r="CQ18" i="29"/>
  <c r="BR24" i="29"/>
  <c r="AS96" i="29"/>
  <c r="X48" i="29"/>
  <c r="AU57" i="29"/>
  <c r="CO102" i="29"/>
  <c r="BE48" i="29"/>
  <c r="AE34" i="29"/>
  <c r="BZ92" i="29"/>
  <c r="AB24" i="29"/>
  <c r="P34" i="29"/>
  <c r="U27" i="29"/>
  <c r="U29" i="29"/>
  <c r="AW60" i="29"/>
  <c r="BT79" i="29"/>
  <c r="L12" i="29"/>
  <c r="CW75" i="29"/>
  <c r="CD30" i="29"/>
  <c r="AR37" i="29"/>
  <c r="AG79" i="29"/>
  <c r="CI9" i="29"/>
  <c r="CO49" i="29"/>
  <c r="BD25" i="29"/>
  <c r="DE98" i="29"/>
  <c r="AM58" i="29"/>
  <c r="AX96" i="29"/>
  <c r="BY60" i="29"/>
  <c r="BZ89" i="29"/>
  <c r="BY98" i="29"/>
  <c r="CK12" i="29"/>
  <c r="U18" i="29"/>
  <c r="CB79" i="29"/>
  <c r="CK103" i="29"/>
  <c r="CQ96" i="29"/>
  <c r="K61" i="29"/>
  <c r="BB27" i="29"/>
  <c r="AH59" i="29"/>
  <c r="CX45" i="29"/>
  <c r="AO58" i="29"/>
  <c r="CN34" i="29"/>
  <c r="AP57" i="29"/>
  <c r="AT92" i="29"/>
  <c r="AO48" i="29"/>
  <c r="AY18" i="29"/>
  <c r="CD49" i="29"/>
  <c r="AH18" i="29"/>
  <c r="AW9" i="29"/>
  <c r="M13" i="29"/>
  <c r="AM96" i="29"/>
  <c r="AT91" i="29"/>
  <c r="BI29" i="29"/>
  <c r="CV81" i="29"/>
  <c r="BT30" i="29"/>
  <c r="X12" i="29"/>
  <c r="AF67" i="29"/>
  <c r="CY25" i="29"/>
  <c r="CH91" i="29"/>
  <c r="CU91" i="29"/>
  <c r="CI75" i="29"/>
  <c r="CK66" i="29"/>
  <c r="CV17" i="29"/>
  <c r="AX37" i="29"/>
  <c r="BD9" i="29"/>
  <c r="CE89" i="29"/>
  <c r="BA62" i="29"/>
  <c r="U66" i="29"/>
  <c r="Z60" i="29"/>
  <c r="CK79" i="29"/>
  <c r="J65" i="29"/>
  <c r="BA92" i="29"/>
  <c r="CR12" i="29"/>
  <c r="CN45" i="29"/>
  <c r="G58" i="29"/>
  <c r="H102" i="29"/>
  <c r="AE17" i="29"/>
  <c r="CK53" i="29"/>
  <c r="CF65" i="29"/>
  <c r="BZ18" i="29"/>
  <c r="CA54" i="29"/>
  <c r="AB60" i="29"/>
  <c r="BW71" i="29"/>
  <c r="Y29" i="29"/>
  <c r="CK25" i="29"/>
  <c r="CC60" i="29"/>
  <c r="AG13" i="29"/>
  <c r="DD81" i="29"/>
  <c r="BT34" i="29"/>
  <c r="BA17" i="29"/>
  <c r="X30" i="29"/>
  <c r="CQ61" i="29"/>
  <c r="BI12" i="29"/>
  <c r="AN18" i="29"/>
  <c r="S81" i="29"/>
  <c r="AO18" i="29"/>
  <c r="CA48" i="29"/>
  <c r="AV102" i="29"/>
  <c r="CL25" i="29"/>
  <c r="M37" i="29"/>
  <c r="CH53" i="29"/>
  <c r="G13" i="29"/>
  <c r="AQ57" i="29"/>
  <c r="X58" i="29"/>
  <c r="AR12" i="29"/>
  <c r="AN17" i="29"/>
  <c r="CX65" i="29"/>
  <c r="N25" i="29"/>
  <c r="AD26" i="29"/>
  <c r="CT24" i="29"/>
  <c r="AJ89" i="29"/>
  <c r="CJ92" i="29"/>
  <c r="CL45" i="29"/>
  <c r="AC53" i="29"/>
  <c r="Y12" i="29"/>
  <c r="BR103" i="29"/>
  <c r="DC61" i="29"/>
  <c r="O71" i="29"/>
  <c r="H75" i="29"/>
  <c r="BI49" i="29"/>
  <c r="AH45" i="29"/>
  <c r="AQ98" i="29"/>
  <c r="CZ30" i="29"/>
  <c r="BX65" i="29"/>
  <c r="BY96" i="29"/>
  <c r="AT98" i="29"/>
  <c r="AQ9" i="29"/>
  <c r="BY65" i="29"/>
  <c r="CP61" i="29"/>
  <c r="BD37" i="29"/>
  <c r="Y71" i="29"/>
  <c r="CJ18" i="29"/>
  <c r="CX79" i="29"/>
  <c r="AY57" i="29"/>
  <c r="CH9" i="29"/>
  <c r="AW21" i="29"/>
  <c r="AV27" i="29"/>
  <c r="CE57" i="29"/>
  <c r="BI66" i="29"/>
  <c r="BD65" i="29"/>
  <c r="AO102" i="29"/>
  <c r="P79" i="29"/>
  <c r="AV49" i="29"/>
  <c r="DD9" i="29"/>
  <c r="CT59" i="29"/>
  <c r="BU10" i="29"/>
  <c r="BO37" i="29"/>
  <c r="CV45" i="29"/>
  <c r="AO34" i="29"/>
  <c r="M26" i="29"/>
  <c r="AR67" i="29"/>
  <c r="AY45" i="29"/>
  <c r="BV13" i="29"/>
  <c r="BA9" i="29"/>
  <c r="J89" i="29"/>
  <c r="V54" i="29"/>
  <c r="CK61" i="29"/>
  <c r="AW61" i="29"/>
  <c r="CA59" i="29"/>
  <c r="H34" i="29"/>
  <c r="AE37" i="29"/>
  <c r="AF92" i="29"/>
  <c r="CA98" i="29"/>
  <c r="BU59" i="29"/>
  <c r="BS57" i="29"/>
  <c r="BB92" i="29"/>
  <c r="DA102" i="29"/>
  <c r="AT75" i="29"/>
  <c r="AS24" i="29"/>
  <c r="AD37" i="29"/>
  <c r="BX102" i="29"/>
  <c r="BW102" i="29"/>
  <c r="G26" i="29"/>
  <c r="BE60" i="29"/>
  <c r="AG66" i="29"/>
  <c r="CU61" i="29"/>
  <c r="H89" i="29"/>
  <c r="CE17" i="29"/>
  <c r="AQ65" i="29"/>
  <c r="AU25" i="29"/>
  <c r="I12" i="29"/>
  <c r="CX48" i="29"/>
  <c r="I61" i="29"/>
  <c r="CL34" i="29"/>
  <c r="AE79" i="29"/>
  <c r="DD50" i="29"/>
  <c r="P12" i="29"/>
  <c r="AO91" i="29"/>
  <c r="CS89" i="29"/>
  <c r="S48" i="29"/>
  <c r="BS48" i="29"/>
  <c r="AN96" i="29"/>
  <c r="AM13" i="29"/>
  <c r="AQ18" i="29"/>
  <c r="DE18" i="29"/>
  <c r="DF18" i="29"/>
  <c r="BW50" i="29"/>
  <c r="AM89" i="29"/>
  <c r="U71" i="29"/>
  <c r="BS91" i="29"/>
  <c r="CA61" i="29"/>
  <c r="BO48" i="29"/>
  <c r="CK59" i="29"/>
  <c r="P53" i="29"/>
  <c r="CU89" i="29"/>
  <c r="CG30" i="29"/>
  <c r="AI75" i="29"/>
  <c r="CA57" i="29"/>
  <c r="CS62" i="29"/>
  <c r="AD66" i="29"/>
  <c r="AR34" i="29"/>
  <c r="DB71" i="29"/>
  <c r="AZ49" i="29"/>
  <c r="CL26" i="29"/>
  <c r="AO57" i="29"/>
  <c r="CS57" i="29"/>
  <c r="CL81" i="29"/>
  <c r="CR50" i="29"/>
  <c r="CV96" i="29"/>
  <c r="AX18" i="29"/>
  <c r="BH54" i="29"/>
  <c r="CK37" i="29"/>
  <c r="BR61" i="29"/>
  <c r="N81" i="29"/>
  <c r="BP65" i="29"/>
  <c r="DE57" i="29"/>
  <c r="BZ60" i="29"/>
  <c r="Y17" i="29"/>
  <c r="BA34" i="29"/>
  <c r="CX10" i="29"/>
  <c r="AQ37" i="29"/>
  <c r="CY37" i="29"/>
  <c r="BS79" i="29"/>
  <c r="X26" i="29"/>
  <c r="AI102" i="29"/>
  <c r="CF54" i="29"/>
  <c r="AM21" i="29"/>
  <c r="CT61" i="29"/>
  <c r="AD10" i="29"/>
  <c r="CY17" i="29"/>
  <c r="DB61" i="29"/>
  <c r="BT62" i="29"/>
  <c r="AC79" i="29"/>
  <c r="DB66" i="29"/>
  <c r="AQ75" i="29"/>
  <c r="G17" i="29"/>
  <c r="AP34" i="29"/>
  <c r="AU54" i="29"/>
  <c r="AM45" i="29"/>
  <c r="CK96" i="29"/>
  <c r="CS49" i="29"/>
  <c r="CP60" i="29"/>
  <c r="AS81" i="29"/>
  <c r="AZ13" i="29"/>
  <c r="CI62" i="29"/>
  <c r="CP58" i="29"/>
  <c r="CH57" i="29"/>
  <c r="CC18" i="29"/>
  <c r="CM92" i="29"/>
  <c r="BY53" i="29"/>
  <c r="CO96" i="29"/>
  <c r="G27" i="29"/>
  <c r="AW45" i="29"/>
  <c r="CB62" i="29"/>
  <c r="BT45" i="29"/>
  <c r="CR62" i="29"/>
  <c r="CN81" i="29"/>
  <c r="M92" i="29"/>
  <c r="V92" i="29"/>
  <c r="CV49" i="29"/>
  <c r="AG61" i="29"/>
  <c r="CV103" i="29"/>
  <c r="CK67" i="29"/>
  <c r="AN75" i="29"/>
  <c r="H92" i="29"/>
  <c r="BE13" i="29"/>
  <c r="AD25" i="29"/>
  <c r="AS17" i="29"/>
  <c r="U48" i="29"/>
  <c r="CU81" i="29"/>
  <c r="AH98" i="29"/>
  <c r="N67" i="29"/>
  <c r="CV9" i="29"/>
  <c r="CQ21" i="29"/>
  <c r="AA34" i="29"/>
  <c r="AN71" i="29"/>
  <c r="AV71" i="29"/>
  <c r="AY9" i="29"/>
  <c r="AD9" i="29"/>
  <c r="DD54" i="29"/>
  <c r="BB60" i="29"/>
  <c r="AH60" i="29"/>
  <c r="CY57" i="29"/>
  <c r="W48" i="29"/>
  <c r="CU53" i="29"/>
  <c r="BT92" i="29"/>
  <c r="BZ58" i="29"/>
  <c r="CO60" i="29"/>
  <c r="BZ96" i="29"/>
  <c r="CR30" i="29"/>
  <c r="CE34" i="29"/>
  <c r="CP89" i="29"/>
  <c r="BT71" i="29"/>
  <c r="CP81" i="29"/>
  <c r="CN96" i="29"/>
  <c r="AW98" i="29"/>
  <c r="CN79" i="29"/>
  <c r="BE98" i="29"/>
  <c r="AV21" i="29"/>
  <c r="AJ12" i="29"/>
  <c r="AZ9" i="29"/>
  <c r="CL27" i="29"/>
  <c r="AC57" i="29"/>
  <c r="S57" i="29"/>
  <c r="CW30" i="29"/>
  <c r="Z49" i="29"/>
  <c r="CG9" i="29"/>
  <c r="Y24" i="29"/>
  <c r="DF21" i="29"/>
  <c r="N30" i="29"/>
  <c r="CU98" i="29"/>
  <c r="BH17" i="29"/>
  <c r="DD58" i="29"/>
  <c r="CV13" i="29"/>
  <c r="BB25" i="29"/>
  <c r="CW27" i="29"/>
  <c r="CO50" i="29"/>
  <c r="BA102" i="29"/>
  <c r="DA96" i="29"/>
  <c r="CT30" i="29"/>
  <c r="AP75" i="29"/>
  <c r="BV102" i="29"/>
  <c r="BE29" i="29"/>
  <c r="BS103" i="29"/>
  <c r="CR13" i="29"/>
  <c r="AU48" i="29"/>
  <c r="CL61" i="29"/>
  <c r="BC49" i="29"/>
  <c r="CN58" i="29"/>
  <c r="X71" i="29"/>
  <c r="AO27" i="29"/>
  <c r="BQ30" i="29"/>
  <c r="CO24" i="29"/>
  <c r="Y37" i="29"/>
  <c r="BP60" i="29"/>
  <c r="BW57" i="29"/>
  <c r="CQ12" i="29"/>
  <c r="CL10" i="29"/>
  <c r="CA65" i="29"/>
  <c r="CV102" i="29"/>
  <c r="CV24" i="29"/>
  <c r="CF75" i="29"/>
  <c r="CK17" i="29"/>
  <c r="AA25" i="29"/>
  <c r="X10" i="29"/>
  <c r="BZ102" i="29"/>
  <c r="AB79" i="29"/>
  <c r="S75" i="29"/>
  <c r="AT13" i="29"/>
  <c r="DF75" i="29"/>
  <c r="CR59" i="29"/>
  <c r="I37" i="29"/>
  <c r="AB81" i="29"/>
  <c r="AR45" i="29"/>
  <c r="CB58" i="29"/>
  <c r="BV89" i="29"/>
  <c r="W25" i="29"/>
  <c r="DB92" i="29"/>
  <c r="CO30" i="29"/>
  <c r="M17" i="29"/>
  <c r="BH21" i="29"/>
  <c r="CR58" i="29"/>
  <c r="CZ75" i="29"/>
  <c r="DE62" i="29"/>
  <c r="AX17" i="29"/>
  <c r="BE10" i="29"/>
  <c r="CO29" i="29"/>
  <c r="AC10" i="29"/>
  <c r="AE54" i="29"/>
  <c r="BQ91" i="29"/>
  <c r="CH71" i="29"/>
  <c r="AW10" i="29"/>
  <c r="BC34" i="29"/>
  <c r="P25" i="29"/>
  <c r="CY67" i="29"/>
  <c r="AE10" i="29"/>
  <c r="CA50" i="29"/>
  <c r="CC61" i="29"/>
  <c r="AC91" i="29"/>
  <c r="CC30" i="29"/>
  <c r="BD91" i="29"/>
  <c r="AU18" i="29"/>
  <c r="AM61" i="29"/>
  <c r="DD34" i="29"/>
  <c r="CL30" i="29"/>
  <c r="BT10" i="29"/>
  <c r="AS71" i="29"/>
  <c r="BX34" i="29"/>
  <c r="CY9" i="29"/>
  <c r="O59" i="29"/>
  <c r="AN48" i="29"/>
  <c r="BY92" i="29"/>
  <c r="CO25" i="29"/>
  <c r="CE26" i="29"/>
  <c r="BD10" i="29"/>
  <c r="CG17" i="29"/>
  <c r="Y66" i="29"/>
  <c r="CI17" i="29"/>
  <c r="BU62" i="29"/>
  <c r="AI59" i="29"/>
  <c r="AV62" i="29"/>
  <c r="DF13" i="29"/>
  <c r="BU54" i="29"/>
  <c r="X92" i="29"/>
  <c r="CA25" i="29"/>
  <c r="BC54" i="29"/>
  <c r="AV50" i="29"/>
  <c r="DC53" i="29"/>
  <c r="AI89" i="29"/>
  <c r="V75" i="29"/>
  <c r="CR60" i="29"/>
  <c r="CF12" i="29"/>
  <c r="AZ48" i="29"/>
  <c r="AP65" i="29"/>
  <c r="AU49" i="29"/>
  <c r="CZ18" i="29"/>
  <c r="DA9" i="29"/>
  <c r="CJ62" i="29"/>
  <c r="W62" i="29"/>
  <c r="BB37" i="29"/>
  <c r="CL58" i="29"/>
  <c r="CE61" i="29"/>
  <c r="AA13" i="29"/>
  <c r="AA65" i="29"/>
  <c r="K54" i="29"/>
  <c r="M79" i="29"/>
  <c r="BZ54" i="29"/>
  <c r="DD60" i="29"/>
  <c r="CM67" i="29"/>
  <c r="W37" i="29"/>
  <c r="AG45" i="29"/>
  <c r="CH49" i="29"/>
  <c r="CQ102" i="29"/>
  <c r="CB24" i="29"/>
  <c r="AG21" i="29"/>
  <c r="AF58" i="29"/>
  <c r="BA12" i="29"/>
  <c r="BT58" i="29"/>
  <c r="O89" i="29"/>
  <c r="AS79" i="29"/>
  <c r="BS17" i="29"/>
  <c r="CU50" i="29"/>
  <c r="BU18" i="29"/>
  <c r="DA59" i="29"/>
  <c r="AJ102" i="29"/>
  <c r="AX50" i="29"/>
  <c r="CD75" i="29"/>
  <c r="AE81" i="29"/>
  <c r="CB17" i="29"/>
  <c r="CD59" i="29"/>
  <c r="BQ10" i="29"/>
  <c r="CM21" i="29"/>
  <c r="CI26" i="29"/>
  <c r="CJ57" i="29"/>
  <c r="AT58" i="29"/>
  <c r="CU34" i="29"/>
  <c r="J12" i="29"/>
  <c r="CK45" i="29"/>
  <c r="AY29" i="29"/>
  <c r="P21" i="29"/>
  <c r="V48" i="29"/>
  <c r="DC49" i="29"/>
  <c r="CT91" i="29"/>
  <c r="AC27" i="29"/>
  <c r="CN12" i="29"/>
  <c r="CO71" i="29"/>
  <c r="CD37" i="29"/>
  <c r="BX26" i="29"/>
  <c r="CT10" i="29"/>
  <c r="CV65" i="29"/>
  <c r="BD62" i="29"/>
  <c r="CK71" i="29"/>
  <c r="CQ34" i="29"/>
  <c r="BI96" i="29"/>
  <c r="L67" i="29"/>
  <c r="I75" i="29"/>
  <c r="AA49" i="29"/>
  <c r="AI60" i="29"/>
  <c r="P26" i="29"/>
  <c r="N61" i="29"/>
  <c r="AD24" i="29"/>
  <c r="BE26" i="29"/>
  <c r="CZ10" i="29"/>
  <c r="BC25" i="29"/>
  <c r="AY48" i="29"/>
  <c r="DD61" i="29"/>
  <c r="AH29" i="29"/>
  <c r="AD27" i="29"/>
  <c r="BS10" i="29"/>
  <c r="M30" i="29"/>
  <c r="CH18" i="29"/>
  <c r="O54" i="29"/>
  <c r="CN62" i="29"/>
  <c r="I79" i="29"/>
  <c r="CK60" i="29"/>
  <c r="Y92" i="29"/>
  <c r="Z18" i="29"/>
  <c r="CQ9" i="29"/>
  <c r="AH17" i="29"/>
  <c r="CI10" i="29"/>
  <c r="AB96" i="29"/>
  <c r="CP10" i="29"/>
  <c r="BC79" i="29"/>
  <c r="CD45" i="29"/>
  <c r="AR50" i="29"/>
  <c r="S79" i="29"/>
  <c r="AA79" i="29"/>
  <c r="N50" i="29"/>
  <c r="AB18" i="29"/>
  <c r="CF29" i="29"/>
  <c r="CB65" i="29"/>
  <c r="X81" i="29"/>
  <c r="AF53" i="29"/>
  <c r="CZ71" i="29"/>
  <c r="CD79" i="29"/>
  <c r="CU66" i="29"/>
  <c r="CQ13" i="29"/>
  <c r="S62" i="29"/>
  <c r="I89" i="29"/>
  <c r="CW61" i="29"/>
  <c r="CM65" i="29"/>
  <c r="BX37" i="29"/>
  <c r="BI37" i="29"/>
  <c r="AO79" i="29"/>
  <c r="BH91" i="29"/>
  <c r="BZ21" i="29"/>
  <c r="CB54" i="29"/>
  <c r="AH12" i="29"/>
  <c r="CV26" i="29"/>
  <c r="H45" i="29"/>
  <c r="CE24" i="29"/>
  <c r="AW49" i="29"/>
  <c r="CH89" i="29"/>
  <c r="DA34" i="29"/>
  <c r="CH58" i="29"/>
  <c r="AV67" i="29"/>
  <c r="P96" i="29"/>
  <c r="AG92" i="29"/>
  <c r="AA66" i="29"/>
  <c r="BH45" i="29"/>
  <c r="CV37" i="29"/>
  <c r="BU102" i="29"/>
  <c r="BX79" i="29"/>
  <c r="K13" i="29"/>
  <c r="CW18" i="29"/>
  <c r="AI92" i="29"/>
  <c r="AD13" i="29"/>
  <c r="AZ98" i="29"/>
  <c r="BT67" i="29"/>
  <c r="AJ75" i="29"/>
  <c r="CP79" i="29"/>
  <c r="AS92" i="29"/>
  <c r="DB91" i="29"/>
  <c r="BH60" i="29"/>
  <c r="N53" i="29"/>
  <c r="P13" i="29"/>
  <c r="DA92" i="29"/>
  <c r="DF103" i="29"/>
  <c r="BO75" i="29"/>
  <c r="BZ103" i="29"/>
  <c r="O9" i="29"/>
  <c r="AR59" i="29"/>
  <c r="CS25" i="29"/>
  <c r="DB57" i="29"/>
  <c r="AQ81" i="29"/>
  <c r="BY30" i="29"/>
  <c r="H25" i="29"/>
  <c r="DD53" i="29"/>
  <c r="CU45" i="29"/>
  <c r="DF24" i="29"/>
  <c r="CV53" i="29"/>
  <c r="BV96" i="29"/>
  <c r="BV25" i="29"/>
  <c r="V18" i="29"/>
  <c r="L66" i="29"/>
  <c r="H91" i="29"/>
  <c r="CI65" i="29"/>
  <c r="Y58" i="29"/>
  <c r="N10" i="29"/>
  <c r="BW81" i="29"/>
  <c r="BV18" i="29"/>
  <c r="P59" i="29"/>
  <c r="Y10" i="29"/>
  <c r="BB79" i="29"/>
  <c r="CS75" i="29"/>
  <c r="BY67" i="29"/>
  <c r="AJ71" i="29"/>
  <c r="CP75" i="29"/>
  <c r="U92" i="29"/>
  <c r="AW26" i="29"/>
  <c r="DC81" i="29"/>
  <c r="AZ102" i="29"/>
  <c r="AB98" i="29"/>
  <c r="AJ26" i="29"/>
  <c r="J48" i="29"/>
  <c r="AW54" i="29"/>
  <c r="CM59" i="29"/>
  <c r="AN45" i="29"/>
  <c r="BW75" i="29"/>
  <c r="AI13" i="29"/>
  <c r="U49" i="29"/>
  <c r="O45" i="29"/>
  <c r="V58" i="29"/>
  <c r="CP13" i="29"/>
  <c r="AA26" i="29"/>
  <c r="I10" i="29"/>
  <c r="I66" i="29"/>
  <c r="CG13" i="29"/>
  <c r="AO49" i="29"/>
  <c r="AG98" i="29"/>
  <c r="U25" i="29"/>
  <c r="BQ27" i="29"/>
  <c r="BT81" i="29"/>
  <c r="AJ21" i="29"/>
  <c r="DD89" i="29"/>
  <c r="CD92" i="29"/>
  <c r="BX45" i="29"/>
  <c r="AY67" i="29"/>
  <c r="BA30" i="29"/>
  <c r="AY34" i="29"/>
  <c r="DA79" i="29"/>
  <c r="BV75" i="29"/>
  <c r="BS65" i="29"/>
  <c r="CR91" i="29"/>
  <c r="L21" i="29"/>
  <c r="DF29" i="29"/>
  <c r="V26" i="29"/>
  <c r="BW12" i="29"/>
  <c r="BO60" i="29"/>
  <c r="CN103" i="29"/>
  <c r="CJ9" i="29"/>
  <c r="CG25" i="29"/>
  <c r="L49" i="29"/>
  <c r="G89" i="29"/>
  <c r="AS102" i="29"/>
  <c r="BZ65" i="29"/>
  <c r="AC75" i="29"/>
  <c r="CA30" i="29"/>
  <c r="AF24" i="29"/>
  <c r="AB49" i="29"/>
  <c r="BI65" i="29"/>
  <c r="CI48" i="29"/>
  <c r="DB45" i="29"/>
  <c r="AA92" i="29"/>
  <c r="AI12" i="29"/>
  <c r="CF49" i="29"/>
  <c r="AR66" i="29"/>
  <c r="CE75" i="29"/>
  <c r="CW54" i="29"/>
  <c r="AB57" i="29"/>
  <c r="AP27" i="29"/>
  <c r="S91" i="29"/>
  <c r="DF12" i="29"/>
  <c r="AS50" i="29"/>
  <c r="BZ37" i="29"/>
  <c r="AS45" i="29"/>
  <c r="DB54" i="29"/>
  <c r="P66" i="29"/>
  <c r="CN91" i="29"/>
  <c r="AE49" i="29"/>
  <c r="Y81" i="29"/>
  <c r="CT34" i="29"/>
  <c r="CQ53" i="29"/>
  <c r="U91" i="29"/>
  <c r="AD65" i="29"/>
  <c r="BO49" i="29"/>
  <c r="AG27" i="29"/>
  <c r="AF60" i="29"/>
  <c r="CP18" i="29"/>
  <c r="AQ45" i="29"/>
  <c r="BI18" i="29"/>
  <c r="BV92" i="29"/>
  <c r="J26" i="29"/>
  <c r="AV26" i="29"/>
  <c r="T45" i="29"/>
  <c r="H29" i="29"/>
  <c r="CU13" i="29"/>
  <c r="CW9" i="29"/>
  <c r="BY25" i="29"/>
  <c r="AU102" i="29"/>
  <c r="BT75" i="29"/>
  <c r="AU89" i="29"/>
  <c r="N98" i="29"/>
  <c r="CI54" i="29"/>
  <c r="DC57" i="29"/>
  <c r="CC17" i="29"/>
  <c r="AX62" i="29"/>
  <c r="Y34" i="29"/>
  <c r="CO79" i="29"/>
  <c r="BS92" i="29"/>
  <c r="DA62" i="29"/>
  <c r="H10" i="29"/>
  <c r="AZ92" i="29"/>
  <c r="AO50" i="29"/>
  <c r="CY60" i="29"/>
  <c r="M34" i="29"/>
  <c r="AV17" i="29"/>
  <c r="AB75" i="29"/>
  <c r="BR62" i="29"/>
  <c r="M98" i="29"/>
  <c r="CD102" i="29"/>
  <c r="BP98" i="29"/>
  <c r="BY18" i="29"/>
  <c r="H49" i="29"/>
  <c r="CZ9" i="29"/>
  <c r="K48" i="29"/>
  <c r="CY10" i="29"/>
  <c r="BA24" i="29"/>
  <c r="BB34" i="29"/>
  <c r="AC54" i="29"/>
  <c r="CR49" i="29"/>
  <c r="BR89" i="29"/>
  <c r="S49" i="29"/>
  <c r="CB67" i="29"/>
  <c r="DE67" i="29"/>
  <c r="BO98" i="29"/>
  <c r="CO92" i="29"/>
  <c r="CH24" i="29"/>
  <c r="CV67" i="29"/>
  <c r="H50" i="29"/>
  <c r="AV91" i="29"/>
  <c r="CQ60" i="29"/>
  <c r="BR71" i="29"/>
  <c r="AJ9" i="29"/>
  <c r="BU103" i="29"/>
  <c r="BB61" i="29"/>
  <c r="CV50" i="29"/>
  <c r="M50" i="29"/>
  <c r="BR91" i="29"/>
  <c r="AE25" i="29"/>
  <c r="AR26" i="29"/>
  <c r="AQ49" i="29"/>
  <c r="CB89" i="29"/>
  <c r="G71" i="29"/>
  <c r="I34" i="29"/>
  <c r="CP57" i="29"/>
  <c r="CF103" i="29"/>
  <c r="CR92" i="29"/>
  <c r="DF9" i="29"/>
  <c r="CZ59" i="29"/>
  <c r="CY62" i="29"/>
  <c r="AU17" i="29"/>
  <c r="BW61" i="29"/>
  <c r="CM53" i="29"/>
  <c r="AI26" i="29"/>
  <c r="CY27" i="29"/>
  <c r="CH50" i="29"/>
  <c r="BC24" i="29"/>
  <c r="AP71" i="29"/>
  <c r="CG29" i="29"/>
  <c r="T13" i="29"/>
  <c r="BX50" i="29"/>
  <c r="CH48" i="29"/>
  <c r="AE27" i="29"/>
  <c r="AT61" i="29"/>
  <c r="CO53" i="29"/>
  <c r="CS79" i="29"/>
  <c r="CS10" i="29"/>
  <c r="BR12" i="29"/>
  <c r="CQ65" i="29"/>
  <c r="BO10" i="29"/>
  <c r="AM34" i="29"/>
  <c r="J62" i="29"/>
  <c r="BC17" i="29"/>
  <c r="N9" i="29"/>
  <c r="DF17" i="29"/>
  <c r="CB48" i="29"/>
  <c r="CT57" i="29"/>
  <c r="BD102" i="29"/>
  <c r="Y79" i="29"/>
  <c r="CI96" i="29"/>
  <c r="DA75" i="29"/>
  <c r="BY10" i="29"/>
  <c r="H54" i="29"/>
  <c r="CV60" i="29"/>
  <c r="AX75" i="29"/>
  <c r="O62" i="29"/>
  <c r="AU10" i="29"/>
  <c r="AE53" i="29"/>
  <c r="BC26" i="29"/>
  <c r="U65" i="29"/>
  <c r="AF91" i="29"/>
  <c r="L17" i="29"/>
  <c r="BC62" i="29"/>
  <c r="X79" i="29"/>
  <c r="M45" i="29"/>
  <c r="BU13" i="29"/>
  <c r="AY30" i="29"/>
  <c r="CJ26" i="29"/>
  <c r="CX18" i="29"/>
  <c r="AA12" i="29"/>
  <c r="DB30" i="29"/>
  <c r="CU25" i="29"/>
  <c r="DD25" i="29"/>
  <c r="CY75" i="29"/>
  <c r="CB10" i="29"/>
  <c r="CS54" i="29"/>
  <c r="AI27" i="29"/>
  <c r="CN66" i="29"/>
  <c r="AG37" i="29"/>
  <c r="CR89" i="29"/>
  <c r="CN30" i="29"/>
  <c r="DE103" i="29"/>
  <c r="CN54" i="29"/>
  <c r="BV103" i="29"/>
  <c r="DC50" i="29"/>
  <c r="BX60" i="29"/>
  <c r="AX91" i="29"/>
  <c r="CC91" i="29"/>
  <c r="CF58" i="29"/>
  <c r="CN102" i="29"/>
  <c r="CD62" i="29"/>
  <c r="BX48" i="29"/>
  <c r="BP10" i="29"/>
  <c r="AS12" i="29"/>
  <c r="CP48" i="29"/>
  <c r="I24" i="29"/>
  <c r="CR67" i="29"/>
  <c r="AE9" i="29"/>
  <c r="U45" i="29"/>
  <c r="DF49" i="29"/>
  <c r="BR92" i="29"/>
  <c r="AZ66" i="29"/>
  <c r="CB27" i="29"/>
  <c r="BQ67" i="29"/>
  <c r="Z67" i="29"/>
  <c r="AC12" i="29"/>
  <c r="CI71" i="29"/>
  <c r="AD49" i="29"/>
  <c r="AN27" i="29"/>
  <c r="CA58" i="29"/>
  <c r="CG48" i="29"/>
  <c r="BD79" i="29"/>
  <c r="AF54" i="29"/>
  <c r="AI96" i="29"/>
  <c r="DA21" i="29"/>
  <c r="M102" i="29"/>
  <c r="AA21" i="29"/>
  <c r="Z50" i="29"/>
  <c r="DB75" i="29"/>
  <c r="CD98" i="29"/>
  <c r="AO98" i="29"/>
  <c r="AV18" i="29"/>
  <c r="CZ91" i="29"/>
  <c r="BR45" i="29"/>
  <c r="CW48" i="29"/>
  <c r="T53" i="29"/>
  <c r="AG26" i="29"/>
  <c r="CA71" i="29"/>
  <c r="AM57" i="29"/>
  <c r="CL53" i="29"/>
  <c r="CT62" i="29"/>
  <c r="T66" i="29"/>
  <c r="AA17" i="29"/>
  <c r="CB29" i="29"/>
  <c r="AX71" i="29"/>
  <c r="I9" i="29"/>
  <c r="CY58" i="29"/>
  <c r="S45" i="29"/>
  <c r="AW24" i="29"/>
  <c r="BW27" i="29"/>
  <c r="J53" i="29"/>
  <c r="S60" i="29"/>
  <c r="AX79" i="29"/>
  <c r="CG91" i="29"/>
  <c r="CP67" i="29"/>
  <c r="AQ27" i="29"/>
  <c r="DF79" i="29"/>
  <c r="CP53" i="29"/>
  <c r="CW98" i="29"/>
  <c r="BU24" i="29"/>
  <c r="V65" i="29"/>
  <c r="AT66" i="29"/>
  <c r="CU71" i="29"/>
  <c r="I30" i="29"/>
  <c r="AN25" i="29"/>
  <c r="AR60" i="29"/>
  <c r="DC30" i="29"/>
  <c r="CC9" i="29"/>
  <c r="BP48" i="29"/>
  <c r="AG71" i="29"/>
  <c r="M10" i="29"/>
  <c r="AA53" i="29"/>
  <c r="AF37" i="29"/>
  <c r="CO21" i="29"/>
  <c r="K37" i="29"/>
  <c r="AQ60" i="29"/>
  <c r="V45" i="29"/>
  <c r="BX62" i="29"/>
  <c r="X37" i="29"/>
  <c r="CJ103" i="29"/>
  <c r="AH54" i="29"/>
  <c r="DA58" i="29"/>
  <c r="V57" i="29"/>
  <c r="CK91" i="29"/>
  <c r="N13" i="29"/>
  <c r="DD21" i="29"/>
  <c r="BO58" i="29"/>
  <c r="CM66" i="29"/>
  <c r="CG75" i="29"/>
  <c r="CC71" i="29"/>
  <c r="AR102" i="29"/>
  <c r="AH91" i="29"/>
  <c r="CU92" i="29"/>
  <c r="BC50" i="29"/>
  <c r="CN57" i="29"/>
  <c r="CX53" i="29"/>
  <c r="CO12" i="29"/>
  <c r="BV81" i="29"/>
  <c r="BO27" i="29"/>
  <c r="CA26" i="29"/>
  <c r="AU24" i="29"/>
  <c r="AX24" i="29"/>
  <c r="CP27" i="29"/>
  <c r="AO60" i="29"/>
  <c r="BA96" i="29"/>
  <c r="CP54" i="29"/>
  <c r="AD57" i="29"/>
  <c r="BR10" i="29"/>
  <c r="BC66" i="29"/>
  <c r="CT26" i="29"/>
  <c r="V62" i="29"/>
  <c r="K29" i="29"/>
  <c r="CG24" i="29"/>
  <c r="CX54" i="29"/>
  <c r="T26" i="29"/>
  <c r="BB50" i="29"/>
  <c r="AG10" i="29"/>
  <c r="CD13" i="29"/>
  <c r="BW29" i="29"/>
  <c r="CS21" i="29"/>
  <c r="AD71" i="29"/>
  <c r="AS57" i="29"/>
  <c r="CT102" i="29"/>
  <c r="DE96" i="29"/>
  <c r="CB59" i="29"/>
  <c r="CF61" i="29"/>
  <c r="CI92" i="29"/>
  <c r="AD54" i="29"/>
  <c r="CW50" i="29"/>
  <c r="AS67" i="29"/>
  <c r="H48" i="29"/>
  <c r="DA25" i="29"/>
  <c r="AS30" i="29"/>
  <c r="M12" i="29"/>
  <c r="CC98" i="29"/>
  <c r="BZ91" i="29"/>
  <c r="AP50" i="29"/>
  <c r="BX103" i="29"/>
  <c r="AW37" i="29"/>
  <c r="CQ30" i="29"/>
  <c r="DC45" i="29"/>
  <c r="AW79" i="29"/>
  <c r="CR65" i="29"/>
  <c r="U89" i="29"/>
  <c r="AC34" i="29"/>
  <c r="CZ29" i="29"/>
  <c r="CB91" i="29"/>
  <c r="DD49" i="29"/>
  <c r="AO17" i="29"/>
  <c r="CV10" i="29"/>
  <c r="CF37" i="29"/>
  <c r="S26" i="29"/>
  <c r="BS18" i="29"/>
  <c r="AO92" i="29"/>
  <c r="I29" i="29"/>
  <c r="M27" i="29"/>
  <c r="BT37" i="29"/>
  <c r="Z17" i="29"/>
  <c r="CW24" i="29"/>
  <c r="K65" i="29"/>
  <c r="AB58" i="29"/>
  <c r="CZ98" i="29"/>
  <c r="AY79" i="29"/>
  <c r="AC9" i="29"/>
  <c r="CV58" i="29"/>
  <c r="BX30" i="29"/>
  <c r="BZ50" i="29"/>
  <c r="G30" i="29"/>
  <c r="CI98" i="29"/>
  <c r="DD96" i="29"/>
  <c r="AA98" i="29"/>
  <c r="BU45" i="29"/>
  <c r="AQ102" i="29"/>
  <c r="CR24" i="29"/>
  <c r="CT13" i="29"/>
  <c r="CT21" i="29"/>
  <c r="BA45" i="29"/>
  <c r="BZ71" i="29"/>
  <c r="AP102" i="29"/>
  <c r="CC75" i="29"/>
  <c r="CM18" i="29"/>
  <c r="CQ103" i="29"/>
  <c r="AZ27" i="29"/>
  <c r="CY79" i="29"/>
  <c r="AY10" i="29"/>
  <c r="G61" i="29"/>
  <c r="W67" i="29"/>
  <c r="CO62" i="29"/>
  <c r="DC54" i="29"/>
  <c r="CM17" i="29"/>
  <c r="DB96" i="29"/>
  <c r="DA91" i="29"/>
  <c r="BI21" i="29"/>
  <c r="CC53" i="29"/>
  <c r="L30" i="29"/>
  <c r="AX45" i="29"/>
  <c r="BU66" i="29"/>
  <c r="CR102" i="29"/>
  <c r="I48" i="29"/>
  <c r="BE24" i="29"/>
  <c r="DE59" i="29"/>
  <c r="DF66" i="29"/>
  <c r="AI62" i="29"/>
  <c r="BD66" i="29"/>
  <c r="BU71" i="29"/>
  <c r="BV34" i="29"/>
  <c r="K17" i="29"/>
  <c r="CD24" i="29"/>
  <c r="CA92" i="29"/>
  <c r="DC10" i="29"/>
  <c r="K27" i="29"/>
  <c r="AM98" i="29"/>
  <c r="BS45" i="29"/>
  <c r="BZ66" i="29"/>
  <c r="BS59" i="29"/>
  <c r="CS50" i="29"/>
  <c r="AD98" i="29"/>
  <c r="AT59" i="29"/>
  <c r="CL75" i="29"/>
  <c r="I57" i="29"/>
  <c r="CS24" i="29"/>
  <c r="BE18" i="29"/>
  <c r="BS71" i="29"/>
  <c r="BU9" i="29"/>
  <c r="H13" i="29"/>
  <c r="AP24" i="29"/>
  <c r="AM50" i="29"/>
  <c r="T96" i="29"/>
  <c r="CB61" i="29"/>
  <c r="AR62" i="29"/>
  <c r="BW67" i="29"/>
  <c r="AH25" i="29"/>
  <c r="CC37" i="29"/>
  <c r="AU61" i="29"/>
  <c r="AA61" i="29"/>
  <c r="AW71" i="29"/>
  <c r="AM24" i="29"/>
  <c r="CH37" i="29"/>
  <c r="AI21" i="29"/>
  <c r="AO59" i="29"/>
  <c r="AA9" i="29"/>
  <c r="CE65" i="29"/>
  <c r="CL29" i="29"/>
  <c r="AQ30" i="29"/>
  <c r="Y75" i="29"/>
  <c r="BR65" i="29"/>
  <c r="DA13" i="29"/>
  <c r="AB91" i="29"/>
  <c r="BO59" i="29"/>
  <c r="BP67" i="29"/>
  <c r="CD65" i="29"/>
  <c r="K98" i="29"/>
  <c r="CM12" i="29"/>
  <c r="CG61" i="29"/>
  <c r="Z98" i="29"/>
  <c r="BS37" i="29"/>
  <c r="BR27" i="29"/>
  <c r="CE62" i="29"/>
  <c r="CG57" i="29"/>
  <c r="DC75" i="29"/>
  <c r="K45" i="29"/>
  <c r="M29" i="29"/>
  <c r="BB49" i="29"/>
  <c r="H21" i="29"/>
  <c r="BV17" i="29"/>
  <c r="CC103" i="29"/>
  <c r="CS45" i="29"/>
  <c r="CB30" i="29"/>
  <c r="O12" i="29"/>
  <c r="G96" i="29"/>
  <c r="DF30" i="29"/>
  <c r="CN24" i="29"/>
  <c r="CI25" i="29"/>
  <c r="AP45" i="29"/>
  <c r="BC71" i="29"/>
  <c r="AM49" i="29"/>
  <c r="AU98" i="29"/>
  <c r="BX18" i="29"/>
  <c r="BY29" i="29"/>
  <c r="AV48" i="29"/>
  <c r="CS29" i="29"/>
  <c r="AH21" i="29"/>
  <c r="CY34" i="29"/>
  <c r="Y26" i="29"/>
  <c r="CM26" i="29"/>
  <c r="BZ34" i="29"/>
  <c r="CF79" i="29"/>
  <c r="W66" i="29"/>
  <c r="AO66" i="29"/>
  <c r="CA13" i="29"/>
  <c r="BH102" i="29"/>
  <c r="I53" i="29"/>
  <c r="AS25" i="29"/>
  <c r="BB91" i="29"/>
  <c r="T30" i="29"/>
  <c r="BH48" i="29"/>
  <c r="BB102" i="29"/>
  <c r="CX66" i="29"/>
  <c r="AZ89" i="29"/>
  <c r="Z92" i="29"/>
  <c r="S34" i="29"/>
  <c r="BQ66" i="29"/>
  <c r="BP61" i="29"/>
  <c r="CX17" i="29"/>
  <c r="L60" i="29"/>
  <c r="AG75" i="29"/>
  <c r="CE79" i="29"/>
  <c r="V27" i="29"/>
  <c r="P54" i="29"/>
  <c r="CS13" i="29"/>
  <c r="AT50" i="29"/>
  <c r="AY61" i="29"/>
  <c r="BY61" i="29"/>
  <c r="AX60" i="29"/>
  <c r="AJ65" i="29"/>
  <c r="CQ26" i="29"/>
  <c r="BE71" i="29"/>
  <c r="BC102" i="29"/>
  <c r="Z66" i="29"/>
  <c r="G48" i="29"/>
  <c r="CT60" i="29"/>
  <c r="AO67" i="29"/>
  <c r="AY59" i="29"/>
  <c r="AN30" i="29"/>
  <c r="AW59" i="29"/>
  <c r="CU30" i="29"/>
  <c r="AX21" i="29"/>
  <c r="CK102" i="29"/>
  <c r="Z75" i="29"/>
  <c r="CF53" i="29"/>
  <c r="DE54" i="29"/>
  <c r="AY81" i="29"/>
  <c r="AG59" i="29"/>
  <c r="DD48" i="29"/>
  <c r="CA18" i="29"/>
  <c r="I91" i="29"/>
  <c r="BR59" i="29"/>
  <c r="DC26" i="29"/>
  <c r="AM9" i="29"/>
  <c r="CZ24" i="29"/>
  <c r="CH26" i="29"/>
  <c r="AF13" i="29"/>
  <c r="CI18" i="29"/>
  <c r="DE91" i="29"/>
  <c r="Y57" i="29"/>
  <c r="BB29" i="29"/>
  <c r="AR96" i="29"/>
  <c r="W57" i="29"/>
  <c r="BC37" i="29"/>
  <c r="AH71" i="29"/>
  <c r="AF61" i="29"/>
  <c r="BY49" i="29"/>
  <c r="AW57" i="29"/>
  <c r="AX98" i="29"/>
  <c r="AF30" i="29"/>
  <c r="CN89" i="29"/>
  <c r="BS96" i="29"/>
  <c r="CR61" i="29"/>
  <c r="BY13" i="29"/>
  <c r="DD45" i="29"/>
  <c r="W27" i="29"/>
  <c r="CI58" i="29"/>
  <c r="J71" i="29"/>
  <c r="BY50" i="29"/>
  <c r="CF96" i="29"/>
  <c r="BW79" i="29"/>
  <c r="BX96" i="29"/>
  <c r="BH57" i="29"/>
  <c r="AW81" i="29"/>
  <c r="W65" i="29"/>
  <c r="AM12" i="29"/>
  <c r="CI13" i="29"/>
  <c r="BP103" i="29"/>
  <c r="DB37" i="29"/>
  <c r="O102" i="29"/>
  <c r="AT48" i="29"/>
  <c r="W24" i="29"/>
  <c r="CU58" i="29"/>
  <c r="T98" i="29"/>
  <c r="H58" i="29"/>
  <c r="AP58" i="29"/>
  <c r="G29" i="29"/>
  <c r="DA71" i="29"/>
  <c r="AG25" i="29"/>
  <c r="P48" i="29"/>
  <c r="AA29" i="29"/>
  <c r="CE60" i="29"/>
  <c r="CP29" i="29"/>
  <c r="CM10" i="29"/>
  <c r="CA79" i="29"/>
  <c r="AS37" i="29"/>
  <c r="CZ27" i="29"/>
  <c r="AN91" i="29"/>
  <c r="CJ29" i="29"/>
  <c r="P102" i="29"/>
  <c r="CG27" i="29"/>
  <c r="M61" i="29"/>
  <c r="AF9" i="29"/>
  <c r="AD34" i="29"/>
  <c r="L27" i="29"/>
  <c r="AE62" i="29"/>
  <c r="AH102" i="29"/>
  <c r="W45" i="29"/>
  <c r="H96" i="29"/>
  <c r="M18" i="29"/>
  <c r="AP60" i="29"/>
  <c r="AM62" i="29"/>
  <c r="BI61" i="29"/>
  <c r="BI27" i="29"/>
  <c r="CW92" i="29"/>
  <c r="AE26" i="29"/>
  <c r="CH59" i="29"/>
  <c r="AJ10" i="29"/>
  <c r="AP61" i="29"/>
  <c r="G75" i="29"/>
  <c r="H65" i="29"/>
  <c r="AE30" i="29"/>
  <c r="DF45" i="29"/>
  <c r="CK26" i="29"/>
  <c r="BV54" i="29"/>
  <c r="CQ29" i="29"/>
  <c r="AW50" i="29"/>
  <c r="DA37" i="29"/>
  <c r="K12" i="29"/>
  <c r="BW13" i="29"/>
  <c r="AC102" i="29"/>
  <c r="CK92" i="29"/>
  <c r="CI37" i="29"/>
  <c r="AC24" i="29"/>
  <c r="AC18" i="29"/>
  <c r="AB25" i="29"/>
  <c r="BH10" i="29"/>
  <c r="CW81" i="29"/>
  <c r="CE18" i="29"/>
  <c r="CQ62" i="29"/>
  <c r="BC45" i="29"/>
  <c r="CA89" i="29"/>
  <c r="X98" i="29"/>
  <c r="BE66" i="29"/>
  <c r="AZ71" i="29"/>
  <c r="CO98" i="29"/>
  <c r="CY89" i="29"/>
  <c r="AB66" i="29"/>
  <c r="CH98" i="29"/>
  <c r="AO65" i="29"/>
  <c r="BO61" i="29"/>
  <c r="CP34" i="29"/>
  <c r="AC58" i="29"/>
  <c r="CJ67" i="29"/>
  <c r="AX66" i="29"/>
  <c r="K57" i="29"/>
  <c r="DF81" i="29"/>
  <c r="AW12" i="29"/>
  <c r="AI81" i="29"/>
  <c r="AW67" i="29"/>
  <c r="BX66" i="29"/>
  <c r="BI17" i="29"/>
  <c r="AF26" i="29"/>
  <c r="AJ98" i="29"/>
  <c r="CN67" i="29"/>
  <c r="BY59" i="29"/>
  <c r="CL98" i="29"/>
  <c r="DC48" i="29"/>
  <c r="AT37" i="29"/>
  <c r="AV34" i="29"/>
  <c r="CS9" i="29"/>
  <c r="AZ25" i="29"/>
  <c r="AB61" i="29"/>
  <c r="DB62" i="29"/>
  <c r="CE37" i="29"/>
  <c r="AU21" i="29"/>
  <c r="G45" i="29"/>
  <c r="AI54" i="29"/>
  <c r="AT17" i="29"/>
  <c r="AX89" i="29"/>
  <c r="CP62" i="29"/>
  <c r="DC102" i="29"/>
  <c r="N34" i="29"/>
  <c r="CV12" i="29"/>
  <c r="CY59" i="29"/>
  <c r="BT66" i="29"/>
  <c r="BD12" i="29"/>
  <c r="AU67" i="29"/>
  <c r="BY79" i="29"/>
  <c r="I18" i="29"/>
  <c r="CG59" i="29"/>
  <c r="CT25" i="29"/>
  <c r="P49" i="29"/>
  <c r="BE37" i="29"/>
  <c r="CB98" i="29"/>
  <c r="CP50" i="29"/>
  <c r="BW24" i="29"/>
  <c r="AO26" i="29"/>
  <c r="CY65" i="29"/>
  <c r="S25" i="29"/>
  <c r="AP12" i="29"/>
  <c r="AI71" i="29"/>
  <c r="AB26" i="29"/>
  <c r="CP92" i="29"/>
  <c r="AD75" i="29"/>
  <c r="X17" i="29"/>
  <c r="DE12" i="29"/>
  <c r="K58" i="29"/>
  <c r="BZ62" i="29"/>
  <c r="CU37" i="29"/>
  <c r="CD50" i="29"/>
  <c r="AP81" i="29"/>
  <c r="DF34" i="29"/>
  <c r="BB45" i="29"/>
  <c r="V21" i="29"/>
  <c r="BB12" i="29"/>
  <c r="I59" i="29"/>
  <c r="L89" i="29"/>
  <c r="AF34" i="29"/>
  <c r="BD81" i="29"/>
  <c r="AH62" i="29"/>
  <c r="CP59" i="29"/>
  <c r="CW79" i="29"/>
  <c r="L50" i="29"/>
  <c r="CM61" i="29"/>
  <c r="CC12" i="29"/>
  <c r="DC96" i="29"/>
  <c r="BI34" i="29"/>
  <c r="CE29" i="29"/>
  <c r="CJ98" i="29"/>
  <c r="BR48" i="29"/>
  <c r="N27" i="29"/>
  <c r="CT54" i="29"/>
  <c r="L53" i="29"/>
  <c r="CQ67" i="29"/>
  <c r="AM67" i="29"/>
  <c r="CS91" i="29"/>
  <c r="BQ26" i="29"/>
  <c r="BX49" i="29"/>
  <c r="BH98" i="29"/>
  <c r="AY37" i="29"/>
  <c r="CS17" i="29"/>
  <c r="Z79" i="29"/>
  <c r="Z61" i="29"/>
  <c r="AX92" i="29"/>
  <c r="AX67" i="29"/>
  <c r="BO71" i="29"/>
  <c r="CS67" i="29"/>
  <c r="AX25" i="29"/>
  <c r="AU66" i="29"/>
  <c r="L45" i="29"/>
  <c r="AS75" i="29"/>
  <c r="V37" i="29"/>
  <c r="CJ53" i="29"/>
  <c r="G62" i="29"/>
  <c r="U61" i="29"/>
  <c r="BH58" i="29"/>
  <c r="W49" i="29"/>
  <c r="CK81" i="29"/>
  <c r="AV45" i="29"/>
  <c r="O30" i="29"/>
  <c r="CY45" i="29"/>
  <c r="CF13" i="29"/>
  <c r="BD54" i="29"/>
  <c r="BC48" i="29"/>
  <c r="BB13" i="29"/>
  <c r="K92" i="29"/>
  <c r="AR25" i="29"/>
  <c r="CG12" i="29"/>
  <c r="AU62" i="29"/>
  <c r="AX61" i="29"/>
  <c r="DA65" i="29"/>
  <c r="CK21" i="29"/>
  <c r="BW30" i="29"/>
  <c r="AP48" i="29"/>
  <c r="BP91" i="29"/>
  <c r="K34" i="29"/>
  <c r="CC21" i="29"/>
  <c r="CT58" i="29"/>
  <c r="U10" i="29"/>
  <c r="AO96" i="29"/>
  <c r="BW65" i="29"/>
  <c r="CG50" i="29"/>
  <c r="CY92" i="29"/>
  <c r="BX27" i="29"/>
  <c r="DE26" i="29"/>
  <c r="DF58" i="29"/>
  <c r="AI79" i="29"/>
  <c r="CE58" i="29"/>
  <c r="CS30" i="29"/>
  <c r="DF67" i="29"/>
  <c r="CD9" i="29"/>
  <c r="V91" i="29"/>
  <c r="CB45" i="29"/>
  <c r="CQ17" i="29"/>
  <c r="AI50" i="29"/>
  <c r="CN53" i="29"/>
  <c r="AV98" i="29"/>
  <c r="CI59" i="29"/>
  <c r="K89" i="29"/>
  <c r="BI48" i="29"/>
  <c r="CO10" i="29"/>
  <c r="AC61" i="29"/>
  <c r="CY26" i="29"/>
  <c r="BE102" i="29"/>
  <c r="AF12" i="29"/>
  <c r="AH65" i="29"/>
  <c r="CA34" i="29"/>
  <c r="AD30" i="29"/>
  <c r="CC57" i="29"/>
  <c r="BX81" i="29"/>
  <c r="I17" i="29"/>
  <c r="DC25" i="29"/>
  <c r="J21" i="29"/>
  <c r="AZ91" i="29"/>
  <c r="CA102" i="29"/>
  <c r="CB57" i="29"/>
  <c r="AB17" i="29"/>
  <c r="BS26" i="29"/>
  <c r="L57" i="29"/>
  <c r="CR98" i="29"/>
  <c r="BA58" i="29"/>
  <c r="P37" i="29"/>
  <c r="AQ34" i="29"/>
  <c r="AU96" i="29"/>
  <c r="CS102" i="29"/>
  <c r="AU60" i="29"/>
  <c r="DF50" i="29"/>
  <c r="BB9" i="29"/>
  <c r="CI79" i="29"/>
  <c r="CO17" i="29"/>
  <c r="M57" i="29"/>
  <c r="BX91" i="29"/>
  <c r="CC79" i="29"/>
  <c r="AN79" i="29"/>
  <c r="AG53" i="29"/>
  <c r="O67" i="29"/>
  <c r="AP91" i="29"/>
  <c r="DB60" i="29"/>
  <c r="AR92" i="29"/>
  <c r="CC81" i="29"/>
  <c r="CX59" i="29"/>
  <c r="K26" i="29"/>
  <c r="CA66" i="29"/>
  <c r="AI25" i="29"/>
  <c r="CJ66" i="29"/>
  <c r="AV13" i="29"/>
  <c r="BR60" i="29"/>
  <c r="AF62" i="29"/>
  <c r="BD45" i="29"/>
  <c r="Z30" i="29"/>
  <c r="AD21" i="29"/>
  <c r="BT13" i="29"/>
  <c r="I26" i="29"/>
  <c r="G54" i="29"/>
  <c r="CE48" i="29"/>
  <c r="AW13" i="29"/>
  <c r="CQ24" i="29"/>
  <c r="CD60" i="29"/>
  <c r="O29" i="29"/>
  <c r="BD18" i="29"/>
  <c r="AD92" i="29"/>
  <c r="AW18" i="29"/>
  <c r="BX24" i="29"/>
  <c r="CV18" i="29"/>
  <c r="CH79" i="29"/>
  <c r="BT49" i="29"/>
  <c r="BR18" i="29"/>
  <c r="K59" i="29"/>
  <c r="CB71" i="29"/>
  <c r="DE50" i="29"/>
  <c r="AA30" i="29"/>
  <c r="AF45" i="29"/>
  <c r="AV92" i="29"/>
  <c r="AR17" i="29"/>
  <c r="CH25" i="29"/>
  <c r="CF67" i="29"/>
  <c r="Y54" i="29"/>
  <c r="S66" i="29"/>
  <c r="CV29" i="29"/>
  <c r="AD59" i="29"/>
  <c r="W75" i="29"/>
  <c r="CZ79" i="29"/>
  <c r="CL102" i="29"/>
  <c r="CY53" i="29"/>
  <c r="AE59" i="29"/>
  <c r="CO34" i="29"/>
  <c r="BH89" i="29"/>
  <c r="BC57" i="29"/>
  <c r="CA37" i="29"/>
  <c r="K50" i="29"/>
  <c r="CG81" i="29"/>
  <c r="BW59" i="29"/>
  <c r="AW29" i="29"/>
  <c r="AW66" i="29"/>
  <c r="CQ98" i="29"/>
  <c r="BD53" i="29"/>
  <c r="BR81" i="29"/>
  <c r="L54" i="29"/>
  <c r="BV37" i="29"/>
  <c r="O79" i="29"/>
  <c r="L59" i="29"/>
  <c r="BC12" i="29"/>
  <c r="BU34" i="29"/>
  <c r="CG10" i="29"/>
  <c r="AU92" i="29"/>
  <c r="CU29" i="29"/>
  <c r="AU58" i="29"/>
  <c r="CS26" i="29"/>
  <c r="CE67" i="29"/>
  <c r="AY27" i="29"/>
  <c r="BT102" i="29"/>
  <c r="AX48" i="29"/>
  <c r="DD65" i="29"/>
  <c r="CI103" i="29"/>
  <c r="AP26" i="29"/>
  <c r="CX102" i="29"/>
  <c r="CO89" i="29"/>
  <c r="CD12" i="29"/>
  <c r="N79" i="29"/>
  <c r="DF89" i="29"/>
  <c r="AG91" i="29"/>
  <c r="AR58" i="29"/>
  <c r="AN62" i="29"/>
  <c r="G50" i="29"/>
  <c r="CO81" i="29"/>
  <c r="CB53" i="29"/>
  <c r="L18" i="29"/>
  <c r="H67" i="29"/>
  <c r="CG54" i="29"/>
  <c r="CJ60" i="29"/>
  <c r="CW53" i="29"/>
  <c r="AV57" i="29"/>
  <c r="V13" i="29"/>
  <c r="M60" i="29"/>
  <c r="AV89" i="29"/>
  <c r="CX12" i="29"/>
  <c r="V81" i="29"/>
  <c r="H66" i="29"/>
  <c r="Z54" i="29"/>
  <c r="BE49" i="29"/>
  <c r="S18" i="29"/>
  <c r="S21" i="29"/>
  <c r="CP24" i="29"/>
  <c r="CJ89" i="29"/>
  <c r="CV75" i="29"/>
  <c r="O92" i="29"/>
  <c r="BE62" i="29"/>
  <c r="CL66" i="29"/>
  <c r="S29" i="29"/>
  <c r="AX26" i="29"/>
  <c r="AW25" i="29"/>
  <c r="CW26" i="29"/>
  <c r="AI29" i="29"/>
  <c r="AI17" i="29"/>
  <c r="CC50" i="29"/>
  <c r="O60" i="29"/>
  <c r="BE89" i="29"/>
  <c r="CM37" i="29"/>
  <c r="CZ21" i="29"/>
  <c r="CV27" i="29"/>
  <c r="BV71" i="29"/>
  <c r="AX12" i="29"/>
  <c r="I45" i="29"/>
  <c r="CL65" i="29"/>
  <c r="AZ81" i="29"/>
  <c r="BA57" i="29"/>
  <c r="CD54" i="29"/>
  <c r="DA53" i="29"/>
  <c r="AT24" i="29"/>
  <c r="AT49" i="29"/>
  <c r="BO29" i="29"/>
  <c r="T92" i="29"/>
  <c r="AF10" i="29"/>
  <c r="AQ89" i="29"/>
  <c r="CZ67" i="29"/>
  <c r="BP102" i="29"/>
  <c r="AA102" i="29"/>
  <c r="X61" i="29"/>
  <c r="CX26" i="29"/>
  <c r="CB49" i="29"/>
  <c r="BD92" i="29"/>
  <c r="BS62" i="29"/>
  <c r="BR102" i="29"/>
  <c r="AP96" i="29"/>
  <c r="DB18" i="29"/>
  <c r="BS34" i="29"/>
  <c r="CB96" i="29"/>
  <c r="AQ67" i="29"/>
  <c r="BH13" i="29"/>
  <c r="BB26" i="29"/>
  <c r="X49" i="29"/>
  <c r="AN54" i="29"/>
  <c r="AO54" i="29"/>
  <c r="AB21" i="29"/>
  <c r="H18" i="29"/>
  <c r="DA24" i="29"/>
  <c r="DE21" i="29"/>
  <c r="CT12" i="29"/>
  <c r="BU65" i="29"/>
  <c r="AJ96" i="29"/>
  <c r="DE48" i="29"/>
  <c r="N24" i="29"/>
  <c r="AY66" i="29"/>
  <c r="AE98" i="29"/>
  <c r="AI49" i="29"/>
  <c r="AN61" i="29"/>
  <c r="K21" i="29"/>
  <c r="CN27" i="29"/>
  <c r="T60" i="29"/>
  <c r="AG49" i="29"/>
  <c r="V29" i="29"/>
  <c r="DF48" i="29"/>
  <c r="CA24" i="29"/>
  <c r="DE102" i="29"/>
  <c r="DF71" i="29"/>
  <c r="AI34" i="29"/>
  <c r="BO30" i="29"/>
  <c r="CJ34" i="29"/>
  <c r="AZ59" i="29"/>
  <c r="BZ59" i="29"/>
  <c r="BP57" i="29"/>
  <c r="AZ60" i="29"/>
  <c r="N37" i="29"/>
  <c r="L75" i="29"/>
  <c r="BI24" i="29"/>
  <c r="DD92" i="29"/>
  <c r="K9" i="29"/>
  <c r="CH65" i="29"/>
  <c r="S102" i="29"/>
  <c r="AA91" i="29"/>
  <c r="BP49" i="29"/>
  <c r="L102" i="29"/>
  <c r="AY26" i="29"/>
  <c r="L91" i="29"/>
  <c r="O13" i="29"/>
  <c r="AW17" i="29"/>
  <c r="CY30" i="29"/>
  <c r="J9" i="29"/>
  <c r="AZ79" i="29"/>
  <c r="BZ13" i="29"/>
  <c r="AM10" i="29"/>
  <c r="V49" i="29"/>
  <c r="CH102" i="29"/>
  <c r="P75" i="29"/>
  <c r="T89" i="29"/>
  <c r="BS54" i="29"/>
  <c r="CW29" i="29"/>
  <c r="AF49" i="29"/>
  <c r="J25" i="29"/>
  <c r="X54" i="29"/>
  <c r="I54" i="29"/>
  <c r="T79" i="29"/>
  <c r="W54" i="29"/>
  <c r="AM54" i="29"/>
  <c r="W21" i="29"/>
  <c r="BH37" i="29"/>
  <c r="U54" i="29"/>
  <c r="BO54" i="29"/>
  <c r="BT54" i="29"/>
  <c r="S54" i="29"/>
  <c r="S37" i="29"/>
  <c r="U21" i="29"/>
  <c r="CW31" i="29"/>
  <c r="P76" i="29"/>
  <c r="CH104" i="29"/>
  <c r="BF10" i="29"/>
  <c r="AZ82" i="29"/>
  <c r="J11" i="29"/>
  <c r="AW19" i="29"/>
  <c r="AY28" i="29"/>
  <c r="L104" i="29"/>
  <c r="S104" i="29"/>
  <c r="CH68" i="29"/>
  <c r="K11" i="29"/>
  <c r="L76" i="29"/>
  <c r="N38" i="29"/>
  <c r="BP63" i="29"/>
  <c r="CJ35" i="29"/>
  <c r="DH30" i="29"/>
  <c r="AI35" i="29"/>
  <c r="DF72" i="29"/>
  <c r="DE104" i="29"/>
  <c r="DF51" i="29"/>
  <c r="V31" i="29"/>
  <c r="K22" i="29"/>
  <c r="DE51" i="29"/>
  <c r="AJ99" i="29"/>
  <c r="BU68" i="29"/>
  <c r="CT14" i="29"/>
  <c r="DE22" i="29"/>
  <c r="AB22" i="29"/>
  <c r="BB28" i="29"/>
  <c r="BJ13" i="29"/>
  <c r="CB99" i="29"/>
  <c r="BS35" i="29"/>
  <c r="BR104" i="29"/>
  <c r="CX28" i="29"/>
  <c r="AA104" i="29"/>
  <c r="BP104" i="29"/>
  <c r="AQ93" i="29"/>
  <c r="BO31" i="29"/>
  <c r="DH29" i="29"/>
  <c r="DA55" i="29"/>
  <c r="BA63" i="29"/>
  <c r="CL68" i="29"/>
  <c r="I46" i="29"/>
  <c r="AX14" i="29"/>
  <c r="BV72" i="29"/>
  <c r="CZ22" i="29"/>
  <c r="CM38" i="29"/>
  <c r="BE93" i="29"/>
  <c r="AI19" i="29"/>
  <c r="AI31" i="29"/>
  <c r="CW28" i="29"/>
  <c r="AX28" i="29"/>
  <c r="AK29" i="29"/>
  <c r="S31" i="29"/>
  <c r="CV76" i="29"/>
  <c r="CJ93" i="29"/>
  <c r="S22" i="29"/>
  <c r="AK18" i="29"/>
  <c r="BE97" i="29"/>
  <c r="BF97" i="29"/>
  <c r="CX14" i="29"/>
  <c r="AV93" i="29"/>
  <c r="AV63" i="29"/>
  <c r="CW55" i="29"/>
  <c r="CB55" i="29"/>
  <c r="Q50" i="29"/>
  <c r="DF93" i="29"/>
  <c r="N82" i="29"/>
  <c r="CD14" i="29"/>
  <c r="CO93" i="29"/>
  <c r="CX104" i="29"/>
  <c r="AP28" i="29"/>
  <c r="DD68" i="29"/>
  <c r="AX51" i="29"/>
  <c r="BT104" i="29"/>
  <c r="CS28" i="29"/>
  <c r="CU31" i="29"/>
  <c r="BU35" i="29"/>
  <c r="BC14" i="29"/>
  <c r="O82" i="29"/>
  <c r="BV38" i="29"/>
  <c r="BD55" i="29"/>
  <c r="AW31" i="29"/>
  <c r="CA38" i="29"/>
  <c r="BC63" i="29"/>
  <c r="BJ89" i="29"/>
  <c r="CO35" i="29"/>
  <c r="CY55" i="29"/>
  <c r="CL104" i="29"/>
  <c r="CZ82" i="29"/>
  <c r="W76" i="29"/>
  <c r="CV31" i="29"/>
  <c r="AK66" i="29"/>
  <c r="AR19" i="29"/>
  <c r="AF46" i="29"/>
  <c r="CB72" i="29"/>
  <c r="CH82" i="29"/>
  <c r="O31" i="29"/>
  <c r="CE51" i="29"/>
  <c r="I28" i="29"/>
  <c r="AD22" i="29"/>
  <c r="BD46" i="29"/>
  <c r="K28" i="29"/>
  <c r="AG55" i="29"/>
  <c r="AN82" i="29"/>
  <c r="CC82" i="29"/>
  <c r="M63" i="29"/>
  <c r="CO19" i="29"/>
  <c r="CI82" i="29"/>
  <c r="BB11" i="29"/>
  <c r="CS104" i="29"/>
  <c r="AU99" i="29"/>
  <c r="AQ35" i="29"/>
  <c r="P38" i="29"/>
  <c r="L63" i="29"/>
  <c r="BS28" i="29"/>
  <c r="AB19" i="29"/>
  <c r="CB63" i="29"/>
  <c r="CA104" i="29"/>
  <c r="J22" i="29"/>
  <c r="I19" i="29"/>
  <c r="CC63" i="29"/>
  <c r="CA35" i="29"/>
  <c r="AH68" i="29"/>
  <c r="AF14" i="29"/>
  <c r="BE104" i="29"/>
  <c r="CY28" i="29"/>
  <c r="BI51" i="29"/>
  <c r="K93" i="29"/>
  <c r="CN55" i="29"/>
  <c r="CQ19" i="29"/>
  <c r="CB46" i="29"/>
  <c r="CD11" i="29"/>
  <c r="CD15" i="29"/>
  <c r="AI82" i="29"/>
  <c r="DE28" i="29"/>
  <c r="BW68" i="29"/>
  <c r="AO99" i="29"/>
  <c r="CC22" i="29"/>
  <c r="K35" i="29"/>
  <c r="AP51" i="29"/>
  <c r="CK22" i="29"/>
  <c r="DA68" i="29"/>
  <c r="CG14" i="29"/>
  <c r="BC51" i="29"/>
  <c r="CY46" i="29"/>
  <c r="AV46" i="29"/>
  <c r="BJ58" i="29"/>
  <c r="Q62" i="29"/>
  <c r="CJ55" i="29"/>
  <c r="V38" i="29"/>
  <c r="AS76" i="29"/>
  <c r="L46" i="29"/>
  <c r="BO72" i="29"/>
  <c r="DH71" i="29"/>
  <c r="Z82" i="29"/>
  <c r="CS19" i="29"/>
  <c r="AY38" i="29"/>
  <c r="BJ98" i="29"/>
  <c r="BQ28" i="29"/>
  <c r="BF67" i="29"/>
  <c r="L55" i="29"/>
  <c r="BR51" i="29"/>
  <c r="CE31" i="29"/>
  <c r="BI35" i="29"/>
  <c r="DC99" i="29"/>
  <c r="CC14" i="29"/>
  <c r="CW82" i="29"/>
  <c r="AF35" i="29"/>
  <c r="L93" i="29"/>
  <c r="BB14" i="29"/>
  <c r="BB15" i="29"/>
  <c r="V22" i="29"/>
  <c r="BB46" i="29"/>
  <c r="DF35" i="29"/>
  <c r="CU38" i="29"/>
  <c r="DE14" i="29"/>
  <c r="X19" i="29"/>
  <c r="AD76" i="29"/>
  <c r="AB28" i="29"/>
  <c r="AI72" i="29"/>
  <c r="AP14" i="29"/>
  <c r="CY68" i="29"/>
  <c r="AO28" i="29"/>
  <c r="BE38" i="29"/>
  <c r="BY82" i="29"/>
  <c r="BD14" i="29"/>
  <c r="CV14" i="29"/>
  <c r="N35" i="29"/>
  <c r="DC104" i="29"/>
  <c r="AX93" i="29"/>
  <c r="AT19" i="29"/>
  <c r="G46" i="29"/>
  <c r="Q45" i="29"/>
  <c r="AU22" i="29"/>
  <c r="CE38" i="29"/>
  <c r="CS11" i="29"/>
  <c r="AV35" i="29"/>
  <c r="AT38" i="29"/>
  <c r="DC51" i="29"/>
  <c r="AF28" i="29"/>
  <c r="BI19" i="29"/>
  <c r="AW14" i="29"/>
  <c r="K63" i="29"/>
  <c r="CP35" i="29"/>
  <c r="DH61" i="29"/>
  <c r="AO68" i="29"/>
  <c r="CY93" i="29"/>
  <c r="AZ72" i="29"/>
  <c r="CA93" i="29"/>
  <c r="BC46" i="29"/>
  <c r="BJ10" i="29"/>
  <c r="CI38" i="29"/>
  <c r="AC104" i="29"/>
  <c r="K14" i="29"/>
  <c r="K15" i="29"/>
  <c r="DA38" i="29"/>
  <c r="CQ31" i="29"/>
  <c r="CK28" i="29"/>
  <c r="DF46" i="29"/>
  <c r="H68" i="29"/>
  <c r="G76" i="29"/>
  <c r="Q75" i="29"/>
  <c r="AE28" i="29"/>
  <c r="BF62" i="29"/>
  <c r="H99" i="29"/>
  <c r="W46" i="29"/>
  <c r="AH104" i="29"/>
  <c r="AD35" i="29"/>
  <c r="AF11" i="29"/>
  <c r="P104" i="29"/>
  <c r="CJ31" i="29"/>
  <c r="AS38" i="29"/>
  <c r="CA82" i="29"/>
  <c r="CP31" i="29"/>
  <c r="AA31" i="29"/>
  <c r="P51" i="29"/>
  <c r="DA72" i="29"/>
  <c r="G31" i="29"/>
  <c r="Q29" i="29"/>
  <c r="AT51" i="29"/>
  <c r="O104" i="29"/>
  <c r="DB38" i="29"/>
  <c r="AM14" i="29"/>
  <c r="BF12" i="29"/>
  <c r="W68" i="29"/>
  <c r="BH63" i="29"/>
  <c r="BJ57" i="29"/>
  <c r="BX99" i="29"/>
  <c r="BW82" i="29"/>
  <c r="CF99" i="29"/>
  <c r="J72" i="29"/>
  <c r="DD46" i="29"/>
  <c r="BS99" i="29"/>
  <c r="CN93" i="29"/>
  <c r="AW63" i="29"/>
  <c r="AH72" i="29"/>
  <c r="BC38" i="29"/>
  <c r="W63" i="29"/>
  <c r="AR99" i="29"/>
  <c r="BB31" i="29"/>
  <c r="Y63" i="29"/>
  <c r="CH28" i="29"/>
  <c r="AM11" i="29"/>
  <c r="DC28" i="29"/>
  <c r="DD51" i="29"/>
  <c r="CF55" i="29"/>
  <c r="Z76" i="29"/>
  <c r="CK104" i="29"/>
  <c r="AX22" i="29"/>
  <c r="Q48" i="29"/>
  <c r="G51" i="29"/>
  <c r="BC104" i="29"/>
  <c r="BE72" i="29"/>
  <c r="CQ28" i="29"/>
  <c r="CQ32" i="29"/>
  <c r="AJ68" i="29"/>
  <c r="CE82" i="29"/>
  <c r="AG76" i="29"/>
  <c r="CX19" i="29"/>
  <c r="AK34" i="29"/>
  <c r="S35" i="29"/>
  <c r="AZ93" i="29"/>
  <c r="BB104" i="29"/>
  <c r="BH51" i="29"/>
  <c r="BJ48" i="29"/>
  <c r="BH104" i="29"/>
  <c r="CF82" i="29"/>
  <c r="BZ35" i="29"/>
  <c r="CM28" i="29"/>
  <c r="Y28" i="29"/>
  <c r="CY35" i="29"/>
  <c r="AH22" i="29"/>
  <c r="CS31" i="29"/>
  <c r="CS32" i="29"/>
  <c r="AV51" i="29"/>
  <c r="BY31" i="29"/>
  <c r="BF49" i="29"/>
  <c r="BC72" i="29"/>
  <c r="AP46" i="29"/>
  <c r="G99" i="29"/>
  <c r="Q96" i="29"/>
  <c r="O14" i="29"/>
  <c r="CS46" i="29"/>
  <c r="BV19" i="29"/>
  <c r="H22" i="29"/>
  <c r="M31" i="29"/>
  <c r="K46" i="29"/>
  <c r="DC76" i="29"/>
  <c r="CG63" i="29"/>
  <c r="BS38" i="29"/>
  <c r="CM14" i="29"/>
  <c r="CD68" i="29"/>
  <c r="DH59" i="29"/>
  <c r="BR68" i="29"/>
  <c r="Y76" i="29"/>
  <c r="CL31" i="29"/>
  <c r="CE68" i="29"/>
  <c r="AA11" i="29"/>
  <c r="AI22" i="29"/>
  <c r="CH38" i="29"/>
  <c r="BF24" i="29"/>
  <c r="AW72" i="29"/>
  <c r="CC38" i="29"/>
  <c r="T99" i="29"/>
  <c r="BU11" i="29"/>
  <c r="BS72" i="29"/>
  <c r="I63" i="29"/>
  <c r="CL76" i="29"/>
  <c r="BS46" i="29"/>
  <c r="K19" i="29"/>
  <c r="BV35" i="29"/>
  <c r="BU72" i="29"/>
  <c r="I51" i="29"/>
  <c r="CR104" i="29"/>
  <c r="AX46" i="29"/>
  <c r="CC55" i="29"/>
  <c r="BI22" i="29"/>
  <c r="DB99" i="29"/>
  <c r="CM19" i="29"/>
  <c r="Q61" i="29"/>
  <c r="CY82" i="29"/>
  <c r="CC76" i="29"/>
  <c r="AP104" i="29"/>
  <c r="BZ72" i="29"/>
  <c r="BA46" i="29"/>
  <c r="CT22" i="29"/>
  <c r="BU46" i="29"/>
  <c r="DD99" i="29"/>
  <c r="Q30" i="29"/>
  <c r="AC11" i="29"/>
  <c r="AY82" i="29"/>
  <c r="K68" i="29"/>
  <c r="Z19" i="29"/>
  <c r="BT38" i="29"/>
  <c r="I31" i="29"/>
  <c r="AK26" i="29"/>
  <c r="S28" i="29"/>
  <c r="CF38" i="29"/>
  <c r="AO19" i="29"/>
  <c r="CZ31" i="29"/>
  <c r="AC35" i="29"/>
  <c r="U93" i="29"/>
  <c r="CR68" i="29"/>
  <c r="AW82" i="29"/>
  <c r="DC46" i="29"/>
  <c r="AW38" i="29"/>
  <c r="M14" i="29"/>
  <c r="H51" i="29"/>
  <c r="DE99" i="29"/>
  <c r="CT104" i="29"/>
  <c r="AS63" i="29"/>
  <c r="AD72" i="29"/>
  <c r="CS22" i="29"/>
  <c r="BW31" i="29"/>
  <c r="T28" i="29"/>
  <c r="K31" i="29"/>
  <c r="CT28" i="29"/>
  <c r="AD63" i="29"/>
  <c r="BA99" i="29"/>
  <c r="CA28" i="29"/>
  <c r="DH27" i="29"/>
  <c r="CO14" i="29"/>
  <c r="CX55" i="29"/>
  <c r="CN63" i="29"/>
  <c r="AR104" i="29"/>
  <c r="CC72" i="29"/>
  <c r="CG76" i="29"/>
  <c r="DH58" i="29"/>
  <c r="DD22" i="29"/>
  <c r="V63" i="29"/>
  <c r="X38" i="29"/>
  <c r="V46" i="29"/>
  <c r="K38" i="29"/>
  <c r="CO22" i="29"/>
  <c r="AF38" i="29"/>
  <c r="AA55" i="29"/>
  <c r="AG72" i="29"/>
  <c r="CC11" i="29"/>
  <c r="CU72" i="29"/>
  <c r="V68" i="29"/>
  <c r="CP55" i="29"/>
  <c r="DF82" i="29"/>
  <c r="AX82" i="29"/>
  <c r="AK60" i="29"/>
  <c r="J55" i="29"/>
  <c r="S46" i="29"/>
  <c r="I11" i="29"/>
  <c r="AX72" i="29"/>
  <c r="CB31" i="29"/>
  <c r="AA19" i="29"/>
  <c r="CL55" i="29"/>
  <c r="AM63" i="29"/>
  <c r="CA72" i="29"/>
  <c r="AG28" i="29"/>
  <c r="T55" i="29"/>
  <c r="CW51" i="29"/>
  <c r="BR46" i="29"/>
  <c r="DB76" i="29"/>
  <c r="AA22" i="29"/>
  <c r="M104" i="29"/>
  <c r="DA22" i="29"/>
  <c r="AI99" i="29"/>
  <c r="BD82" i="29"/>
  <c r="CG51" i="29"/>
  <c r="CI72" i="29"/>
  <c r="AC14" i="29"/>
  <c r="U46" i="29"/>
  <c r="AE11" i="29"/>
  <c r="CP51" i="29"/>
  <c r="AS14" i="29"/>
  <c r="BX51" i="29"/>
  <c r="CN104" i="29"/>
  <c r="CR93" i="29"/>
  <c r="AG38" i="29"/>
  <c r="CY76" i="29"/>
  <c r="AA14" i="29"/>
  <c r="CJ28" i="29"/>
  <c r="CJ32" i="29"/>
  <c r="M46" i="29"/>
  <c r="X82" i="29"/>
  <c r="L19" i="29"/>
  <c r="U68" i="29"/>
  <c r="BC28" i="29"/>
  <c r="AE55" i="29"/>
  <c r="AX76" i="29"/>
  <c r="DA76" i="29"/>
  <c r="CI99" i="29"/>
  <c r="Y82" i="29"/>
  <c r="BD104" i="29"/>
  <c r="CT63" i="29"/>
  <c r="CB51" i="29"/>
  <c r="DF19" i="29"/>
  <c r="N11" i="29"/>
  <c r="BC19" i="29"/>
  <c r="BF34" i="29"/>
  <c r="AM35" i="29"/>
  <c r="CQ68" i="29"/>
  <c r="BR14" i="29"/>
  <c r="CS82" i="29"/>
  <c r="CO55" i="29"/>
  <c r="CH51" i="29"/>
  <c r="CG31" i="29"/>
  <c r="AP72" i="29"/>
  <c r="AI28" i="29"/>
  <c r="AI32" i="29"/>
  <c r="CM55" i="29"/>
  <c r="AU19" i="29"/>
  <c r="DF11" i="29"/>
  <c r="CP63" i="29"/>
  <c r="I35" i="29"/>
  <c r="Q71" i="29"/>
  <c r="G72" i="29"/>
  <c r="CB93" i="29"/>
  <c r="AR28" i="29"/>
  <c r="AJ11" i="29"/>
  <c r="BR72" i="29"/>
  <c r="AK49" i="29"/>
  <c r="BR93" i="29"/>
  <c r="BB35" i="29"/>
  <c r="K51" i="29"/>
  <c r="CZ11" i="29"/>
  <c r="CD104" i="29"/>
  <c r="AB76" i="29"/>
  <c r="AV19" i="29"/>
  <c r="M35" i="29"/>
  <c r="CO82" i="29"/>
  <c r="Y35" i="29"/>
  <c r="CC19" i="29"/>
  <c r="DC63" i="29"/>
  <c r="AU93" i="29"/>
  <c r="BT76" i="29"/>
  <c r="CW11" i="29"/>
  <c r="H31" i="29"/>
  <c r="T46" i="29"/>
  <c r="AV28" i="29"/>
  <c r="J28" i="29"/>
  <c r="AQ46" i="29"/>
  <c r="DH49" i="29"/>
  <c r="AD68" i="29"/>
  <c r="CQ55" i="29"/>
  <c r="CT35" i="29"/>
  <c r="AS46" i="29"/>
  <c r="BZ38" i="29"/>
  <c r="DF14" i="29"/>
  <c r="DF15" i="29"/>
  <c r="AB63" i="29"/>
  <c r="CE76" i="29"/>
  <c r="AI14" i="29"/>
  <c r="DB46" i="29"/>
  <c r="BI68" i="29"/>
  <c r="AC76" i="29"/>
  <c r="BZ68" i="29"/>
  <c r="G93" i="29"/>
  <c r="Q89" i="29"/>
  <c r="CJ11" i="29"/>
  <c r="DH60" i="29"/>
  <c r="BW14" i="29"/>
  <c r="V28" i="29"/>
  <c r="DF31" i="29"/>
  <c r="L22" i="29"/>
  <c r="BS68" i="29"/>
  <c r="BV76" i="29"/>
  <c r="DA82" i="29"/>
  <c r="AY35" i="29"/>
  <c r="BX46" i="29"/>
  <c r="DD93" i="29"/>
  <c r="AJ22" i="29"/>
  <c r="AA28" i="29"/>
  <c r="AA32" i="29"/>
  <c r="O46" i="29"/>
  <c r="BW76" i="29"/>
  <c r="AN46" i="29"/>
  <c r="J51" i="29"/>
  <c r="AJ28" i="29"/>
  <c r="AZ104" i="29"/>
  <c r="AW28" i="29"/>
  <c r="AW32" i="29"/>
  <c r="CP76" i="29"/>
  <c r="AJ72" i="29"/>
  <c r="CS76" i="29"/>
  <c r="BB82" i="29"/>
  <c r="CI68" i="29"/>
  <c r="BV99" i="29"/>
  <c r="CV55" i="29"/>
  <c r="CU46" i="29"/>
  <c r="DD55" i="29"/>
  <c r="DB63" i="29"/>
  <c r="O11" i="29"/>
  <c r="DH75" i="29"/>
  <c r="BO76" i="29"/>
  <c r="N55" i="29"/>
  <c r="BJ60" i="29"/>
  <c r="CP82" i="29"/>
  <c r="AJ76" i="29"/>
  <c r="BX82" i="29"/>
  <c r="BU104" i="29"/>
  <c r="CV38" i="29"/>
  <c r="BH46" i="29"/>
  <c r="BJ45" i="29"/>
  <c r="P99" i="29"/>
  <c r="DA35" i="29"/>
  <c r="CH93" i="29"/>
  <c r="H46" i="29"/>
  <c r="CV28" i="29"/>
  <c r="AH14" i="29"/>
  <c r="BZ22" i="29"/>
  <c r="AO82" i="29"/>
  <c r="BI38" i="29"/>
  <c r="BX38" i="29"/>
  <c r="CM68" i="29"/>
  <c r="I93" i="29"/>
  <c r="AK62" i="29"/>
  <c r="CD82" i="29"/>
  <c r="CZ72" i="29"/>
  <c r="AF55" i="29"/>
  <c r="CB68" i="29"/>
  <c r="CF31" i="29"/>
  <c r="AA82" i="29"/>
  <c r="S82" i="29"/>
  <c r="CD46" i="29"/>
  <c r="BC82" i="29"/>
  <c r="AB99" i="29"/>
  <c r="AH19" i="29"/>
  <c r="CQ11" i="29"/>
  <c r="I82" i="29"/>
  <c r="AH31" i="29"/>
  <c r="AY51" i="29"/>
  <c r="BE28" i="29"/>
  <c r="P28" i="29"/>
  <c r="I76" i="29"/>
  <c r="BI99" i="29"/>
  <c r="CQ35" i="29"/>
  <c r="CK72" i="29"/>
  <c r="CV68" i="29"/>
  <c r="BX28" i="29"/>
  <c r="CD38" i="29"/>
  <c r="CO72" i="29"/>
  <c r="CN14" i="29"/>
  <c r="P22" i="29"/>
  <c r="AY31" i="29"/>
  <c r="CK46" i="29"/>
  <c r="J14" i="29"/>
  <c r="J15" i="29"/>
  <c r="CU35" i="29"/>
  <c r="CJ63" i="29"/>
  <c r="CI28" i="29"/>
  <c r="CM22" i="29"/>
  <c r="CB19" i="29"/>
  <c r="CD76" i="29"/>
  <c r="AJ104" i="29"/>
  <c r="BS19" i="29"/>
  <c r="AS82" i="29"/>
  <c r="O93" i="29"/>
  <c r="BA14" i="29"/>
  <c r="AG22" i="29"/>
  <c r="CQ104" i="29"/>
  <c r="AG46" i="29"/>
  <c r="W38" i="29"/>
  <c r="M82" i="29"/>
  <c r="AA68" i="29"/>
  <c r="BB38" i="29"/>
  <c r="DA11" i="29"/>
  <c r="AP68" i="29"/>
  <c r="AZ51" i="29"/>
  <c r="CF14" i="29"/>
  <c r="V76" i="29"/>
  <c r="AI93" i="29"/>
  <c r="DC55" i="29"/>
  <c r="CI19" i="29"/>
  <c r="CG19" i="29"/>
  <c r="CE28" i="29"/>
  <c r="CE32" i="29"/>
  <c r="AN51" i="29"/>
  <c r="CY11" i="29"/>
  <c r="BX35" i="29"/>
  <c r="AS72" i="29"/>
  <c r="DD35" i="29"/>
  <c r="BF61" i="29"/>
  <c r="BC35" i="29"/>
  <c r="CH72" i="29"/>
  <c r="CO31" i="29"/>
  <c r="AX19" i="29"/>
  <c r="CZ76" i="29"/>
  <c r="BJ21" i="29"/>
  <c r="BH22" i="29"/>
  <c r="BJ22" i="29"/>
  <c r="M19" i="29"/>
  <c r="BV93" i="29"/>
  <c r="AR46" i="29"/>
  <c r="I38" i="29"/>
  <c r="DF76" i="29"/>
  <c r="S76" i="29"/>
  <c r="AB82" i="29"/>
  <c r="BZ104" i="29"/>
  <c r="CK19" i="29"/>
  <c r="CF76" i="29"/>
  <c r="CV104" i="29"/>
  <c r="CA68" i="29"/>
  <c r="CQ14" i="29"/>
  <c r="BW63" i="29"/>
  <c r="Y38" i="29"/>
  <c r="X72" i="29"/>
  <c r="AU51" i="29"/>
  <c r="BE31" i="29"/>
  <c r="BV104" i="29"/>
  <c r="AP76" i="29"/>
  <c r="DA99" i="29"/>
  <c r="BA104" i="29"/>
  <c r="BH19" i="29"/>
  <c r="BJ19" i="29"/>
  <c r="BJ17" i="29"/>
  <c r="DF22" i="29"/>
  <c r="CG11" i="29"/>
  <c r="S63" i="29"/>
  <c r="AC63" i="29"/>
  <c r="AZ11" i="29"/>
  <c r="AJ14" i="29"/>
  <c r="AJ15" i="29"/>
  <c r="AV22" i="29"/>
  <c r="CN82" i="29"/>
  <c r="CN99" i="29"/>
  <c r="CN106" i="29"/>
  <c r="BT72" i="29"/>
  <c r="CP93" i="29"/>
  <c r="CE35" i="29"/>
  <c r="BZ99" i="29"/>
  <c r="CU55" i="29"/>
  <c r="CY63" i="29"/>
  <c r="AD11" i="29"/>
  <c r="AY11" i="29"/>
  <c r="AV72" i="29"/>
  <c r="AN72" i="29"/>
  <c r="AA35" i="29"/>
  <c r="CQ22" i="29"/>
  <c r="CV11" i="29"/>
  <c r="AS19" i="29"/>
  <c r="AN76" i="29"/>
  <c r="BT46" i="29"/>
  <c r="AW46" i="29"/>
  <c r="Q27" i="29"/>
  <c r="CO99" i="29"/>
  <c r="BY55" i="29"/>
  <c r="CH63" i="29"/>
  <c r="CK99" i="29"/>
  <c r="BF45" i="29"/>
  <c r="AM46" i="29"/>
  <c r="AP35" i="29"/>
  <c r="Q17" i="29"/>
  <c r="G19" i="29"/>
  <c r="AQ76" i="29"/>
  <c r="AC82" i="29"/>
  <c r="CY19" i="29"/>
  <c r="AM22" i="29"/>
  <c r="BF21" i="29"/>
  <c r="AI104" i="29"/>
  <c r="X28" i="29"/>
  <c r="BS82" i="29"/>
  <c r="CY38" i="29"/>
  <c r="AQ38" i="29"/>
  <c r="BA35" i="29"/>
  <c r="Y19" i="29"/>
  <c r="DE63" i="29"/>
  <c r="BP68" i="29"/>
  <c r="CK38" i="29"/>
  <c r="BJ54" i="29"/>
  <c r="CV99" i="29"/>
  <c r="CS63" i="29"/>
  <c r="AO63" i="29"/>
  <c r="CL28" i="29"/>
  <c r="CL32" i="29"/>
  <c r="DB72" i="29"/>
  <c r="AR35" i="29"/>
  <c r="CA63" i="29"/>
  <c r="AI76" i="29"/>
  <c r="CU93" i="29"/>
  <c r="P55" i="29"/>
  <c r="DH48" i="29"/>
  <c r="U72" i="29"/>
  <c r="AM93" i="29"/>
  <c r="BF89" i="29"/>
  <c r="BF13" i="29"/>
  <c r="AN99" i="29"/>
  <c r="BS51" i="29"/>
  <c r="S51" i="29"/>
  <c r="CS93" i="29"/>
  <c r="P14" i="29"/>
  <c r="AE82" i="29"/>
  <c r="CL35" i="29"/>
  <c r="CX51" i="29"/>
  <c r="I14" i="29"/>
  <c r="I15" i="29"/>
  <c r="AQ68" i="29"/>
  <c r="CE19" i="29"/>
  <c r="H93" i="29"/>
  <c r="Q26" i="29"/>
  <c r="G28" i="29"/>
  <c r="BW104" i="29"/>
  <c r="BX104" i="29"/>
  <c r="AD38" i="29"/>
  <c r="AT76" i="29"/>
  <c r="DA104" i="29"/>
  <c r="BS63" i="29"/>
  <c r="AE38" i="29"/>
  <c r="H35" i="29"/>
  <c r="J93" i="29"/>
  <c r="BA11" i="29"/>
  <c r="AY46" i="29"/>
  <c r="M28" i="29"/>
  <c r="AO35" i="29"/>
  <c r="CV46" i="29"/>
  <c r="DH37" i="29"/>
  <c r="BO38" i="29"/>
  <c r="DD11" i="29"/>
  <c r="P82" i="29"/>
  <c r="AO104" i="29"/>
  <c r="BD68" i="29"/>
  <c r="CE63" i="29"/>
  <c r="AW22" i="29"/>
  <c r="CH11" i="29"/>
  <c r="AY63" i="29"/>
  <c r="CX82" i="29"/>
  <c r="Y72" i="29"/>
  <c r="BD38" i="29"/>
  <c r="BY68" i="29"/>
  <c r="AQ11" i="29"/>
  <c r="BY99" i="29"/>
  <c r="BX68" i="29"/>
  <c r="AH46" i="29"/>
  <c r="H76" i="29"/>
  <c r="O72" i="29"/>
  <c r="Y14" i="29"/>
  <c r="AC55" i="29"/>
  <c r="CL46" i="29"/>
  <c r="AJ93" i="29"/>
  <c r="AJ106" i="29"/>
  <c r="AD28" i="29"/>
  <c r="CX68" i="29"/>
  <c r="AN19" i="29"/>
  <c r="AR14" i="29"/>
  <c r="AQ63" i="29"/>
  <c r="Q13" i="29"/>
  <c r="CH55" i="29"/>
  <c r="M38" i="29"/>
  <c r="AV104" i="29"/>
  <c r="CA51" i="29"/>
  <c r="BI14" i="29"/>
  <c r="BA19" i="29"/>
  <c r="BT35" i="29"/>
  <c r="Y31" i="29"/>
  <c r="Y32" i="29"/>
  <c r="BW72" i="29"/>
  <c r="CF68" i="29"/>
  <c r="CK55" i="29"/>
  <c r="AE19" i="29"/>
  <c r="H104" i="29"/>
  <c r="Q58" i="29"/>
  <c r="CN46" i="29"/>
  <c r="CR14" i="29"/>
  <c r="J68" i="29"/>
  <c r="CK82" i="29"/>
  <c r="CE93" i="29"/>
  <c r="BD11" i="29"/>
  <c r="BD15" i="29"/>
  <c r="AX38" i="29"/>
  <c r="CV19" i="29"/>
  <c r="CI76" i="29"/>
  <c r="X14" i="29"/>
  <c r="BI31" i="29"/>
  <c r="BF96" i="29"/>
  <c r="AM99" i="29"/>
  <c r="AW11" i="29"/>
  <c r="AO51" i="29"/>
  <c r="AP63" i="29"/>
  <c r="CN35" i="29"/>
  <c r="CX46" i="29"/>
  <c r="CQ99" i="29"/>
  <c r="CB82" i="29"/>
  <c r="CK14" i="29"/>
  <c r="BZ93" i="29"/>
  <c r="BZ106" i="29"/>
  <c r="AX99" i="29"/>
  <c r="CI11" i="29"/>
  <c r="AG82" i="29"/>
  <c r="AR38" i="29"/>
  <c r="CW76" i="29"/>
  <c r="L14" i="29"/>
  <c r="BT82" i="29"/>
  <c r="U31" i="29"/>
  <c r="P35" i="29"/>
  <c r="AE35" i="29"/>
  <c r="CO104" i="29"/>
  <c r="AU63" i="29"/>
  <c r="X51" i="29"/>
  <c r="AS99" i="29"/>
  <c r="AH82" i="29"/>
  <c r="AV82" i="29"/>
  <c r="BY93" i="29"/>
  <c r="CO51" i="29"/>
  <c r="AZ68" i="29"/>
  <c r="CT76" i="29"/>
  <c r="AG63" i="29"/>
  <c r="AD93" i="29"/>
  <c r="N22" i="29"/>
  <c r="CU22" i="29"/>
  <c r="CT51" i="29"/>
  <c r="BW51" i="29"/>
  <c r="AZ46" i="29"/>
  <c r="AX35" i="29"/>
  <c r="O35" i="29"/>
  <c r="BP46" i="29"/>
  <c r="BJ34" i="29"/>
  <c r="BH35" i="29"/>
  <c r="CR38" i="29"/>
  <c r="AT31" i="29"/>
  <c r="H38" i="29"/>
  <c r="CA46" i="29"/>
  <c r="BQ76" i="29"/>
  <c r="DF63" i="29"/>
  <c r="AQ82" i="29"/>
  <c r="S93" i="29"/>
  <c r="AK89" i="29"/>
  <c r="AY32" i="29"/>
  <c r="P63" i="29"/>
  <c r="AJ55" i="29"/>
  <c r="CP104" i="29"/>
  <c r="DH65" i="29"/>
  <c r="BO68" i="29"/>
  <c r="AJ35" i="29"/>
  <c r="Y99" i="29"/>
  <c r="CE22" i="29"/>
  <c r="M32" i="29"/>
  <c r="BQ46" i="29"/>
  <c r="AW51" i="29"/>
  <c r="CN11" i="29"/>
  <c r="K55" i="29"/>
  <c r="CM99" i="29"/>
  <c r="AC19" i="29"/>
  <c r="CT72" i="29"/>
  <c r="CN51" i="29"/>
  <c r="BV51" i="29"/>
  <c r="CX72" i="29"/>
  <c r="CH14" i="29"/>
  <c r="CH15" i="29"/>
  <c r="CE46" i="29"/>
  <c r="O22" i="29"/>
  <c r="W28" i="29"/>
  <c r="BF91" i="29"/>
  <c r="K76" i="29"/>
  <c r="CM46" i="29"/>
  <c r="BB68" i="29"/>
  <c r="CT68" i="29"/>
  <c r="I99" i="29"/>
  <c r="BV28" i="29"/>
  <c r="Z14" i="29"/>
  <c r="I72" i="29"/>
  <c r="CO63" i="29"/>
  <c r="CE14" i="29"/>
  <c r="BY76" i="29"/>
  <c r="CW68" i="29"/>
  <c r="CP19" i="29"/>
  <c r="G38" i="29"/>
  <c r="Q37" i="29"/>
  <c r="Q67" i="29"/>
  <c r="BZ28" i="29"/>
  <c r="BB99" i="29"/>
  <c r="AR22" i="29"/>
  <c r="BA93" i="29"/>
  <c r="BA106" i="29"/>
  <c r="AE46" i="29"/>
  <c r="CV51" i="29"/>
  <c r="AZ63" i="29"/>
  <c r="CG46" i="29"/>
  <c r="CB35" i="29"/>
  <c r="CF22" i="29"/>
  <c r="CC31" i="29"/>
  <c r="CR31" i="29"/>
  <c r="Q49" i="29"/>
  <c r="DB104" i="29"/>
  <c r="CZ55" i="29"/>
  <c r="Y22" i="29"/>
  <c r="Z22" i="29"/>
  <c r="BU28" i="29"/>
  <c r="P19" i="29"/>
  <c r="AY19" i="29"/>
  <c r="CZ19" i="29"/>
  <c r="BE46" i="29"/>
  <c r="CX35" i="29"/>
  <c r="AN55" i="29"/>
  <c r="AU31" i="29"/>
  <c r="DE72" i="29"/>
  <c r="DB19" i="29"/>
  <c r="BI46" i="29"/>
  <c r="Q66" i="29"/>
  <c r="BW55" i="29"/>
  <c r="CY72" i="29"/>
  <c r="CF72" i="29"/>
  <c r="BV82" i="29"/>
  <c r="BE11" i="29"/>
  <c r="BO99" i="29"/>
  <c r="X63" i="29"/>
  <c r="Z93" i="29"/>
  <c r="U35" i="29"/>
  <c r="CN31" i="29"/>
  <c r="CV22" i="29"/>
  <c r="DB31" i="29"/>
  <c r="N104" i="29"/>
  <c r="DH62" i="29"/>
  <c r="AX55" i="29"/>
  <c r="O63" i="29"/>
  <c r="CA11" i="29"/>
  <c r="G68" i="29"/>
  <c r="Q65" i="29"/>
  <c r="AS35" i="29"/>
  <c r="CI35" i="29"/>
  <c r="J38" i="29"/>
  <c r="BZ46" i="29"/>
  <c r="CU11" i="29"/>
  <c r="BU99" i="29"/>
  <c r="AK13" i="29"/>
  <c r="BC99" i="29"/>
  <c r="AU68" i="29"/>
  <c r="CG55" i="29"/>
  <c r="BS104" i="29"/>
  <c r="BS31" i="29"/>
  <c r="BV22" i="29"/>
  <c r="BY14" i="29"/>
  <c r="CP14" i="29"/>
  <c r="BX14" i="29"/>
  <c r="BI63" i="29"/>
  <c r="BU14" i="29"/>
  <c r="BU15" i="29"/>
  <c r="DH34" i="29"/>
  <c r="BO35" i="29"/>
  <c r="AH76" i="29"/>
  <c r="CW22" i="29"/>
  <c r="CR63" i="29"/>
  <c r="DB28" i="29"/>
  <c r="CV35" i="29"/>
  <c r="CL38" i="29"/>
  <c r="CZ51" i="29"/>
  <c r="CF11" i="29"/>
  <c r="Q102" i="29"/>
  <c r="G104" i="29"/>
  <c r="CY22" i="29"/>
  <c r="Z51" i="29"/>
  <c r="X22" i="29"/>
  <c r="DE31" i="29"/>
  <c r="CQ38" i="29"/>
  <c r="AV38" i="29"/>
  <c r="CS51" i="29"/>
  <c r="CT46" i="29"/>
  <c r="BI72" i="29"/>
  <c r="AQ14" i="29"/>
  <c r="AQ15" i="29"/>
  <c r="BF81" i="29"/>
  <c r="AH51" i="29"/>
  <c r="CG22" i="29"/>
  <c r="AW104" i="29"/>
  <c r="N93" i="29"/>
  <c r="CF19" i="29"/>
  <c r="AZ76" i="29"/>
  <c r="CN68" i="29"/>
  <c r="AI63" i="29"/>
  <c r="AA72" i="29"/>
  <c r="AI51" i="29"/>
  <c r="AW93" i="29"/>
  <c r="DF104" i="29"/>
  <c r="AR68" i="29"/>
  <c r="CP68" i="29"/>
  <c r="BW46" i="29"/>
  <c r="N63" i="29"/>
  <c r="BT14" i="29"/>
  <c r="CE99" i="29"/>
  <c r="DD76" i="29"/>
  <c r="AY14" i="29"/>
  <c r="AY15" i="29"/>
  <c r="BJ9" i="29"/>
  <c r="BH11" i="29"/>
  <c r="AT72" i="29"/>
  <c r="CL22" i="29"/>
  <c r="H19" i="29"/>
  <c r="BP38" i="29"/>
  <c r="BC93" i="29"/>
  <c r="BC106" i="29"/>
  <c r="BS22" i="29"/>
  <c r="CR35" i="29"/>
  <c r="Q60" i="29"/>
  <c r="CA99" i="29"/>
  <c r="AC31" i="29"/>
  <c r="I68" i="29"/>
  <c r="H11" i="29"/>
  <c r="CP72" i="29"/>
  <c r="CS38" i="29"/>
  <c r="DE68" i="29"/>
  <c r="AM51" i="29"/>
  <c r="BJ59" i="29"/>
  <c r="CA55" i="29"/>
  <c r="BA51" i="29"/>
  <c r="AR82" i="29"/>
  <c r="Q57" i="29"/>
  <c r="G63" i="29"/>
  <c r="BY46" i="29"/>
  <c r="BI11" i="29"/>
  <c r="BJ18" i="29"/>
  <c r="L82" i="29"/>
  <c r="H28" i="29"/>
  <c r="H32" i="29"/>
  <c r="CI22" i="29"/>
  <c r="AN68" i="29"/>
  <c r="L35" i="29"/>
  <c r="AY99" i="29"/>
  <c r="CU63" i="29"/>
  <c r="DA63" i="29"/>
  <c r="G55" i="29"/>
  <c r="Q53" i="29"/>
  <c r="AB38" i="29"/>
  <c r="CJ22" i="29"/>
  <c r="BY63" i="29"/>
  <c r="CD31" i="29"/>
  <c r="BW99" i="29"/>
  <c r="CT93" i="29"/>
  <c r="CB38" i="29"/>
  <c r="BR11" i="29"/>
  <c r="AF22" i="29"/>
  <c r="G22" i="29"/>
  <c r="Q21" i="29"/>
  <c r="AC22" i="29"/>
  <c r="J99" i="29"/>
  <c r="V35" i="29"/>
  <c r="AH11" i="29"/>
  <c r="AD14" i="29"/>
  <c r="AD15" i="29"/>
  <c r="AN63" i="29"/>
  <c r="AB104" i="29"/>
  <c r="N19" i="29"/>
  <c r="CW38" i="29"/>
  <c r="Z11" i="29"/>
  <c r="DD63" i="29"/>
  <c r="BY51" i="29"/>
  <c r="CL11" i="29"/>
  <c r="CK76" i="29"/>
  <c r="CC46" i="29"/>
  <c r="BE82" i="29"/>
  <c r="AF82" i="29"/>
  <c r="Z55" i="29"/>
  <c r="CU28" i="29"/>
  <c r="CG28" i="29"/>
  <c r="CG32" i="29"/>
  <c r="AQ55" i="29"/>
  <c r="BX55" i="29"/>
  <c r="AM68" i="29"/>
  <c r="BJ50" i="29"/>
  <c r="AB51" i="29"/>
  <c r="AD46" i="29"/>
  <c r="BT63" i="29"/>
  <c r="BJ12" i="29"/>
  <c r="BH14" i="29"/>
  <c r="AT35" i="29"/>
  <c r="BC76" i="29"/>
  <c r="AN31" i="29"/>
  <c r="BX22" i="29"/>
  <c r="CU14" i="29"/>
  <c r="DF38" i="29"/>
  <c r="CG82" i="29"/>
  <c r="S68" i="29"/>
  <c r="DF28" i="29"/>
  <c r="DF32" i="29"/>
  <c r="DF40" i="29"/>
  <c r="CW72" i="29"/>
  <c r="AG35" i="29"/>
  <c r="J46" i="29"/>
  <c r="AZ19" i="29"/>
  <c r="AF93" i="29"/>
  <c r="CX93" i="29"/>
  <c r="CQ63" i="29"/>
  <c r="BJ49" i="29"/>
  <c r="BQ63" i="29"/>
  <c r="O28" i="29"/>
  <c r="M51" i="29"/>
  <c r="BZ76" i="29"/>
  <c r="CQ76" i="29"/>
  <c r="AP19" i="29"/>
  <c r="BW93" i="29"/>
  <c r="BW106" i="29"/>
  <c r="BV46" i="29"/>
  <c r="CZ104" i="29"/>
  <c r="BD28" i="29"/>
  <c r="AK27" i="29"/>
  <c r="O68" i="29"/>
  <c r="BB51" i="29"/>
  <c r="DB51" i="29"/>
  <c r="BQ99" i="29"/>
  <c r="AH28" i="29"/>
  <c r="CQ93" i="29"/>
  <c r="CQ106" i="29"/>
  <c r="AD82" i="29"/>
  <c r="AX104" i="29"/>
  <c r="Q92" i="29"/>
  <c r="CJ68" i="29"/>
  <c r="CU99" i="29"/>
  <c r="AQ28" i="29"/>
  <c r="DE11" i="29"/>
  <c r="CA14" i="29"/>
  <c r="CA15" i="29"/>
  <c r="AR31" i="29"/>
  <c r="AR32" i="29"/>
  <c r="AH93" i="29"/>
  <c r="CW35" i="29"/>
  <c r="Q34" i="29"/>
  <c r="BL34" i="29"/>
  <c r="G35" i="29"/>
  <c r="AV14" i="29"/>
  <c r="CW19" i="29"/>
  <c r="AK61" i="29"/>
  <c r="AO11" i="29"/>
  <c r="BS14" i="29"/>
  <c r="BT99" i="29"/>
  <c r="CI46" i="29"/>
  <c r="BQ35" i="29"/>
  <c r="BT51" i="29"/>
  <c r="Q59" i="29"/>
  <c r="AX68" i="29"/>
  <c r="AX11" i="29"/>
  <c r="BJ67" i="29"/>
  <c r="CM82" i="29"/>
  <c r="CI55" i="29"/>
  <c r="W72" i="29"/>
  <c r="DE76" i="29"/>
  <c r="AN93" i="29"/>
  <c r="AN11" i="29"/>
  <c r="V93" i="29"/>
  <c r="M99" i="29"/>
  <c r="CE72" i="29"/>
  <c r="AJ19" i="29"/>
  <c r="CM51" i="29"/>
  <c r="K72" i="29"/>
  <c r="CF46" i="29"/>
  <c r="Q98" i="29"/>
  <c r="BU51" i="29"/>
  <c r="DC35" i="29"/>
  <c r="AY68" i="29"/>
  <c r="CM72" i="29"/>
  <c r="CH35" i="29"/>
  <c r="CP99" i="29"/>
  <c r="AM76" i="29"/>
  <c r="AN28" i="29"/>
  <c r="CH46" i="29"/>
  <c r="CF104" i="29"/>
  <c r="CS35" i="29"/>
  <c r="AA63" i="29"/>
  <c r="AY93" i="29"/>
  <c r="BS76" i="29"/>
  <c r="CW46" i="29"/>
  <c r="DA14" i="29"/>
  <c r="AI68" i="29"/>
  <c r="AE104" i="29"/>
  <c r="U38" i="29"/>
  <c r="CQ82" i="29"/>
  <c r="AE93" i="29"/>
  <c r="AS68" i="29"/>
  <c r="CV63" i="29"/>
  <c r="AG93" i="29"/>
  <c r="DC14" i="29"/>
  <c r="BF25" i="29"/>
  <c r="CC68" i="29"/>
  <c r="AO72" i="29"/>
  <c r="CI93" i="29"/>
  <c r="AY22" i="29"/>
  <c r="CT38" i="29"/>
  <c r="BR76" i="29"/>
  <c r="CN19" i="29"/>
  <c r="Y51" i="29"/>
  <c r="CA22" i="29"/>
  <c r="AT82" i="29"/>
  <c r="CE55" i="29"/>
  <c r="CR55" i="29"/>
  <c r="CW93" i="29"/>
  <c r="AY76" i="29"/>
  <c r="CJ14" i="29"/>
  <c r="CJ15" i="29"/>
  <c r="BW35" i="29"/>
  <c r="AQ19" i="29"/>
  <c r="BY35" i="29"/>
  <c r="CW99" i="29"/>
  <c r="BW38" i="29"/>
  <c r="AO14" i="29"/>
  <c r="AO15" i="29"/>
  <c r="AO93" i="29"/>
  <c r="AO106" i="29"/>
  <c r="DE32" i="29"/>
  <c r="T19" i="29"/>
  <c r="CZ63" i="29"/>
  <c r="Y46" i="29"/>
  <c r="CC93" i="29"/>
  <c r="M76" i="29"/>
  <c r="CP46" i="29"/>
  <c r="CP11" i="29"/>
  <c r="AV11" i="29"/>
  <c r="DC38" i="29"/>
  <c r="CZ28" i="29"/>
  <c r="CZ32" i="29"/>
  <c r="CX63" i="29"/>
  <c r="AA46" i="29"/>
  <c r="BT28" i="29"/>
  <c r="AH32" i="29"/>
  <c r="AS28" i="29"/>
  <c r="U19" i="29"/>
  <c r="H63" i="29"/>
  <c r="CJ38" i="29"/>
  <c r="N72" i="29"/>
  <c r="M93" i="29"/>
  <c r="AE22" i="29"/>
  <c r="AW55" i="29"/>
  <c r="M22" i="29"/>
  <c r="H14" i="29"/>
  <c r="H15" i="29"/>
  <c r="AN35" i="29"/>
  <c r="Q10" i="29"/>
  <c r="DD38" i="29"/>
  <c r="DB11" i="29"/>
  <c r="BV14" i="29"/>
  <c r="CC35" i="29"/>
  <c r="J82" i="29"/>
  <c r="BZ11" i="29"/>
  <c r="M68" i="29"/>
  <c r="Z68" i="29"/>
  <c r="AV55" i="29"/>
  <c r="CH31" i="29"/>
  <c r="CH32" i="29"/>
  <c r="L31" i="29"/>
  <c r="CE11" i="29"/>
  <c r="CE15" i="29"/>
  <c r="CE40" i="29"/>
  <c r="AI55" i="29"/>
  <c r="AH55" i="29"/>
  <c r="AT63" i="29"/>
  <c r="BD63" i="29"/>
  <c r="DE35" i="29"/>
  <c r="CR11" i="29"/>
  <c r="CR15" i="29"/>
  <c r="L51" i="29"/>
  <c r="CN28" i="29"/>
  <c r="CN32" i="29"/>
  <c r="DA31" i="29"/>
  <c r="DC31" i="29"/>
  <c r="AF76" i="29"/>
  <c r="AM72" i="29"/>
  <c r="BF71" i="29"/>
  <c r="AZ38" i="29"/>
  <c r="BB76" i="29"/>
  <c r="CE104" i="29"/>
  <c r="AZ28" i="29"/>
  <c r="L38" i="29"/>
  <c r="BD99" i="29"/>
  <c r="AZ35" i="29"/>
  <c r="AA38" i="29"/>
  <c r="DC19" i="29"/>
  <c r="BU55" i="29"/>
  <c r="AY72" i="29"/>
  <c r="CM63" i="29"/>
  <c r="AS55" i="29"/>
  <c r="BP99" i="29"/>
  <c r="CJ46" i="29"/>
  <c r="CM93" i="29"/>
  <c r="AR55" i="29"/>
  <c r="H82" i="29"/>
  <c r="AQ72" i="29"/>
  <c r="AT68" i="29"/>
  <c r="CM76" i="29"/>
  <c r="AA93" i="29"/>
  <c r="CN72" i="29"/>
  <c r="CP22" i="29"/>
  <c r="DE46" i="29"/>
  <c r="P46" i="29"/>
  <c r="CR51" i="29"/>
  <c r="AH35" i="29"/>
  <c r="Q91" i="29"/>
  <c r="AM19" i="29"/>
  <c r="BF17" i="29"/>
  <c r="CD55" i="29"/>
  <c r="BZ51" i="29"/>
  <c r="J31" i="29"/>
  <c r="AO55" i="29"/>
  <c r="CX31" i="29"/>
  <c r="CX32" i="29"/>
  <c r="CJ104" i="29"/>
  <c r="BE35" i="29"/>
  <c r="O19" i="29"/>
  <c r="AT46" i="29"/>
  <c r="N99" i="29"/>
  <c r="AT22" i="29"/>
  <c r="AI38" i="29"/>
  <c r="AO38" i="29"/>
  <c r="AN104" i="29"/>
  <c r="AT28" i="29"/>
  <c r="AT32" i="29"/>
  <c r="CT19" i="29"/>
  <c r="CK31" i="29"/>
  <c r="CD63" i="29"/>
  <c r="BW22" i="29"/>
  <c r="AJ51" i="29"/>
  <c r="N31" i="29"/>
  <c r="DA28" i="29"/>
  <c r="CL19" i="29"/>
  <c r="CR28" i="29"/>
  <c r="CR32" i="29"/>
  <c r="AR11" i="29"/>
  <c r="AR15" i="29"/>
  <c r="AR40" i="29"/>
  <c r="BU38" i="29"/>
  <c r="CS72" i="29"/>
  <c r="BB22" i="29"/>
  <c r="DD28" i="29"/>
  <c r="BT19" i="29"/>
  <c r="BF18" i="29"/>
  <c r="AJ31" i="29"/>
  <c r="DD31" i="29"/>
  <c r="CL72" i="29"/>
  <c r="BY104" i="29"/>
  <c r="CX99" i="29"/>
  <c r="BF60" i="29"/>
  <c r="BB72" i="29"/>
  <c r="CD22" i="29"/>
  <c r="AK17" i="29"/>
  <c r="S19" i="29"/>
  <c r="Z38" i="29"/>
  <c r="BD22" i="29"/>
  <c r="BB32" i="29"/>
  <c r="BR35" i="29"/>
  <c r="DE93" i="29"/>
  <c r="BS11" i="29"/>
  <c r="BB19" i="29"/>
  <c r="AB93" i="29"/>
  <c r="AB106" i="29"/>
  <c r="BZ31" i="29"/>
  <c r="BZ32" i="29"/>
  <c r="BR99" i="29"/>
  <c r="AN22" i="29"/>
  <c r="CN76" i="29"/>
  <c r="CN84" i="29"/>
  <c r="AG14" i="29"/>
  <c r="AS11" i="29"/>
  <c r="AZ99" i="29"/>
  <c r="AZ106" i="29"/>
  <c r="BU93" i="29"/>
  <c r="BU106" i="29"/>
  <c r="BA72" i="29"/>
  <c r="Q81" i="29"/>
  <c r="BJ29" i="29"/>
  <c r="BH31" i="29"/>
  <c r="P31" i="29"/>
  <c r="P32" i="29"/>
  <c r="DB82" i="29"/>
  <c r="CD28" i="29"/>
  <c r="CD32" i="29"/>
  <c r="CU19" i="29"/>
  <c r="L68" i="29"/>
  <c r="AE68" i="29"/>
  <c r="J63" i="29"/>
  <c r="AP31" i="29"/>
  <c r="AP32" i="29"/>
  <c r="AA51" i="29"/>
  <c r="CR22" i="29"/>
  <c r="CX11" i="29"/>
  <c r="AW35" i="29"/>
  <c r="CU68" i="29"/>
  <c r="BH28" i="29"/>
  <c r="BJ26" i="29"/>
  <c r="BP31" i="29"/>
  <c r="AU35" i="29"/>
  <c r="AU11" i="29"/>
  <c r="Y68" i="29"/>
  <c r="CB28" i="29"/>
  <c r="AK30" i="29"/>
  <c r="AY55" i="29"/>
  <c r="AR93" i="29"/>
  <c r="AR106" i="29"/>
  <c r="CS68" i="29"/>
  <c r="M72" i="29"/>
  <c r="CL93" i="29"/>
  <c r="BQ38" i="29"/>
  <c r="CM35" i="29"/>
  <c r="X31" i="29"/>
  <c r="X32" i="29"/>
  <c r="P72" i="29"/>
  <c r="CL51" i="29"/>
  <c r="BO104" i="29"/>
  <c r="DH102" i="29"/>
  <c r="L99" i="29"/>
  <c r="AD31" i="29"/>
  <c r="AC93" i="29"/>
  <c r="BD76" i="29"/>
  <c r="L72" i="29"/>
  <c r="CI63" i="29"/>
  <c r="BT68" i="29"/>
  <c r="AD55" i="29"/>
  <c r="AJ82" i="29"/>
  <c r="DC68" i="29"/>
  <c r="AC51" i="29"/>
  <c r="AU72" i="29"/>
  <c r="CZ68" i="29"/>
  <c r="BA55" i="29"/>
  <c r="BJ25" i="29"/>
  <c r="CG104" i="29"/>
  <c r="O99" i="29"/>
  <c r="AK10" i="29"/>
  <c r="CD35" i="29"/>
  <c r="DD14" i="29"/>
  <c r="DD15" i="29"/>
  <c r="BE14" i="29"/>
  <c r="DE38" i="29"/>
  <c r="AP11" i="29"/>
  <c r="AP15" i="29"/>
  <c r="L11" i="29"/>
  <c r="Z35" i="29"/>
  <c r="CF28" i="29"/>
  <c r="CF32" i="29"/>
  <c r="U63" i="29"/>
  <c r="CY51" i="29"/>
  <c r="CY84" i="29"/>
  <c r="CH99" i="29"/>
  <c r="CH106" i="29"/>
  <c r="AG31" i="29"/>
  <c r="AG32" i="29"/>
  <c r="AG11" i="29"/>
  <c r="AG15" i="29"/>
  <c r="AW99" i="29"/>
  <c r="BU31" i="29"/>
  <c r="BZ55" i="29"/>
  <c r="CV82" i="29"/>
  <c r="BV11" i="29"/>
  <c r="BV15" i="29"/>
  <c r="AF72" i="29"/>
  <c r="BT22" i="29"/>
  <c r="CV93" i="29"/>
  <c r="CV106" i="29"/>
  <c r="U76" i="29"/>
  <c r="AU46" i="29"/>
  <c r="BX72" i="29"/>
  <c r="AE63" i="29"/>
  <c r="I104" i="29"/>
  <c r="CR46" i="29"/>
  <c r="CP38" i="29"/>
  <c r="CB76" i="29"/>
  <c r="AE14" i="29"/>
  <c r="AE15" i="29"/>
  <c r="CD72" i="29"/>
  <c r="CG68" i="29"/>
  <c r="AA99" i="29"/>
  <c r="AA106" i="29"/>
  <c r="CT11" i="29"/>
  <c r="BZ19" i="29"/>
  <c r="DA19" i="29"/>
  <c r="AF68" i="29"/>
  <c r="AJ63" i="29"/>
  <c r="AG104" i="29"/>
  <c r="AT55" i="29"/>
  <c r="AA76" i="29"/>
  <c r="AV68" i="29"/>
  <c r="CF93" i="29"/>
  <c r="CF106" i="29"/>
  <c r="CK68" i="29"/>
  <c r="AB35" i="29"/>
  <c r="BY19" i="29"/>
  <c r="V72" i="29"/>
  <c r="AH63" i="29"/>
  <c r="AT14" i="29"/>
  <c r="BB93" i="29"/>
  <c r="BB106" i="29"/>
  <c r="CR19" i="29"/>
  <c r="AU82" i="29"/>
  <c r="AC72" i="29"/>
  <c r="CJ19" i="29"/>
  <c r="M55" i="29"/>
  <c r="CG35" i="29"/>
  <c r="CX38" i="29"/>
  <c r="CB22" i="29"/>
  <c r="CW104" i="29"/>
  <c r="CW14" i="29"/>
  <c r="CW15" i="29"/>
  <c r="AM31" i="29"/>
  <c r="BF29" i="29"/>
  <c r="BD72" i="29"/>
  <c r="AP38" i="29"/>
  <c r="CO68" i="29"/>
  <c r="CS14" i="29"/>
  <c r="BU19" i="29"/>
  <c r="X99" i="29"/>
  <c r="X76" i="29"/>
  <c r="AJ38" i="29"/>
  <c r="AO46" i="29"/>
  <c r="AE31" i="29"/>
  <c r="AE32" i="29"/>
  <c r="AE40" i="29"/>
  <c r="BJ27" i="29"/>
  <c r="CQ46" i="29"/>
  <c r="CL99" i="29"/>
  <c r="AB68" i="29"/>
  <c r="BE55" i="29"/>
  <c r="BU82" i="29"/>
  <c r="CJ76" i="29"/>
  <c r="BO63" i="29"/>
  <c r="DH57" i="29"/>
  <c r="BJ24" i="29"/>
  <c r="CZ93" i="29"/>
  <c r="CQ72" i="29"/>
  <c r="BE19" i="29"/>
  <c r="AR72" i="29"/>
  <c r="BD19" i="29"/>
  <c r="H55" i="29"/>
  <c r="BR38" i="29"/>
  <c r="Y93" i="29"/>
  <c r="W35" i="29"/>
  <c r="O38" i="29"/>
  <c r="AO22" i="29"/>
  <c r="AU14" i="29"/>
  <c r="AU15" i="29"/>
  <c r="N46" i="29"/>
  <c r="S72" i="29"/>
  <c r="CB14" i="29"/>
  <c r="CM11" i="29"/>
  <c r="Y11" i="29"/>
  <c r="Y15" i="29"/>
  <c r="CO11" i="29"/>
  <c r="CR72" i="29"/>
  <c r="CD99" i="29"/>
  <c r="BR19" i="29"/>
  <c r="BR63" i="29"/>
  <c r="CB11" i="29"/>
  <c r="AS22" i="29"/>
  <c r="BA31" i="29"/>
  <c r="DH66" i="29"/>
  <c r="X68" i="29"/>
  <c r="CB104" i="29"/>
  <c r="CB106" i="29"/>
  <c r="M11" i="29"/>
  <c r="BQ72" i="29"/>
  <c r="Z28" i="29"/>
  <c r="CH76" i="29"/>
  <c r="AE72" i="29"/>
  <c r="AT99" i="29"/>
  <c r="CG72" i="29"/>
  <c r="Z63" i="29"/>
  <c r="CR82" i="29"/>
  <c r="BP76" i="29"/>
  <c r="BV55" i="29"/>
  <c r="AQ99" i="29"/>
  <c r="T51" i="29"/>
  <c r="BA28" i="29"/>
  <c r="BA32" i="29"/>
  <c r="AU76" i="29"/>
  <c r="AS31" i="29"/>
  <c r="DB55" i="29"/>
  <c r="CG38" i="29"/>
  <c r="CY31" i="29"/>
  <c r="CY32" i="29"/>
  <c r="AD104" i="29"/>
  <c r="AQ31" i="29"/>
  <c r="AQ32" i="29"/>
  <c r="DB35" i="29"/>
  <c r="J104" i="29"/>
  <c r="J106" i="29"/>
  <c r="CZ35" i="29"/>
  <c r="BA82" i="29"/>
  <c r="Z72" i="29"/>
  <c r="BY22" i="29"/>
  <c r="BC68" i="29"/>
  <c r="DE19" i="29"/>
  <c r="CM104" i="29"/>
  <c r="CM106" i="29"/>
  <c r="CD51" i="29"/>
  <c r="H72" i="29"/>
  <c r="CS55" i="29"/>
  <c r="CD93" i="29"/>
  <c r="BY72" i="29"/>
  <c r="BD93" i="29"/>
  <c r="BD106" i="29"/>
  <c r="BR82" i="29"/>
  <c r="O55" i="29"/>
  <c r="BV68" i="29"/>
  <c r="CT82" i="29"/>
  <c r="BZ82" i="29"/>
  <c r="Q18" i="29"/>
  <c r="AF63" i="29"/>
  <c r="O76" i="29"/>
  <c r="W31" i="29"/>
  <c r="BE22" i="29"/>
  <c r="AG68" i="29"/>
  <c r="BF37" i="29"/>
  <c r="AM38" i="29"/>
  <c r="BJ62" i="29"/>
  <c r="AZ55" i="29"/>
  <c r="BX11" i="29"/>
  <c r="V82" i="29"/>
  <c r="CJ51" i="29"/>
  <c r="CR76" i="29"/>
  <c r="CL63" i="29"/>
  <c r="P68" i="29"/>
  <c r="AU55" i="29"/>
  <c r="BP72" i="29"/>
  <c r="BE68" i="29"/>
  <c r="AW76" i="29"/>
  <c r="AR51" i="29"/>
  <c r="AG19" i="29"/>
  <c r="BV31" i="29"/>
  <c r="BV32" i="29"/>
  <c r="BV40" i="29"/>
  <c r="AY104" i="29"/>
  <c r="DD72" i="29"/>
  <c r="BF30" i="29"/>
  <c r="AR76" i="29"/>
  <c r="N14" i="29"/>
  <c r="N15" i="29"/>
  <c r="G82" i="29"/>
  <c r="Q79" i="29"/>
  <c r="CW63" i="29"/>
  <c r="DA51" i="29"/>
  <c r="AF31" i="29"/>
  <c r="AF32" i="29"/>
  <c r="CO38" i="29"/>
  <c r="CN38" i="29"/>
  <c r="BC55" i="29"/>
  <c r="BQ104" i="29"/>
  <c r="AB31" i="29"/>
  <c r="AB32" i="29"/>
  <c r="AS51" i="29"/>
  <c r="AS84" i="29"/>
  <c r="BF53" i="29"/>
  <c r="CK63" i="29"/>
  <c r="CN22" i="29"/>
  <c r="AP55" i="29"/>
  <c r="T38" i="29"/>
  <c r="CZ46" i="29"/>
  <c r="CZ99" i="29"/>
  <c r="CO76" i="29"/>
  <c r="CX22" i="29"/>
  <c r="DB14" i="29"/>
  <c r="DB15" i="29"/>
  <c r="N28" i="29"/>
  <c r="N32" i="29"/>
  <c r="CQ51" i="29"/>
  <c r="CQ84" i="29"/>
  <c r="CC28" i="29"/>
  <c r="CK32" i="29"/>
  <c r="BT93" i="29"/>
  <c r="DB32" i="29"/>
  <c r="U28" i="29"/>
  <c r="U32" i="29"/>
  <c r="BX31" i="29"/>
  <c r="CT31" i="29"/>
  <c r="CT32" i="29"/>
  <c r="CJ72" i="29"/>
  <c r="AZ31" i="29"/>
  <c r="BD31" i="29"/>
  <c r="BD32" i="29"/>
  <c r="N51" i="29"/>
  <c r="AZ22" i="29"/>
  <c r="CA76" i="29"/>
  <c r="BJ61" i="29"/>
  <c r="CH22" i="29"/>
  <c r="CY14" i="29"/>
  <c r="CY15" i="29"/>
  <c r="CY40" i="29"/>
  <c r="BT11" i="29"/>
  <c r="CU104" i="29"/>
  <c r="BU22" i="29"/>
  <c r="AC68" i="29"/>
  <c r="CK35" i="29"/>
  <c r="BV63" i="29"/>
  <c r="BF79" i="29"/>
  <c r="AM82" i="29"/>
  <c r="BE63" i="29"/>
  <c r="X35" i="29"/>
  <c r="BJ65" i="29"/>
  <c r="BH68" i="29"/>
  <c r="BJ68" i="29"/>
  <c r="CD19" i="29"/>
  <c r="AT93" i="29"/>
  <c r="CI31" i="29"/>
  <c r="CI32" i="29"/>
  <c r="AK67" i="29"/>
  <c r="BX76" i="29"/>
  <c r="N76" i="29"/>
  <c r="V19" i="29"/>
  <c r="T35" i="29"/>
  <c r="BW19" i="29"/>
  <c r="DB68" i="29"/>
  <c r="CL14" i="29"/>
  <c r="BW28" i="29"/>
  <c r="BW32" i="29"/>
  <c r="BZ14" i="29"/>
  <c r="BZ15" i="29"/>
  <c r="BP35" i="29"/>
  <c r="BE99" i="29"/>
  <c r="N68" i="29"/>
  <c r="CA19" i="29"/>
  <c r="AC38" i="29"/>
  <c r="BF26" i="29"/>
  <c r="AM28" i="29"/>
  <c r="X93" i="29"/>
  <c r="CX76" i="29"/>
  <c r="DF99" i="29"/>
  <c r="AB46" i="29"/>
  <c r="CJ82" i="29"/>
  <c r="AU28" i="29"/>
  <c r="AU32" i="29"/>
  <c r="CI104" i="29"/>
  <c r="BD35" i="29"/>
  <c r="CZ14" i="29"/>
  <c r="CZ15" i="29"/>
  <c r="AV99" i="29"/>
  <c r="CR99" i="29"/>
  <c r="CR106" i="29"/>
  <c r="AQ51" i="29"/>
  <c r="CS99" i="29"/>
  <c r="CS106" i="29"/>
  <c r="AC99" i="29"/>
  <c r="W19" i="29"/>
  <c r="CO28" i="29"/>
  <c r="CO32" i="29"/>
  <c r="L28" i="29"/>
  <c r="DF55" i="29"/>
  <c r="BF27" i="29"/>
  <c r="Z31" i="29"/>
  <c r="CY104" i="29"/>
  <c r="CC51" i="29"/>
  <c r="BT31" i="29"/>
  <c r="BT32" i="29"/>
  <c r="AF19" i="29"/>
  <c r="BR28" i="29"/>
  <c r="CG93" i="29"/>
  <c r="AC46" i="29"/>
  <c r="AV31" i="29"/>
  <c r="AV32" i="29"/>
  <c r="AN14" i="29"/>
  <c r="AN15" i="29"/>
  <c r="BR31" i="29"/>
  <c r="CC32" i="29"/>
  <c r="DH67" i="29"/>
  <c r="CI14" i="29"/>
  <c r="CI15" i="29"/>
  <c r="CT55" i="29"/>
  <c r="CK11" i="29"/>
  <c r="BQ31" i="29"/>
  <c r="DD82" i="29"/>
  <c r="AT11" i="29"/>
  <c r="CC99" i="29"/>
  <c r="BJ66" i="29"/>
  <c r="CL82" i="29"/>
  <c r="Z99" i="29"/>
  <c r="AC28" i="29"/>
  <c r="AC32" i="29"/>
  <c r="O51" i="29"/>
  <c r="O84" i="29"/>
  <c r="CK93" i="29"/>
  <c r="BE76" i="29"/>
  <c r="I22" i="29"/>
  <c r="AR63" i="29"/>
  <c r="CT99" i="29"/>
  <c r="CZ38" i="29"/>
  <c r="BI28" i="29"/>
  <c r="BI32" i="29"/>
  <c r="CU51" i="29"/>
  <c r="J19" i="29"/>
  <c r="BQ68" i="29"/>
  <c r="BP28" i="29"/>
  <c r="AZ14" i="29"/>
  <c r="AZ15" i="29"/>
  <c r="BJ30" i="29"/>
  <c r="BO46" i="29"/>
  <c r="BY28" i="29"/>
  <c r="BY32" i="29"/>
  <c r="BU63" i="29"/>
  <c r="DE82" i="29"/>
  <c r="CH19" i="29"/>
  <c r="CO46" i="29"/>
  <c r="BF66" i="29"/>
  <c r="CP28" i="29"/>
  <c r="BS55" i="29"/>
  <c r="CF63" i="29"/>
  <c r="K82" i="29"/>
  <c r="DC11" i="29"/>
  <c r="AN38" i="29"/>
  <c r="AP82" i="29"/>
  <c r="DB22" i="29"/>
  <c r="BX19" i="29"/>
  <c r="AP22" i="29"/>
  <c r="AU38" i="29"/>
  <c r="DD104" i="29"/>
  <c r="AS93" i="29"/>
  <c r="CC104" i="29"/>
  <c r="BO28" i="29"/>
  <c r="DH26" i="29"/>
  <c r="K99" i="29"/>
  <c r="BW11" i="29"/>
  <c r="BW15" i="29"/>
  <c r="AF104" i="29"/>
  <c r="S99" i="29"/>
  <c r="BX93" i="29"/>
  <c r="AQ22" i="29"/>
  <c r="CU76" i="29"/>
  <c r="T31" i="29"/>
  <c r="T32" i="29"/>
  <c r="DF68" i="29"/>
  <c r="BR55" i="29"/>
  <c r="BA76" i="29"/>
  <c r="DC93" i="29"/>
  <c r="DC106" i="29"/>
  <c r="BF92" i="29"/>
  <c r="BB55" i="29"/>
  <c r="AD19" i="29"/>
  <c r="BX63" i="29"/>
  <c r="BC22" i="29"/>
  <c r="CF35" i="29"/>
  <c r="AX31" i="29"/>
  <c r="AX32" i="29"/>
  <c r="DA46" i="29"/>
  <c r="BA22" i="29"/>
  <c r="T22" i="29"/>
  <c r="BY38" i="29"/>
  <c r="X46" i="29"/>
  <c r="CJ99" i="29"/>
  <c r="AE76" i="29"/>
  <c r="BA68" i="29"/>
  <c r="DA93" i="29"/>
  <c r="CV72" i="29"/>
  <c r="AZ32" i="29"/>
  <c r="BY11" i="29"/>
  <c r="BY15" i="29"/>
  <c r="BY40" i="29"/>
  <c r="CK51" i="29"/>
  <c r="CK84" i="29"/>
  <c r="AO31" i="29"/>
  <c r="AO32" i="29"/>
  <c r="AO40" i="29"/>
  <c r="Z46" i="29"/>
  <c r="DD19" i="29"/>
  <c r="J76" i="29"/>
  <c r="DC32" i="29"/>
  <c r="J35" i="29"/>
  <c r="AP93" i="29"/>
  <c r="CU82" i="29"/>
  <c r="AO76" i="29"/>
  <c r="BC31" i="29"/>
  <c r="BC32" i="29"/>
  <c r="BR22" i="29"/>
  <c r="BS93" i="29"/>
  <c r="BS106" i="29"/>
  <c r="CA31" i="29"/>
  <c r="CA32" i="29"/>
  <c r="BA38" i="29"/>
  <c r="K104" i="29"/>
  <c r="AH38" i="29"/>
  <c r="BU76" i="29"/>
  <c r="CM31" i="29"/>
  <c r="CM32" i="29"/>
  <c r="BZ63" i="29"/>
  <c r="DE55" i="29"/>
  <c r="BF102" i="29"/>
  <c r="AM104" i="29"/>
  <c r="X11" i="29"/>
  <c r="CG99" i="29"/>
  <c r="DH103" i="29"/>
  <c r="P93" i="29"/>
  <c r="P106" i="29"/>
  <c r="DB93" i="29"/>
  <c r="DB106" i="29"/>
  <c r="DC72" i="29"/>
  <c r="P11" i="29"/>
  <c r="AI46" i="29"/>
  <c r="J387" i="40"/>
  <c r="K387" i="40"/>
  <c r="L387" i="40"/>
  <c r="M387" i="40"/>
  <c r="N387" i="40"/>
  <c r="I615" i="40"/>
  <c r="I887" i="40"/>
  <c r="N712" i="40"/>
  <c r="H651" i="40"/>
  <c r="H886" i="40"/>
  <c r="H560" i="40"/>
  <c r="N636" i="40"/>
  <c r="N864" i="40"/>
  <c r="O546" i="40"/>
  <c r="O563" i="40"/>
  <c r="N654" i="40"/>
  <c r="N866" i="40"/>
  <c r="N672" i="40"/>
  <c r="N868" i="40"/>
  <c r="N669" i="40"/>
  <c r="N888" i="40"/>
  <c r="O543" i="40"/>
  <c r="O560" i="40"/>
  <c r="N633" i="40"/>
  <c r="N884" i="40"/>
  <c r="N651" i="40"/>
  <c r="N886" i="40"/>
  <c r="L633" i="40"/>
  <c r="L884" i="40"/>
  <c r="L651" i="40"/>
  <c r="L886" i="40"/>
  <c r="M543" i="40"/>
  <c r="M560" i="40"/>
  <c r="L669" i="40"/>
  <c r="L888" i="40"/>
  <c r="J182" i="41"/>
  <c r="I307" i="41"/>
  <c r="N670" i="40"/>
  <c r="N848" i="40"/>
  <c r="N652" i="40"/>
  <c r="M651" i="40"/>
  <c r="M886" i="40"/>
  <c r="M669" i="40"/>
  <c r="M888" i="40"/>
  <c r="M633" i="40"/>
  <c r="M884" i="40"/>
  <c r="N543" i="40"/>
  <c r="N560" i="40"/>
  <c r="J651" i="40"/>
  <c r="J886" i="40"/>
  <c r="J669" i="40"/>
  <c r="J888" i="40"/>
  <c r="K543" i="40"/>
  <c r="J633" i="40"/>
  <c r="J884" i="40"/>
  <c r="I651" i="40"/>
  <c r="I886" i="40"/>
  <c r="I633" i="40"/>
  <c r="I884" i="40"/>
  <c r="J543" i="40"/>
  <c r="J560" i="40"/>
  <c r="L543" i="40"/>
  <c r="L560" i="40"/>
  <c r="K560" i="40"/>
  <c r="K633" i="40"/>
  <c r="K651" i="40"/>
  <c r="K669" i="40"/>
  <c r="N635" i="40"/>
  <c r="N854" i="40"/>
  <c r="N671" i="40"/>
  <c r="N858" i="40"/>
  <c r="N653" i="40"/>
  <c r="N856" i="40"/>
  <c r="O545" i="40"/>
  <c r="O562" i="40"/>
  <c r="AG40" i="29"/>
  <c r="BA84" i="29"/>
  <c r="DH104" i="29"/>
  <c r="BF35" i="29"/>
  <c r="CR84" i="29"/>
  <c r="Q46" i="29"/>
  <c r="BF22" i="29"/>
  <c r="AQ84" i="29"/>
  <c r="AK31" i="29"/>
  <c r="CS84" i="29"/>
  <c r="BF19" i="29"/>
  <c r="BF82" i="29"/>
  <c r="BT106" i="29"/>
  <c r="BL10" i="29"/>
  <c r="CA40" i="29"/>
  <c r="CU106" i="29"/>
  <c r="CJ84" i="29"/>
  <c r="AI84" i="29"/>
  <c r="Q35" i="29"/>
  <c r="AI106" i="29"/>
  <c r="BJ51" i="29"/>
  <c r="CP32" i="29"/>
  <c r="CP84" i="29"/>
  <c r="BL62" i="29"/>
  <c r="BS32" i="29"/>
  <c r="CM15" i="29"/>
  <c r="CM40" i="29"/>
  <c r="AC106" i="29"/>
  <c r="CJ106" i="29"/>
  <c r="CL106" i="29"/>
  <c r="DA106" i="29"/>
  <c r="AD32" i="29"/>
  <c r="K769" i="40"/>
  <c r="BF14" i="29"/>
  <c r="CX106" i="29"/>
  <c r="N84" i="29"/>
  <c r="S106" i="29"/>
  <c r="Q104" i="29"/>
  <c r="CB84" i="29"/>
  <c r="BZ84" i="29"/>
  <c r="CD84" i="29"/>
  <c r="CM84" i="29"/>
  <c r="DH38" i="29"/>
  <c r="J84" i="29"/>
  <c r="AT84" i="29"/>
  <c r="CH84" i="29"/>
  <c r="DH68" i="29"/>
  <c r="DH35" i="29"/>
  <c r="AK35" i="29"/>
  <c r="DH76" i="29"/>
  <c r="DH72" i="29"/>
  <c r="BR84" i="29"/>
  <c r="DH46" i="29"/>
  <c r="G32" i="29"/>
  <c r="Q31" i="29"/>
  <c r="DH63" i="29"/>
  <c r="CC84" i="29"/>
  <c r="DA84" i="29"/>
  <c r="BF93" i="29"/>
  <c r="DH28" i="29"/>
  <c r="BJ31" i="29"/>
  <c r="BH32" i="29"/>
  <c r="BF72" i="29"/>
  <c r="CD40" i="29"/>
  <c r="CL84" i="29"/>
  <c r="I32" i="29"/>
  <c r="Q28" i="29"/>
  <c r="AK19" i="29"/>
  <c r="Q72" i="29"/>
  <c r="BS84" i="29"/>
  <c r="Z84" i="29"/>
  <c r="AZ40" i="29"/>
  <c r="CG84" i="29"/>
  <c r="G84" i="29"/>
  <c r="CT15" i="29"/>
  <c r="CL15" i="29"/>
  <c r="CL40" i="29"/>
  <c r="CL109" i="29"/>
  <c r="M15" i="29"/>
  <c r="M40" i="29"/>
  <c r="CJ40" i="29"/>
  <c r="CB32" i="29"/>
  <c r="CU15" i="29"/>
  <c r="AX106" i="29"/>
  <c r="DA15" i="29"/>
  <c r="BJ35" i="29"/>
  <c r="BX106" i="29"/>
  <c r="CK106" i="29"/>
  <c r="BE15" i="29"/>
  <c r="L106" i="29"/>
  <c r="DE106" i="29"/>
  <c r="N106" i="29"/>
  <c r="CG15" i="29"/>
  <c r="CG40" i="29"/>
  <c r="AA15" i="29"/>
  <c r="AA40" i="29"/>
  <c r="X15" i="29"/>
  <c r="X40" i="29"/>
  <c r="BW40" i="29"/>
  <c r="CS15" i="29"/>
  <c r="CS40" i="29"/>
  <c r="CS109" i="29"/>
  <c r="AH84" i="29"/>
  <c r="Q63" i="29"/>
  <c r="CQ15" i="29"/>
  <c r="K713" i="40"/>
  <c r="K751" i="40"/>
  <c r="L691" i="40"/>
  <c r="L690" i="40"/>
  <c r="L697" i="40"/>
  <c r="L693" i="40"/>
  <c r="L692" i="40"/>
  <c r="L687" i="40"/>
  <c r="L695" i="40"/>
  <c r="L694" i="40"/>
  <c r="L689" i="40"/>
  <c r="L688" i="40"/>
  <c r="L696" i="40"/>
  <c r="I687" i="40" a="1"/>
  <c r="H687" i="40" a="1"/>
  <c r="H702" i="40" a="1"/>
  <c r="O718" i="40"/>
  <c r="O722" i="40"/>
  <c r="N723" i="40"/>
  <c r="M718" i="40"/>
  <c r="I724" i="40"/>
  <c r="I718" i="40"/>
  <c r="I726" i="40"/>
  <c r="I717" i="40"/>
  <c r="N726" i="40"/>
  <c r="M722" i="40"/>
  <c r="I721" i="40"/>
  <c r="F724" i="40"/>
  <c r="J720" i="40"/>
  <c r="N718" i="40"/>
  <c r="J726" i="40"/>
  <c r="H720" i="40"/>
  <c r="J717" i="40"/>
  <c r="J718" i="40"/>
  <c r="K718" i="40"/>
  <c r="G722" i="40"/>
  <c r="M725" i="40"/>
  <c r="M727" i="40"/>
  <c r="H717" i="40"/>
  <c r="K725" i="40"/>
  <c r="H726" i="40"/>
  <c r="L718" i="40"/>
  <c r="G718" i="40"/>
  <c r="O719" i="40"/>
  <c r="I719" i="40"/>
  <c r="M723" i="40"/>
  <c r="F718" i="40"/>
  <c r="F723" i="40"/>
  <c r="N719" i="40"/>
  <c r="I725" i="40"/>
  <c r="O721" i="40"/>
  <c r="M724" i="40"/>
  <c r="N721" i="40"/>
  <c r="F725" i="40"/>
  <c r="G727" i="40"/>
  <c r="F727" i="40"/>
  <c r="O725" i="40"/>
  <c r="H725" i="40"/>
  <c r="K727" i="40"/>
  <c r="L720" i="40"/>
  <c r="L719" i="40"/>
  <c r="G726" i="40"/>
  <c r="G719" i="40"/>
  <c r="J721" i="40"/>
  <c r="H718" i="40"/>
  <c r="H724" i="40"/>
  <c r="K726" i="40"/>
  <c r="J725" i="40"/>
  <c r="J724" i="40"/>
  <c r="K721" i="40"/>
  <c r="I720" i="40"/>
  <c r="N724" i="40"/>
  <c r="F722" i="40"/>
  <c r="F720" i="40"/>
  <c r="K722" i="40"/>
  <c r="N720" i="40"/>
  <c r="N725" i="40"/>
  <c r="N722" i="40"/>
  <c r="I722" i="40"/>
  <c r="F719" i="40"/>
  <c r="O723" i="40"/>
  <c r="O720" i="40"/>
  <c r="O726" i="40"/>
  <c r="L721" i="40"/>
  <c r="J722" i="40"/>
  <c r="L724" i="40"/>
  <c r="K717" i="40"/>
  <c r="G724" i="40"/>
  <c r="K724" i="40"/>
  <c r="H719" i="40"/>
  <c r="L723" i="40"/>
  <c r="L717" i="40"/>
  <c r="G721" i="40"/>
  <c r="L722" i="40"/>
  <c r="K720" i="40"/>
  <c r="O717" i="40"/>
  <c r="O727" i="40"/>
  <c r="M721" i="40"/>
  <c r="M720" i="40"/>
  <c r="F717" i="40"/>
  <c r="N727" i="40"/>
  <c r="K723" i="40"/>
  <c r="F721" i="40"/>
  <c r="M719" i="40"/>
  <c r="M717" i="40"/>
  <c r="F726" i="40"/>
  <c r="I723" i="40"/>
  <c r="O724" i="40"/>
  <c r="N717" i="40"/>
  <c r="M726" i="40"/>
  <c r="J723" i="40"/>
  <c r="H723" i="40"/>
  <c r="H721" i="40"/>
  <c r="G725" i="40"/>
  <c r="G720" i="40"/>
  <c r="J719" i="40"/>
  <c r="L725" i="40"/>
  <c r="H722" i="40"/>
  <c r="K719" i="40"/>
  <c r="G723" i="40"/>
  <c r="L726" i="40"/>
  <c r="G717" i="40"/>
  <c r="I702" i="40"/>
  <c r="I709" i="40"/>
  <c r="I708" i="40"/>
  <c r="I705" i="40"/>
  <c r="I706" i="40"/>
  <c r="I704" i="40"/>
  <c r="I828" i="40"/>
  <c r="I711" i="40"/>
  <c r="I707" i="40"/>
  <c r="I703" i="40"/>
  <c r="I823" i="40"/>
  <c r="I710" i="40"/>
  <c r="J702" i="40" a="1"/>
  <c r="J687" i="40" a="1"/>
  <c r="N713" i="40"/>
  <c r="N751" i="40"/>
  <c r="N760" i="40"/>
  <c r="L520" i="40"/>
  <c r="L537" i="40"/>
  <c r="L727" i="40"/>
  <c r="H520" i="40"/>
  <c r="H537" i="40"/>
  <c r="H727" i="40"/>
  <c r="N585" i="40"/>
  <c r="N604" i="40"/>
  <c r="N623" i="40"/>
  <c r="O623" i="40"/>
  <c r="O585" i="40"/>
  <c r="O604" i="40"/>
  <c r="I520" i="40"/>
  <c r="I537" i="40"/>
  <c r="I712" i="40"/>
  <c r="I727" i="40"/>
  <c r="N607" i="40"/>
  <c r="N905" i="40"/>
  <c r="N626" i="40"/>
  <c r="N907" i="40"/>
  <c r="N588" i="40"/>
  <c r="N903" i="40"/>
  <c r="O626" i="40"/>
  <c r="O907" i="40"/>
  <c r="O607" i="40"/>
  <c r="O905" i="40"/>
  <c r="O588" i="40"/>
  <c r="O903" i="40"/>
  <c r="J520" i="40"/>
  <c r="J537" i="40"/>
  <c r="J727" i="40"/>
  <c r="AP40" i="29"/>
  <c r="W32" i="29"/>
  <c r="BU32" i="29"/>
  <c r="BU40" i="29"/>
  <c r="AK79" i="29"/>
  <c r="S38" i="29"/>
  <c r="AK38" i="29"/>
  <c r="AK37" i="29"/>
  <c r="BJ37" i="29"/>
  <c r="BH38" i="29"/>
  <c r="O582" i="40"/>
  <c r="O843" i="40"/>
  <c r="O620" i="40"/>
  <c r="O847" i="40"/>
  <c r="O601" i="40"/>
  <c r="O845" i="40"/>
  <c r="M645" i="40"/>
  <c r="P84" i="29"/>
  <c r="M106" i="29"/>
  <c r="Z15" i="29"/>
  <c r="BI15" i="29"/>
  <c r="CV15" i="29"/>
  <c r="DE15" i="29"/>
  <c r="DE40" i="29"/>
  <c r="AC15" i="29"/>
  <c r="AX15" i="29"/>
  <c r="AX40" i="29"/>
  <c r="CJ109" i="29"/>
  <c r="E77" i="12"/>
  <c r="E85" i="12"/>
  <c r="E80" i="12"/>
  <c r="I146" i="84"/>
  <c r="G653" i="40"/>
  <c r="G856" i="40"/>
  <c r="G635" i="40"/>
  <c r="G854" i="40"/>
  <c r="G671" i="40"/>
  <c r="G858" i="40"/>
  <c r="H545" i="40"/>
  <c r="H562" i="40"/>
  <c r="G562" i="40"/>
  <c r="N846" i="40"/>
  <c r="N663" i="40"/>
  <c r="G652" i="40"/>
  <c r="G634" i="40"/>
  <c r="G561" i="40"/>
  <c r="H544" i="40"/>
  <c r="H561" i="40"/>
  <c r="G670" i="40"/>
  <c r="M846" i="40"/>
  <c r="M663" i="40"/>
  <c r="I96" i="84"/>
  <c r="BJ32" i="29"/>
  <c r="BV106" i="29"/>
  <c r="BE32" i="29"/>
  <c r="BE40" i="29"/>
  <c r="CO15" i="29"/>
  <c r="CO40" i="29"/>
  <c r="AW15" i="29"/>
  <c r="AW40" i="29"/>
  <c r="CO106" i="29"/>
  <c r="F687" i="40"/>
  <c r="F690" i="40"/>
  <c r="F694" i="40"/>
  <c r="F693" i="40"/>
  <c r="F691" i="40"/>
  <c r="F697" i="40"/>
  <c r="F689" i="40"/>
  <c r="F695" i="40"/>
  <c r="F688" i="40"/>
  <c r="F696" i="40"/>
  <c r="F692" i="40"/>
  <c r="O621" i="40"/>
  <c r="O583" i="40"/>
  <c r="O602" i="40"/>
  <c r="F77" i="12"/>
  <c r="G77" i="12"/>
  <c r="F80" i="12"/>
  <c r="F85" i="12"/>
  <c r="G85" i="12"/>
  <c r="H600" i="40"/>
  <c r="H619" i="40"/>
  <c r="H877" i="40"/>
  <c r="H581" i="40"/>
  <c r="H873" i="40"/>
  <c r="G602" i="40"/>
  <c r="G583" i="40"/>
  <c r="G621" i="40"/>
  <c r="N681" i="40"/>
  <c r="I107" i="84"/>
  <c r="N326" i="41"/>
  <c r="N197" i="41"/>
  <c r="O326" i="41"/>
  <c r="N616" i="40"/>
  <c r="N597" i="40"/>
  <c r="N578" i="40"/>
  <c r="I85" i="84"/>
  <c r="I133" i="84"/>
  <c r="I87" i="84"/>
  <c r="I127" i="84"/>
  <c r="I86" i="84"/>
  <c r="I130" i="84"/>
  <c r="L464" i="41"/>
  <c r="L463" i="41"/>
  <c r="L461" i="41"/>
  <c r="L462" i="41"/>
  <c r="P15" i="29"/>
  <c r="P40" i="29"/>
  <c r="P109" i="29"/>
  <c r="BL13" i="29"/>
  <c r="BR106" i="29"/>
  <c r="AM15" i="29"/>
  <c r="CU32" i="29"/>
  <c r="CU40" i="29"/>
  <c r="CX15" i="29"/>
  <c r="J376" i="41"/>
  <c r="H875" i="40"/>
  <c r="CH40" i="29"/>
  <c r="G654" i="40"/>
  <c r="G636" i="40"/>
  <c r="G864" i="40"/>
  <c r="H546" i="40"/>
  <c r="H563" i="40"/>
  <c r="G563" i="40"/>
  <c r="G672" i="40"/>
  <c r="G868" i="40"/>
  <c r="F704" i="40"/>
  <c r="F828" i="40"/>
  <c r="F708" i="40"/>
  <c r="F712" i="40"/>
  <c r="F705" i="40"/>
  <c r="F709" i="40"/>
  <c r="F702" i="40"/>
  <c r="F706" i="40"/>
  <c r="F710" i="40"/>
  <c r="F711" i="40"/>
  <c r="F707" i="40"/>
  <c r="F703" i="40"/>
  <c r="F823" i="40"/>
  <c r="G600" i="40"/>
  <c r="G875" i="40"/>
  <c r="G619" i="40"/>
  <c r="G877" i="40"/>
  <c r="G581" i="40"/>
  <c r="G873" i="40"/>
  <c r="N645" i="40"/>
  <c r="N581" i="40"/>
  <c r="N873" i="40"/>
  <c r="N600" i="40"/>
  <c r="N875" i="40"/>
  <c r="N619" i="40"/>
  <c r="N877" i="40"/>
  <c r="J619" i="40"/>
  <c r="J877" i="40"/>
  <c r="J600" i="40"/>
  <c r="J875" i="40"/>
  <c r="J581" i="40"/>
  <c r="J873" i="40"/>
  <c r="H858" i="40"/>
  <c r="M681" i="40"/>
  <c r="M844" i="40"/>
  <c r="L358" i="41"/>
  <c r="L361" i="41"/>
  <c r="CD106" i="29"/>
  <c r="CD109" i="29"/>
  <c r="AN32" i="29"/>
  <c r="AN40" i="29"/>
  <c r="CC15" i="29"/>
  <c r="CC40" i="29"/>
  <c r="O32" i="29"/>
  <c r="AU40" i="29"/>
  <c r="DB40" i="29"/>
  <c r="AD40" i="29"/>
  <c r="CM109" i="29"/>
  <c r="CH109" i="29"/>
  <c r="AY40" i="29"/>
  <c r="I40" i="29"/>
  <c r="K165" i="41"/>
  <c r="L158" i="41"/>
  <c r="L702" i="40"/>
  <c r="L703" i="40"/>
  <c r="L823" i="40"/>
  <c r="L707" i="40"/>
  <c r="L710" i="40"/>
  <c r="L712" i="40"/>
  <c r="L705" i="40"/>
  <c r="L709" i="40"/>
  <c r="L711" i="40"/>
  <c r="L708" i="40"/>
  <c r="L704" i="40"/>
  <c r="L828" i="40"/>
  <c r="L706" i="40"/>
  <c r="O146" i="84"/>
  <c r="O96" i="84"/>
  <c r="O673" i="40"/>
  <c r="O564" i="40"/>
  <c r="O637" i="40"/>
  <c r="O655" i="40"/>
  <c r="L151" i="42"/>
  <c r="M151" i="42"/>
  <c r="K107" i="42"/>
  <c r="L115" i="42"/>
  <c r="L93" i="42"/>
  <c r="M115" i="42"/>
  <c r="M93" i="42"/>
  <c r="K151" i="42"/>
  <c r="M713" i="40"/>
  <c r="M751" i="40"/>
  <c r="M760" i="40"/>
  <c r="O107" i="84"/>
  <c r="O85" i="84"/>
  <c r="O133" i="84"/>
  <c r="O87" i="84"/>
  <c r="O127" i="84"/>
  <c r="O86" i="84"/>
  <c r="O130" i="84"/>
  <c r="L98" i="42"/>
  <c r="L139" i="42"/>
  <c r="O704" i="40"/>
  <c r="O828" i="40"/>
  <c r="O703" i="40"/>
  <c r="O823" i="40"/>
  <c r="O706" i="40"/>
  <c r="O712" i="40"/>
  <c r="O734" i="40"/>
  <c r="O711" i="40"/>
  <c r="O710" i="40"/>
  <c r="O702" i="40"/>
  <c r="O709" i="40"/>
  <c r="O708" i="40"/>
  <c r="O707" i="40"/>
  <c r="O705" i="40"/>
  <c r="K115" i="42"/>
  <c r="K93" i="42"/>
  <c r="K97" i="42"/>
  <c r="K138" i="42"/>
  <c r="L107" i="42"/>
  <c r="M107" i="42"/>
  <c r="D15" i="35"/>
  <c r="CV32" i="29"/>
  <c r="CV40" i="29"/>
  <c r="DH31" i="29"/>
  <c r="AM55" i="29"/>
  <c r="AM84" i="29"/>
  <c r="BF54" i="29"/>
  <c r="U55" i="29"/>
  <c r="BT55" i="29"/>
  <c r="BT84" i="29"/>
  <c r="X55" i="29"/>
  <c r="X84" i="29"/>
  <c r="Q19" i="29"/>
  <c r="H40" i="29"/>
  <c r="M376" i="41"/>
  <c r="N376" i="41"/>
  <c r="G376" i="41"/>
  <c r="L376" i="41"/>
  <c r="BL18" i="29"/>
  <c r="AK54" i="29"/>
  <c r="Q54" i="29"/>
  <c r="I55" i="29"/>
  <c r="AN84" i="29"/>
  <c r="BF55" i="29"/>
  <c r="U22" i="29"/>
  <c r="AK21" i="29"/>
  <c r="BL21" i="29"/>
  <c r="W22" i="29"/>
  <c r="K582" i="40"/>
  <c r="K620" i="40"/>
  <c r="K601" i="40"/>
  <c r="H620" i="40"/>
  <c r="H601" i="40"/>
  <c r="H582" i="40"/>
  <c r="H376" i="41"/>
  <c r="J848" i="40"/>
  <c r="J846" i="40"/>
  <c r="G844" i="40"/>
  <c r="G645" i="40"/>
  <c r="O349" i="41"/>
  <c r="O237" i="41"/>
  <c r="O368" i="41"/>
  <c r="O441" i="41"/>
  <c r="O236" i="41"/>
  <c r="O238" i="41"/>
  <c r="O352" i="41"/>
  <c r="H368" i="41"/>
  <c r="H441" i="41"/>
  <c r="H236" i="41"/>
  <c r="H352" i="41"/>
  <c r="H349" i="41"/>
  <c r="H237" i="41"/>
  <c r="H238" i="41"/>
  <c r="BL66" i="29"/>
  <c r="K376" i="41"/>
  <c r="I376" i="41"/>
  <c r="O376" i="41"/>
  <c r="J844" i="40"/>
  <c r="G846" i="40"/>
  <c r="G663" i="40"/>
  <c r="G681" i="40"/>
  <c r="G848" i="40"/>
  <c r="G769" i="40"/>
  <c r="K238" i="41"/>
  <c r="K441" i="41"/>
  <c r="K236" i="41"/>
  <c r="K352" i="41"/>
  <c r="K237" i="41"/>
  <c r="K349" i="41"/>
  <c r="K368" i="41"/>
  <c r="J441" i="41"/>
  <c r="J368" i="41"/>
  <c r="J349" i="41"/>
  <c r="J236" i="41"/>
  <c r="J352" i="41"/>
  <c r="J237" i="41"/>
  <c r="J238" i="41"/>
  <c r="Q68" i="29"/>
  <c r="H84" i="29"/>
  <c r="J189" i="41"/>
  <c r="I316" i="41"/>
  <c r="I352" i="41"/>
  <c r="I236" i="41"/>
  <c r="I237" i="41"/>
  <c r="I238" i="41"/>
  <c r="I349" i="41"/>
  <c r="I368" i="41"/>
  <c r="I441" i="41"/>
  <c r="N441" i="41"/>
  <c r="N236" i="41"/>
  <c r="N368" i="41"/>
  <c r="N237" i="41"/>
  <c r="N238" i="41"/>
  <c r="N352" i="41"/>
  <c r="N349" i="41"/>
  <c r="F32" i="41"/>
  <c r="F368" i="41"/>
  <c r="F352" i="41"/>
  <c r="F237" i="41"/>
  <c r="F349" i="41"/>
  <c r="F40" i="41"/>
  <c r="F441" i="41"/>
  <c r="F236" i="41"/>
  <c r="F238" i="41"/>
  <c r="L368" i="41"/>
  <c r="L441" i="41"/>
  <c r="L238" i="41"/>
  <c r="L352" i="41"/>
  <c r="L349" i="41"/>
  <c r="L237" i="41"/>
  <c r="L236" i="41"/>
  <c r="G238" i="41"/>
  <c r="G237" i="41"/>
  <c r="G441" i="41"/>
  <c r="G352" i="41"/>
  <c r="G349" i="41"/>
  <c r="G368" i="41"/>
  <c r="G236" i="41"/>
  <c r="M349" i="41"/>
  <c r="M236" i="41"/>
  <c r="M237" i="41"/>
  <c r="M238" i="41"/>
  <c r="M352" i="41"/>
  <c r="M368" i="41"/>
  <c r="M441" i="41"/>
  <c r="M482" i="41"/>
  <c r="M479" i="41"/>
  <c r="M481" i="41"/>
  <c r="M480" i="41"/>
  <c r="L946" i="40"/>
  <c r="L734" i="40"/>
  <c r="L943" i="40"/>
  <c r="L945" i="40"/>
  <c r="L944" i="40"/>
  <c r="L777" i="40"/>
  <c r="L733" i="40"/>
  <c r="L937" i="40"/>
  <c r="L934" i="40"/>
  <c r="L936" i="40"/>
  <c r="L935" i="40"/>
  <c r="L768" i="40"/>
  <c r="L928" i="40"/>
  <c r="L919" i="40"/>
  <c r="L916" i="40"/>
  <c r="L918" i="40"/>
  <c r="L732" i="40"/>
  <c r="L925" i="40"/>
  <c r="L927" i="40"/>
  <c r="L926" i="40"/>
  <c r="L759" i="40"/>
  <c r="L698" i="40"/>
  <c r="L917" i="40"/>
  <c r="N480" i="41"/>
  <c r="N482" i="41"/>
  <c r="N479" i="41"/>
  <c r="N481" i="41"/>
  <c r="F353" i="41"/>
  <c r="F358" i="41"/>
  <c r="F361" i="41"/>
  <c r="F464" i="41"/>
  <c r="F462" i="41"/>
  <c r="F463" i="41"/>
  <c r="F461" i="41"/>
  <c r="K480" i="41"/>
  <c r="K482" i="41"/>
  <c r="K481" i="41"/>
  <c r="K479" i="41"/>
  <c r="H479" i="41"/>
  <c r="H481" i="41"/>
  <c r="H480" i="41"/>
  <c r="H482" i="41"/>
  <c r="I479" i="41"/>
  <c r="I482" i="41"/>
  <c r="I481" i="41"/>
  <c r="I480" i="41"/>
  <c r="J481" i="41"/>
  <c r="J482" i="41"/>
  <c r="J479" i="41"/>
  <c r="J480" i="41"/>
  <c r="M934" i="40"/>
  <c r="M937" i="40"/>
  <c r="M935" i="40"/>
  <c r="M733" i="40"/>
  <c r="M936" i="40"/>
  <c r="M768" i="40"/>
  <c r="M732" i="40"/>
  <c r="M925" i="40"/>
  <c r="M928" i="40"/>
  <c r="M926" i="40"/>
  <c r="M759" i="40"/>
  <c r="M916" i="40"/>
  <c r="M918" i="40"/>
  <c r="M927" i="40"/>
  <c r="M698" i="40"/>
  <c r="M919" i="40"/>
  <c r="M917" i="40"/>
  <c r="M734" i="40"/>
  <c r="M943" i="40"/>
  <c r="M946" i="40"/>
  <c r="M944" i="40"/>
  <c r="M945" i="40"/>
  <c r="M777" i="40"/>
  <c r="O479" i="41"/>
  <c r="O482" i="41"/>
  <c r="O480" i="41"/>
  <c r="O481" i="41"/>
  <c r="G479" i="41"/>
  <c r="G481" i="41"/>
  <c r="G482" i="41"/>
  <c r="G480" i="41"/>
  <c r="N937" i="40"/>
  <c r="N733" i="40"/>
  <c r="N934" i="40"/>
  <c r="N935" i="40"/>
  <c r="N936" i="40"/>
  <c r="N768" i="40"/>
  <c r="N732" i="40"/>
  <c r="N928" i="40"/>
  <c r="N698" i="40"/>
  <c r="N759" i="40"/>
  <c r="N918" i="40"/>
  <c r="N916" i="40"/>
  <c r="N925" i="40"/>
  <c r="N926" i="40"/>
  <c r="N927" i="40"/>
  <c r="N919" i="40"/>
  <c r="N917" i="40"/>
  <c r="N734" i="40"/>
  <c r="N946" i="40"/>
  <c r="N943" i="40"/>
  <c r="N944" i="40"/>
  <c r="N945" i="40"/>
  <c r="N777" i="40"/>
  <c r="L480" i="41"/>
  <c r="L481" i="41"/>
  <c r="L479" i="41"/>
  <c r="L482" i="41"/>
  <c r="K944" i="40"/>
  <c r="K946" i="40"/>
  <c r="K734" i="40"/>
  <c r="K943" i="40"/>
  <c r="K945" i="40"/>
  <c r="K777" i="40"/>
  <c r="K733" i="40"/>
  <c r="K935" i="40"/>
  <c r="K937" i="40"/>
  <c r="K934" i="40"/>
  <c r="K936" i="40"/>
  <c r="K768" i="40"/>
  <c r="K926" i="40"/>
  <c r="K928" i="40"/>
  <c r="K698" i="40"/>
  <c r="K919" i="40"/>
  <c r="K916" i="40"/>
  <c r="K732" i="40"/>
  <c r="K925" i="40"/>
  <c r="K927" i="40"/>
  <c r="K759" i="40"/>
  <c r="K917" i="40"/>
  <c r="K918" i="40"/>
  <c r="H465" i="41"/>
  <c r="N183" i="41"/>
  <c r="N308" i="41"/>
  <c r="M308" i="41"/>
  <c r="O738" i="40"/>
  <c r="O788" i="40"/>
  <c r="O750" i="40"/>
  <c r="O740" i="40"/>
  <c r="O790" i="40"/>
  <c r="O739" i="40"/>
  <c r="O789" i="40"/>
  <c r="O776" i="40"/>
  <c r="O780" i="40"/>
  <c r="O749" i="40"/>
  <c r="J582" i="40"/>
  <c r="J620" i="40"/>
  <c r="J601" i="40"/>
  <c r="G582" i="40"/>
  <c r="G620" i="40"/>
  <c r="G601" i="40"/>
  <c r="G777" i="40"/>
  <c r="G943" i="40"/>
  <c r="G944" i="40"/>
  <c r="G945" i="40"/>
  <c r="G734" i="40"/>
  <c r="G946" i="40"/>
  <c r="G733" i="40"/>
  <c r="G768" i="40"/>
  <c r="G934" i="40"/>
  <c r="G935" i="40"/>
  <c r="G936" i="40"/>
  <c r="G937" i="40"/>
  <c r="G698" i="40"/>
  <c r="G759" i="40"/>
  <c r="G925" i="40"/>
  <c r="G926" i="40"/>
  <c r="G927" i="40"/>
  <c r="G916" i="40"/>
  <c r="G919" i="40"/>
  <c r="G732" i="40"/>
  <c r="G928" i="40"/>
  <c r="G917" i="40"/>
  <c r="G918" i="40"/>
  <c r="G760" i="40"/>
  <c r="G713" i="40"/>
  <c r="G751" i="40"/>
  <c r="AW38" i="60"/>
  <c r="K25" i="29"/>
  <c r="BD48" i="29"/>
  <c r="AY17" i="59"/>
  <c r="AG48" i="29"/>
  <c r="W50" i="29"/>
  <c r="U50" i="29"/>
  <c r="AV46" i="60"/>
  <c r="AV38" i="60"/>
  <c r="AB12" i="29"/>
  <c r="AD50" i="29"/>
  <c r="BO21" i="29"/>
  <c r="BI79" i="29"/>
  <c r="V50" i="29"/>
  <c r="U12" i="29"/>
  <c r="T12" i="29"/>
  <c r="BO18" i="29"/>
  <c r="BH79" i="29"/>
  <c r="V12" i="29"/>
  <c r="BO17" i="29"/>
  <c r="W12" i="29"/>
  <c r="BO50" i="29"/>
  <c r="V25" i="29"/>
  <c r="BB40" i="29"/>
  <c r="DD32" i="29"/>
  <c r="DD40" i="29"/>
  <c r="BX32" i="29"/>
  <c r="AQ40" i="29"/>
  <c r="BZ40" i="29"/>
  <c r="BZ109" i="29"/>
  <c r="AS32" i="29"/>
  <c r="AC40" i="29"/>
  <c r="BR32" i="29"/>
  <c r="CR40" i="29"/>
  <c r="CR109" i="29"/>
  <c r="CI40" i="29"/>
  <c r="Z32" i="29"/>
  <c r="Z40" i="29"/>
  <c r="Y40" i="29"/>
  <c r="V51" i="29"/>
  <c r="U51" i="29"/>
  <c r="W51" i="29"/>
  <c r="O617" i="40"/>
  <c r="O598" i="40"/>
  <c r="O579" i="40"/>
  <c r="O615" i="40"/>
  <c r="O887" i="40"/>
  <c r="O577" i="40"/>
  <c r="O883" i="40"/>
  <c r="O596" i="40"/>
  <c r="O885" i="40"/>
  <c r="K884" i="40"/>
  <c r="K645" i="40"/>
  <c r="CZ40" i="29"/>
  <c r="BF28" i="29"/>
  <c r="AC84" i="29"/>
  <c r="AC109" i="29"/>
  <c r="BJ28" i="29"/>
  <c r="AA84" i="29"/>
  <c r="AA109" i="29"/>
  <c r="L84" i="29"/>
  <c r="CW106" i="29"/>
  <c r="DC15" i="29"/>
  <c r="AN106" i="29"/>
  <c r="DB84" i="29"/>
  <c r="DB109" i="29"/>
  <c r="M84" i="29"/>
  <c r="BJ11" i="29"/>
  <c r="BT15" i="29"/>
  <c r="BT40" i="29"/>
  <c r="CV84" i="29"/>
  <c r="BL67" i="29"/>
  <c r="BW84" i="29"/>
  <c r="CO84" i="29"/>
  <c r="CK15" i="29"/>
  <c r="CK40" i="29"/>
  <c r="CK109" i="29"/>
  <c r="CE106" i="29"/>
  <c r="AM106" i="29"/>
  <c r="AU84" i="29"/>
  <c r="O106" i="29"/>
  <c r="CN15" i="29"/>
  <c r="CN40" i="29"/>
  <c r="CN109" i="29"/>
  <c r="BL89" i="29"/>
  <c r="K84" i="29"/>
  <c r="BR15" i="29"/>
  <c r="BR40" i="29"/>
  <c r="BR109" i="29"/>
  <c r="BL30" i="29"/>
  <c r="AM32" i="29"/>
  <c r="BF32" i="29"/>
  <c r="DD84" i="29"/>
  <c r="Q76" i="29"/>
  <c r="BE106" i="29"/>
  <c r="DE84" i="29"/>
  <c r="DF84" i="29"/>
  <c r="BT109" i="29"/>
  <c r="O855" i="40"/>
  <c r="DE109" i="29"/>
  <c r="K615" i="40"/>
  <c r="K887" i="40"/>
  <c r="K596" i="40"/>
  <c r="K885" i="40"/>
  <c r="K577" i="40"/>
  <c r="K883" i="40"/>
  <c r="N615" i="40"/>
  <c r="N887" i="40"/>
  <c r="N596" i="40"/>
  <c r="N885" i="40"/>
  <c r="N577" i="40"/>
  <c r="N883" i="40"/>
  <c r="M615" i="40"/>
  <c r="M887" i="40"/>
  <c r="M577" i="40"/>
  <c r="M883" i="40"/>
  <c r="M596" i="40"/>
  <c r="M885" i="40"/>
  <c r="O599" i="40"/>
  <c r="O865" i="40"/>
  <c r="O618" i="40"/>
  <c r="O867" i="40"/>
  <c r="O580" i="40"/>
  <c r="O863" i="40"/>
  <c r="H596" i="40"/>
  <c r="H885" i="40"/>
  <c r="H577" i="40"/>
  <c r="H883" i="40"/>
  <c r="H615" i="40"/>
  <c r="H887" i="40"/>
  <c r="CG106" i="29"/>
  <c r="CG109" i="29"/>
  <c r="AR84" i="29"/>
  <c r="AR109" i="29"/>
  <c r="CB15" i="29"/>
  <c r="AT15" i="29"/>
  <c r="AT40" i="29"/>
  <c r="AO84" i="29"/>
  <c r="AO109" i="29"/>
  <c r="AY106" i="29"/>
  <c r="BS15" i="29"/>
  <c r="BS40" i="29"/>
  <c r="BS109" i="29"/>
  <c r="BJ14" i="29"/>
  <c r="BH15" i="29"/>
  <c r="BY84" i="29"/>
  <c r="CT106" i="29"/>
  <c r="BL60" i="29"/>
  <c r="CZ84" i="29"/>
  <c r="BX15" i="29"/>
  <c r="BX40" i="29"/>
  <c r="CP15" i="29"/>
  <c r="CP40" i="29"/>
  <c r="BY106" i="29"/>
  <c r="L15" i="29"/>
  <c r="BD40" i="29"/>
  <c r="H106" i="29"/>
  <c r="DD106" i="29"/>
  <c r="Q93" i="29"/>
  <c r="G106" i="29"/>
  <c r="AS15" i="29"/>
  <c r="AS40" i="29"/>
  <c r="O15" i="29"/>
  <c r="CA106" i="29"/>
  <c r="BC84" i="29"/>
  <c r="AF15" i="29"/>
  <c r="AF40" i="29"/>
  <c r="CE84" i="29"/>
  <c r="CE109" i="29"/>
  <c r="AV106" i="29"/>
  <c r="CW32" i="29"/>
  <c r="CW40" i="29"/>
  <c r="CV109" i="29"/>
  <c r="O853" i="40"/>
  <c r="CQ40" i="29"/>
  <c r="CQ109" i="29"/>
  <c r="CB40" i="29"/>
  <c r="CB109" i="29"/>
  <c r="K681" i="40"/>
  <c r="K888" i="40"/>
  <c r="L596" i="40"/>
  <c r="L885" i="40"/>
  <c r="L615" i="40"/>
  <c r="L887" i="40"/>
  <c r="L577" i="40"/>
  <c r="L883" i="40"/>
  <c r="N40" i="29"/>
  <c r="N109" i="29"/>
  <c r="CZ106" i="29"/>
  <c r="DA32" i="29"/>
  <c r="BU84" i="29"/>
  <c r="BU109" i="29"/>
  <c r="AV15" i="29"/>
  <c r="AV40" i="29"/>
  <c r="AW106" i="29"/>
  <c r="CT84" i="29"/>
  <c r="CA84" i="29"/>
  <c r="CA109" i="29"/>
  <c r="CX84" i="29"/>
  <c r="BL17" i="29"/>
  <c r="BL27" i="29"/>
  <c r="CF15" i="29"/>
  <c r="CF40" i="29"/>
  <c r="BA15" i="29"/>
  <c r="BA40" i="29"/>
  <c r="BA109" i="29"/>
  <c r="CW84" i="29"/>
  <c r="AK28" i="29"/>
  <c r="BL28" i="29"/>
  <c r="BL61" i="29"/>
  <c r="Q99" i="29"/>
  <c r="BJ63" i="29"/>
  <c r="BL29" i="29"/>
  <c r="AP84" i="29"/>
  <c r="K106" i="29"/>
  <c r="DF106" i="29"/>
  <c r="AN109" i="29"/>
  <c r="O40" i="29"/>
  <c r="O109" i="29"/>
  <c r="CX40" i="29"/>
  <c r="CX109" i="29"/>
  <c r="O857" i="40"/>
  <c r="BW109" i="29"/>
  <c r="DA40" i="29"/>
  <c r="DA109" i="29"/>
  <c r="CT40" i="29"/>
  <c r="CT109" i="29"/>
  <c r="K886" i="40"/>
  <c r="K663" i="40"/>
  <c r="J596" i="40"/>
  <c r="J885" i="40"/>
  <c r="J577" i="40"/>
  <c r="J883" i="40"/>
  <c r="J615" i="40"/>
  <c r="J887" i="40"/>
  <c r="J307" i="41"/>
  <c r="K182" i="41"/>
  <c r="BY109" i="29"/>
  <c r="CU84" i="29"/>
  <c r="CU109" i="29"/>
  <c r="Q82" i="29"/>
  <c r="BF38" i="29"/>
  <c r="BF31" i="29"/>
  <c r="BL31" i="29"/>
  <c r="CC106" i="29"/>
  <c r="CI106" i="29"/>
  <c r="Q22" i="29"/>
  <c r="Q38" i="29"/>
  <c r="BV84" i="29"/>
  <c r="BV109" i="29"/>
  <c r="BL26" i="29"/>
  <c r="BF46" i="29"/>
  <c r="CP106" i="29"/>
  <c r="AZ84" i="29"/>
  <c r="AZ109" i="29"/>
  <c r="AY84" i="29"/>
  <c r="AY109" i="29"/>
  <c r="I106" i="29"/>
  <c r="Q106" i="29"/>
  <c r="AH15" i="29"/>
  <c r="AH40" i="29"/>
  <c r="BJ46" i="29"/>
  <c r="BX84" i="29"/>
  <c r="Q51" i="29"/>
  <c r="BL35" i="29"/>
  <c r="AH95" i="29"/>
  <c r="BL19" i="29"/>
  <c r="CC109" i="29"/>
  <c r="I769" i="40"/>
  <c r="F761" i="40"/>
  <c r="F728" i="40"/>
  <c r="F752" i="40"/>
  <c r="O728" i="40"/>
  <c r="O752" i="40"/>
  <c r="O761" i="40"/>
  <c r="L761" i="40"/>
  <c r="L728" i="40"/>
  <c r="L752" i="40"/>
  <c r="I761" i="40"/>
  <c r="I728" i="40"/>
  <c r="I752" i="40"/>
  <c r="H703" i="40"/>
  <c r="H823" i="40"/>
  <c r="H711" i="40"/>
  <c r="H708" i="40"/>
  <c r="H705" i="40"/>
  <c r="H702" i="40"/>
  <c r="H710" i="40"/>
  <c r="H769" i="40"/>
  <c r="H707" i="40"/>
  <c r="H704" i="40"/>
  <c r="H828" i="40"/>
  <c r="H712" i="40"/>
  <c r="H709" i="40"/>
  <c r="H706" i="40"/>
  <c r="I687" i="40"/>
  <c r="I695" i="40"/>
  <c r="I694" i="40"/>
  <c r="I689" i="40"/>
  <c r="I688" i="40"/>
  <c r="I696" i="40"/>
  <c r="I691" i="40"/>
  <c r="I690" i="40"/>
  <c r="I697" i="40"/>
  <c r="I693" i="40"/>
  <c r="I692" i="40"/>
  <c r="I760" i="40"/>
  <c r="I713" i="40"/>
  <c r="I751" i="40"/>
  <c r="K761" i="40"/>
  <c r="K728" i="40"/>
  <c r="K752" i="40"/>
  <c r="H728" i="40"/>
  <c r="H752" i="40"/>
  <c r="H761" i="40"/>
  <c r="H693" i="40"/>
  <c r="H690" i="40"/>
  <c r="H687" i="40"/>
  <c r="H695" i="40"/>
  <c r="H692" i="40"/>
  <c r="H689" i="40"/>
  <c r="H697" i="40"/>
  <c r="H694" i="40"/>
  <c r="H691" i="40"/>
  <c r="H688" i="40"/>
  <c r="H696" i="40"/>
  <c r="J694" i="40"/>
  <c r="J689" i="40"/>
  <c r="J688" i="40"/>
  <c r="J696" i="40"/>
  <c r="J691" i="40"/>
  <c r="J690" i="40"/>
  <c r="J697" i="40"/>
  <c r="J693" i="40"/>
  <c r="J692" i="40"/>
  <c r="J687" i="40"/>
  <c r="J695" i="40"/>
  <c r="G761" i="40"/>
  <c r="G728" i="40"/>
  <c r="G752" i="40"/>
  <c r="J706" i="40"/>
  <c r="J705" i="40"/>
  <c r="J712" i="40"/>
  <c r="J708" i="40"/>
  <c r="J707" i="40"/>
  <c r="J702" i="40"/>
  <c r="J711" i="40"/>
  <c r="J709" i="40"/>
  <c r="J704" i="40"/>
  <c r="J828" i="40"/>
  <c r="J703" i="40"/>
  <c r="J823" i="40"/>
  <c r="J710" i="40"/>
  <c r="J769" i="40"/>
  <c r="N728" i="40"/>
  <c r="N752" i="40"/>
  <c r="N761" i="40"/>
  <c r="M761" i="40"/>
  <c r="M728" i="40"/>
  <c r="M752" i="40"/>
  <c r="J728" i="40"/>
  <c r="J752" i="40"/>
  <c r="J761" i="40"/>
  <c r="K554" i="40"/>
  <c r="K571" i="40"/>
  <c r="J662" i="40"/>
  <c r="J644" i="40"/>
  <c r="J680" i="40"/>
  <c r="I680" i="40"/>
  <c r="J554" i="40"/>
  <c r="J571" i="40"/>
  <c r="I662" i="40"/>
  <c r="I644" i="40"/>
  <c r="H680" i="40"/>
  <c r="H644" i="40"/>
  <c r="H571" i="40"/>
  <c r="I554" i="40"/>
  <c r="I571" i="40"/>
  <c r="H662" i="40"/>
  <c r="L662" i="40"/>
  <c r="L680" i="40"/>
  <c r="L644" i="40"/>
  <c r="M554" i="40"/>
  <c r="M571" i="40"/>
  <c r="L571" i="40"/>
  <c r="BO51" i="29"/>
  <c r="W14" i="29"/>
  <c r="T14" i="29"/>
  <c r="BO19" i="29"/>
  <c r="AB14" i="29"/>
  <c r="V14" i="29"/>
  <c r="U14" i="29"/>
  <c r="BJ79" i="29"/>
  <c r="F769" i="40"/>
  <c r="G865" i="40"/>
  <c r="G866" i="40"/>
  <c r="N608" i="40"/>
  <c r="N845" i="40"/>
  <c r="F759" i="40"/>
  <c r="F927" i="40"/>
  <c r="F928" i="40"/>
  <c r="F919" i="40"/>
  <c r="F926" i="40"/>
  <c r="F918" i="40"/>
  <c r="F917" i="40"/>
  <c r="F925" i="40"/>
  <c r="F916" i="40"/>
  <c r="F698" i="40"/>
  <c r="F732" i="40"/>
  <c r="G617" i="40"/>
  <c r="G857" i="40"/>
  <c r="G598" i="40"/>
  <c r="G855" i="40"/>
  <c r="G579" i="40"/>
  <c r="G853" i="40"/>
  <c r="BI40" i="29"/>
  <c r="BJ15" i="29"/>
  <c r="M109" i="29"/>
  <c r="G618" i="40"/>
  <c r="G867" i="40"/>
  <c r="G580" i="40"/>
  <c r="G863" i="40"/>
  <c r="G599" i="40"/>
  <c r="L465" i="41"/>
  <c r="N847" i="40"/>
  <c r="N627" i="40"/>
  <c r="F768" i="40"/>
  <c r="F934" i="40"/>
  <c r="F936" i="40"/>
  <c r="F935" i="40"/>
  <c r="F733" i="40"/>
  <c r="F937" i="40"/>
  <c r="H579" i="40"/>
  <c r="H853" i="40"/>
  <c r="H617" i="40"/>
  <c r="H857" i="40"/>
  <c r="H598" i="40"/>
  <c r="H855" i="40"/>
  <c r="BH40" i="29"/>
  <c r="BJ40" i="29"/>
  <c r="BJ38" i="29"/>
  <c r="BL38" i="29"/>
  <c r="F760" i="40"/>
  <c r="F713" i="40"/>
  <c r="F751" i="40"/>
  <c r="H618" i="40"/>
  <c r="H867" i="40"/>
  <c r="H599" i="40"/>
  <c r="H865" i="40"/>
  <c r="H580" i="40"/>
  <c r="H863" i="40"/>
  <c r="CO109" i="29"/>
  <c r="H578" i="40"/>
  <c r="H597" i="40"/>
  <c r="H616" i="40"/>
  <c r="G80" i="12"/>
  <c r="N589" i="40"/>
  <c r="N843" i="40"/>
  <c r="F943" i="40"/>
  <c r="F777" i="40"/>
  <c r="F945" i="40"/>
  <c r="F734" i="40"/>
  <c r="F944" i="40"/>
  <c r="F946" i="40"/>
  <c r="G578" i="40"/>
  <c r="G616" i="40"/>
  <c r="G597" i="40"/>
  <c r="BL37" i="29"/>
  <c r="BL79" i="29"/>
  <c r="K118" i="42"/>
  <c r="O769" i="40"/>
  <c r="O733" i="40"/>
  <c r="M118" i="42"/>
  <c r="L118" i="42"/>
  <c r="O876" i="40"/>
  <c r="O663" i="40"/>
  <c r="O581" i="40"/>
  <c r="O600" i="40"/>
  <c r="O619" i="40"/>
  <c r="L769" i="40"/>
  <c r="L165" i="41"/>
  <c r="M158" i="41"/>
  <c r="K98" i="42"/>
  <c r="K139" i="42"/>
  <c r="K96" i="42"/>
  <c r="K137" i="42"/>
  <c r="O732" i="40"/>
  <c r="O713" i="40"/>
  <c r="O751" i="40"/>
  <c r="O760" i="40"/>
  <c r="M98" i="42"/>
  <c r="M139" i="42"/>
  <c r="M96" i="42"/>
  <c r="M137" i="42"/>
  <c r="M97" i="42"/>
  <c r="M138" i="42"/>
  <c r="L97" i="42"/>
  <c r="L138" i="42"/>
  <c r="L96" i="42"/>
  <c r="L137" i="42"/>
  <c r="O874" i="40"/>
  <c r="O645" i="40"/>
  <c r="O878" i="40"/>
  <c r="O681" i="40"/>
  <c r="L760" i="40"/>
  <c r="L713" i="40"/>
  <c r="L751" i="40"/>
  <c r="Q55" i="29"/>
  <c r="I84" i="29"/>
  <c r="I109" i="29"/>
  <c r="AD51" i="29"/>
  <c r="BO22" i="29"/>
  <c r="Q25" i="29"/>
  <c r="AK25" i="29"/>
  <c r="BF48" i="29"/>
  <c r="AK48" i="29"/>
  <c r="J394" i="41"/>
  <c r="J402" i="41"/>
  <c r="J410" i="41"/>
  <c r="J386" i="41"/>
  <c r="K410" i="41"/>
  <c r="K394" i="41"/>
  <c r="K386" i="41"/>
  <c r="K402" i="41"/>
  <c r="K403" i="41"/>
  <c r="K411" i="41"/>
  <c r="K387" i="41"/>
  <c r="K395" i="41"/>
  <c r="H387" i="41"/>
  <c r="H403" i="41"/>
  <c r="H395" i="41"/>
  <c r="H411" i="41"/>
  <c r="H366" i="41"/>
  <c r="H369" i="41"/>
  <c r="H353" i="41"/>
  <c r="H409" i="41"/>
  <c r="H393" i="41"/>
  <c r="H401" i="41"/>
  <c r="H385" i="41"/>
  <c r="O411" i="41"/>
  <c r="O395" i="41"/>
  <c r="O387" i="41"/>
  <c r="O403" i="41"/>
  <c r="O471" i="41"/>
  <c r="O473" i="41"/>
  <c r="O452" i="41"/>
  <c r="O455" i="41"/>
  <c r="O470" i="41"/>
  <c r="O472" i="41"/>
  <c r="O453" i="41"/>
  <c r="O454" i="41"/>
  <c r="O386" i="41"/>
  <c r="O410" i="41"/>
  <c r="O402" i="41"/>
  <c r="O394" i="41"/>
  <c r="H845" i="40"/>
  <c r="K845" i="40"/>
  <c r="K843" i="40"/>
  <c r="G627" i="40"/>
  <c r="G847" i="40"/>
  <c r="J847" i="40"/>
  <c r="L483" i="41"/>
  <c r="J483" i="41"/>
  <c r="N483" i="41"/>
  <c r="H109" i="29"/>
  <c r="J409" i="41"/>
  <c r="J385" i="41"/>
  <c r="J393" i="41"/>
  <c r="J401" i="41"/>
  <c r="K393" i="41"/>
  <c r="K409" i="41"/>
  <c r="K412" i="41"/>
  <c r="K401" i="41"/>
  <c r="K385" i="41"/>
  <c r="G845" i="40"/>
  <c r="G608" i="40"/>
  <c r="G843" i="40"/>
  <c r="G589" i="40"/>
  <c r="J845" i="40"/>
  <c r="J843" i="40"/>
  <c r="G483" i="41"/>
  <c r="H483" i="41"/>
  <c r="F366" i="41"/>
  <c r="F369" i="41"/>
  <c r="J403" i="41"/>
  <c r="J395" i="41"/>
  <c r="J411" i="41"/>
  <c r="J387" i="41"/>
  <c r="J353" i="41"/>
  <c r="J366" i="41"/>
  <c r="J369" i="41"/>
  <c r="J471" i="41"/>
  <c r="J454" i="41"/>
  <c r="J473" i="41"/>
  <c r="J472" i="41"/>
  <c r="J453" i="41"/>
  <c r="J455" i="41"/>
  <c r="J470" i="41"/>
  <c r="J452" i="41"/>
  <c r="K353" i="41"/>
  <c r="K366" i="41"/>
  <c r="K369" i="41"/>
  <c r="K454" i="41"/>
  <c r="K453" i="41"/>
  <c r="K455" i="41"/>
  <c r="K470" i="41"/>
  <c r="K473" i="41"/>
  <c r="K471" i="41"/>
  <c r="K472" i="41"/>
  <c r="K452" i="41"/>
  <c r="H402" i="41"/>
  <c r="H394" i="41"/>
  <c r="H410" i="41"/>
  <c r="H386" i="41"/>
  <c r="H473" i="41"/>
  <c r="H472" i="41"/>
  <c r="H453" i="41"/>
  <c r="H455" i="41"/>
  <c r="H470" i="41"/>
  <c r="H471" i="41"/>
  <c r="H452" i="41"/>
  <c r="H454" i="41"/>
  <c r="O385" i="41"/>
  <c r="O393" i="41"/>
  <c r="O396" i="41"/>
  <c r="O401" i="41"/>
  <c r="O409" i="41"/>
  <c r="O412" i="41"/>
  <c r="O353" i="41"/>
  <c r="O366" i="41"/>
  <c r="O369" i="41"/>
  <c r="H843" i="40"/>
  <c r="H847" i="40"/>
  <c r="K847" i="40"/>
  <c r="AK22" i="29"/>
  <c r="BL22" i="29"/>
  <c r="G747" i="40"/>
  <c r="G735" i="40"/>
  <c r="G758" i="40"/>
  <c r="G762" i="40"/>
  <c r="G739" i="40"/>
  <c r="G789" i="40"/>
  <c r="G750" i="40"/>
  <c r="G738" i="40"/>
  <c r="G788" i="40"/>
  <c r="G740" i="40"/>
  <c r="G790" i="40"/>
  <c r="G748" i="40"/>
  <c r="G767" i="40"/>
  <c r="G771" i="40"/>
  <c r="G749" i="40"/>
  <c r="G776" i="40"/>
  <c r="G780" i="40"/>
  <c r="O797" i="40"/>
  <c r="O813" i="40"/>
  <c r="O805" i="40"/>
  <c r="O806" i="40"/>
  <c r="O814" i="40"/>
  <c r="O798" i="40"/>
  <c r="O804" i="40"/>
  <c r="O796" i="40"/>
  <c r="O812" i="40"/>
  <c r="O791" i="40"/>
  <c r="K747" i="40"/>
  <c r="K758" i="40"/>
  <c r="K762" i="40"/>
  <c r="K735" i="40"/>
  <c r="K750" i="40"/>
  <c r="K738" i="40"/>
  <c r="K788" i="40"/>
  <c r="K739" i="40"/>
  <c r="K789" i="40"/>
  <c r="K740" i="40"/>
  <c r="K790" i="40"/>
  <c r="K748" i="40"/>
  <c r="K767" i="40"/>
  <c r="K771" i="40"/>
  <c r="K749" i="40"/>
  <c r="K776" i="40"/>
  <c r="K780" i="40"/>
  <c r="N749" i="40"/>
  <c r="N776" i="40"/>
  <c r="N780" i="40"/>
  <c r="N738" i="40"/>
  <c r="N788" i="40"/>
  <c r="N739" i="40"/>
  <c r="N789" i="40"/>
  <c r="N740" i="40"/>
  <c r="N790" i="40"/>
  <c r="N750" i="40"/>
  <c r="N758" i="40"/>
  <c r="N762" i="40"/>
  <c r="N735" i="40"/>
  <c r="N747" i="40"/>
  <c r="N748" i="40"/>
  <c r="N767" i="40"/>
  <c r="N771" i="40"/>
  <c r="O483" i="41"/>
  <c r="M749" i="40"/>
  <c r="M776" i="40"/>
  <c r="M780" i="40"/>
  <c r="M750" i="40"/>
  <c r="M738" i="40"/>
  <c r="M788" i="40"/>
  <c r="M739" i="40"/>
  <c r="M789" i="40"/>
  <c r="M740" i="40"/>
  <c r="M790" i="40"/>
  <c r="M735" i="40"/>
  <c r="M758" i="40"/>
  <c r="M762" i="40"/>
  <c r="M747" i="40"/>
  <c r="M748" i="40"/>
  <c r="M767" i="40"/>
  <c r="M771" i="40"/>
  <c r="I483" i="41"/>
  <c r="K483" i="41"/>
  <c r="F465" i="41"/>
  <c r="L738" i="40"/>
  <c r="L788" i="40"/>
  <c r="L739" i="40"/>
  <c r="L789" i="40"/>
  <c r="L740" i="40"/>
  <c r="L790" i="40"/>
  <c r="L750" i="40"/>
  <c r="L747" i="40"/>
  <c r="L758" i="40"/>
  <c r="L762" i="40"/>
  <c r="L735" i="40"/>
  <c r="L748" i="40"/>
  <c r="L767" i="40"/>
  <c r="L771" i="40"/>
  <c r="L749" i="40"/>
  <c r="L776" i="40"/>
  <c r="L780" i="40"/>
  <c r="M483" i="41"/>
  <c r="M471" i="41"/>
  <c r="M472" i="41"/>
  <c r="M473" i="41"/>
  <c r="M470" i="41"/>
  <c r="M454" i="41"/>
  <c r="M453" i="41"/>
  <c r="M452" i="41"/>
  <c r="M455" i="41"/>
  <c r="M387" i="41"/>
  <c r="M403" i="41"/>
  <c r="M411" i="41"/>
  <c r="M395" i="41"/>
  <c r="M386" i="41"/>
  <c r="M402" i="41"/>
  <c r="M394" i="41"/>
  <c r="M410" i="41"/>
  <c r="M385" i="41"/>
  <c r="M401" i="41"/>
  <c r="M404" i="41"/>
  <c r="M393" i="41"/>
  <c r="M409" i="41"/>
  <c r="M366" i="41"/>
  <c r="M369" i="41"/>
  <c r="M353" i="41"/>
  <c r="G409" i="41"/>
  <c r="G401" i="41"/>
  <c r="G393" i="41"/>
  <c r="G385" i="41"/>
  <c r="G353" i="41"/>
  <c r="G366" i="41"/>
  <c r="G369" i="41"/>
  <c r="G470" i="41"/>
  <c r="G471" i="41"/>
  <c r="G453" i="41"/>
  <c r="G452" i="41"/>
  <c r="G473" i="41"/>
  <c r="G472" i="41"/>
  <c r="G455" i="41"/>
  <c r="G454" i="41"/>
  <c r="G394" i="41"/>
  <c r="G410" i="41"/>
  <c r="G386" i="41"/>
  <c r="G402" i="41"/>
  <c r="G395" i="41"/>
  <c r="G411" i="41"/>
  <c r="G387" i="41"/>
  <c r="G403" i="41"/>
  <c r="L393" i="41"/>
  <c r="L401" i="41"/>
  <c r="L385" i="41"/>
  <c r="L409" i="41"/>
  <c r="L386" i="41"/>
  <c r="L394" i="41"/>
  <c r="L410" i="41"/>
  <c r="L402" i="41"/>
  <c r="L366" i="41"/>
  <c r="L369" i="41"/>
  <c r="L353" i="41"/>
  <c r="L411" i="41"/>
  <c r="L387" i="41"/>
  <c r="L395" i="41"/>
  <c r="L403" i="41"/>
  <c r="L473" i="41"/>
  <c r="L472" i="41"/>
  <c r="L471" i="41"/>
  <c r="L452" i="41"/>
  <c r="L470" i="41"/>
  <c r="L454" i="41"/>
  <c r="L453" i="41"/>
  <c r="L455" i="41"/>
  <c r="F387" i="41"/>
  <c r="F395" i="41"/>
  <c r="F403" i="41"/>
  <c r="F411" i="41"/>
  <c r="F393" i="41"/>
  <c r="F409" i="41"/>
  <c r="F385" i="41"/>
  <c r="F401" i="41"/>
  <c r="F473" i="41"/>
  <c r="F471" i="41"/>
  <c r="F455" i="41"/>
  <c r="F454" i="41"/>
  <c r="F453" i="41"/>
  <c r="F470" i="41"/>
  <c r="F472" i="41"/>
  <c r="F452" i="41"/>
  <c r="G40" i="41"/>
  <c r="H40" i="41"/>
  <c r="I40" i="41"/>
  <c r="J40" i="41"/>
  <c r="K40" i="41"/>
  <c r="L40" i="41"/>
  <c r="M40" i="41"/>
  <c r="N40" i="41"/>
  <c r="O40" i="41"/>
  <c r="F41" i="41"/>
  <c r="F386" i="41"/>
  <c r="F394" i="41"/>
  <c r="F402" i="41"/>
  <c r="F410" i="41"/>
  <c r="G32" i="41"/>
  <c r="H32" i="41"/>
  <c r="I32" i="41"/>
  <c r="J32" i="41"/>
  <c r="K32" i="41"/>
  <c r="L32" i="41"/>
  <c r="M32" i="41"/>
  <c r="N32" i="41"/>
  <c r="O32" i="41"/>
  <c r="F33" i="41"/>
  <c r="N366" i="41"/>
  <c r="N369" i="41"/>
  <c r="N353" i="41"/>
  <c r="N411" i="41"/>
  <c r="N395" i="41"/>
  <c r="N403" i="41"/>
  <c r="N387" i="41"/>
  <c r="N394" i="41"/>
  <c r="N402" i="41"/>
  <c r="N410" i="41"/>
  <c r="N386" i="41"/>
  <c r="N409" i="41"/>
  <c r="N393" i="41"/>
  <c r="N401" i="41"/>
  <c r="N385" i="41"/>
  <c r="N455" i="41"/>
  <c r="N453" i="41"/>
  <c r="N472" i="41"/>
  <c r="N470" i="41"/>
  <c r="N473" i="41"/>
  <c r="N452" i="41"/>
  <c r="N454" i="41"/>
  <c r="N471" i="41"/>
  <c r="I473" i="41"/>
  <c r="I472" i="41"/>
  <c r="I452" i="41"/>
  <c r="I454" i="41"/>
  <c r="I471" i="41"/>
  <c r="I470" i="41"/>
  <c r="I455" i="41"/>
  <c r="I453" i="41"/>
  <c r="I353" i="41"/>
  <c r="I366" i="41"/>
  <c r="I369" i="41"/>
  <c r="I395" i="41"/>
  <c r="I411" i="41"/>
  <c r="I387" i="41"/>
  <c r="I403" i="41"/>
  <c r="I410" i="41"/>
  <c r="I394" i="41"/>
  <c r="I386" i="41"/>
  <c r="I402" i="41"/>
  <c r="I409" i="41"/>
  <c r="I393" i="41"/>
  <c r="I401" i="41"/>
  <c r="I385" i="41"/>
  <c r="K189" i="41"/>
  <c r="J316" i="41"/>
  <c r="AI9" i="29"/>
  <c r="AJ24" i="29"/>
  <c r="BP18" i="29"/>
  <c r="AG50" i="29"/>
  <c r="BQ17" i="29"/>
  <c r="BQ50" i="29"/>
  <c r="CI50" i="29"/>
  <c r="BP21" i="29"/>
  <c r="AY12" i="59"/>
  <c r="BQ54" i="29"/>
  <c r="BQ21" i="29"/>
  <c r="BQ25" i="29"/>
  <c r="BO25" i="29"/>
  <c r="BP17" i="29"/>
  <c r="DC79" i="29"/>
  <c r="AY14" i="59"/>
  <c r="AY16" i="59"/>
  <c r="BP54" i="29"/>
  <c r="BQ18" i="29"/>
  <c r="S24" i="29"/>
  <c r="BP25" i="29"/>
  <c r="BQ79" i="29"/>
  <c r="BP50" i="29"/>
  <c r="BO79" i="29"/>
  <c r="BP79" i="29"/>
  <c r="CF50" i="29"/>
  <c r="DC21" i="29"/>
  <c r="AY10" i="59"/>
  <c r="AY11" i="59"/>
  <c r="DF109" i="29"/>
  <c r="DD109" i="29"/>
  <c r="AI11" i="29"/>
  <c r="AI15" i="29"/>
  <c r="AI40" i="29"/>
  <c r="AI109" i="29"/>
  <c r="CZ109" i="29"/>
  <c r="AC95" i="29"/>
  <c r="AC97" i="29"/>
  <c r="L182" i="41"/>
  <c r="K307" i="41"/>
  <c r="CP109" i="29"/>
  <c r="BX109" i="29"/>
  <c r="AM40" i="29"/>
  <c r="AM109" i="29"/>
  <c r="CW109" i="29"/>
  <c r="O799" i="40"/>
  <c r="AJ32" i="29"/>
  <c r="AJ40" i="29"/>
  <c r="AJ44" i="29"/>
  <c r="M588" i="40"/>
  <c r="M607" i="40"/>
  <c r="M626" i="40"/>
  <c r="I588" i="40"/>
  <c r="I607" i="40"/>
  <c r="I626" i="40"/>
  <c r="J908" i="40"/>
  <c r="J681" i="40"/>
  <c r="J713" i="40"/>
  <c r="J751" i="40"/>
  <c r="J760" i="40"/>
  <c r="H734" i="40"/>
  <c r="H943" i="40"/>
  <c r="H944" i="40"/>
  <c r="H946" i="40"/>
  <c r="H945" i="40"/>
  <c r="H777" i="40"/>
  <c r="H732" i="40"/>
  <c r="H918" i="40"/>
  <c r="H928" i="40"/>
  <c r="H926" i="40"/>
  <c r="H698" i="40"/>
  <c r="H916" i="40"/>
  <c r="H927" i="40"/>
  <c r="H759" i="40"/>
  <c r="H917" i="40"/>
  <c r="H919" i="40"/>
  <c r="H925" i="40"/>
  <c r="J904" i="40"/>
  <c r="J645" i="40"/>
  <c r="J934" i="40"/>
  <c r="J935" i="40"/>
  <c r="J768" i="40"/>
  <c r="J936" i="40"/>
  <c r="J733" i="40"/>
  <c r="J937" i="40"/>
  <c r="J777" i="40"/>
  <c r="J946" i="40"/>
  <c r="J943" i="40"/>
  <c r="J944" i="40"/>
  <c r="J734" i="40"/>
  <c r="J945" i="40"/>
  <c r="H904" i="40"/>
  <c r="H645" i="40"/>
  <c r="J732" i="40"/>
  <c r="J917" i="40"/>
  <c r="J928" i="40"/>
  <c r="J759" i="40"/>
  <c r="J925" i="40"/>
  <c r="J916" i="40"/>
  <c r="J698" i="40"/>
  <c r="J926" i="40"/>
  <c r="J919" i="40"/>
  <c r="J918" i="40"/>
  <c r="J927" i="40"/>
  <c r="I934" i="40"/>
  <c r="I768" i="40"/>
  <c r="I936" i="40"/>
  <c r="I937" i="40"/>
  <c r="I733" i="40"/>
  <c r="I935" i="40"/>
  <c r="H760" i="40"/>
  <c r="H713" i="40"/>
  <c r="H751" i="40"/>
  <c r="H908" i="40"/>
  <c r="H681" i="40"/>
  <c r="J906" i="40"/>
  <c r="J663" i="40"/>
  <c r="H733" i="40"/>
  <c r="H768" i="40"/>
  <c r="H935" i="40"/>
  <c r="H934" i="40"/>
  <c r="H936" i="40"/>
  <c r="H937" i="40"/>
  <c r="I946" i="40"/>
  <c r="I943" i="40"/>
  <c r="I944" i="40"/>
  <c r="I945" i="40"/>
  <c r="I777" i="40"/>
  <c r="I734" i="40"/>
  <c r="I919" i="40"/>
  <c r="I926" i="40"/>
  <c r="I925" i="40"/>
  <c r="I918" i="40"/>
  <c r="I759" i="40"/>
  <c r="I927" i="40"/>
  <c r="I732" i="40"/>
  <c r="I917" i="40"/>
  <c r="I698" i="40"/>
  <c r="I928" i="40"/>
  <c r="I916" i="40"/>
  <c r="L626" i="40"/>
  <c r="L607" i="40"/>
  <c r="L588" i="40"/>
  <c r="L904" i="40"/>
  <c r="L645" i="40"/>
  <c r="L908" i="40"/>
  <c r="L681" i="40"/>
  <c r="L906" i="40"/>
  <c r="L663" i="40"/>
  <c r="H906" i="40"/>
  <c r="H663" i="40"/>
  <c r="H626" i="40"/>
  <c r="H607" i="40"/>
  <c r="H588" i="40"/>
  <c r="I904" i="40"/>
  <c r="I645" i="40"/>
  <c r="I906" i="40"/>
  <c r="I663" i="40"/>
  <c r="I908" i="40"/>
  <c r="I681" i="40"/>
  <c r="J588" i="40"/>
  <c r="J607" i="40"/>
  <c r="J626" i="40"/>
  <c r="K626" i="40"/>
  <c r="K588" i="40"/>
  <c r="K607" i="40"/>
  <c r="S32" i="29"/>
  <c r="BP22" i="29"/>
  <c r="BQ51" i="29"/>
  <c r="CF51" i="29"/>
  <c r="CF84" i="29"/>
  <c r="CF109" i="29"/>
  <c r="DH54" i="29"/>
  <c r="BP19" i="29"/>
  <c r="DH17" i="29"/>
  <c r="BQ22" i="29"/>
  <c r="BQ19" i="29"/>
  <c r="DH79" i="29"/>
  <c r="BP51" i="29"/>
  <c r="AG51" i="29"/>
  <c r="AG84" i="29"/>
  <c r="DC82" i="29"/>
  <c r="DC84" i="29"/>
  <c r="DH18" i="29"/>
  <c r="F739" i="40"/>
  <c r="F789" i="40"/>
  <c r="F738" i="40"/>
  <c r="F788" i="40"/>
  <c r="F740" i="40"/>
  <c r="F790" i="40"/>
  <c r="F750" i="40"/>
  <c r="F749" i="40"/>
  <c r="F776" i="40"/>
  <c r="F780" i="40"/>
  <c r="N412" i="41"/>
  <c r="F767" i="40"/>
  <c r="F771" i="40"/>
  <c r="F748" i="40"/>
  <c r="F747" i="40"/>
  <c r="F758" i="40"/>
  <c r="F762" i="40"/>
  <c r="F735" i="40"/>
  <c r="DH19" i="29"/>
  <c r="Q84" i="29"/>
  <c r="CI51" i="29"/>
  <c r="DH50" i="29"/>
  <c r="M165" i="41"/>
  <c r="N158" i="41"/>
  <c r="N165" i="41"/>
  <c r="O875" i="40"/>
  <c r="O608" i="40"/>
  <c r="O767" i="40"/>
  <c r="O771" i="40"/>
  <c r="O748" i="40"/>
  <c r="O747" i="40"/>
  <c r="O758" i="40"/>
  <c r="O762" i="40"/>
  <c r="O735" i="40"/>
  <c r="O627" i="40"/>
  <c r="O877" i="40"/>
  <c r="O873" i="40"/>
  <c r="O589" i="40"/>
  <c r="I404" i="41"/>
  <c r="I412" i="41"/>
  <c r="N404" i="41"/>
  <c r="F396" i="41"/>
  <c r="G412" i="41"/>
  <c r="M396" i="41"/>
  <c r="M456" i="41"/>
  <c r="DH25" i="29"/>
  <c r="DC22" i="29"/>
  <c r="DC40" i="29"/>
  <c r="DH21" i="29"/>
  <c r="I456" i="41"/>
  <c r="F388" i="41"/>
  <c r="L474" i="41"/>
  <c r="L388" i="41"/>
  <c r="L396" i="41"/>
  <c r="G396" i="41"/>
  <c r="M388" i="41"/>
  <c r="L753" i="40"/>
  <c r="M753" i="40"/>
  <c r="N753" i="40"/>
  <c r="G753" i="40"/>
  <c r="J474" i="41"/>
  <c r="K388" i="41"/>
  <c r="J404" i="41"/>
  <c r="J388" i="41"/>
  <c r="H388" i="41"/>
  <c r="H396" i="41"/>
  <c r="AG95" i="29"/>
  <c r="I396" i="41"/>
  <c r="I474" i="41"/>
  <c r="N456" i="41"/>
  <c r="N474" i="41"/>
  <c r="N388" i="41"/>
  <c r="N396" i="41"/>
  <c r="F456" i="41"/>
  <c r="F474" i="41"/>
  <c r="F404" i="41"/>
  <c r="F412" i="41"/>
  <c r="L456" i="41"/>
  <c r="L412" i="41"/>
  <c r="L404" i="41"/>
  <c r="G456" i="41"/>
  <c r="G404" i="41"/>
  <c r="M412" i="41"/>
  <c r="M474" i="41"/>
  <c r="K753" i="40"/>
  <c r="O815" i="40"/>
  <c r="O807" i="40"/>
  <c r="O404" i="41"/>
  <c r="O388" i="41"/>
  <c r="H456" i="41"/>
  <c r="H474" i="41"/>
  <c r="K456" i="41"/>
  <c r="K474" i="41"/>
  <c r="J456" i="41"/>
  <c r="K404" i="41"/>
  <c r="K396" i="41"/>
  <c r="J396" i="41"/>
  <c r="J412" i="41"/>
  <c r="O474" i="41"/>
  <c r="O456" i="41"/>
  <c r="H404" i="41"/>
  <c r="H412" i="41"/>
  <c r="BL25" i="29"/>
  <c r="AD84" i="29"/>
  <c r="L189" i="41"/>
  <c r="K316" i="41"/>
  <c r="I388" i="41"/>
  <c r="G33" i="41"/>
  <c r="H33" i="41"/>
  <c r="I33" i="41"/>
  <c r="J33" i="41"/>
  <c r="K33" i="41"/>
  <c r="L33" i="41"/>
  <c r="M33" i="41"/>
  <c r="N33" i="41"/>
  <c r="O33" i="41"/>
  <c r="F34" i="41"/>
  <c r="F42" i="41"/>
  <c r="G41" i="41"/>
  <c r="H41" i="41"/>
  <c r="I41" i="41"/>
  <c r="J41" i="41"/>
  <c r="K41" i="41"/>
  <c r="L41" i="41"/>
  <c r="M41" i="41"/>
  <c r="N41" i="41"/>
  <c r="O41" i="41"/>
  <c r="G474" i="41"/>
  <c r="G388" i="41"/>
  <c r="L814" i="40"/>
  <c r="L806" i="40"/>
  <c r="L798" i="40"/>
  <c r="L805" i="40"/>
  <c r="L797" i="40"/>
  <c r="L813" i="40"/>
  <c r="L812" i="40"/>
  <c r="L804" i="40"/>
  <c r="L796" i="40"/>
  <c r="L791" i="40"/>
  <c r="M798" i="40"/>
  <c r="M814" i="40"/>
  <c r="M806" i="40"/>
  <c r="M805" i="40"/>
  <c r="M797" i="40"/>
  <c r="M813" i="40"/>
  <c r="M796" i="40"/>
  <c r="M812" i="40"/>
  <c r="M791" i="40"/>
  <c r="M804" i="40"/>
  <c r="N806" i="40"/>
  <c r="N798" i="40"/>
  <c r="N814" i="40"/>
  <c r="N805" i="40"/>
  <c r="N797" i="40"/>
  <c r="N813" i="40"/>
  <c r="N804" i="40"/>
  <c r="N796" i="40"/>
  <c r="N812" i="40"/>
  <c r="N791" i="40"/>
  <c r="K814" i="40"/>
  <c r="K806" i="40"/>
  <c r="K798" i="40"/>
  <c r="K797" i="40"/>
  <c r="K813" i="40"/>
  <c r="K805" i="40"/>
  <c r="K812" i="40"/>
  <c r="K804" i="40"/>
  <c r="K807" i="40"/>
  <c r="K791" i="40"/>
  <c r="K796" i="40"/>
  <c r="G806" i="40"/>
  <c r="G814" i="40"/>
  <c r="G798" i="40"/>
  <c r="G804" i="40"/>
  <c r="G812" i="40"/>
  <c r="G796" i="40"/>
  <c r="G791" i="40"/>
  <c r="G797" i="40"/>
  <c r="G805" i="40"/>
  <c r="G813" i="40"/>
  <c r="T59" i="29"/>
  <c r="L24" i="29"/>
  <c r="K24" i="29"/>
  <c r="T58" i="29"/>
  <c r="AX58" i="29"/>
  <c r="BE50" i="29"/>
  <c r="BQ24" i="29"/>
  <c r="BO12" i="29"/>
  <c r="BI75" i="29"/>
  <c r="BQ12" i="29"/>
  <c r="G12" i="29"/>
  <c r="T75" i="29"/>
  <c r="BP12" i="29"/>
  <c r="T57" i="29"/>
  <c r="AE50" i="29"/>
  <c r="AX57" i="29"/>
  <c r="AF50" i="29"/>
  <c r="BO24" i="29"/>
  <c r="J24" i="29"/>
  <c r="BD50" i="29"/>
  <c r="BB59" i="29"/>
  <c r="AH96" i="29"/>
  <c r="V24" i="29"/>
  <c r="BP24" i="29"/>
  <c r="S12" i="29"/>
  <c r="BH53" i="29"/>
  <c r="AV41" i="60"/>
  <c r="BB63" i="29"/>
  <c r="BB84" i="29"/>
  <c r="BB109" i="29"/>
  <c r="BF59" i="29"/>
  <c r="AK59" i="29"/>
  <c r="BL59" i="29"/>
  <c r="M815" i="40"/>
  <c r="L307" i="41"/>
  <c r="M182" i="41"/>
  <c r="DH22" i="29"/>
  <c r="AH97" i="29"/>
  <c r="AH99" i="29"/>
  <c r="AH106" i="29"/>
  <c r="AH109" i="29"/>
  <c r="DC109" i="29"/>
  <c r="K903" i="40"/>
  <c r="K589" i="40"/>
  <c r="J903" i="40"/>
  <c r="J589" i="40"/>
  <c r="H905" i="40"/>
  <c r="H608" i="40"/>
  <c r="L907" i="40"/>
  <c r="L627" i="40"/>
  <c r="J758" i="40"/>
  <c r="J762" i="40"/>
  <c r="J747" i="40"/>
  <c r="J735" i="40"/>
  <c r="J776" i="40"/>
  <c r="J780" i="40"/>
  <c r="J749" i="40"/>
  <c r="I907" i="40"/>
  <c r="I627" i="40"/>
  <c r="M905" i="40"/>
  <c r="M608" i="40"/>
  <c r="N807" i="40"/>
  <c r="L815" i="40"/>
  <c r="K907" i="40"/>
  <c r="K627" i="40"/>
  <c r="H907" i="40"/>
  <c r="H627" i="40"/>
  <c r="I750" i="40"/>
  <c r="I738" i="40"/>
  <c r="I788" i="40"/>
  <c r="I739" i="40"/>
  <c r="I789" i="40"/>
  <c r="I740" i="40"/>
  <c r="I790" i="40"/>
  <c r="H767" i="40"/>
  <c r="H771" i="40"/>
  <c r="H748" i="40"/>
  <c r="I748" i="40"/>
  <c r="I767" i="40"/>
  <c r="I771" i="40"/>
  <c r="H750" i="40"/>
  <c r="H738" i="40"/>
  <c r="H788" i="40"/>
  <c r="H740" i="40"/>
  <c r="H790" i="40"/>
  <c r="H739" i="40"/>
  <c r="H789" i="40"/>
  <c r="H735" i="40"/>
  <c r="H747" i="40"/>
  <c r="H758" i="40"/>
  <c r="H762" i="40"/>
  <c r="I905" i="40"/>
  <c r="I608" i="40"/>
  <c r="M903" i="40"/>
  <c r="M589" i="40"/>
  <c r="J907" i="40"/>
  <c r="J627" i="40"/>
  <c r="L903" i="40"/>
  <c r="L589" i="40"/>
  <c r="I749" i="40"/>
  <c r="I776" i="40"/>
  <c r="I780" i="40"/>
  <c r="J740" i="40"/>
  <c r="J790" i="40"/>
  <c r="J750" i="40"/>
  <c r="J738" i="40"/>
  <c r="J788" i="40"/>
  <c r="J739" i="40"/>
  <c r="J789" i="40"/>
  <c r="J748" i="40"/>
  <c r="J767" i="40"/>
  <c r="J771" i="40"/>
  <c r="I903" i="40"/>
  <c r="I589" i="40"/>
  <c r="K905" i="40"/>
  <c r="K608" i="40"/>
  <c r="J905" i="40"/>
  <c r="J608" i="40"/>
  <c r="H903" i="40"/>
  <c r="H589" i="40"/>
  <c r="L905" i="40"/>
  <c r="L608" i="40"/>
  <c r="I747" i="40"/>
  <c r="I735" i="40"/>
  <c r="I758" i="40"/>
  <c r="I762" i="40"/>
  <c r="H749" i="40"/>
  <c r="H776" i="40"/>
  <c r="H780" i="40"/>
  <c r="M907" i="40"/>
  <c r="M627" i="40"/>
  <c r="Q24" i="29"/>
  <c r="J32" i="29"/>
  <c r="BP14" i="29"/>
  <c r="T76" i="29"/>
  <c r="AK76" i="29"/>
  <c r="AK75" i="29"/>
  <c r="BF58" i="29"/>
  <c r="Q12" i="29"/>
  <c r="G14" i="29"/>
  <c r="Q14" i="29"/>
  <c r="DH24" i="29"/>
  <c r="BO32" i="29"/>
  <c r="BQ14" i="29"/>
  <c r="S14" i="29"/>
  <c r="AK14" i="29"/>
  <c r="AK12" i="29"/>
  <c r="AK58" i="29"/>
  <c r="K32" i="29"/>
  <c r="K40" i="29"/>
  <c r="K109" i="29"/>
  <c r="BP32" i="29"/>
  <c r="BI76" i="29"/>
  <c r="L32" i="29"/>
  <c r="L40" i="29"/>
  <c r="L109" i="29"/>
  <c r="V32" i="29"/>
  <c r="AK24" i="29"/>
  <c r="AX63" i="29"/>
  <c r="BF57" i="29"/>
  <c r="BO14" i="29"/>
  <c r="BQ32" i="29"/>
  <c r="T63" i="29"/>
  <c r="AK63" i="29"/>
  <c r="AK57" i="29"/>
  <c r="L807" i="40"/>
  <c r="F753" i="40"/>
  <c r="F791" i="40"/>
  <c r="F796" i="40"/>
  <c r="F804" i="40"/>
  <c r="F812" i="40"/>
  <c r="F797" i="40"/>
  <c r="F805" i="40"/>
  <c r="F813" i="40"/>
  <c r="K815" i="40"/>
  <c r="N815" i="40"/>
  <c r="M799" i="40"/>
  <c r="L799" i="40"/>
  <c r="F814" i="40"/>
  <c r="F798" i="40"/>
  <c r="F806" i="40"/>
  <c r="AE51" i="29"/>
  <c r="AK50" i="29"/>
  <c r="BE51" i="29"/>
  <c r="BF50" i="29"/>
  <c r="BD51" i="29"/>
  <c r="AF51" i="29"/>
  <c r="AF84" i="29"/>
  <c r="AF95" i="29"/>
  <c r="O753" i="40"/>
  <c r="CI84" i="29"/>
  <c r="CI109" i="29"/>
  <c r="DH51" i="29"/>
  <c r="G815" i="40"/>
  <c r="BH55" i="29"/>
  <c r="AD95" i="29"/>
  <c r="G799" i="40"/>
  <c r="G807" i="40"/>
  <c r="K799" i="40"/>
  <c r="N799" i="40"/>
  <c r="M807" i="40"/>
  <c r="F43" i="41"/>
  <c r="G42" i="41"/>
  <c r="H42" i="41"/>
  <c r="I42" i="41"/>
  <c r="J42" i="41"/>
  <c r="K42" i="41"/>
  <c r="L42" i="41"/>
  <c r="M42" i="41"/>
  <c r="N42" i="41"/>
  <c r="O42" i="41"/>
  <c r="G34" i="41"/>
  <c r="H34" i="41"/>
  <c r="I34" i="41"/>
  <c r="J34" i="41"/>
  <c r="K34" i="41"/>
  <c r="L34" i="41"/>
  <c r="M34" i="41"/>
  <c r="N34" i="41"/>
  <c r="O34" i="41"/>
  <c r="F35" i="41"/>
  <c r="M189" i="41"/>
  <c r="L316" i="41"/>
  <c r="AV42" i="60"/>
  <c r="BH75" i="29"/>
  <c r="T65" i="29"/>
  <c r="AV39" i="60"/>
  <c r="W53" i="29"/>
  <c r="AY8" i="59"/>
  <c r="AG96" i="29"/>
  <c r="AY9" i="59"/>
  <c r="AV75" i="29"/>
  <c r="AW44" i="60"/>
  <c r="Y53" i="29"/>
  <c r="AW65" i="29"/>
  <c r="BL58" i="29"/>
  <c r="DH32" i="29"/>
  <c r="N182" i="41"/>
  <c r="N307" i="41"/>
  <c r="M307" i="41"/>
  <c r="J813" i="40"/>
  <c r="J797" i="40"/>
  <c r="J805" i="40"/>
  <c r="J791" i="40"/>
  <c r="J804" i="40"/>
  <c r="J812" i="40"/>
  <c r="J796" i="40"/>
  <c r="H813" i="40"/>
  <c r="H805" i="40"/>
  <c r="H797" i="40"/>
  <c r="I806" i="40"/>
  <c r="I814" i="40"/>
  <c r="I798" i="40"/>
  <c r="I753" i="40"/>
  <c r="H814" i="40"/>
  <c r="H806" i="40"/>
  <c r="H798" i="40"/>
  <c r="I797" i="40"/>
  <c r="I805" i="40"/>
  <c r="I813" i="40"/>
  <c r="J814" i="40"/>
  <c r="J798" i="40"/>
  <c r="J806" i="40"/>
  <c r="H753" i="40"/>
  <c r="H812" i="40"/>
  <c r="H791" i="40"/>
  <c r="H804" i="40"/>
  <c r="H807" i="40"/>
  <c r="H796" i="40"/>
  <c r="I804" i="40"/>
  <c r="I812" i="40"/>
  <c r="I796" i="40"/>
  <c r="I791" i="40"/>
  <c r="J753" i="40"/>
  <c r="BH76" i="29"/>
  <c r="BJ76" i="29"/>
  <c r="BJ75" i="29"/>
  <c r="AW68" i="29"/>
  <c r="BF65" i="29"/>
  <c r="AV76" i="29"/>
  <c r="BF75" i="29"/>
  <c r="T68" i="29"/>
  <c r="AK68" i="29"/>
  <c r="AK65" i="29"/>
  <c r="BL57" i="29"/>
  <c r="AX84" i="29"/>
  <c r="AX109" i="29"/>
  <c r="BF63" i="29"/>
  <c r="AK32" i="29"/>
  <c r="J40" i="29"/>
  <c r="J109" i="29"/>
  <c r="Q32" i="29"/>
  <c r="F815" i="40"/>
  <c r="BL63" i="29"/>
  <c r="BL24" i="29"/>
  <c r="F807" i="40"/>
  <c r="BL14" i="29"/>
  <c r="F799" i="40"/>
  <c r="BL12" i="29"/>
  <c r="BE84" i="29"/>
  <c r="BE109" i="29"/>
  <c r="BE95" i="29"/>
  <c r="BF95" i="29"/>
  <c r="BL50" i="29"/>
  <c r="BD84" i="29"/>
  <c r="BF51" i="29"/>
  <c r="AE84" i="29"/>
  <c r="AE95" i="29"/>
  <c r="AK51" i="29"/>
  <c r="Y55" i="29"/>
  <c r="Y84" i="29"/>
  <c r="W55" i="29"/>
  <c r="AG99" i="29"/>
  <c r="AG106" i="29"/>
  <c r="AG109" i="29"/>
  <c r="AG97" i="29"/>
  <c r="N189" i="41"/>
  <c r="N316" i="41"/>
  <c r="M316" i="41"/>
  <c r="G35" i="41"/>
  <c r="F244" i="41"/>
  <c r="F253" i="41"/>
  <c r="G43" i="41"/>
  <c r="F245" i="41"/>
  <c r="F254" i="41"/>
  <c r="AV44" i="60"/>
  <c r="BC9" i="29"/>
  <c r="U9" i="29"/>
  <c r="V53" i="29"/>
  <c r="AF96" i="29"/>
  <c r="AD96" i="29"/>
  <c r="W9" i="29"/>
  <c r="V9" i="29"/>
  <c r="AB9" i="29"/>
  <c r="S53" i="29"/>
  <c r="T9" i="29"/>
  <c r="AJ45" i="29"/>
  <c r="AY7" i="59"/>
  <c r="AB53" i="29"/>
  <c r="BL75" i="29"/>
  <c r="BL32" i="29"/>
  <c r="T11" i="29"/>
  <c r="T15" i="29"/>
  <c r="T40" i="29"/>
  <c r="T90" i="29"/>
  <c r="AB11" i="29"/>
  <c r="AB15" i="29"/>
  <c r="AB40" i="29"/>
  <c r="V11" i="29"/>
  <c r="V15" i="29"/>
  <c r="V40" i="29"/>
  <c r="W11" i="29"/>
  <c r="W15" i="29"/>
  <c r="W40" i="29"/>
  <c r="U11" i="29"/>
  <c r="U15" i="29"/>
  <c r="BC11" i="29"/>
  <c r="BF9" i="29"/>
  <c r="AJ46" i="29"/>
  <c r="AK45" i="29"/>
  <c r="I807" i="40"/>
  <c r="H815" i="40"/>
  <c r="I815" i="40"/>
  <c r="BL65" i="29"/>
  <c r="H799" i="40"/>
  <c r="J807" i="40"/>
  <c r="I799" i="40"/>
  <c r="J799" i="40"/>
  <c r="J815" i="40"/>
  <c r="AY13" i="59"/>
  <c r="BF76" i="29"/>
  <c r="BL76" i="29"/>
  <c r="AV84" i="29"/>
  <c r="AV109" i="29"/>
  <c r="BF68" i="29"/>
  <c r="BL68" i="29"/>
  <c r="AW84" i="29"/>
  <c r="AW109" i="29"/>
  <c r="AB55" i="29"/>
  <c r="AB70" i="29"/>
  <c r="AF99" i="29"/>
  <c r="AF106" i="29"/>
  <c r="AF109" i="29"/>
  <c r="AF97" i="29"/>
  <c r="BL51" i="29"/>
  <c r="BD109" i="29"/>
  <c r="BF84" i="29"/>
  <c r="V55" i="29"/>
  <c r="V84" i="29"/>
  <c r="S55" i="29"/>
  <c r="AK53" i="29"/>
  <c r="AD99" i="29"/>
  <c r="AD106" i="29"/>
  <c r="AD109" i="29"/>
  <c r="AD97" i="29"/>
  <c r="AJ84" i="29"/>
  <c r="AJ109" i="29"/>
  <c r="AK46" i="29"/>
  <c r="BL46" i="29"/>
  <c r="G262" i="41"/>
  <c r="F315" i="41"/>
  <c r="F324" i="41"/>
  <c r="F306" i="41"/>
  <c r="H43" i="41"/>
  <c r="G245" i="41"/>
  <c r="G254" i="41"/>
  <c r="G261" i="41"/>
  <c r="F305" i="41"/>
  <c r="F330" i="41"/>
  <c r="F314" i="41"/>
  <c r="F323" i="41"/>
  <c r="G244" i="41"/>
  <c r="G253" i="41"/>
  <c r="H35" i="41"/>
  <c r="BQ9" i="29"/>
  <c r="BP9" i="29"/>
  <c r="BP53" i="29"/>
  <c r="AE96" i="29"/>
  <c r="AW41" i="60"/>
  <c r="BO53" i="29"/>
  <c r="BQ53" i="29"/>
  <c r="S9" i="29"/>
  <c r="G9" i="29"/>
  <c r="BH41" i="60"/>
  <c r="BI53" i="29"/>
  <c r="BO9" i="29"/>
  <c r="AW39" i="60"/>
  <c r="BO11" i="29"/>
  <c r="BO15" i="29"/>
  <c r="G11" i="29"/>
  <c r="Q9" i="29"/>
  <c r="S11" i="29"/>
  <c r="AK9" i="29"/>
  <c r="BP11" i="29"/>
  <c r="BP15" i="29"/>
  <c r="BP40" i="29"/>
  <c r="BQ11" i="29"/>
  <c r="BQ15" i="29"/>
  <c r="BQ40" i="29"/>
  <c r="BF11" i="29"/>
  <c r="BC15" i="29"/>
  <c r="U40" i="29"/>
  <c r="BP55" i="29"/>
  <c r="BJ53" i="29"/>
  <c r="BI55" i="29"/>
  <c r="DH53" i="29"/>
  <c r="BO55" i="29"/>
  <c r="BQ55" i="29"/>
  <c r="AE99" i="29"/>
  <c r="AE106" i="29"/>
  <c r="AE109" i="29"/>
  <c r="AE97" i="29"/>
  <c r="F340" i="41"/>
  <c r="AK55" i="29"/>
  <c r="S84" i="29"/>
  <c r="DH55" i="29"/>
  <c r="F335" i="41"/>
  <c r="F435" i="41"/>
  <c r="BL53" i="29"/>
  <c r="V95" i="29"/>
  <c r="BJ55" i="29"/>
  <c r="I35" i="41"/>
  <c r="H244" i="41"/>
  <c r="H253" i="41"/>
  <c r="H261" i="41"/>
  <c r="G323" i="41"/>
  <c r="G268" i="41"/>
  <c r="G305" i="41"/>
  <c r="G314" i="41"/>
  <c r="F341" i="41"/>
  <c r="F437" i="41"/>
  <c r="F336" i="41"/>
  <c r="F331" i="41"/>
  <c r="F433" i="41"/>
  <c r="G306" i="41"/>
  <c r="G324" i="41"/>
  <c r="G315" i="41"/>
  <c r="H262" i="41"/>
  <c r="G269" i="41"/>
  <c r="I43" i="41"/>
  <c r="H245" i="41"/>
  <c r="H254" i="41"/>
  <c r="BH45" i="60"/>
  <c r="BI41" i="60"/>
  <c r="V96" i="29"/>
  <c r="BH43" i="60"/>
  <c r="AW45" i="60"/>
  <c r="BH44" i="60"/>
  <c r="AV45" i="60"/>
  <c r="BF15" i="29"/>
  <c r="BC40" i="29"/>
  <c r="BL9" i="29"/>
  <c r="Q11" i="29"/>
  <c r="G15" i="29"/>
  <c r="S15" i="29"/>
  <c r="AK11" i="29"/>
  <c r="DH15" i="29"/>
  <c r="BO40" i="29"/>
  <c r="DH40" i="29"/>
  <c r="G335" i="41"/>
  <c r="G435" i="41"/>
  <c r="G330" i="41"/>
  <c r="G433" i="41"/>
  <c r="G340" i="41"/>
  <c r="G437" i="41"/>
  <c r="BL55" i="29"/>
  <c r="V97" i="29"/>
  <c r="H269" i="41"/>
  <c r="H315" i="41"/>
  <c r="H306" i="41"/>
  <c r="I262" i="41"/>
  <c r="H324" i="41"/>
  <c r="J43" i="41"/>
  <c r="I245" i="41"/>
  <c r="I254" i="41"/>
  <c r="G278" i="41"/>
  <c r="G297" i="41"/>
  <c r="G288" i="41"/>
  <c r="G296" i="41"/>
  <c r="G277" i="41"/>
  <c r="G329" i="41"/>
  <c r="G287" i="41"/>
  <c r="H314" i="41"/>
  <c r="H335" i="41"/>
  <c r="H435" i="41"/>
  <c r="I261" i="41"/>
  <c r="H305" i="41"/>
  <c r="H268" i="41"/>
  <c r="H323" i="41"/>
  <c r="H340" i="41"/>
  <c r="H437" i="41"/>
  <c r="J35" i="41"/>
  <c r="I244" i="41"/>
  <c r="I253" i="41"/>
  <c r="AV40" i="60"/>
  <c r="T71" i="29"/>
  <c r="W96" i="29"/>
  <c r="BI45" i="60"/>
  <c r="BI43" i="60"/>
  <c r="BI44" i="60"/>
  <c r="BJ41" i="60"/>
  <c r="AB71" i="29"/>
  <c r="H330" i="41"/>
  <c r="H433" i="41"/>
  <c r="G339" i="41"/>
  <c r="Q15" i="29"/>
  <c r="G40" i="29"/>
  <c r="G109" i="29"/>
  <c r="BF40" i="29"/>
  <c r="BC109" i="29"/>
  <c r="BL11" i="29"/>
  <c r="S40" i="29"/>
  <c r="AK15" i="29"/>
  <c r="AB72" i="29"/>
  <c r="AB84" i="29"/>
  <c r="AB109" i="29"/>
  <c r="T72" i="29"/>
  <c r="AK71" i="29"/>
  <c r="G334" i="41"/>
  <c r="G434" i="41"/>
  <c r="I323" i="41"/>
  <c r="J261" i="41"/>
  <c r="I305" i="41"/>
  <c r="I268" i="41"/>
  <c r="I314" i="41"/>
  <c r="K35" i="41"/>
  <c r="J244" i="41"/>
  <c r="J253" i="41"/>
  <c r="H287" i="41"/>
  <c r="H296" i="41"/>
  <c r="H277" i="41"/>
  <c r="G432" i="41"/>
  <c r="G331" i="41"/>
  <c r="G341" i="41"/>
  <c r="G436" i="41"/>
  <c r="I269" i="41"/>
  <c r="I315" i="41"/>
  <c r="J262" i="41"/>
  <c r="I306" i="41"/>
  <c r="I324" i="41"/>
  <c r="K43" i="41"/>
  <c r="J245" i="41"/>
  <c r="J254" i="41"/>
  <c r="H278" i="41"/>
  <c r="H297" i="41"/>
  <c r="H288" i="41"/>
  <c r="BJ45" i="60"/>
  <c r="V98" i="29"/>
  <c r="BH96" i="29"/>
  <c r="AY15" i="59"/>
  <c r="BJ43" i="60"/>
  <c r="BH71" i="29"/>
  <c r="BJ44" i="60"/>
  <c r="U96" i="29"/>
  <c r="G336" i="41"/>
  <c r="S90" i="29"/>
  <c r="S109" i="29"/>
  <c r="AK40" i="29"/>
  <c r="S101" i="29"/>
  <c r="S74" i="29"/>
  <c r="Q109" i="29"/>
  <c r="Q40" i="29"/>
  <c r="BL15" i="29"/>
  <c r="BH99" i="29"/>
  <c r="BJ99" i="29"/>
  <c r="BJ96" i="29"/>
  <c r="AK96" i="29"/>
  <c r="BJ71" i="29"/>
  <c r="BL71" i="29"/>
  <c r="BH72" i="29"/>
  <c r="BJ72" i="29"/>
  <c r="V99" i="29"/>
  <c r="H329" i="41"/>
  <c r="H432" i="41"/>
  <c r="H334" i="41"/>
  <c r="H339" i="41"/>
  <c r="H436" i="41"/>
  <c r="I335" i="41"/>
  <c r="I435" i="41"/>
  <c r="I330" i="41"/>
  <c r="I433" i="41"/>
  <c r="I340" i="41"/>
  <c r="I437" i="41"/>
  <c r="BL96" i="29"/>
  <c r="AK72" i="29"/>
  <c r="J306" i="41"/>
  <c r="J324" i="41"/>
  <c r="K262" i="41"/>
  <c r="J269" i="41"/>
  <c r="J315" i="41"/>
  <c r="L43" i="41"/>
  <c r="K245" i="41"/>
  <c r="K254" i="41"/>
  <c r="I288" i="41"/>
  <c r="I297" i="41"/>
  <c r="I278" i="41"/>
  <c r="H331" i="41"/>
  <c r="H341" i="41"/>
  <c r="H434" i="41"/>
  <c r="H336" i="41"/>
  <c r="J268" i="41"/>
  <c r="J323" i="41"/>
  <c r="J340" i="41"/>
  <c r="J437" i="41"/>
  <c r="K261" i="41"/>
  <c r="J305" i="41"/>
  <c r="J314" i="41"/>
  <c r="J335" i="41"/>
  <c r="J435" i="41"/>
  <c r="L35" i="41"/>
  <c r="K244" i="41"/>
  <c r="K253" i="41"/>
  <c r="I277" i="41"/>
  <c r="I329" i="41"/>
  <c r="I296" i="41"/>
  <c r="I339" i="41"/>
  <c r="I287" i="41"/>
  <c r="I334" i="41"/>
  <c r="BH42" i="60"/>
  <c r="BK41" i="60"/>
  <c r="S78" i="29"/>
  <c r="S80" i="29"/>
  <c r="BL40" i="29"/>
  <c r="J330" i="41"/>
  <c r="J433" i="41"/>
  <c r="BL72" i="29"/>
  <c r="V101" i="29"/>
  <c r="I336" i="41"/>
  <c r="I434" i="41"/>
  <c r="I436" i="41"/>
  <c r="I341" i="41"/>
  <c r="I432" i="41"/>
  <c r="I331" i="41"/>
  <c r="K314" i="41"/>
  <c r="L261" i="41"/>
  <c r="K323" i="41"/>
  <c r="K305" i="41"/>
  <c r="K268" i="41"/>
  <c r="M35" i="41"/>
  <c r="L244" i="41"/>
  <c r="L253" i="41"/>
  <c r="J296" i="41"/>
  <c r="J277" i="41"/>
  <c r="J287" i="41"/>
  <c r="K269" i="41"/>
  <c r="K315" i="41"/>
  <c r="K324" i="41"/>
  <c r="K306" i="41"/>
  <c r="L262" i="41"/>
  <c r="M43" i="41"/>
  <c r="L245" i="41"/>
  <c r="L254" i="41"/>
  <c r="J278" i="41"/>
  <c r="J288" i="41"/>
  <c r="J297" i="41"/>
  <c r="BK43" i="60"/>
  <c r="BK44" i="60"/>
  <c r="BK45" i="60"/>
  <c r="J329" i="41"/>
  <c r="K335" i="41"/>
  <c r="K435" i="41"/>
  <c r="K340" i="41"/>
  <c r="K437" i="41"/>
  <c r="J334" i="41"/>
  <c r="J339" i="41"/>
  <c r="K330" i="41"/>
  <c r="K433" i="41"/>
  <c r="L315" i="41"/>
  <c r="M262" i="41"/>
  <c r="L269" i="41"/>
  <c r="L324" i="41"/>
  <c r="L306" i="41"/>
  <c r="N43" i="41"/>
  <c r="M245" i="41"/>
  <c r="M254" i="41"/>
  <c r="K278" i="41"/>
  <c r="K288" i="41"/>
  <c r="K297" i="41"/>
  <c r="J336" i="41"/>
  <c r="J434" i="41"/>
  <c r="J432" i="41"/>
  <c r="J331" i="41"/>
  <c r="J436" i="41"/>
  <c r="J341" i="41"/>
  <c r="L314" i="41"/>
  <c r="L335" i="41"/>
  <c r="L435" i="41"/>
  <c r="M261" i="41"/>
  <c r="L323" i="41"/>
  <c r="L305" i="41"/>
  <c r="L268" i="41"/>
  <c r="N35" i="41"/>
  <c r="M244" i="41"/>
  <c r="M253" i="41"/>
  <c r="K277" i="41"/>
  <c r="K329" i="41"/>
  <c r="K287" i="41"/>
  <c r="K334" i="41"/>
  <c r="K296" i="41"/>
  <c r="K339" i="41"/>
  <c r="T91" i="29"/>
  <c r="BI91" i="29"/>
  <c r="AW40" i="60"/>
  <c r="BJ91" i="29"/>
  <c r="AK91" i="29"/>
  <c r="BL91" i="29"/>
  <c r="T93" i="29"/>
  <c r="T74" i="29"/>
  <c r="L330" i="41"/>
  <c r="L433" i="41"/>
  <c r="L340" i="41"/>
  <c r="L437" i="41"/>
  <c r="K341" i="41"/>
  <c r="K436" i="41"/>
  <c r="K434" i="41"/>
  <c r="K336" i="41"/>
  <c r="K432" i="41"/>
  <c r="K331" i="41"/>
  <c r="M268" i="41"/>
  <c r="N261" i="41"/>
  <c r="M314" i="41"/>
  <c r="M305" i="41"/>
  <c r="M323" i="41"/>
  <c r="O35" i="41"/>
  <c r="O244" i="41"/>
  <c r="O253" i="41"/>
  <c r="N244" i="41"/>
  <c r="N253" i="41"/>
  <c r="L287" i="41"/>
  <c r="L296" i="41"/>
  <c r="L277" i="41"/>
  <c r="M324" i="41"/>
  <c r="M269" i="41"/>
  <c r="M315" i="41"/>
  <c r="N262" i="41"/>
  <c r="M306" i="41"/>
  <c r="O43" i="41"/>
  <c r="O245" i="41"/>
  <c r="O254" i="41"/>
  <c r="N245" i="41"/>
  <c r="N254" i="41"/>
  <c r="L297" i="41"/>
  <c r="L288" i="41"/>
  <c r="L278" i="41"/>
  <c r="V102" i="29"/>
  <c r="Y102" i="29"/>
  <c r="AW42" i="60"/>
  <c r="T78" i="29"/>
  <c r="T80" i="29"/>
  <c r="L339" i="41"/>
  <c r="V104" i="29"/>
  <c r="V106" i="29"/>
  <c r="V109" i="29"/>
  <c r="Y103" i="29"/>
  <c r="AT103" i="29"/>
  <c r="AT104" i="29"/>
  <c r="AT106" i="29"/>
  <c r="AT109" i="29"/>
  <c r="M340" i="41"/>
  <c r="M437" i="41"/>
  <c r="M335" i="41"/>
  <c r="M435" i="41"/>
  <c r="L329" i="41"/>
  <c r="L334" i="41"/>
  <c r="L434" i="41"/>
  <c r="M330" i="41"/>
  <c r="M433" i="41"/>
  <c r="N306" i="41"/>
  <c r="N324" i="41"/>
  <c r="O262" i="41"/>
  <c r="O269" i="41"/>
  <c r="N315" i="41"/>
  <c r="N269" i="41"/>
  <c r="O324" i="41"/>
  <c r="O306" i="41"/>
  <c r="O315" i="41"/>
  <c r="M278" i="41"/>
  <c r="M297" i="41"/>
  <c r="M288" i="41"/>
  <c r="L432" i="41"/>
  <c r="L331" i="41"/>
  <c r="L436" i="41"/>
  <c r="L341" i="41"/>
  <c r="L336" i="41"/>
  <c r="N314" i="41"/>
  <c r="N323" i="41"/>
  <c r="O261" i="41"/>
  <c r="O268" i="41"/>
  <c r="N268" i="41"/>
  <c r="N305" i="41"/>
  <c r="O314" i="41"/>
  <c r="O305" i="41"/>
  <c r="O323" i="41"/>
  <c r="M296" i="41"/>
  <c r="M277" i="41"/>
  <c r="M287" i="41"/>
  <c r="BH23" i="60"/>
  <c r="M339" i="41"/>
  <c r="O330" i="41"/>
  <c r="O433" i="41"/>
  <c r="N330" i="41"/>
  <c r="N433" i="41"/>
  <c r="M334" i="41"/>
  <c r="N340" i="41"/>
  <c r="N437" i="41"/>
  <c r="M329" i="41"/>
  <c r="M432" i="41"/>
  <c r="O340" i="41"/>
  <c r="O437" i="41"/>
  <c r="O335" i="41"/>
  <c r="O435" i="41"/>
  <c r="N335" i="41"/>
  <c r="N435" i="41"/>
  <c r="Y104" i="29"/>
  <c r="Y106" i="29"/>
  <c r="Y109" i="29"/>
  <c r="M434" i="41"/>
  <c r="M336" i="41"/>
  <c r="M436" i="41"/>
  <c r="M341" i="41"/>
  <c r="O296" i="41"/>
  <c r="O277" i="41"/>
  <c r="O287" i="41"/>
  <c r="N277" i="41"/>
  <c r="N287" i="41"/>
  <c r="N296" i="41"/>
  <c r="O297" i="41"/>
  <c r="O278" i="41"/>
  <c r="O288" i="41"/>
  <c r="N297" i="41"/>
  <c r="N288" i="41"/>
  <c r="N278" i="41"/>
  <c r="M331" i="41"/>
  <c r="N334" i="41"/>
  <c r="O334" i="41"/>
  <c r="O339" i="41"/>
  <c r="O436" i="41"/>
  <c r="N339" i="41"/>
  <c r="N341" i="41"/>
  <c r="N329" i="41"/>
  <c r="O329" i="41"/>
  <c r="O331" i="41"/>
  <c r="N436" i="41"/>
  <c r="N434" i="41"/>
  <c r="N336" i="41"/>
  <c r="N331" i="41"/>
  <c r="N432" i="41"/>
  <c r="O336" i="41"/>
  <c r="O434" i="41"/>
  <c r="O432" i="41"/>
  <c r="O341" i="41"/>
  <c r="BI42" i="60"/>
  <c r="BJ42" i="60"/>
  <c r="T81" i="29"/>
  <c r="BI23" i="60"/>
  <c r="T82" i="29"/>
  <c r="T84" i="29"/>
  <c r="T101" i="29"/>
  <c r="T103" i="29"/>
  <c r="W81" i="29"/>
  <c r="BI47" i="60"/>
  <c r="BI81" i="29"/>
  <c r="U81" i="29"/>
  <c r="U82" i="29"/>
  <c r="AK81" i="29"/>
  <c r="BI82" i="29"/>
  <c r="BI84" i="29"/>
  <c r="W82" i="29"/>
  <c r="W84" i="29"/>
  <c r="T104" i="29"/>
  <c r="T106" i="29"/>
  <c r="AQ103" i="29"/>
  <c r="AQ104" i="29"/>
  <c r="AQ106" i="29"/>
  <c r="AQ109" i="29"/>
  <c r="T109" i="29"/>
  <c r="BQ81" i="29"/>
  <c r="BI51" i="60"/>
  <c r="BH26" i="60"/>
  <c r="BJ23" i="60"/>
  <c r="BI52" i="60"/>
  <c r="BP81" i="29"/>
  <c r="BI49" i="60"/>
  <c r="BH33" i="60"/>
  <c r="BH81" i="29"/>
  <c r="BO81" i="29"/>
  <c r="BK42" i="60"/>
  <c r="BI50" i="60"/>
  <c r="DH81" i="29"/>
  <c r="BO82" i="29"/>
  <c r="BH82" i="29"/>
  <c r="BJ81" i="29"/>
  <c r="BP82" i="29"/>
  <c r="BP84" i="29"/>
  <c r="BQ82" i="29"/>
  <c r="BQ84" i="29"/>
  <c r="BL81" i="29"/>
  <c r="U84" i="29"/>
  <c r="AK82" i="29"/>
  <c r="DH113" i="29"/>
  <c r="BH38" i="60"/>
  <c r="BH35" i="60"/>
  <c r="BH47" i="60"/>
  <c r="BH39" i="60"/>
  <c r="BJ47" i="60"/>
  <c r="BJ33" i="60"/>
  <c r="BH37" i="60"/>
  <c r="BH36" i="60"/>
  <c r="DH82" i="29"/>
  <c r="BO84" i="29"/>
  <c r="DH84" i="29"/>
  <c r="U95" i="29"/>
  <c r="AK84" i="29"/>
  <c r="BH84" i="29"/>
  <c r="BJ84" i="29"/>
  <c r="BJ82" i="29"/>
  <c r="BL82" i="29"/>
  <c r="BH50" i="60"/>
  <c r="AV36" i="60"/>
  <c r="BJ49" i="60"/>
  <c r="BH52" i="60"/>
  <c r="BJ37" i="60"/>
  <c r="BH49" i="60"/>
  <c r="BJ50" i="60"/>
  <c r="BJ35" i="60"/>
  <c r="BH51" i="60"/>
  <c r="BJ36" i="60"/>
  <c r="BJ52" i="60"/>
  <c r="BJ38" i="60"/>
  <c r="BJ51" i="60"/>
  <c r="BJ39" i="60"/>
  <c r="BL84" i="29"/>
  <c r="U97" i="29"/>
  <c r="DH112" i="29"/>
  <c r="DH114" i="29"/>
  <c r="BI33" i="60"/>
  <c r="BI26" i="60"/>
  <c r="BJ26" i="60"/>
  <c r="BK47" i="60"/>
  <c r="BK33" i="60"/>
  <c r="BK36" i="60"/>
  <c r="BK37" i="60"/>
  <c r="BK23" i="60"/>
  <c r="BK52" i="60"/>
  <c r="BI37" i="60"/>
  <c r="BK35" i="60"/>
  <c r="BI39" i="60"/>
  <c r="BI48" i="60"/>
  <c r="BK39" i="60"/>
  <c r="BK38" i="60"/>
  <c r="BK50" i="60"/>
  <c r="BK49" i="60"/>
  <c r="BI36" i="60"/>
  <c r="BI35" i="60"/>
  <c r="BK51" i="60"/>
  <c r="BI38" i="60"/>
  <c r="U98" i="29"/>
  <c r="AW36" i="60"/>
  <c r="BK26" i="60"/>
  <c r="U99" i="29"/>
  <c r="BH48" i="60"/>
  <c r="CY98" i="29"/>
  <c r="BJ48" i="60"/>
  <c r="DH98" i="29"/>
  <c r="U101" i="29"/>
  <c r="BK48" i="60"/>
  <c r="BH8" i="60"/>
  <c r="U102" i="29"/>
  <c r="X102" i="29"/>
  <c r="X103" i="29"/>
  <c r="U104" i="29"/>
  <c r="U106" i="29"/>
  <c r="U109" i="29"/>
  <c r="BH9" i="60"/>
  <c r="BJ22" i="60"/>
  <c r="BI92" i="29"/>
  <c r="X104" i="29"/>
  <c r="X106" i="29"/>
  <c r="X109" i="29"/>
  <c r="AS103" i="29"/>
  <c r="AS104" i="29"/>
  <c r="AS106" i="29"/>
  <c r="AS109" i="29"/>
  <c r="BI93" i="29"/>
  <c r="BI22" i="60"/>
  <c r="BK22" i="60"/>
  <c r="BH22" i="60"/>
  <c r="W92" i="29"/>
  <c r="BH92" i="29"/>
  <c r="BJ8" i="60"/>
  <c r="BJ92" i="29"/>
  <c r="BH93" i="29"/>
  <c r="W93" i="29"/>
  <c r="AK92" i="29"/>
  <c r="BH10" i="60"/>
  <c r="BI8" i="60"/>
  <c r="BI9" i="60"/>
  <c r="BQ92" i="29"/>
  <c r="BO92" i="29"/>
  <c r="BP92" i="29"/>
  <c r="BO93" i="29"/>
  <c r="BO106" i="29"/>
  <c r="BQ93" i="29"/>
  <c r="BQ106" i="29"/>
  <c r="BQ109" i="29"/>
  <c r="BP93" i="29"/>
  <c r="BP106" i="29"/>
  <c r="BP109" i="29"/>
  <c r="BK8" i="60"/>
  <c r="BL92" i="29"/>
  <c r="BJ93" i="29"/>
  <c r="BH106" i="29"/>
  <c r="AK93" i="29"/>
  <c r="W95" i="29"/>
  <c r="DH93" i="29"/>
  <c r="BL93" i="29"/>
  <c r="BJ9" i="60"/>
  <c r="BK9" i="60"/>
  <c r="BI10" i="60"/>
  <c r="W97" i="29"/>
  <c r="BH109" i="29"/>
  <c r="BO109" i="29"/>
  <c r="BJ10" i="60"/>
  <c r="CY96" i="29"/>
  <c r="BK10" i="60"/>
  <c r="CY99" i="29"/>
  <c r="DH96" i="29"/>
  <c r="AP98" i="29"/>
  <c r="W98" i="29"/>
  <c r="AP99" i="29"/>
  <c r="BF98" i="29"/>
  <c r="W99" i="29"/>
  <c r="AK98" i="29"/>
  <c r="DH99" i="29"/>
  <c r="CY106" i="29"/>
  <c r="AV37" i="60"/>
  <c r="BH34" i="60"/>
  <c r="BL98" i="29"/>
  <c r="AV47" i="60"/>
  <c r="AV48" i="60"/>
  <c r="BF99" i="29"/>
  <c r="AP106" i="29"/>
  <c r="CY109" i="29"/>
  <c r="DH106" i="29"/>
  <c r="AK99" i="29"/>
  <c r="BL99" i="29"/>
  <c r="W101" i="29"/>
  <c r="DH109" i="29"/>
  <c r="AP109" i="29"/>
  <c r="BH25" i="60"/>
  <c r="BI34" i="60"/>
  <c r="BI102" i="29"/>
  <c r="W102" i="29"/>
  <c r="W104" i="29"/>
  <c r="BI104" i="29"/>
  <c r="BJ102" i="29"/>
  <c r="AX38" i="60"/>
  <c r="AX41" i="60"/>
  <c r="AX39" i="60"/>
  <c r="AX40" i="60"/>
  <c r="AX44" i="60"/>
  <c r="AX45" i="60"/>
  <c r="AX42" i="60"/>
  <c r="AX36" i="60"/>
  <c r="BI25" i="60"/>
  <c r="BJ34" i="60"/>
  <c r="AW37" i="60"/>
  <c r="Z102" i="29"/>
  <c r="BK34" i="60"/>
  <c r="AX37" i="60"/>
  <c r="AK102" i="29"/>
  <c r="BL102" i="29"/>
  <c r="Z103" i="29"/>
  <c r="Z104" i="29"/>
  <c r="BJ104" i="29"/>
  <c r="BI106" i="29"/>
  <c r="W106" i="29"/>
  <c r="AK103" i="29"/>
  <c r="BJ25" i="60"/>
  <c r="BK25" i="60"/>
  <c r="AU103" i="29"/>
  <c r="AU104" i="29"/>
  <c r="Z106" i="29"/>
  <c r="Z109" i="29"/>
  <c r="AK104" i="29"/>
  <c r="W109" i="29"/>
  <c r="BI109" i="29"/>
  <c r="BJ106" i="29"/>
  <c r="BF103" i="29"/>
  <c r="BL103" i="29"/>
  <c r="AK106" i="29"/>
  <c r="AK109" i="29"/>
  <c r="BJ109" i="29"/>
  <c r="AU106" i="29"/>
  <c r="BF104" i="29"/>
  <c r="BL104" i="29"/>
  <c r="AU109" i="29"/>
  <c r="BF106" i="29"/>
  <c r="BL106" i="29"/>
  <c r="BH24" i="60"/>
  <c r="BF109" i="29"/>
  <c r="BL109" i="29"/>
  <c r="AW46" i="60"/>
  <c r="AW47" i="60"/>
  <c r="AX47" i="60"/>
  <c r="AX46" i="60"/>
  <c r="BI24" i="60"/>
  <c r="BJ24" i="60"/>
  <c r="BK24" i="60"/>
</calcChain>
</file>

<file path=xl/comments1.xml><?xml version="1.0" encoding="utf-8"?>
<comments xmlns="http://schemas.openxmlformats.org/spreadsheetml/2006/main">
  <authors>
    <author>kpharris</author>
  </authors>
  <commentList>
    <comment ref="F11" authorId="0">
      <text>
        <r>
          <rPr>
            <b/>
            <sz val="8"/>
            <color indexed="81"/>
            <rFont val="Tahoma"/>
            <family val="2"/>
          </rPr>
          <t>kpharris:</t>
        </r>
        <r>
          <rPr>
            <sz val="8"/>
            <color indexed="81"/>
            <rFont val="Tahoma"/>
            <family val="2"/>
          </rPr>
          <t xml:space="preserve">
corrected Sep 09</t>
        </r>
      </text>
    </comment>
    <comment ref="K11" authorId="0">
      <text>
        <r>
          <rPr>
            <b/>
            <sz val="8"/>
            <color indexed="81"/>
            <rFont val="Tahoma"/>
            <family val="2"/>
          </rPr>
          <t>kpharris:</t>
        </r>
        <r>
          <rPr>
            <sz val="8"/>
            <color indexed="81"/>
            <rFont val="Tahoma"/>
            <family val="2"/>
          </rPr>
          <t xml:space="preserve">
corrected Sep 09</t>
        </r>
      </text>
    </comment>
    <comment ref="F12" authorId="0">
      <text>
        <r>
          <rPr>
            <b/>
            <sz val="8"/>
            <color indexed="81"/>
            <rFont val="Tahoma"/>
            <family val="2"/>
          </rPr>
          <t>kpharris:</t>
        </r>
        <r>
          <rPr>
            <sz val="8"/>
            <color indexed="81"/>
            <rFont val="Tahoma"/>
            <family val="2"/>
          </rPr>
          <t xml:space="preserve">
corrected Sep 09</t>
        </r>
      </text>
    </comment>
    <comment ref="K12" authorId="0">
      <text>
        <r>
          <rPr>
            <b/>
            <sz val="8"/>
            <color indexed="81"/>
            <rFont val="Tahoma"/>
            <family val="2"/>
          </rPr>
          <t>kpharris:</t>
        </r>
        <r>
          <rPr>
            <sz val="8"/>
            <color indexed="81"/>
            <rFont val="Tahoma"/>
            <family val="2"/>
          </rPr>
          <t xml:space="preserve">
corrected Sep 09</t>
        </r>
      </text>
    </comment>
    <comment ref="F15" authorId="0">
      <text>
        <r>
          <rPr>
            <b/>
            <sz val="8"/>
            <color indexed="81"/>
            <rFont val="Tahoma"/>
            <family val="2"/>
          </rPr>
          <t>kpharris:</t>
        </r>
        <r>
          <rPr>
            <sz val="8"/>
            <color indexed="81"/>
            <rFont val="Tahoma"/>
            <family val="2"/>
          </rPr>
          <t xml:space="preserve">
corrected Sep 09</t>
        </r>
      </text>
    </comment>
    <comment ref="J15" authorId="0">
      <text>
        <r>
          <rPr>
            <b/>
            <sz val="8"/>
            <color indexed="81"/>
            <rFont val="Tahoma"/>
            <family val="2"/>
          </rPr>
          <t>kpharris:</t>
        </r>
        <r>
          <rPr>
            <sz val="8"/>
            <color indexed="81"/>
            <rFont val="Tahoma"/>
            <family val="2"/>
          </rPr>
          <t xml:space="preserve">
corrected Sep 09</t>
        </r>
      </text>
    </comment>
    <comment ref="K15" authorId="0">
      <text>
        <r>
          <rPr>
            <b/>
            <sz val="8"/>
            <color indexed="81"/>
            <rFont val="Tahoma"/>
            <family val="2"/>
          </rPr>
          <t>kpharris:</t>
        </r>
        <r>
          <rPr>
            <sz val="8"/>
            <color indexed="81"/>
            <rFont val="Tahoma"/>
            <family val="2"/>
          </rPr>
          <t xml:space="preserve">
corrected Sep 09</t>
        </r>
      </text>
    </comment>
    <comment ref="F19" authorId="0">
      <text>
        <r>
          <rPr>
            <b/>
            <sz val="8"/>
            <color indexed="81"/>
            <rFont val="Tahoma"/>
            <family val="2"/>
          </rPr>
          <t>kpharris:</t>
        </r>
        <r>
          <rPr>
            <sz val="8"/>
            <color indexed="81"/>
            <rFont val="Tahoma"/>
            <family val="2"/>
          </rPr>
          <t xml:space="preserve">
corrected Sep 09</t>
        </r>
      </text>
    </comment>
    <comment ref="J19" authorId="0">
      <text>
        <r>
          <rPr>
            <b/>
            <sz val="8"/>
            <color indexed="81"/>
            <rFont val="Tahoma"/>
            <family val="2"/>
          </rPr>
          <t>kpharris:</t>
        </r>
        <r>
          <rPr>
            <sz val="8"/>
            <color indexed="81"/>
            <rFont val="Tahoma"/>
            <family val="2"/>
          </rPr>
          <t xml:space="preserve">
corrected Sep 09</t>
        </r>
      </text>
    </comment>
    <comment ref="K19" authorId="0">
      <text>
        <r>
          <rPr>
            <b/>
            <sz val="8"/>
            <color indexed="81"/>
            <rFont val="Tahoma"/>
            <family val="2"/>
          </rPr>
          <t>kpharris:</t>
        </r>
        <r>
          <rPr>
            <sz val="8"/>
            <color indexed="81"/>
            <rFont val="Tahoma"/>
            <family val="2"/>
          </rPr>
          <t xml:space="preserve">
corrected Sep 09</t>
        </r>
      </text>
    </comment>
    <comment ref="J25" authorId="0">
      <text>
        <r>
          <rPr>
            <b/>
            <sz val="8"/>
            <color indexed="81"/>
            <rFont val="Tahoma"/>
            <family val="2"/>
          </rPr>
          <t>kpharris:</t>
        </r>
        <r>
          <rPr>
            <sz val="8"/>
            <color indexed="81"/>
            <rFont val="Tahoma"/>
            <family val="2"/>
          </rPr>
          <t xml:space="preserve">
corrected Sep 09</t>
        </r>
      </text>
    </comment>
    <comment ref="K25" authorId="0">
      <text>
        <r>
          <rPr>
            <b/>
            <sz val="8"/>
            <color indexed="81"/>
            <rFont val="Tahoma"/>
            <family val="2"/>
          </rPr>
          <t>kpharris:</t>
        </r>
        <r>
          <rPr>
            <sz val="8"/>
            <color indexed="81"/>
            <rFont val="Tahoma"/>
            <family val="2"/>
          </rPr>
          <t xml:space="preserve">
corrected Sep 09</t>
        </r>
      </text>
    </comment>
    <comment ref="J28" authorId="0">
      <text>
        <r>
          <rPr>
            <b/>
            <sz val="8"/>
            <color indexed="81"/>
            <rFont val="Tahoma"/>
            <family val="2"/>
          </rPr>
          <t>kpharris:</t>
        </r>
        <r>
          <rPr>
            <sz val="8"/>
            <color indexed="81"/>
            <rFont val="Tahoma"/>
            <family val="2"/>
          </rPr>
          <t xml:space="preserve">
corrected Sep 09</t>
        </r>
      </text>
    </comment>
    <comment ref="K28" authorId="0">
      <text>
        <r>
          <rPr>
            <b/>
            <sz val="8"/>
            <color indexed="81"/>
            <rFont val="Tahoma"/>
            <family val="2"/>
          </rPr>
          <t>kpharris:</t>
        </r>
        <r>
          <rPr>
            <sz val="8"/>
            <color indexed="81"/>
            <rFont val="Tahoma"/>
            <family val="2"/>
          </rPr>
          <t xml:space="preserve">
corrected Sep 09</t>
        </r>
      </text>
    </comment>
    <comment ref="J36" authorId="0">
      <text>
        <r>
          <rPr>
            <b/>
            <sz val="8"/>
            <color indexed="81"/>
            <rFont val="Tahoma"/>
            <family val="2"/>
          </rPr>
          <t>kpharris:</t>
        </r>
        <r>
          <rPr>
            <sz val="8"/>
            <color indexed="81"/>
            <rFont val="Tahoma"/>
            <family val="2"/>
          </rPr>
          <t xml:space="preserve">
corrected Sep 09</t>
        </r>
      </text>
    </comment>
    <comment ref="K36" authorId="0">
      <text>
        <r>
          <rPr>
            <b/>
            <sz val="8"/>
            <color indexed="81"/>
            <rFont val="Tahoma"/>
            <family val="2"/>
          </rPr>
          <t>kpharris:</t>
        </r>
        <r>
          <rPr>
            <sz val="8"/>
            <color indexed="81"/>
            <rFont val="Tahoma"/>
            <family val="2"/>
          </rPr>
          <t xml:space="preserve">
corrected Sep 09</t>
        </r>
      </text>
    </comment>
    <comment ref="J37" authorId="0">
      <text>
        <r>
          <rPr>
            <b/>
            <sz val="8"/>
            <color indexed="81"/>
            <rFont val="Tahoma"/>
            <family val="2"/>
          </rPr>
          <t>kpharris:</t>
        </r>
        <r>
          <rPr>
            <sz val="8"/>
            <color indexed="81"/>
            <rFont val="Tahoma"/>
            <family val="2"/>
          </rPr>
          <t xml:space="preserve">
corrected Sep 09</t>
        </r>
      </text>
    </comment>
    <comment ref="K37" authorId="0">
      <text>
        <r>
          <rPr>
            <b/>
            <sz val="8"/>
            <color indexed="81"/>
            <rFont val="Tahoma"/>
            <family val="2"/>
          </rPr>
          <t>kpharris:</t>
        </r>
        <r>
          <rPr>
            <sz val="8"/>
            <color indexed="81"/>
            <rFont val="Tahoma"/>
            <family val="2"/>
          </rPr>
          <t xml:space="preserve">
corrected Sep 09</t>
        </r>
      </text>
    </comment>
    <comment ref="J42" authorId="0">
      <text>
        <r>
          <rPr>
            <b/>
            <sz val="8"/>
            <color indexed="81"/>
            <rFont val="Tahoma"/>
            <family val="2"/>
          </rPr>
          <t>kpharris:</t>
        </r>
        <r>
          <rPr>
            <sz val="8"/>
            <color indexed="81"/>
            <rFont val="Tahoma"/>
            <family val="2"/>
          </rPr>
          <t xml:space="preserve">
corrected Sep 09</t>
        </r>
      </text>
    </comment>
    <comment ref="K42" authorId="0">
      <text>
        <r>
          <rPr>
            <b/>
            <sz val="8"/>
            <color indexed="81"/>
            <rFont val="Tahoma"/>
            <family val="2"/>
          </rPr>
          <t>kpharris:</t>
        </r>
        <r>
          <rPr>
            <sz val="8"/>
            <color indexed="81"/>
            <rFont val="Tahoma"/>
            <family val="2"/>
          </rPr>
          <t xml:space="preserve">
corrected Sep 09</t>
        </r>
      </text>
    </comment>
    <comment ref="J43" authorId="0">
      <text>
        <r>
          <rPr>
            <b/>
            <sz val="8"/>
            <color indexed="81"/>
            <rFont val="Tahoma"/>
            <family val="2"/>
          </rPr>
          <t>kpharris:</t>
        </r>
        <r>
          <rPr>
            <sz val="8"/>
            <color indexed="81"/>
            <rFont val="Tahoma"/>
            <family val="2"/>
          </rPr>
          <t xml:space="preserve">
corrected Sep 09</t>
        </r>
      </text>
    </comment>
    <comment ref="K43" authorId="0">
      <text>
        <r>
          <rPr>
            <b/>
            <sz val="8"/>
            <color indexed="81"/>
            <rFont val="Tahoma"/>
            <family val="2"/>
          </rPr>
          <t>kpharris:</t>
        </r>
        <r>
          <rPr>
            <sz val="8"/>
            <color indexed="81"/>
            <rFont val="Tahoma"/>
            <family val="2"/>
          </rPr>
          <t xml:space="preserve">
corrected Sep 09</t>
        </r>
      </text>
    </comment>
    <comment ref="J46" authorId="0">
      <text>
        <r>
          <rPr>
            <b/>
            <sz val="8"/>
            <color indexed="81"/>
            <rFont val="Tahoma"/>
            <family val="2"/>
          </rPr>
          <t>kpharris:</t>
        </r>
        <r>
          <rPr>
            <sz val="8"/>
            <color indexed="81"/>
            <rFont val="Tahoma"/>
            <family val="2"/>
          </rPr>
          <t xml:space="preserve">
corrected Sep 09</t>
        </r>
      </text>
    </comment>
    <comment ref="K46" authorId="0">
      <text>
        <r>
          <rPr>
            <b/>
            <sz val="8"/>
            <color indexed="81"/>
            <rFont val="Tahoma"/>
            <family val="2"/>
          </rPr>
          <t>kpharris:</t>
        </r>
        <r>
          <rPr>
            <sz val="8"/>
            <color indexed="81"/>
            <rFont val="Tahoma"/>
            <family val="2"/>
          </rPr>
          <t xml:space="preserve">
corrected Sep 09</t>
        </r>
      </text>
    </comment>
    <comment ref="J57" authorId="0">
      <text>
        <r>
          <rPr>
            <b/>
            <sz val="8"/>
            <color indexed="81"/>
            <rFont val="Tahoma"/>
            <family val="2"/>
          </rPr>
          <t>kpharris:</t>
        </r>
        <r>
          <rPr>
            <sz val="8"/>
            <color indexed="81"/>
            <rFont val="Tahoma"/>
            <family val="2"/>
          </rPr>
          <t xml:space="preserve">
corrected Sep 09</t>
        </r>
      </text>
    </comment>
  </commentList>
</comments>
</file>

<file path=xl/sharedStrings.xml><?xml version="1.0" encoding="utf-8"?>
<sst xmlns="http://schemas.openxmlformats.org/spreadsheetml/2006/main" count="6345" uniqueCount="1931">
  <si>
    <t>Nuclear</t>
  </si>
  <si>
    <t>Wind</t>
  </si>
  <si>
    <t>Wave</t>
  </si>
  <si>
    <t>Geothermal</t>
  </si>
  <si>
    <t>Imports</t>
  </si>
  <si>
    <t>Electricity</t>
  </si>
  <si>
    <t>H.01</t>
  </si>
  <si>
    <t>N.01</t>
  </si>
  <si>
    <t>R.02</t>
  </si>
  <si>
    <t>R.03</t>
  </si>
  <si>
    <t>R.04</t>
  </si>
  <si>
    <t>R.05</t>
  </si>
  <si>
    <t>R.06</t>
  </si>
  <si>
    <t>I.01</t>
  </si>
  <si>
    <t>Gas</t>
  </si>
  <si>
    <t>Solar</t>
  </si>
  <si>
    <t>Heat</t>
  </si>
  <si>
    <t>Energy vectors</t>
  </si>
  <si>
    <r>
      <t>H</t>
    </r>
    <r>
      <rPr>
        <vertAlign val="subscript"/>
        <sz val="10"/>
        <color theme="1"/>
        <rFont val="Cambria"/>
        <family val="1"/>
        <scheme val="minor"/>
      </rPr>
      <t>2</t>
    </r>
  </si>
  <si>
    <t>Hydro</t>
  </si>
  <si>
    <t>Conversion losses</t>
  </si>
  <si>
    <t>Distribution losses and own use</t>
  </si>
  <si>
    <t xml:space="preserve">Transport </t>
  </si>
  <si>
    <t>Road</t>
  </si>
  <si>
    <t>Rail</t>
  </si>
  <si>
    <t>Balancing</t>
  </si>
  <si>
    <t>Heating</t>
  </si>
  <si>
    <t>Lighting &amp; appliances</t>
  </si>
  <si>
    <t>Unallocated</t>
  </si>
  <si>
    <t>Food</t>
  </si>
  <si>
    <t>R.01</t>
  </si>
  <si>
    <t>X.01</t>
  </si>
  <si>
    <t>X.02</t>
  </si>
  <si>
    <t>T.01</t>
  </si>
  <si>
    <t>T.02</t>
  </si>
  <si>
    <t>T.03</t>
  </si>
  <si>
    <t>T.04</t>
  </si>
  <si>
    <t>F.01</t>
  </si>
  <si>
    <t>Domestic</t>
  </si>
  <si>
    <t>Industry</t>
  </si>
  <si>
    <t>V.01</t>
  </si>
  <si>
    <t>V.02</t>
  </si>
  <si>
    <t>V.03</t>
  </si>
  <si>
    <t>Net imports</t>
  </si>
  <si>
    <t>V.04</t>
  </si>
  <si>
    <t>V.05</t>
  </si>
  <si>
    <t>Renewables</t>
  </si>
  <si>
    <t>Commercial</t>
  </si>
  <si>
    <t>Waste</t>
  </si>
  <si>
    <t>W.01</t>
  </si>
  <si>
    <t>Electricity imports</t>
  </si>
  <si>
    <t>L.01</t>
  </si>
  <si>
    <t>Losses</t>
  </si>
  <si>
    <t>Y.01</t>
  </si>
  <si>
    <t>Y.02</t>
  </si>
  <si>
    <t>Z.01</t>
  </si>
  <si>
    <t>Solid hydrocarbons</t>
  </si>
  <si>
    <t>Liquid hydrocarbons</t>
  </si>
  <si>
    <t>C.01</t>
  </si>
  <si>
    <t>C.02</t>
  </si>
  <si>
    <t>C.03</t>
  </si>
  <si>
    <t>Electricity (delivered to end user)</t>
  </si>
  <si>
    <t>Solar PV</t>
  </si>
  <si>
    <t>Hydroelectric</t>
  </si>
  <si>
    <t>Tidal</t>
  </si>
  <si>
    <t>Lighting and appliances</t>
  </si>
  <si>
    <t>Supply</t>
  </si>
  <si>
    <t>Demand</t>
  </si>
  <si>
    <t>I</t>
  </si>
  <si>
    <t>II</t>
  </si>
  <si>
    <t>III</t>
  </si>
  <si>
    <t>IV</t>
  </si>
  <si>
    <t>Vector</t>
  </si>
  <si>
    <t>Description</t>
  </si>
  <si>
    <t>Comment</t>
  </si>
  <si>
    <t>Category</t>
  </si>
  <si>
    <t>Subcategory</t>
  </si>
  <si>
    <t>Code</t>
  </si>
  <si>
    <t>Joules</t>
  </si>
  <si>
    <t>Unit</t>
  </si>
  <si>
    <t>PJ</t>
  </si>
  <si>
    <t>TWh</t>
  </si>
  <si>
    <t>kWh</t>
  </si>
  <si>
    <t>Mtoe</t>
  </si>
  <si>
    <t>toe</t>
  </si>
  <si>
    <t>therm</t>
  </si>
  <si>
    <t>Btu</t>
  </si>
  <si>
    <t>calorie</t>
  </si>
  <si>
    <t>GW y</t>
  </si>
  <si>
    <t>Unit.PJ</t>
  </si>
  <si>
    <t>Unit.kWh</t>
  </si>
  <si>
    <t>Unit.TWh</t>
  </si>
  <si>
    <t>Unit.toe</t>
  </si>
  <si>
    <t>Unit.Mtoe</t>
  </si>
  <si>
    <t>Unit.therm</t>
  </si>
  <si>
    <t>Unit.Btu</t>
  </si>
  <si>
    <t>Unit.calorie</t>
  </si>
  <si>
    <t>Unit.GWyear</t>
  </si>
  <si>
    <t>R.07</t>
  </si>
  <si>
    <t>Biomatter</t>
  </si>
  <si>
    <t>Hydrogen</t>
  </si>
  <si>
    <t>V.06</t>
  </si>
  <si>
    <t>[1]</t>
  </si>
  <si>
    <t>TJ</t>
  </si>
  <si>
    <t>Unit.TJ</t>
  </si>
  <si>
    <t>Conversion Calculator</t>
  </si>
  <si>
    <t>is equivalent to</t>
  </si>
  <si>
    <t>Space heating</t>
  </si>
  <si>
    <t>[2]</t>
  </si>
  <si>
    <t>[3]</t>
  </si>
  <si>
    <t>Computing</t>
  </si>
  <si>
    <t>Cooling and ventilation</t>
  </si>
  <si>
    <t>Lighting</t>
  </si>
  <si>
    <t>Other</t>
  </si>
  <si>
    <t>Autogenerators</t>
  </si>
  <si>
    <t>Blast furnaces</t>
  </si>
  <si>
    <t>High temperature process</t>
  </si>
  <si>
    <t>Low temperature process</t>
  </si>
  <si>
    <t>Drying/separation</t>
  </si>
  <si>
    <t>Motors</t>
  </si>
  <si>
    <t>Compressed air</t>
  </si>
  <si>
    <t>Refrigeration</t>
  </si>
  <si>
    <t>Gaseous waste</t>
  </si>
  <si>
    <t>1.2 Aggregate energy balance 2007</t>
  </si>
  <si>
    <t>Thousand tonnes of oil equivalent</t>
  </si>
  <si>
    <t>Coal</t>
  </si>
  <si>
    <r>
      <t>Manufactured fuel</t>
    </r>
    <r>
      <rPr>
        <i/>
        <sz val="8.5"/>
        <rFont val="Arial"/>
        <family val="2"/>
      </rPr>
      <t>(1)</t>
    </r>
  </si>
  <si>
    <t>Primary oils</t>
  </si>
  <si>
    <t>Petroleum products</t>
  </si>
  <si>
    <r>
      <t>Natural gas</t>
    </r>
    <r>
      <rPr>
        <i/>
        <sz val="8.5"/>
        <rFont val="Arial"/>
        <family val="2"/>
      </rPr>
      <t>(2)</t>
    </r>
  </si>
  <si>
    <r>
      <t>Renewable &amp; waste</t>
    </r>
    <r>
      <rPr>
        <i/>
        <sz val="8.5"/>
        <rFont val="Arial"/>
        <family val="2"/>
      </rPr>
      <t>(3)</t>
    </r>
  </si>
  <si>
    <t>Primary electricity</t>
  </si>
  <si>
    <t>Total</t>
  </si>
  <si>
    <t xml:space="preserve">Supply </t>
  </si>
  <si>
    <t>Indigenous production</t>
  </si>
  <si>
    <t>Exports</t>
  </si>
  <si>
    <t>Marine bunkers</t>
  </si>
  <si>
    <r>
      <t>Stock change</t>
    </r>
    <r>
      <rPr>
        <i/>
        <sz val="8"/>
        <rFont val="Arial"/>
        <family val="2"/>
      </rPr>
      <t>(4)</t>
    </r>
  </si>
  <si>
    <t>Primary supply</t>
  </si>
  <si>
    <r>
      <t>Statistical difference</t>
    </r>
    <r>
      <rPr>
        <i/>
        <sz val="8.5"/>
        <rFont val="Arial"/>
        <family val="2"/>
      </rPr>
      <t>(5)</t>
    </r>
  </si>
  <si>
    <t>Primary demand</t>
  </si>
  <si>
    <t>Transfers</t>
  </si>
  <si>
    <t>Transformation</t>
  </si>
  <si>
    <t>Electricity generation</t>
  </si>
  <si>
    <t>Major power producers</t>
  </si>
  <si>
    <t>Heat generation</t>
  </si>
  <si>
    <t>Petroleum refineries</t>
  </si>
  <si>
    <t>Coke manufacture</t>
  </si>
  <si>
    <t>Patent fuel manufacture</t>
  </si>
  <si>
    <t>Energy industry use</t>
  </si>
  <si>
    <t>Oil and gas extraction</t>
  </si>
  <si>
    <t>Coal extraction</t>
  </si>
  <si>
    <t>Pumped storage</t>
  </si>
  <si>
    <t>Final consumption</t>
  </si>
  <si>
    <t>Unclassified</t>
  </si>
  <si>
    <t>Iron and steel</t>
  </si>
  <si>
    <t>Non-ferrous metals</t>
  </si>
  <si>
    <t>Mineral products</t>
  </si>
  <si>
    <t>Chemicals</t>
  </si>
  <si>
    <t>Mechanical engineering etc</t>
  </si>
  <si>
    <t>Electrical engineering etc</t>
  </si>
  <si>
    <t>Vehicles</t>
  </si>
  <si>
    <t>Food, beverages etc</t>
  </si>
  <si>
    <t>Textiles, leather etc</t>
  </si>
  <si>
    <t>Paper, printing etc</t>
  </si>
  <si>
    <t>Other industries</t>
  </si>
  <si>
    <t>Construction</t>
  </si>
  <si>
    <r>
      <t xml:space="preserve">Transport </t>
    </r>
    <r>
      <rPr>
        <i/>
        <sz val="8.5"/>
        <rFont val="Arial"/>
        <family val="2"/>
      </rPr>
      <t>(6)</t>
    </r>
  </si>
  <si>
    <t>Air</t>
  </si>
  <si>
    <t>National navigation</t>
  </si>
  <si>
    <t>Pipelines</t>
  </si>
  <si>
    <t>Public administration</t>
  </si>
  <si>
    <t>Agriculture</t>
  </si>
  <si>
    <t>Miscellaneous</t>
  </si>
  <si>
    <t>Non energy use</t>
  </si>
  <si>
    <t>(1)  Includes all manufactured solid fuels, benzole, tars, coke oven gas and blast furnace gas.</t>
  </si>
  <si>
    <t>(2)  Includes colliery methane.</t>
  </si>
  <si>
    <t>(3)  Includes geothermal and solar heat.</t>
  </si>
  <si>
    <t>(4)  Stock fall (+), stock rise (-).</t>
  </si>
  <si>
    <t>(5)  Primary supply minus primary demand.</t>
  </si>
  <si>
    <t>(6)  See paragraphs 5.11 regarding electricity use in transport and 7.25 regarding renewables use in transport.</t>
  </si>
  <si>
    <t>ktoe</t>
  </si>
  <si>
    <t>Unit.ktoe</t>
  </si>
  <si>
    <t>Table 1.14: Overall energy consumption for heat and other end use by fuel 2007</t>
  </si>
  <si>
    <t>Sector</t>
  </si>
  <si>
    <t>End use</t>
  </si>
  <si>
    <t>Oil</t>
  </si>
  <si>
    <t>Solid fuel</t>
  </si>
  <si>
    <t>Water heating</t>
  </si>
  <si>
    <t>Cooking/catering</t>
  </si>
  <si>
    <t>Heat total</t>
  </si>
  <si>
    <t>-</t>
  </si>
  <si>
    <r>
      <t xml:space="preserve">Overall total </t>
    </r>
    <r>
      <rPr>
        <vertAlign val="superscript"/>
        <sz val="10"/>
        <rFont val="Arial"/>
        <family val="2"/>
      </rPr>
      <t>1</t>
    </r>
  </si>
  <si>
    <t>Service</t>
  </si>
  <si>
    <r>
      <t>Industry</t>
    </r>
    <r>
      <rPr>
        <vertAlign val="superscript"/>
        <sz val="10"/>
        <rFont val="Arial"/>
        <family val="2"/>
      </rPr>
      <t>2</t>
    </r>
  </si>
  <si>
    <r>
      <t>Overall total</t>
    </r>
    <r>
      <rPr>
        <sz val="10"/>
        <rFont val="Arial"/>
        <family val="2"/>
      </rPr>
      <t>²</t>
    </r>
  </si>
  <si>
    <t>Process use</t>
  </si>
  <si>
    <t>Dryling/separation</t>
  </si>
  <si>
    <t>Non-heat total</t>
  </si>
  <si>
    <t>Overall total</t>
  </si>
  <si>
    <t>1. Total does not include heat sold and renewables.</t>
  </si>
  <si>
    <t>2. Does not include heat sold, blast furnace gas, coke oven gas or renewables and waste.</t>
  </si>
  <si>
    <t xml:space="preserve">Source: Department of Energy and Climate Change - secondary analysis of data from the Digest of UK Energy </t>
  </si>
  <si>
    <t xml:space="preserve">            Statistics, Office of National Statistics (Purchases Inquiry) and the Building Research Establishment</t>
  </si>
  <si>
    <t>7.2  Commodity balances 2007</t>
  </si>
  <si>
    <t>7.2  Commodity balances 2007 (continued)</t>
  </si>
  <si>
    <t xml:space="preserve">             Renewables and waste</t>
  </si>
  <si>
    <t>Wood</t>
  </si>
  <si>
    <t xml:space="preserve">Poultry litter, meat </t>
  </si>
  <si>
    <t xml:space="preserve">Straw, SRC, and </t>
  </si>
  <si>
    <t>Sewage</t>
  </si>
  <si>
    <t>Landfill gas</t>
  </si>
  <si>
    <r>
      <t>Waste</t>
    </r>
    <r>
      <rPr>
        <i/>
        <sz val="8.5"/>
        <rFont val="Arial"/>
        <family val="2"/>
      </rPr>
      <t>(4)</t>
    </r>
  </si>
  <si>
    <t xml:space="preserve">Geothermal </t>
  </si>
  <si>
    <t>Liquid</t>
  </si>
  <si>
    <t>waste</t>
  </si>
  <si>
    <t xml:space="preserve"> and bone,  and</t>
  </si>
  <si>
    <t>other plant-based</t>
  </si>
  <si>
    <t>gas</t>
  </si>
  <si>
    <t xml:space="preserve"> and </t>
  </si>
  <si>
    <t xml:space="preserve">and active </t>
  </si>
  <si>
    <t>and wave</t>
  </si>
  <si>
    <t>biofuels</t>
  </si>
  <si>
    <t>renewables</t>
  </si>
  <si>
    <t xml:space="preserve">farm waste </t>
  </si>
  <si>
    <r>
      <t xml:space="preserve">biomass </t>
    </r>
    <r>
      <rPr>
        <sz val="8.5"/>
        <color indexed="8"/>
        <rFont val="Arial"/>
        <family val="2"/>
      </rPr>
      <t>(3)</t>
    </r>
  </si>
  <si>
    <t>tyres</t>
  </si>
  <si>
    <t>solar heat</t>
  </si>
  <si>
    <t>(5)</t>
  </si>
  <si>
    <t>Production</t>
  </si>
  <si>
    <t>Other sources</t>
  </si>
  <si>
    <r>
      <t xml:space="preserve">Stock change </t>
    </r>
    <r>
      <rPr>
        <i/>
        <sz val="8"/>
        <rFont val="Arial"/>
        <family val="2"/>
      </rPr>
      <t>(1)</t>
    </r>
  </si>
  <si>
    <r>
      <t xml:space="preserve">Stock change </t>
    </r>
    <r>
      <rPr>
        <i/>
        <sz val="8"/>
        <color indexed="8"/>
        <rFont val="Arial"/>
        <family val="2"/>
      </rPr>
      <t>(1)</t>
    </r>
  </si>
  <si>
    <t>Total supply</t>
  </si>
  <si>
    <r>
      <t>Statistical difference</t>
    </r>
    <r>
      <rPr>
        <i/>
        <sz val="8.5"/>
        <rFont val="Arial"/>
        <family val="2"/>
      </rPr>
      <t xml:space="preserve"> (2)</t>
    </r>
  </si>
  <si>
    <r>
      <t>Statistical difference</t>
    </r>
    <r>
      <rPr>
        <i/>
        <sz val="8.5"/>
        <color indexed="8"/>
        <rFont val="Arial"/>
        <family val="2"/>
      </rPr>
      <t xml:space="preserve"> (2)</t>
    </r>
  </si>
  <si>
    <t>Total demand</t>
  </si>
  <si>
    <t xml:space="preserve">   Major power producers</t>
  </si>
  <si>
    <t xml:space="preserve">   Autogenerators</t>
  </si>
  <si>
    <t>Mechanical engineering, etc</t>
  </si>
  <si>
    <t>Electrical engineering, etc</t>
  </si>
  <si>
    <t>Food, beverages, etc</t>
  </si>
  <si>
    <t>Textiles, leather, etc</t>
  </si>
  <si>
    <t>Paper, printing, etc</t>
  </si>
  <si>
    <t>Transport</t>
  </si>
  <si>
    <t>(1)  Stock fall (+), stock rise (-).</t>
  </si>
  <si>
    <t>(4) Municipal solid waste, general industrial waste and hospital waste.</t>
  </si>
  <si>
    <t>(2) Total supply minus total demand.</t>
  </si>
  <si>
    <t>(5) The amount of shoreline wave included is less than 0.05 ktoe.</t>
  </si>
  <si>
    <t>(3) SRC is short rotation coppice.</t>
  </si>
  <si>
    <t>Includes syngas (coke oven gas)</t>
  </si>
  <si>
    <t>Carbon-based fuels</t>
  </si>
  <si>
    <t>Blast furnace gas</t>
  </si>
  <si>
    <t>Table: 4.1:  Industrial energy consumption by fuel 1970 to 2008</t>
  </si>
  <si>
    <t>Coke and breeze</t>
  </si>
  <si>
    <t>Other solid fuels</t>
  </si>
  <si>
    <t>Blast Furnace Gas</t>
  </si>
  <si>
    <t>Coke oven gas</t>
  </si>
  <si>
    <t>Town gas</t>
  </si>
  <si>
    <t>Natural gas</t>
  </si>
  <si>
    <t>Heat sold</t>
  </si>
  <si>
    <t>Petroleum</t>
  </si>
  <si>
    <t xml:space="preserve">      Total</t>
  </si>
  <si>
    <t>..</t>
  </si>
  <si>
    <r>
      <t>1995</t>
    </r>
    <r>
      <rPr>
        <vertAlign val="superscript"/>
        <sz val="10"/>
        <rFont val="Arial"/>
        <family val="2"/>
      </rPr>
      <t xml:space="preserve"> 1</t>
    </r>
  </si>
  <si>
    <r>
      <t xml:space="preserve">1996 </t>
    </r>
    <r>
      <rPr>
        <vertAlign val="superscript"/>
        <sz val="10"/>
        <rFont val="Arial"/>
        <family val="2"/>
      </rPr>
      <t>1</t>
    </r>
  </si>
  <si>
    <t>1. Energy used in transformation activities is excluded from the total from 1996 onwards.</t>
  </si>
  <si>
    <t xml:space="preserve">Source: Department of Energy and Climate Change - Digest of UK Energy Statistics Annex, Table 1.1.5 </t>
  </si>
  <si>
    <t>kWh/p/d (UK)</t>
  </si>
  <si>
    <t>Unit.kWh.p.d</t>
  </si>
  <si>
    <t>A.1  Estimated average calorific values of fuels 2008</t>
  </si>
  <si>
    <t xml:space="preserve"> </t>
  </si>
  <si>
    <t>GJ per tonne</t>
  </si>
  <si>
    <t>net</t>
  </si>
  <si>
    <t>gross</t>
  </si>
  <si>
    <t>Coal:</t>
  </si>
  <si>
    <t>Renewable sources:</t>
  </si>
  <si>
    <r>
      <t xml:space="preserve">All consumers (weighted average) </t>
    </r>
    <r>
      <rPr>
        <i/>
        <sz val="8.5"/>
        <rFont val="Arial"/>
        <family val="2"/>
      </rPr>
      <t>(1)</t>
    </r>
  </si>
  <si>
    <r>
      <t xml:space="preserve">    Domestic wood</t>
    </r>
    <r>
      <rPr>
        <i/>
        <sz val="8.5"/>
        <rFont val="Arial"/>
        <family val="2"/>
      </rPr>
      <t xml:space="preserve"> (2)</t>
    </r>
  </si>
  <si>
    <r>
      <t xml:space="preserve">  Power stations</t>
    </r>
    <r>
      <rPr>
        <i/>
        <sz val="8.5"/>
        <rFont val="Arial"/>
        <family val="2"/>
      </rPr>
      <t xml:space="preserve"> (1)</t>
    </r>
  </si>
  <si>
    <r>
      <t xml:space="preserve">    Industrial wood</t>
    </r>
    <r>
      <rPr>
        <i/>
        <sz val="8.5"/>
        <rFont val="Arial"/>
        <family val="2"/>
      </rPr>
      <t xml:space="preserve"> (3)</t>
    </r>
  </si>
  <si>
    <r>
      <t xml:space="preserve">  Coke ovens</t>
    </r>
    <r>
      <rPr>
        <i/>
        <sz val="8.5"/>
        <rFont val="Arial"/>
        <family val="2"/>
      </rPr>
      <t xml:space="preserve"> (1)</t>
    </r>
  </si>
  <si>
    <t xml:space="preserve">    Straw</t>
  </si>
  <si>
    <t xml:space="preserve">  Low temperature carbonisation plants </t>
  </si>
  <si>
    <t xml:space="preserve">    Poultry litter</t>
  </si>
  <si>
    <t xml:space="preserve">    and manufactured fuel plants</t>
  </si>
  <si>
    <t xml:space="preserve">    Meat and bone</t>
  </si>
  <si>
    <t xml:space="preserve">  Collieries</t>
  </si>
  <si>
    <t xml:space="preserve">    General industrial waste</t>
  </si>
  <si>
    <t xml:space="preserve">  Agriculture</t>
  </si>
  <si>
    <t xml:space="preserve">    Hospital waste</t>
  </si>
  <si>
    <t xml:space="preserve">  Iron and steel</t>
  </si>
  <si>
    <r>
      <t xml:space="preserve">    Municipal solid waste</t>
    </r>
    <r>
      <rPr>
        <i/>
        <sz val="8.5"/>
        <rFont val="Arial"/>
        <family val="2"/>
      </rPr>
      <t xml:space="preserve"> (4)</t>
    </r>
  </si>
  <si>
    <t xml:space="preserve">  Other industries (weighted average)</t>
  </si>
  <si>
    <r>
      <t xml:space="preserve">    Refuse derived waste</t>
    </r>
    <r>
      <rPr>
        <i/>
        <sz val="8.5"/>
        <rFont val="Arial"/>
        <family val="2"/>
      </rPr>
      <t xml:space="preserve"> (4)</t>
    </r>
  </si>
  <si>
    <t xml:space="preserve">     Non-ferrous metals</t>
  </si>
  <si>
    <r>
      <t xml:space="preserve">    Short rotation coppice</t>
    </r>
    <r>
      <rPr>
        <i/>
        <sz val="8.5"/>
        <rFont val="Arial"/>
        <family val="2"/>
      </rPr>
      <t xml:space="preserve"> (5)</t>
    </r>
  </si>
  <si>
    <t xml:space="preserve">     Food, beverages and tobacco</t>
  </si>
  <si>
    <t xml:space="preserve">    Tyres</t>
  </si>
  <si>
    <t xml:space="preserve">     Chemicals</t>
  </si>
  <si>
    <t xml:space="preserve">     Textiles, clothing, leather etc. </t>
  </si>
  <si>
    <t>Petroleum:</t>
  </si>
  <si>
    <t xml:space="preserve">     Pulp, paper, printing etc.</t>
  </si>
  <si>
    <t xml:space="preserve">    Crude oil (weighted average)</t>
  </si>
  <si>
    <t xml:space="preserve">     Mineral products</t>
  </si>
  <si>
    <t xml:space="preserve">    Petroleum products (weighted average)</t>
  </si>
  <si>
    <t xml:space="preserve">     Engineering (mechanical and </t>
  </si>
  <si>
    <t xml:space="preserve">    Ethane</t>
  </si>
  <si>
    <t xml:space="preserve">       electrical engineering and</t>
  </si>
  <si>
    <t xml:space="preserve">       vehicles)</t>
  </si>
  <si>
    <t xml:space="preserve">    Butane and propane (LPG)</t>
  </si>
  <si>
    <t xml:space="preserve">     Other industries</t>
  </si>
  <si>
    <t xml:space="preserve">    Light distillate feedstock for gasworks</t>
  </si>
  <si>
    <t xml:space="preserve">    Aviation spirit and wide cut gasoline</t>
  </si>
  <si>
    <t xml:space="preserve">    Aviation turbine fuel</t>
  </si>
  <si>
    <t xml:space="preserve">    Motor spirit</t>
  </si>
  <si>
    <t xml:space="preserve">     House coal</t>
  </si>
  <si>
    <t xml:space="preserve">    Burning oil</t>
  </si>
  <si>
    <t xml:space="preserve">     Anthracite and dry steam coal</t>
  </si>
  <si>
    <t xml:space="preserve">    Gas/diesel oil (DERV)</t>
  </si>
  <si>
    <t>Other consumers</t>
  </si>
  <si>
    <t xml:space="preserve">    Fuel oil</t>
  </si>
  <si>
    <t>Imported coal (weighted average)</t>
  </si>
  <si>
    <t xml:space="preserve">    Power station oil</t>
  </si>
  <si>
    <t>Exports (weighted average)</t>
  </si>
  <si>
    <t xml:space="preserve">    Non-fuel products (notional value)</t>
  </si>
  <si>
    <t>MJ per cubic metre</t>
  </si>
  <si>
    <t>Coke (including low temperature</t>
  </si>
  <si>
    <r>
      <t>Natural gas</t>
    </r>
    <r>
      <rPr>
        <i/>
        <sz val="8.5"/>
        <rFont val="Arial"/>
        <family val="2"/>
      </rPr>
      <t xml:space="preserve"> </t>
    </r>
    <r>
      <rPr>
        <sz val="8.5"/>
        <rFont val="Arial"/>
        <family val="2"/>
      </rPr>
      <t>produced</t>
    </r>
    <r>
      <rPr>
        <i/>
        <sz val="8.5"/>
        <rFont val="Arial"/>
        <family val="2"/>
      </rPr>
      <t xml:space="preserve"> (6)</t>
    </r>
  </si>
  <si>
    <t xml:space="preserve">      carbonisation cokes)</t>
  </si>
  <si>
    <r>
      <t>Natural gas</t>
    </r>
    <r>
      <rPr>
        <i/>
        <sz val="8.5"/>
        <rFont val="Arial"/>
        <family val="2"/>
      </rPr>
      <t xml:space="preserve"> </t>
    </r>
    <r>
      <rPr>
        <sz val="8.5"/>
        <rFont val="Arial"/>
        <family val="2"/>
      </rPr>
      <t>consumed</t>
    </r>
    <r>
      <rPr>
        <i/>
        <sz val="8.5"/>
        <rFont val="Arial"/>
        <family val="2"/>
      </rPr>
      <t xml:space="preserve"> (7)</t>
    </r>
  </si>
  <si>
    <t>Coke breeze</t>
  </si>
  <si>
    <t>Other manufactured solid fuel</t>
  </si>
  <si>
    <r>
      <t xml:space="preserve">Landfill gas </t>
    </r>
    <r>
      <rPr>
        <i/>
        <sz val="8.5"/>
        <rFont val="Arial"/>
        <family val="2"/>
      </rPr>
      <t>(8)</t>
    </r>
  </si>
  <si>
    <t>19-23</t>
  </si>
  <si>
    <t>21-25</t>
  </si>
  <si>
    <r>
      <t xml:space="preserve">Sewage gas </t>
    </r>
    <r>
      <rPr>
        <i/>
        <sz val="8.5"/>
        <rFont val="Arial"/>
        <family val="2"/>
      </rPr>
      <t>(8)</t>
    </r>
  </si>
  <si>
    <t>(1)  Applicable to UK consumption - based on calorific value for home produced coal plus imports and, for “All consumers” net of</t>
  </si>
  <si>
    <t xml:space="preserve">       exports.</t>
  </si>
  <si>
    <t>(2)  On an “as received” basis; seasoned logs at 25% moisture content. On a “dry” basis 18.6 GJ per tonne.</t>
  </si>
  <si>
    <t xml:space="preserve">(3)  Average figure covering a range of possible feedstock; at 25% moisture content. On a “dry” basis 18.6 GJ per tonne. </t>
  </si>
  <si>
    <t>(4)  Average figure based on survey returns.</t>
  </si>
  <si>
    <t>(5)  On an “as received” basis; at 40% moisture content. On a “dry” basis 18.6 GJ per tonne.</t>
  </si>
  <si>
    <t xml:space="preserve">(6)  The gross calorific value of natural gas can also be expressed as 11.018 kWh per cubic metre.  This value represents the </t>
  </si>
  <si>
    <t xml:space="preserve">       average calorific value seen for gas when extracted.  At this point it contains not just methane, but also some other</t>
  </si>
  <si>
    <t xml:space="preserve">       hydrocarbon gases (ethane, butane, propane).  These gases are removed before the gas enters the National Transmission </t>
  </si>
  <si>
    <t xml:space="preserve">      System for sale to final consumers.  </t>
  </si>
  <si>
    <t xml:space="preserve">(7) Home produced and imported gas. This weighted average of calorific values will approximate the average for the year that </t>
  </si>
  <si>
    <t xml:space="preserve">      readers will see quoted on their gas bills. It can also be expressed as 10.953 kWh per cubic metre.</t>
  </si>
  <si>
    <t>(8) Calorific value varies depending on the methane content of the gas.</t>
  </si>
  <si>
    <t>Note:  The above estimated average calorific values apply only to the year 2008.  For calorific values of fuels in earlier years see</t>
  </si>
  <si>
    <t xml:space="preserve">Tables A.2 and A.3 and previous issues of this Digest.  See the notes in Chapter 1, paragraph 1.52 regarding net calorific values. </t>
  </si>
  <si>
    <t xml:space="preserve">The calorific values for coal other than imported coal are based on estimates provided by the main coal producers, but with some  </t>
  </si>
  <si>
    <t xml:space="preserve">exceptions as noted on Table A.2. The calorific values for petroleum products have been calculated using the method described in </t>
  </si>
  <si>
    <t>Chapter 1, paragraph 1.29.  The calorific values for coke oven gas, blast furnace gas, coke and coke breeze are currently being</t>
  </si>
  <si>
    <t xml:space="preserve"> reviewed jointly by DECC and the Iron and Steel Statistics Bureau (ISSB).</t>
  </si>
  <si>
    <t xml:space="preserve">Data reported in this Digest in 'thousand tonnes of oil equivalent' have been prepared on the basis of 1 tonne of oil equivalent </t>
  </si>
  <si>
    <t>having an energy content of 41.868 gigajoules (GJ), (1 GJ = 9.478 therms) - see notes in Chapter 1, paragraphs 1.26 to 1.27.</t>
  </si>
  <si>
    <t>Coal (weighted average of all consumers)</t>
  </si>
  <si>
    <t>GJ</t>
  </si>
  <si>
    <t>Unit.GJ</t>
  </si>
  <si>
    <t>Coke</t>
  </si>
  <si>
    <t>Solid fuels</t>
  </si>
  <si>
    <t>Gasses</t>
  </si>
  <si>
    <t>Natural gas consumed</t>
  </si>
  <si>
    <t>Sewage gas</t>
  </si>
  <si>
    <t>Gross calorific values of selected fuels</t>
  </si>
  <si>
    <t>MJ</t>
  </si>
  <si>
    <t>Unit.MJ</t>
  </si>
  <si>
    <t>2.5   Commodity balances 2007</t>
  </si>
  <si>
    <t xml:space="preserve">              Manufactured fuels</t>
  </si>
  <si>
    <t>Thousand tonnes</t>
  </si>
  <si>
    <t>GWh</t>
  </si>
  <si>
    <t xml:space="preserve">Other </t>
  </si>
  <si>
    <t xml:space="preserve">Total </t>
  </si>
  <si>
    <t>Benzole</t>
  </si>
  <si>
    <t>Blast</t>
  </si>
  <si>
    <t>oven</t>
  </si>
  <si>
    <t>breeze</t>
  </si>
  <si>
    <t>manuf.</t>
  </si>
  <si>
    <t xml:space="preserve">manuf. </t>
  </si>
  <si>
    <t>and</t>
  </si>
  <si>
    <t>furnace</t>
  </si>
  <si>
    <t>coke</t>
  </si>
  <si>
    <t>solid fuel</t>
  </si>
  <si>
    <r>
      <t>tars</t>
    </r>
    <r>
      <rPr>
        <b/>
        <i/>
        <sz val="8.5"/>
        <rFont val="Arial"/>
        <family val="2"/>
      </rPr>
      <t xml:space="preserve"> </t>
    </r>
    <r>
      <rPr>
        <i/>
        <sz val="8.5"/>
        <rFont val="Arial"/>
        <family val="2"/>
      </rPr>
      <t>(5)</t>
    </r>
  </si>
  <si>
    <r>
      <t xml:space="preserve">Production </t>
    </r>
    <r>
      <rPr>
        <i/>
        <sz val="8.5"/>
        <rFont val="Arial"/>
        <family val="2"/>
      </rPr>
      <t>(1)</t>
    </r>
  </si>
  <si>
    <r>
      <t xml:space="preserve">Stock change </t>
    </r>
    <r>
      <rPr>
        <i/>
        <sz val="8.5"/>
        <rFont val="Arial"/>
        <family val="2"/>
      </rPr>
      <t>(2)</t>
    </r>
  </si>
  <si>
    <r>
      <t xml:space="preserve">Transfers </t>
    </r>
    <r>
      <rPr>
        <i/>
        <sz val="8.5"/>
        <rFont val="Arial"/>
        <family val="2"/>
      </rPr>
      <t>(3)</t>
    </r>
  </si>
  <si>
    <r>
      <t xml:space="preserve">Statistical difference </t>
    </r>
    <r>
      <rPr>
        <b/>
        <i/>
        <sz val="8.5"/>
        <rFont val="Arial"/>
        <family val="2"/>
      </rPr>
      <t>(4)</t>
    </r>
  </si>
  <si>
    <t>Low temperature carbonisation</t>
  </si>
  <si>
    <t>(1)  See paragraph 2.26</t>
  </si>
  <si>
    <t>(4)  Total supply minus total demand.</t>
  </si>
  <si>
    <t>(2)  Stock fall (+), stock rise (-).</t>
  </si>
  <si>
    <t xml:space="preserve">(5)  Because of the small number of benzole suppliers, figures for </t>
  </si>
  <si>
    <t>(3)  Coke oven gas and blast furnace gas transfers are</t>
  </si>
  <si>
    <t xml:space="preserve">       benzole and tars cannot be given separately.</t>
  </si>
  <si>
    <t xml:space="preserve">       for synthetic coke oven gas, see paragraph 2.48. </t>
  </si>
  <si>
    <t>Unit.GWh</t>
  </si>
  <si>
    <t>Name</t>
  </si>
  <si>
    <t>Name in formulae</t>
  </si>
  <si>
    <t>Petajoules</t>
  </si>
  <si>
    <t>Terajoules</t>
  </si>
  <si>
    <t>Gigajoules</t>
  </si>
  <si>
    <t>Megajoules</t>
  </si>
  <si>
    <t>Kilowatt-hours</t>
  </si>
  <si>
    <t>Kilowatt-hours per person per day</t>
  </si>
  <si>
    <t>Terawatt-hours</t>
  </si>
  <si>
    <t>Gigawatt-hours</t>
  </si>
  <si>
    <t>Tonnes of oil equivalent</t>
  </si>
  <si>
    <t>Kilotonnes of oil equivalent</t>
  </si>
  <si>
    <t>Megatonnes of oil equivalent</t>
  </si>
  <si>
    <t>Therms</t>
  </si>
  <si>
    <t>British Thermal Unit</t>
  </si>
  <si>
    <t>Calorie (NOT food calorie)</t>
  </si>
  <si>
    <t>Gigawatt-years</t>
  </si>
  <si>
    <t>Electricity (supplied to grid)</t>
  </si>
  <si>
    <t>Includes solid manufactured fuels (eg, coke)</t>
  </si>
  <si>
    <t>Includes refined liquid biofuels</t>
  </si>
  <si>
    <t>Heat as an energy source for heat pumps</t>
  </si>
  <si>
    <t>[1a]</t>
  </si>
  <si>
    <t>[4]</t>
  </si>
  <si>
    <t>Notes</t>
  </si>
  <si>
    <t>The energy content of the steam generated in the reactor</t>
  </si>
  <si>
    <t>Geosequestration</t>
  </si>
  <si>
    <t>[5]</t>
  </si>
  <si>
    <t>Industrial processes</t>
  </si>
  <si>
    <t>[6]</t>
  </si>
  <si>
    <t>[7]</t>
  </si>
  <si>
    <t>Hydrocarbon fuel power generation</t>
  </si>
  <si>
    <t>Nuclear power generation</t>
  </si>
  <si>
    <t>National renewable power generation</t>
  </si>
  <si>
    <t>[8]</t>
  </si>
  <si>
    <t>Energy consumption</t>
  </si>
  <si>
    <t xml:space="preserve">Commodity balances </t>
  </si>
  <si>
    <t>Total electricity</t>
  </si>
  <si>
    <r>
      <t>Other sources</t>
    </r>
    <r>
      <rPr>
        <i/>
        <sz val="8"/>
        <rFont val="Arial"/>
        <family val="2"/>
      </rPr>
      <t xml:space="preserve"> (1)</t>
    </r>
  </si>
  <si>
    <t xml:space="preserve"> - </t>
  </si>
  <si>
    <r>
      <t>Stock change</t>
    </r>
    <r>
      <rPr>
        <i/>
        <sz val="8"/>
        <rFont val="Arial"/>
        <family val="2"/>
      </rPr>
      <t xml:space="preserve"> </t>
    </r>
  </si>
  <si>
    <r>
      <t xml:space="preserve">Statistical difference </t>
    </r>
    <r>
      <rPr>
        <i/>
        <sz val="8.5"/>
        <rFont val="Arial"/>
        <family val="2"/>
      </rPr>
      <t>(2)</t>
    </r>
  </si>
  <si>
    <t xml:space="preserve">   Other generators</t>
  </si>
  <si>
    <t>Coal extraction and coke manufacture</t>
  </si>
  <si>
    <r>
      <t>Rail</t>
    </r>
    <r>
      <rPr>
        <i/>
        <sz val="8"/>
        <rFont val="Arial"/>
        <family val="2"/>
      </rPr>
      <t xml:space="preserve"> (3)</t>
    </r>
  </si>
  <si>
    <t>Commodity balances (continued)</t>
  </si>
  <si>
    <t>Electricity production</t>
  </si>
  <si>
    <r>
      <t>Total production</t>
    </r>
    <r>
      <rPr>
        <i/>
        <sz val="8.5"/>
        <rFont val="Arial"/>
        <family val="2"/>
      </rPr>
      <t xml:space="preserve"> (4)</t>
    </r>
  </si>
  <si>
    <t xml:space="preserve">  Major power producers</t>
  </si>
  <si>
    <t xml:space="preserve">   Nuclear</t>
  </si>
  <si>
    <r>
      <t xml:space="preserve">   Large scale hydro</t>
    </r>
    <r>
      <rPr>
        <i/>
        <sz val="8"/>
        <rFont val="Arial"/>
        <family val="2"/>
      </rPr>
      <t xml:space="preserve"> (4)</t>
    </r>
  </si>
  <si>
    <r>
      <t xml:space="preserve">   Small scale hydro</t>
    </r>
    <r>
      <rPr>
        <i/>
        <sz val="8"/>
        <rFont val="Arial"/>
        <family val="2"/>
      </rPr>
      <t xml:space="preserve"> </t>
    </r>
  </si>
  <si>
    <r>
      <t>..</t>
    </r>
    <r>
      <rPr>
        <i/>
        <sz val="8"/>
        <color indexed="8"/>
        <rFont val="Arial"/>
        <family val="2"/>
      </rPr>
      <t>(7)</t>
    </r>
  </si>
  <si>
    <r>
      <t xml:space="preserve">    Wind  </t>
    </r>
    <r>
      <rPr>
        <i/>
        <sz val="8"/>
        <rFont val="Arial"/>
        <family val="2"/>
      </rPr>
      <t>(5)</t>
    </r>
  </si>
  <si>
    <t xml:space="preserve">  Other generators</t>
  </si>
  <si>
    <t xml:space="preserve">   Large scale hydro</t>
  </si>
  <si>
    <r>
      <t>204</t>
    </r>
    <r>
      <rPr>
        <i/>
        <sz val="8"/>
        <color indexed="8"/>
        <rFont val="Arial"/>
        <family val="2"/>
      </rPr>
      <t>(7)</t>
    </r>
  </si>
  <si>
    <r>
      <t xml:space="preserve">   Wind</t>
    </r>
    <r>
      <rPr>
        <i/>
        <sz val="8"/>
        <rFont val="Arial"/>
        <family val="2"/>
      </rPr>
      <t xml:space="preserve"> (5)</t>
    </r>
  </si>
  <si>
    <t>Secondary electricity</t>
  </si>
  <si>
    <t xml:space="preserve">   Coal</t>
  </si>
  <si>
    <t xml:space="preserve">   Oil</t>
  </si>
  <si>
    <t xml:space="preserve">   Gas</t>
  </si>
  <si>
    <t xml:space="preserve">   Renewables</t>
  </si>
  <si>
    <t xml:space="preserve">   Other</t>
  </si>
  <si>
    <r>
      <t>Primary and secondary production</t>
    </r>
    <r>
      <rPr>
        <i/>
        <sz val="8.5"/>
        <rFont val="Arial"/>
        <family val="2"/>
      </rPr>
      <t xml:space="preserve"> (6)</t>
    </r>
  </si>
  <si>
    <t xml:space="preserve">Wind </t>
  </si>
  <si>
    <t>Other renewables</t>
  </si>
  <si>
    <t>Total production</t>
  </si>
  <si>
    <t>(1)  Pumped storage production.</t>
  </si>
  <si>
    <t>(2)  Total supply minus total demand.</t>
  </si>
  <si>
    <t>(3)  See paragraph 5.11.</t>
  </si>
  <si>
    <t>(4)  Excludes pumped storage production.</t>
  </si>
  <si>
    <t>(5)  From 2007, major wind farm companies are included under Major Power Producers, see paragraph 5.3</t>
  </si>
  <si>
    <t xml:space="preserve">(6)  These figures are the same as the electricity generated figures in Table 5.6 except that they exclude </t>
  </si>
  <si>
    <t xml:space="preserve">       pumped storage production.  Table 5.6 shows that electricity used on works is deducted to obtain </t>
  </si>
  <si>
    <t xml:space="preserve">      electricity supplied.  It is electricity supplied that is used to produce Chart 5.3 showing each fuel's share </t>
  </si>
  <si>
    <t xml:space="preserve">      of electricity output (see paragraph 5.28).</t>
  </si>
  <si>
    <t xml:space="preserve">(7)  A re-assessment in 2004 showed that some small scale hydro output previously classified to Other </t>
  </si>
  <si>
    <t xml:space="preserve">      Generators should be classified to Major Power Producers.  This re-classification cannot be</t>
  </si>
  <si>
    <t xml:space="preserve">      extended back to earlier years.</t>
  </si>
  <si>
    <r>
      <t>5.6</t>
    </r>
    <r>
      <rPr>
        <b/>
        <sz val="18"/>
        <color indexed="12"/>
        <rFont val="Arial"/>
        <family val="2"/>
      </rPr>
      <t xml:space="preserve">  Electricity fuel use, generation and supply</t>
    </r>
  </si>
  <si>
    <t>Thermal sources</t>
  </si>
  <si>
    <t>Non-thermal sources</t>
  </si>
  <si>
    <t>Renew-</t>
  </si>
  <si>
    <t>Hydro-</t>
  </si>
  <si>
    <t>ables</t>
  </si>
  <si>
    <t>(3)</t>
  </si>
  <si>
    <t>natural</t>
  </si>
  <si>
    <t>pumped</t>
  </si>
  <si>
    <t>(4)</t>
  </si>
  <si>
    <t>All</t>
  </si>
  <si>
    <t>(1)</t>
  </si>
  <si>
    <t>flow</t>
  </si>
  <si>
    <t>storage</t>
  </si>
  <si>
    <t>sources</t>
  </si>
  <si>
    <r>
      <t>Major power producers</t>
    </r>
    <r>
      <rPr>
        <i/>
        <sz val="8.5"/>
        <rFont val="Arial"/>
        <family val="2"/>
      </rPr>
      <t xml:space="preserve"> (2)</t>
    </r>
  </si>
  <si>
    <t xml:space="preserve">Fuel used </t>
  </si>
  <si>
    <t>Generation</t>
  </si>
  <si>
    <t>Used on works</t>
  </si>
  <si>
    <t>Supplied (gross)</t>
  </si>
  <si>
    <t>Used in pumping</t>
  </si>
  <si>
    <t>Supplied (net)</t>
  </si>
  <si>
    <r>
      <t>Other generators</t>
    </r>
    <r>
      <rPr>
        <i/>
        <sz val="8.5"/>
        <rFont val="Arial"/>
        <family val="2"/>
      </rPr>
      <t xml:space="preserve"> (2)</t>
    </r>
  </si>
  <si>
    <t xml:space="preserve">Generation </t>
  </si>
  <si>
    <t xml:space="preserve">Supplied </t>
  </si>
  <si>
    <t>All generating companies</t>
  </si>
  <si>
    <t>Fuel used</t>
  </si>
  <si>
    <r>
      <t xml:space="preserve">Major power producers </t>
    </r>
    <r>
      <rPr>
        <i/>
        <sz val="8.5"/>
        <rFont val="Arial"/>
        <family val="2"/>
      </rPr>
      <t>(2)</t>
    </r>
  </si>
  <si>
    <r>
      <t>Other generators</t>
    </r>
    <r>
      <rPr>
        <sz val="8.5"/>
        <rFont val="Arial"/>
        <family val="2"/>
      </rPr>
      <t xml:space="preserve"> </t>
    </r>
    <r>
      <rPr>
        <i/>
        <sz val="8.5"/>
        <rFont val="Arial"/>
        <family val="2"/>
      </rPr>
      <t>(2)</t>
    </r>
  </si>
  <si>
    <t xml:space="preserve"> -   </t>
  </si>
  <si>
    <r>
      <t xml:space="preserve">Other generators </t>
    </r>
    <r>
      <rPr>
        <i/>
        <sz val="8.5"/>
        <rFont val="Arial"/>
        <family val="2"/>
      </rPr>
      <t>(2)</t>
    </r>
  </si>
  <si>
    <r>
      <t>Major power producers</t>
    </r>
    <r>
      <rPr>
        <sz val="8.5"/>
        <rFont val="Arial"/>
        <family val="2"/>
      </rPr>
      <t xml:space="preserve"> </t>
    </r>
    <r>
      <rPr>
        <i/>
        <sz val="8.5"/>
        <rFont val="Arial"/>
        <family val="2"/>
      </rPr>
      <t>(2)</t>
    </r>
  </si>
  <si>
    <r>
      <t>5.6</t>
    </r>
    <r>
      <rPr>
        <b/>
        <sz val="18"/>
        <color indexed="12"/>
        <rFont val="Arial"/>
        <family val="2"/>
      </rPr>
      <t xml:space="preserve">  Electricity fuel use, generation and supply (continued)</t>
    </r>
  </si>
  <si>
    <r>
      <t>Major power producers</t>
    </r>
    <r>
      <rPr>
        <sz val="8.5"/>
        <rFont val="Arial"/>
        <family val="2"/>
      </rPr>
      <t xml:space="preserve"> </t>
    </r>
    <r>
      <rPr>
        <i/>
        <sz val="8.5"/>
        <rFont val="Arial"/>
        <family val="2"/>
      </rPr>
      <t>(2) (5)</t>
    </r>
  </si>
  <si>
    <r>
      <t>Other generators</t>
    </r>
    <r>
      <rPr>
        <i/>
        <sz val="8.5"/>
        <rFont val="Arial"/>
        <family val="2"/>
      </rPr>
      <t xml:space="preserve"> (2) (5)</t>
    </r>
  </si>
  <si>
    <t>Conv-</t>
  </si>
  <si>
    <t>CCGT</t>
  </si>
  <si>
    <t>entional</t>
  </si>
  <si>
    <t>thermal</t>
  </si>
  <si>
    <t>(6)</t>
  </si>
  <si>
    <r>
      <t>Major power producers</t>
    </r>
    <r>
      <rPr>
        <b/>
        <i/>
        <sz val="8.5"/>
        <rFont val="Arial"/>
        <family val="2"/>
      </rPr>
      <t xml:space="preserve"> </t>
    </r>
    <r>
      <rPr>
        <i/>
        <sz val="8.5"/>
        <rFont val="Arial"/>
        <family val="2"/>
      </rPr>
      <t>(2)</t>
    </r>
  </si>
  <si>
    <t>Generated</t>
  </si>
  <si>
    <t>Other generators</t>
  </si>
  <si>
    <t>(1)  Thermal renewable sources are those included under biofuels and non-biodegradable wastes in Chapter 7.</t>
  </si>
  <si>
    <t>(2)  See paragraphs 5.57 to 5.59 on companies covered.</t>
  </si>
  <si>
    <t>(3)  Other thermal sources include coke oven gas, blast furnace gas and waste products from chemical processes.</t>
  </si>
  <si>
    <t>(4)  Other non-thermal sources include wind, wave and solar photovoltaics.</t>
  </si>
  <si>
    <t xml:space="preserve">(6)  Includes gas turbines, oil engines and plants producing electricity from thermal renewable sources; also stations with some CCGT </t>
  </si>
  <si>
    <t xml:space="preserve">      capacity but mainly operate in conventional thermal mode.</t>
  </si>
  <si>
    <t>Nuclear power stations</t>
  </si>
  <si>
    <t>Consumption</t>
  </si>
  <si>
    <t>Net balance</t>
  </si>
  <si>
    <t>Total consumption</t>
  </si>
  <si>
    <t>Combustion emissions factors</t>
  </si>
  <si>
    <t>Industrial coal</t>
  </si>
  <si>
    <t>Diesel</t>
  </si>
  <si>
    <t>Commodity selected</t>
  </si>
  <si>
    <t>Heat energy as an energy transport vector (Includes Heat Sold in DUKES terminology)</t>
  </si>
  <si>
    <t>Includes both food and biofuels. The sign convention is that imports are negative (think of it as the change in stock held abroad)</t>
  </si>
  <si>
    <t>Gaseous hydrocarbons</t>
  </si>
  <si>
    <t>Global warming potentials</t>
  </si>
  <si>
    <t>GWP</t>
  </si>
  <si>
    <t>Carbon dioxide</t>
  </si>
  <si>
    <t>Methane</t>
  </si>
  <si>
    <t>Nitrous oxide</t>
  </si>
  <si>
    <t>HFCs</t>
  </si>
  <si>
    <t>PFCs</t>
  </si>
  <si>
    <r>
      <t>SF</t>
    </r>
    <r>
      <rPr>
        <vertAlign val="subscript"/>
        <sz val="10"/>
        <color theme="1"/>
        <rFont val="Cambria"/>
        <family val="1"/>
        <scheme val="minor"/>
      </rPr>
      <t>6</t>
    </r>
  </si>
  <si>
    <t>140 to 11,700</t>
  </si>
  <si>
    <t>6,500 to 9,200</t>
  </si>
  <si>
    <t>Review of Carbon Emissions Factors 2002 (Blast furnace gas)</t>
  </si>
  <si>
    <t>DUKES 2009 Annex A</t>
  </si>
  <si>
    <t xml:space="preserve">Sources: </t>
  </si>
  <si>
    <t>Source:</t>
  </si>
  <si>
    <t>UK GHG Inventory 2009, Table 1.1</t>
  </si>
  <si>
    <t>Note:</t>
  </si>
  <si>
    <t>GHG Inventory 2009, Table 1.A(a)</t>
  </si>
  <si>
    <t>CH4 and N2O emissions have been estimated using the ratios of emissions of each</t>
  </si>
  <si>
    <t>to the emissions of CO2 implied by Table 1.A(a) in the GHG inventory. This has</t>
  </si>
  <si>
    <t>been done separately for each form of fuel listed above</t>
  </si>
  <si>
    <r>
      <t>CO</t>
    </r>
    <r>
      <rPr>
        <b/>
        <vertAlign val="subscript"/>
        <sz val="10"/>
        <color theme="1"/>
        <rFont val="Cambria"/>
        <family val="1"/>
        <scheme val="minor"/>
      </rPr>
      <t>2</t>
    </r>
    <r>
      <rPr>
        <b/>
        <sz val="10"/>
        <color theme="1"/>
        <rFont val="Cambria"/>
        <family val="1"/>
        <scheme val="minor"/>
      </rPr>
      <t xml:space="preserve"> (Mt)</t>
    </r>
  </si>
  <si>
    <r>
      <t>CH</t>
    </r>
    <r>
      <rPr>
        <b/>
        <vertAlign val="subscript"/>
        <sz val="10"/>
        <color theme="1"/>
        <rFont val="Cambria"/>
        <family val="1"/>
        <scheme val="minor"/>
      </rPr>
      <t>4</t>
    </r>
    <r>
      <rPr>
        <b/>
        <sz val="10"/>
        <color theme="1"/>
        <rFont val="Cambria"/>
        <family val="1"/>
        <scheme val="minor"/>
      </rPr>
      <t xml:space="preserve"> (Mt CO</t>
    </r>
    <r>
      <rPr>
        <b/>
        <vertAlign val="subscript"/>
        <sz val="10"/>
        <color theme="1"/>
        <rFont val="Cambria"/>
        <family val="1"/>
        <scheme val="minor"/>
      </rPr>
      <t>2</t>
    </r>
    <r>
      <rPr>
        <b/>
        <sz val="10"/>
        <color theme="1"/>
        <rFont val="Cambria"/>
        <family val="1"/>
        <scheme val="minor"/>
      </rPr>
      <t>e)</t>
    </r>
  </si>
  <si>
    <r>
      <t>N</t>
    </r>
    <r>
      <rPr>
        <b/>
        <vertAlign val="subscript"/>
        <sz val="10"/>
        <color theme="1"/>
        <rFont val="Cambria"/>
        <family val="1"/>
        <scheme val="minor"/>
      </rPr>
      <t>2</t>
    </r>
    <r>
      <rPr>
        <b/>
        <sz val="10"/>
        <color theme="1"/>
        <rFont val="Cambria"/>
        <family val="1"/>
        <scheme val="minor"/>
      </rPr>
      <t>O (Mt CO</t>
    </r>
    <r>
      <rPr>
        <b/>
        <vertAlign val="subscript"/>
        <sz val="10"/>
        <color theme="1"/>
        <rFont val="Cambria"/>
        <family val="1"/>
        <scheme val="minor"/>
      </rPr>
      <t>2</t>
    </r>
    <r>
      <rPr>
        <b/>
        <sz val="10"/>
        <color theme="1"/>
        <rFont val="Cambria"/>
        <family val="1"/>
        <scheme val="minor"/>
      </rPr>
      <t>e)</t>
    </r>
  </si>
  <si>
    <t>Workstreams</t>
  </si>
  <si>
    <t>Workstream</t>
  </si>
  <si>
    <t>Comments</t>
  </si>
  <si>
    <t>V</t>
  </si>
  <si>
    <t>VI</t>
  </si>
  <si>
    <t>VII</t>
  </si>
  <si>
    <t>VIII</t>
  </si>
  <si>
    <t>XIV</t>
  </si>
  <si>
    <t>IX</t>
  </si>
  <si>
    <t>X</t>
  </si>
  <si>
    <t>XI</t>
  </si>
  <si>
    <t>XII</t>
  </si>
  <si>
    <t>XIII</t>
  </si>
  <si>
    <t>H2 Production</t>
  </si>
  <si>
    <t>Outputs</t>
  </si>
  <si>
    <t>Total secondary sources</t>
  </si>
  <si>
    <t>Total primary sources</t>
  </si>
  <si>
    <t>Secondary sources</t>
  </si>
  <si>
    <t>2007</t>
  </si>
  <si>
    <t>2010</t>
  </si>
  <si>
    <t>Energy is measured in:</t>
  </si>
  <si>
    <t>Power is measured in:</t>
  </si>
  <si>
    <t>Energy conversions</t>
  </si>
  <si>
    <t>Power conversions</t>
  </si>
  <si>
    <t>Watts</t>
  </si>
  <si>
    <t>GW</t>
  </si>
  <si>
    <t>kW</t>
  </si>
  <si>
    <t>Gigawatts</t>
  </si>
  <si>
    <t>Kilowatts</t>
  </si>
  <si>
    <t>Unit.GW</t>
  </si>
  <si>
    <t>Unit.kW</t>
  </si>
  <si>
    <t>MW</t>
  </si>
  <si>
    <t>Megawatts</t>
  </si>
  <si>
    <t>Unit.MW</t>
  </si>
  <si>
    <t>Mtoe/y</t>
  </si>
  <si>
    <t>Mtoe per year</t>
  </si>
  <si>
    <t>Unit.Mtoe.y</t>
  </si>
  <si>
    <t>Time conversions</t>
  </si>
  <si>
    <t>Seconds</t>
  </si>
  <si>
    <t>y</t>
  </si>
  <si>
    <t>Year</t>
  </si>
  <si>
    <t>Unit.year</t>
  </si>
  <si>
    <t>Fuel</t>
  </si>
  <si>
    <t>Notes:</t>
  </si>
  <si>
    <t>2015</t>
  </si>
  <si>
    <t>2020</t>
  </si>
  <si>
    <t>2025</t>
  </si>
  <si>
    <t>2030</t>
  </si>
  <si>
    <t>2035</t>
  </si>
  <si>
    <t>2040</t>
  </si>
  <si>
    <t>2045</t>
  </si>
  <si>
    <t>2050</t>
  </si>
  <si>
    <t>Energy produced and required</t>
  </si>
  <si>
    <t>Methodology</t>
  </si>
  <si>
    <t>Equivalent to</t>
  </si>
  <si>
    <t>J</t>
  </si>
  <si>
    <t>Unit.J</t>
  </si>
  <si>
    <t>W</t>
  </si>
  <si>
    <t>Unit.W</t>
  </si>
  <si>
    <t>Modules</t>
  </si>
  <si>
    <t>I.a</t>
  </si>
  <si>
    <t>Module</t>
  </si>
  <si>
    <t>WS Code</t>
  </si>
  <si>
    <t>Primary source</t>
  </si>
  <si>
    <t>Fossil fuels</t>
  </si>
  <si>
    <t>Uses</t>
  </si>
  <si>
    <t>V.07</t>
  </si>
  <si>
    <t>V.08</t>
  </si>
  <si>
    <t>V.09</t>
  </si>
  <si>
    <t>II.a</t>
  </si>
  <si>
    <t>Load factor</t>
  </si>
  <si>
    <t>VII.a</t>
  </si>
  <si>
    <t>Electricity grid distribution</t>
  </si>
  <si>
    <t>VII.b</t>
  </si>
  <si>
    <t>Fixed assumptions</t>
  </si>
  <si>
    <t>VII.c</t>
  </si>
  <si>
    <t>*</t>
  </si>
  <si>
    <t>Y.03</t>
  </si>
  <si>
    <t>Eg, pumped storage</t>
  </si>
  <si>
    <t>III.b</t>
  </si>
  <si>
    <t>Natural flow hydro (ie, excludes pumped storage)</t>
  </si>
  <si>
    <t>III.c</t>
  </si>
  <si>
    <t>III.d</t>
  </si>
  <si>
    <t>III.e</t>
  </si>
  <si>
    <t>Derived assumptions</t>
  </si>
  <si>
    <t>Population</t>
  </si>
  <si>
    <t>Households</t>
  </si>
  <si>
    <t>Global assumptions for all sectors</t>
  </si>
  <si>
    <t>GDP:</t>
  </si>
  <si>
    <t>GDP (2005 £m)</t>
  </si>
  <si>
    <t>Households:</t>
  </si>
  <si>
    <t>Populations:</t>
  </si>
  <si>
    <t>ONS 2008-based Population Projections. Populations beyond 2033 are interpolated based on given average annual changes</t>
  </si>
  <si>
    <t>Sources</t>
  </si>
  <si>
    <t>IX.a</t>
  </si>
  <si>
    <t>Component</t>
  </si>
  <si>
    <t>Technology</t>
  </si>
  <si>
    <t xml:space="preserve">CLG Household estimates and projections 1961-2033 (2006-based). </t>
  </si>
  <si>
    <t>Years prior to 2031 linearly interpolated from figures given; Post 2031, growth is assumed to be 1.00% pa, consistent with average trend 2006-2031</t>
  </si>
  <si>
    <t>×</t>
  </si>
  <si>
    <t>=</t>
  </si>
  <si>
    <t>%</t>
  </si>
  <si>
    <t>District heating</t>
  </si>
  <si>
    <t>Heat transport</t>
  </si>
  <si>
    <t>I.b</t>
  </si>
  <si>
    <t>Onshore wind</t>
  </si>
  <si>
    <t>Offshore wind</t>
  </si>
  <si>
    <t>IX.b</t>
  </si>
  <si>
    <t>XI.a</t>
  </si>
  <si>
    <t>Emissions</t>
  </si>
  <si>
    <t>XII.a</t>
  </si>
  <si>
    <t>Liquids</t>
  </si>
  <si>
    <t>Petroleum products (weighted average)</t>
  </si>
  <si>
    <t>DUKES 2009 (figures are for fuels in 2008)</t>
  </si>
  <si>
    <t>kg / litre</t>
  </si>
  <si>
    <t>Motor spirit</t>
  </si>
  <si>
    <t>Diesel (DERV)</t>
  </si>
  <si>
    <t>Densities of selected fuels</t>
  </si>
  <si>
    <t>Liquid fuels</t>
  </si>
  <si>
    <t>DUKES 2009, Annex A</t>
  </si>
  <si>
    <t>Motor spirit (all grades)</t>
  </si>
  <si>
    <t>DERV</t>
  </si>
  <si>
    <t>Energy content</t>
  </si>
  <si>
    <t>XII.b</t>
  </si>
  <si>
    <t>litres</t>
  </si>
  <si>
    <t>Electric</t>
  </si>
  <si>
    <t>XII.c</t>
  </si>
  <si>
    <t>Fuel use, aviation</t>
  </si>
  <si>
    <t>Aviation Fuel</t>
  </si>
  <si>
    <t>Compute energy content of fuel</t>
  </si>
  <si>
    <t>Aviation turbine fuel (ATF)</t>
  </si>
  <si>
    <t>VI.a</t>
  </si>
  <si>
    <t>Includes plant and animal biomass</t>
  </si>
  <si>
    <t>Includes manure, sewage sludge, domestic food waste</t>
  </si>
  <si>
    <t>All built environment non-heating electricity demand plus cooking</t>
  </si>
  <si>
    <t>V.10</t>
  </si>
  <si>
    <t>XIII.a</t>
  </si>
  <si>
    <t>None in 2007</t>
  </si>
  <si>
    <t>Total adjust.</t>
  </si>
  <si>
    <t>Adjustments</t>
  </si>
  <si>
    <t>IX.c</t>
  </si>
  <si>
    <t>IX.d</t>
  </si>
  <si>
    <t>Total Domestic</t>
  </si>
  <si>
    <t>Total Commercial</t>
  </si>
  <si>
    <t>Total uses</t>
  </si>
  <si>
    <t>X.a</t>
  </si>
  <si>
    <t>X.b</t>
  </si>
  <si>
    <t>Domestic lighting, appliances, and cooking</t>
  </si>
  <si>
    <t>Commercial lighting, appliances, and catering</t>
  </si>
  <si>
    <t>XII.d</t>
  </si>
  <si>
    <t>International aviation</t>
  </si>
  <si>
    <t>Domestic aviation</t>
  </si>
  <si>
    <t>XII.e</t>
  </si>
  <si>
    <t>International shipping (maritime bunkers)</t>
  </si>
  <si>
    <t>XII.f</t>
  </si>
  <si>
    <t>Total Aviation</t>
  </si>
  <si>
    <t>Total Shipping</t>
  </si>
  <si>
    <t>XIV.a</t>
  </si>
  <si>
    <t>V.a</t>
  </si>
  <si>
    <t>VI.b</t>
  </si>
  <si>
    <t>T.05</t>
  </si>
  <si>
    <t>T.06</t>
  </si>
  <si>
    <t>International shipping</t>
  </si>
  <si>
    <t>XV</t>
  </si>
  <si>
    <t>Fossil fuel production</t>
  </si>
  <si>
    <t>XV.a</t>
  </si>
  <si>
    <t>IV.a</t>
  </si>
  <si>
    <t>VIII.a</t>
  </si>
  <si>
    <t>Distribution, storage, and balancing</t>
  </si>
  <si>
    <t>XV.b</t>
  </si>
  <si>
    <t>Indigenous fossil-fuel production</t>
  </si>
  <si>
    <t>Y.04</t>
  </si>
  <si>
    <t>Y.05</t>
  </si>
  <si>
    <t>Y.06</t>
  </si>
  <si>
    <t>Reserves</t>
  </si>
  <si>
    <t>Q.01</t>
  </si>
  <si>
    <t>Q.02</t>
  </si>
  <si>
    <t>Q.03</t>
  </si>
  <si>
    <t>Coal reserves</t>
  </si>
  <si>
    <t>Oil reserves</t>
  </si>
  <si>
    <t>Electricity use</t>
  </si>
  <si>
    <t>XVI</t>
  </si>
  <si>
    <t>XVI.a</t>
  </si>
  <si>
    <t>XVI.b</t>
  </si>
  <si>
    <t>Fossil fuel transfers</t>
  </si>
  <si>
    <t>Total Dist'n, storage, and balancing</t>
  </si>
  <si>
    <t>Computed within this worksheet</t>
  </si>
  <si>
    <t>Road transport</t>
  </si>
  <si>
    <t>Rail transport</t>
  </si>
  <si>
    <t>Gas reserves</t>
  </si>
  <si>
    <t>A.01</t>
  </si>
  <si>
    <t>Food and biomatter production</t>
  </si>
  <si>
    <t>http://www.communities.gov.uk/housing/housingresearch/housingstatistics/housingstatisticsby/householdestimates/livetables-households/</t>
  </si>
  <si>
    <t>GCV of diesel</t>
  </si>
  <si>
    <t>Crude oil (weighted average)</t>
  </si>
  <si>
    <t>Natural gas produced</t>
  </si>
  <si>
    <t>IPCC Sector</t>
  </si>
  <si>
    <t>Fuel Combustion</t>
  </si>
  <si>
    <t>Industrial Processes</t>
  </si>
  <si>
    <t>Solvent and Other Product Use</t>
  </si>
  <si>
    <t>Sector_code</t>
  </si>
  <si>
    <t>Sector_description</t>
  </si>
  <si>
    <t>IPCC Emissions Sectors</t>
  </si>
  <si>
    <t>X1</t>
  </si>
  <si>
    <t>X2</t>
  </si>
  <si>
    <t>Greenhouse gasses</t>
  </si>
  <si>
    <t>GHG_code</t>
  </si>
  <si>
    <t>GHG_description</t>
  </si>
  <si>
    <t>CO2</t>
  </si>
  <si>
    <t>CH4</t>
  </si>
  <si>
    <t>N2O</t>
  </si>
  <si>
    <t>F</t>
  </si>
  <si>
    <t>CO_2</t>
  </si>
  <si>
    <t>CH_4</t>
  </si>
  <si>
    <t>N_2O</t>
  </si>
  <si>
    <t>HFCs, PFCs, and SF_6</t>
  </si>
  <si>
    <t>Primary Sources</t>
  </si>
  <si>
    <t>1B</t>
  </si>
  <si>
    <t>1A</t>
  </si>
  <si>
    <t>Fugitive Emissions from Fuels</t>
  </si>
  <si>
    <r>
      <t>Emissions (Mt CO</t>
    </r>
    <r>
      <rPr>
        <b/>
        <vertAlign val="subscript"/>
        <sz val="18"/>
        <color theme="1"/>
        <rFont val="Calibri"/>
        <family val="2"/>
        <scheme val="major"/>
      </rPr>
      <t>2</t>
    </r>
    <r>
      <rPr>
        <b/>
        <sz val="18"/>
        <color theme="1"/>
        <rFont val="Calibri"/>
        <family val="2"/>
        <scheme val="major"/>
      </rPr>
      <t>e)</t>
    </r>
  </si>
  <si>
    <t>Assumed combustion emissions factors</t>
  </si>
  <si>
    <t>Industrial coal EF</t>
  </si>
  <si>
    <t>Diesel EF</t>
  </si>
  <si>
    <t>Natural gas EF</t>
  </si>
  <si>
    <t>GHG</t>
  </si>
  <si>
    <t>Emissions produced</t>
  </si>
  <si>
    <r>
      <t>Mt CO</t>
    </r>
    <r>
      <rPr>
        <vertAlign val="subscript"/>
        <sz val="10"/>
        <color theme="1"/>
        <rFont val="Cambria"/>
        <family val="1"/>
        <scheme val="minor"/>
      </rPr>
      <t>2</t>
    </r>
    <r>
      <rPr>
        <sz val="10"/>
        <color theme="1"/>
        <rFont val="Cambria"/>
        <family val="1"/>
        <scheme val="minor"/>
      </rPr>
      <t>e</t>
    </r>
  </si>
  <si>
    <t>Combustion emissions</t>
  </si>
  <si>
    <t>X3</t>
  </si>
  <si>
    <t xml:space="preserve">1.9  Fuels consumed for electricity generation </t>
  </si>
  <si>
    <r>
      <t xml:space="preserve">      (autogeneration) by main industrial groups</t>
    </r>
    <r>
      <rPr>
        <i/>
        <vertAlign val="superscript"/>
        <sz val="18"/>
        <color indexed="12"/>
        <rFont val="Arial"/>
        <family val="2"/>
      </rPr>
      <t>(1)</t>
    </r>
  </si>
  <si>
    <t xml:space="preserve">Thousand tonnes of oil equivalent </t>
  </si>
  <si>
    <t>(except where shown otherwise)</t>
  </si>
  <si>
    <t>Iron and steel and non-ferrous metals</t>
  </si>
  <si>
    <t xml:space="preserve">   Blast furnace gas </t>
  </si>
  <si>
    <t xml:space="preserve">   Coke oven gas</t>
  </si>
  <si>
    <t xml:space="preserve">   Natural gas</t>
  </si>
  <si>
    <t xml:space="preserve">   Petroleum</t>
  </si>
  <si>
    <r>
      <t xml:space="preserve">   Other (including renewables)</t>
    </r>
    <r>
      <rPr>
        <i/>
        <sz val="8"/>
        <rFont val="Arial"/>
        <family val="2"/>
      </rPr>
      <t xml:space="preserve"> (2)</t>
    </r>
  </si>
  <si>
    <r>
      <t>Total fuel input</t>
    </r>
    <r>
      <rPr>
        <i/>
        <sz val="8.5"/>
        <rFont val="Arial"/>
        <family val="2"/>
      </rPr>
      <t xml:space="preserve"> (3)</t>
    </r>
  </si>
  <si>
    <t>Electricity generated by iron &amp; steel and non-ferrous</t>
  </si>
  <si>
    <r>
      <t xml:space="preserve">metals </t>
    </r>
    <r>
      <rPr>
        <i/>
        <sz val="8.5"/>
        <rFont val="Arial"/>
        <family val="2"/>
      </rPr>
      <t>(4)                                                                     (in GWh)</t>
    </r>
  </si>
  <si>
    <t>Electricity consumed by iron and steel and non-ferrous</t>
  </si>
  <si>
    <r>
      <t>metals from own generation</t>
    </r>
    <r>
      <rPr>
        <i/>
        <sz val="8.5"/>
        <rFont val="Arial"/>
        <family val="2"/>
      </rPr>
      <t xml:space="preserve"> (5)                             (in GWh)</t>
    </r>
  </si>
  <si>
    <r>
      <t>Electricity generated by chemicals</t>
    </r>
    <r>
      <rPr>
        <i/>
        <sz val="8.5"/>
        <rFont val="Arial"/>
        <family val="2"/>
      </rPr>
      <t xml:space="preserve"> (4)</t>
    </r>
  </si>
  <si>
    <r>
      <t xml:space="preserve">                                                                                      </t>
    </r>
    <r>
      <rPr>
        <i/>
        <sz val="8"/>
        <rFont val="Arial"/>
        <family val="2"/>
      </rPr>
      <t xml:space="preserve"> (in GWh)</t>
    </r>
  </si>
  <si>
    <r>
      <t>Electricity consumed by chemicals from own generation</t>
    </r>
    <r>
      <rPr>
        <i/>
        <sz val="8.5"/>
        <rFont val="Arial"/>
        <family val="2"/>
      </rPr>
      <t xml:space="preserve"> (5)</t>
    </r>
  </si>
  <si>
    <t xml:space="preserve">                                                                                       (in GWh)</t>
  </si>
  <si>
    <t>Metal products, machinery and equipment</t>
  </si>
  <si>
    <r>
      <t xml:space="preserve">   Other (including renewables) </t>
    </r>
    <r>
      <rPr>
        <i/>
        <sz val="8"/>
        <rFont val="Arial"/>
        <family val="2"/>
      </rPr>
      <t>(2)</t>
    </r>
  </si>
  <si>
    <r>
      <t xml:space="preserve">Total fuel input </t>
    </r>
    <r>
      <rPr>
        <i/>
        <sz val="8.5"/>
        <rFont val="Arial"/>
        <family val="2"/>
      </rPr>
      <t>(3)</t>
    </r>
  </si>
  <si>
    <t>Electricity generated by metal products, machinery</t>
  </si>
  <si>
    <r>
      <t xml:space="preserve">and equipment </t>
    </r>
    <r>
      <rPr>
        <i/>
        <sz val="8.5"/>
        <rFont val="Arial"/>
        <family val="2"/>
      </rPr>
      <t>(4)                                                      (in GWh)</t>
    </r>
  </si>
  <si>
    <t xml:space="preserve">Electricity consumed by metal products, machinery </t>
  </si>
  <si>
    <r>
      <t xml:space="preserve">and equipment from own generation </t>
    </r>
    <r>
      <rPr>
        <i/>
        <sz val="8.5"/>
        <rFont val="Arial"/>
        <family val="2"/>
      </rPr>
      <t>(5)              (in GWh)</t>
    </r>
  </si>
  <si>
    <t>Food, beverages and tobacco</t>
  </si>
  <si>
    <r>
      <t>Electricity generated by food, beverages and tobacco</t>
    </r>
    <r>
      <rPr>
        <i/>
        <sz val="8.5"/>
        <rFont val="Arial"/>
        <family val="2"/>
      </rPr>
      <t xml:space="preserve"> (4)</t>
    </r>
  </si>
  <si>
    <t>Electricity consumed by food, beverages and tobacco</t>
  </si>
  <si>
    <r>
      <t xml:space="preserve">from own generation </t>
    </r>
    <r>
      <rPr>
        <i/>
        <sz val="8.5"/>
        <rFont val="Arial"/>
        <family val="2"/>
      </rPr>
      <t>(5) (6)                                         (in GWh)</t>
    </r>
  </si>
  <si>
    <t>(1)  Industrial categories used are described in Table 1G.</t>
  </si>
  <si>
    <t>(2)  Includes hydro electricity, solid and gaseous renewables and waste.</t>
  </si>
  <si>
    <t>(3)  Total fuels used for generation of electricity.  Consistent with figures for fuels used by other generators in Table 5.4.</t>
  </si>
  <si>
    <r>
      <t xml:space="preserve">       (autogeneration) by main industrial groups</t>
    </r>
    <r>
      <rPr>
        <i/>
        <vertAlign val="superscript"/>
        <sz val="18"/>
        <color indexed="12"/>
        <rFont val="Arial"/>
        <family val="2"/>
      </rPr>
      <t>(1)</t>
    </r>
    <r>
      <rPr>
        <b/>
        <sz val="18"/>
        <color indexed="12"/>
        <rFont val="Arial"/>
        <family val="2"/>
      </rPr>
      <t xml:space="preserve"> </t>
    </r>
  </si>
  <si>
    <t xml:space="preserve">       (continued)</t>
  </si>
  <si>
    <t>Paper, printing and publishing</t>
  </si>
  <si>
    <r>
      <t xml:space="preserve">Electricity generated by paper, printing and publishing </t>
    </r>
    <r>
      <rPr>
        <i/>
        <sz val="8.5"/>
        <rFont val="Arial"/>
        <family val="2"/>
      </rPr>
      <t>(4)</t>
    </r>
  </si>
  <si>
    <r>
      <t xml:space="preserve">                                                                                       </t>
    </r>
    <r>
      <rPr>
        <i/>
        <sz val="8"/>
        <rFont val="Arial"/>
        <family val="2"/>
      </rPr>
      <t xml:space="preserve"> (in GWh)</t>
    </r>
  </si>
  <si>
    <t xml:space="preserve">Electricity consumed by paper, printing and publishing </t>
  </si>
  <si>
    <r>
      <t xml:space="preserve">from own generation </t>
    </r>
    <r>
      <rPr>
        <i/>
        <sz val="8.5"/>
        <rFont val="Arial"/>
        <family val="2"/>
      </rPr>
      <t>(5)                                           (in GWh)</t>
    </r>
  </si>
  <si>
    <r>
      <t xml:space="preserve">Electricity generated by other industries </t>
    </r>
    <r>
      <rPr>
        <i/>
        <sz val="8.5"/>
        <rFont val="Arial"/>
        <family val="2"/>
      </rPr>
      <t>(4)</t>
    </r>
  </si>
  <si>
    <r>
      <t xml:space="preserve">                                                                                        </t>
    </r>
    <r>
      <rPr>
        <i/>
        <sz val="8"/>
        <rFont val="Arial"/>
        <family val="2"/>
      </rPr>
      <t xml:space="preserve"> (in GWh)</t>
    </r>
  </si>
  <si>
    <t xml:space="preserve">Electricity consumed by other industries from own </t>
  </si>
  <si>
    <r>
      <t>generation</t>
    </r>
    <r>
      <rPr>
        <i/>
        <sz val="8.5"/>
        <rFont val="Arial"/>
        <family val="2"/>
      </rPr>
      <t xml:space="preserve"> (5)                                                             (in GWh)</t>
    </r>
  </si>
  <si>
    <t xml:space="preserve">   Natural gas </t>
  </si>
  <si>
    <r>
      <t>Electricity generated</t>
    </r>
    <r>
      <rPr>
        <i/>
        <sz val="8.5"/>
        <rFont val="Arial"/>
        <family val="2"/>
      </rPr>
      <t xml:space="preserve"> (4)</t>
    </r>
  </si>
  <si>
    <r>
      <t xml:space="preserve">                                                                                       </t>
    </r>
    <r>
      <rPr>
        <i/>
        <sz val="8"/>
        <rFont val="Arial"/>
        <family val="2"/>
      </rPr>
      <t>(in GWh)</t>
    </r>
  </si>
  <si>
    <r>
      <t xml:space="preserve">Electricity consumed from own generation </t>
    </r>
    <r>
      <rPr>
        <i/>
        <sz val="8.5"/>
        <rFont val="Arial"/>
        <family val="2"/>
      </rPr>
      <t>(5)</t>
    </r>
  </si>
  <si>
    <t>(4) Combined heat and power (CHP) generation (ie electrical output from Table 6.8) plus non-chp generation, so that</t>
  </si>
  <si>
    <t xml:space="preserve">     the total electricity generated is consistent with the "other generators" figures in Table 5.6. </t>
  </si>
  <si>
    <t>(5) This is the electricity consumed by the industrial sector from its own generation and is consistent with the other</t>
  </si>
  <si>
    <t xml:space="preserve">     generators final users figures used within the electricity balances (Tables 5.1 and 5.2).  These figures are less than </t>
  </si>
  <si>
    <t xml:space="preserve">      the total generated because some of the electricity is sold to the public distribution system and other users.</t>
  </si>
  <si>
    <t xml:space="preserve">(6) 2007 figure is likley to change. Inconsistencies which occurred during the reclassification of CHP schemes </t>
  </si>
  <si>
    <t xml:space="preserve">      are currently being investigated. </t>
  </si>
  <si>
    <t>(7) The figures presented here are consistent with other figures presented elsewhere in this publication as detailed at</t>
  </si>
  <si>
    <t xml:space="preserve">     (3), (4), and (5) above but are further dissaggregated.  Overall totals  covering all autogenerators can be derived by </t>
  </si>
  <si>
    <t xml:space="preserve">     adding in figures for transport, services and the fuel industries.  These can be summarised as follows:</t>
  </si>
  <si>
    <t>Fuel input</t>
  </si>
  <si>
    <t xml:space="preserve">   All industry</t>
  </si>
  <si>
    <t xml:space="preserve">   Fuel industries</t>
  </si>
  <si>
    <t xml:space="preserve">   Transport, Commerce and Administration</t>
  </si>
  <si>
    <t xml:space="preserve">   Services</t>
  </si>
  <si>
    <t>Total fuel input</t>
  </si>
  <si>
    <t>Electricity generated</t>
  </si>
  <si>
    <t>Electricity consumed</t>
  </si>
  <si>
    <t>Compute combustion emissions</t>
  </si>
  <si>
    <t>Not applicable to the UK</t>
  </si>
  <si>
    <t>Emissions notes</t>
  </si>
  <si>
    <t>Fugitive emissions from fuels</t>
  </si>
  <si>
    <t>1B2a</t>
  </si>
  <si>
    <t>1B2b</t>
  </si>
  <si>
    <t>Natural Gas</t>
  </si>
  <si>
    <t>1B1a</t>
  </si>
  <si>
    <t>Coal Mining and Handling</t>
  </si>
  <si>
    <t>1B1b</t>
  </si>
  <si>
    <t>Solid Fuel Transformation</t>
  </si>
  <si>
    <t>1B1c</t>
  </si>
  <si>
    <t>1B2c</t>
  </si>
  <si>
    <t>1B2d</t>
  </si>
  <si>
    <t>Venting and Flaring</t>
  </si>
  <si>
    <t>Majority are methane emissions from coal mining</t>
  </si>
  <si>
    <t>Small compared to 1B1a</t>
  </si>
  <si>
    <t>Small compared to 1B2b and 1B2c</t>
  </si>
  <si>
    <t>Majority are CO2 emissions from flaring</t>
  </si>
  <si>
    <t>Modelled driver is coal production</t>
  </si>
  <si>
    <t>Modelled driver is oil production</t>
  </si>
  <si>
    <t>Majority are methane emissions from distributed gas</t>
  </si>
  <si>
    <t>Modelled driver is gas consumption</t>
  </si>
  <si>
    <t>Includes distribution losses for gas</t>
  </si>
  <si>
    <t>Electricity Generation</t>
  </si>
  <si>
    <t>Nuclear fission</t>
  </si>
  <si>
    <t>UK incident solar energy, annual average</t>
  </si>
  <si>
    <t>Assumption</t>
  </si>
  <si>
    <t>Units</t>
  </si>
  <si>
    <t>Value</t>
  </si>
  <si>
    <r>
      <t>W / m</t>
    </r>
    <r>
      <rPr>
        <vertAlign val="superscript"/>
        <sz val="10"/>
        <color theme="1"/>
        <rFont val="Cambria"/>
        <family val="1"/>
        <scheme val="minor"/>
      </rPr>
      <t>2</t>
    </r>
  </si>
  <si>
    <t>Solar energy:</t>
  </si>
  <si>
    <r>
      <t xml:space="preserve">MacKay, </t>
    </r>
    <r>
      <rPr>
        <i/>
        <sz val="10"/>
        <color theme="1"/>
        <rFont val="Cambria"/>
        <family val="1"/>
        <scheme val="minor"/>
      </rPr>
      <t>Sustainable Energy -- without the hot air</t>
    </r>
    <r>
      <rPr>
        <sz val="10"/>
        <color theme="1"/>
        <rFont val="Cambria"/>
        <family val="1"/>
        <scheme val="minor"/>
      </rPr>
      <t xml:space="preserve">; originally from NASA, </t>
    </r>
    <r>
      <rPr>
        <i/>
        <sz val="10"/>
        <color theme="1"/>
        <rFont val="Cambria"/>
        <family val="1"/>
        <scheme val="minor"/>
      </rPr>
      <t>Surface meteorology and Solar Energy</t>
    </r>
  </si>
  <si>
    <t>UK incident solar energy, south-facing roof</t>
  </si>
  <si>
    <t>Efficiency</t>
  </si>
  <si>
    <t>Domestic space heating and hot water</t>
  </si>
  <si>
    <t>Chosen</t>
  </si>
  <si>
    <t>Commercial heating and cooling</t>
  </si>
  <si>
    <t>IV.b</t>
  </si>
  <si>
    <t>Domestic solar thermal</t>
  </si>
  <si>
    <t>V.11</t>
  </si>
  <si>
    <t>Solar thermal heat, used for hot water</t>
  </si>
  <si>
    <t>Total electricity supply (demand) to this point</t>
  </si>
  <si>
    <t>Total electricity supply (demand) prior to generation</t>
  </si>
  <si>
    <t>XVII</t>
  </si>
  <si>
    <t>District heating effective demand</t>
  </si>
  <si>
    <t>XVII.a</t>
  </si>
  <si>
    <t>Converts heat demand to equivalent electric demand</t>
  </si>
  <si>
    <t>Total heatsupply (demand) to this point</t>
  </si>
  <si>
    <t>Mode</t>
  </si>
  <si>
    <t>Passenger-km (bn)</t>
  </si>
  <si>
    <t>Trajectory</t>
  </si>
  <si>
    <t>Trajectory choice</t>
  </si>
  <si>
    <t>Trajectory assumptions</t>
  </si>
  <si>
    <t>Overall Trajectory</t>
  </si>
  <si>
    <t>Trajectory selection</t>
  </si>
  <si>
    <t>Pedal cycles</t>
  </si>
  <si>
    <t>Total Passenger-km</t>
  </si>
  <si>
    <t>Breakdown, passenger-km</t>
  </si>
  <si>
    <t>Domestic passenger transport</t>
  </si>
  <si>
    <t>Domestic freight</t>
  </si>
  <si>
    <t>CAR</t>
  </si>
  <si>
    <t>BUS</t>
  </si>
  <si>
    <t>BIKE</t>
  </si>
  <si>
    <t>RAIL</t>
  </si>
  <si>
    <t>AIR</t>
  </si>
  <si>
    <t>ICE</t>
  </si>
  <si>
    <t>EV</t>
  </si>
  <si>
    <t>FCV</t>
  </si>
  <si>
    <t>Breakdown by mode</t>
  </si>
  <si>
    <r>
      <t xml:space="preserve">In our model, </t>
    </r>
    <r>
      <rPr>
        <i/>
        <sz val="10"/>
        <color theme="1"/>
        <rFont val="Cambria"/>
        <family val="1"/>
        <scheme val="minor"/>
      </rPr>
      <t>includes</t>
    </r>
    <r>
      <rPr>
        <sz val="10"/>
        <color theme="1"/>
        <rFont val="Cambria"/>
        <family val="1"/>
        <scheme val="minor"/>
      </rPr>
      <t xml:space="preserve"> biofuel combustion emissions. See sector X2</t>
    </r>
  </si>
  <si>
    <t>Sequestration due to bioenergy crops should be included under X2</t>
  </si>
  <si>
    <t>X1 is not an IPCC sectoral code. Includes domestic aviation</t>
  </si>
  <si>
    <t>Passenger-km per person</t>
  </si>
  <si>
    <t>(i) Total travel demand / person</t>
  </si>
  <si>
    <t>km</t>
  </si>
  <si>
    <t>bn passenger-km</t>
  </si>
  <si>
    <t>bn vehicle-km</t>
  </si>
  <si>
    <t>1. Aviation fuel</t>
  </si>
  <si>
    <t>2. Combustion emissions</t>
  </si>
  <si>
    <t>National navigation, energy use</t>
  </si>
  <si>
    <t>Road freight</t>
  </si>
  <si>
    <t>Compute energy content of diesel rail</t>
  </si>
  <si>
    <t>Select electric rail scenario</t>
  </si>
  <si>
    <t>Compute energy content of diesel road</t>
  </si>
  <si>
    <t>Rail freight</t>
  </si>
  <si>
    <t>HGV Internal Combustion Engine Efficiency</t>
  </si>
  <si>
    <t>Select marine energy scenario</t>
  </si>
  <si>
    <t>Average of Rigid and Articulated efficiency, at 50/50 split, adjusted to gross-calorific values</t>
  </si>
  <si>
    <t>2007 value from total energy consumption and vehicle-km for HGVs from TSGB</t>
  </si>
  <si>
    <t>Rail freight, diesel fuel use</t>
  </si>
  <si>
    <t>Rail freight, electricity use</t>
  </si>
  <si>
    <t>Diesel-fuelled</t>
  </si>
  <si>
    <t>Source: DUKES 2009, international split estimated</t>
  </si>
  <si>
    <t>Aviation fuel use, growth</t>
  </si>
  <si>
    <t>Passenger-km per person per year</t>
  </si>
  <si>
    <t>DfT estimates, grossed up to include walking, motorcycles and domestic air transport</t>
  </si>
  <si>
    <r>
      <t xml:space="preserve">2007 modal shares from DfT, </t>
    </r>
    <r>
      <rPr>
        <i/>
        <sz val="10"/>
        <color theme="1"/>
        <rFont val="Cambria"/>
        <family val="1"/>
        <scheme val="minor"/>
      </rPr>
      <t>Transport Statistics Great Britain</t>
    </r>
    <r>
      <rPr>
        <sz val="10"/>
        <color theme="1"/>
        <rFont val="Cambria"/>
        <family val="1"/>
        <scheme val="minor"/>
      </rPr>
      <t>, 2009. Table 1.1; walking share from Table 1.3</t>
    </r>
  </si>
  <si>
    <t>WALK</t>
  </si>
  <si>
    <t>Walking</t>
  </si>
  <si>
    <t>Cars, Vans, and Motorcycles</t>
  </si>
  <si>
    <t>Buses</t>
  </si>
  <si>
    <t>Railways</t>
  </si>
  <si>
    <t>Domestic air travel</t>
  </si>
  <si>
    <t>% of passenger-km</t>
  </si>
  <si>
    <t>DIESEL</t>
  </si>
  <si>
    <t>ELECTRIC</t>
  </si>
  <si>
    <r>
      <t xml:space="preserve">Source: DUKES 2009, DfT </t>
    </r>
    <r>
      <rPr>
        <i/>
        <sz val="10"/>
        <color theme="1"/>
        <rFont val="Cambria"/>
        <family val="1"/>
        <scheme val="minor"/>
      </rPr>
      <t>Transport Statistics Great Britain</t>
    </r>
    <r>
      <rPr>
        <sz val="10"/>
        <color theme="1"/>
        <rFont val="Cambria"/>
        <family val="1"/>
        <scheme val="minor"/>
      </rPr>
      <t>, 2009</t>
    </r>
  </si>
  <si>
    <t>Mode shares</t>
  </si>
  <si>
    <t>Technology penetrations by mode</t>
  </si>
  <si>
    <t>Compute passenger-km by mode</t>
  </si>
  <si>
    <t>Compute passenger-km by mode / technology</t>
  </si>
  <si>
    <t>Compute energy use by mode and vector</t>
  </si>
  <si>
    <t>Breakdown, by mode and technology</t>
  </si>
  <si>
    <t>% passenger-km</t>
  </si>
  <si>
    <t>Petrol / Diesel</t>
  </si>
  <si>
    <t>Compute transport demand and emissions</t>
  </si>
  <si>
    <t>Non-traction electricity use</t>
  </si>
  <si>
    <t>About half of the electricty consumed by the rail network is used for non-traction purposes. We have assumed that this energy demand</t>
  </si>
  <si>
    <t>Includes non-traction use</t>
  </si>
  <si>
    <t>Oil and petroleum products</t>
  </si>
  <si>
    <t>LULUCF</t>
  </si>
  <si>
    <t>B</t>
  </si>
  <si>
    <t>C</t>
  </si>
  <si>
    <t>D</t>
  </si>
  <si>
    <t>Waste arising</t>
  </si>
  <si>
    <t>Solid</t>
  </si>
  <si>
    <t>All forms of waste</t>
  </si>
  <si>
    <t>V.12</t>
  </si>
  <si>
    <t>DIESEL RAIL</t>
  </si>
  <si>
    <t>ELECTRIC RAIL</t>
  </si>
  <si>
    <t>COMBUSTION EMISSIONS</t>
  </si>
  <si>
    <t>X2 is not an IPCC sectoral code. CO2 "credit" from bioenergy</t>
  </si>
  <si>
    <t>IV.c</t>
  </si>
  <si>
    <t>Distributed renewable power generation</t>
  </si>
  <si>
    <t>Distributed solar PV</t>
  </si>
  <si>
    <t>Distributed solar thermal</t>
  </si>
  <si>
    <t>Micro wind</t>
  </si>
  <si>
    <t>Nuclear power</t>
  </si>
  <si>
    <t>Heating and cooling</t>
  </si>
  <si>
    <t>Heat energy demand (eg, for space heating, water heating) and cooling</t>
  </si>
  <si>
    <t>Total supply / (demand) to this point</t>
  </si>
  <si>
    <t>Combustion + CCS</t>
  </si>
  <si>
    <t>Used as a holding vector for converting demand net production into imports</t>
  </si>
  <si>
    <t>Includes refined petroleums</t>
  </si>
  <si>
    <t>Energy source / use charts</t>
  </si>
  <si>
    <t>Use</t>
  </si>
  <si>
    <t>V.b</t>
  </si>
  <si>
    <t>Bioenergy imports</t>
  </si>
  <si>
    <t>remains constant. See DUKES 2009, paragraph 5.11. Note that we have included an estimate of London Underground use</t>
  </si>
  <si>
    <t>% of actual</t>
  </si>
  <si>
    <t>Subtotal.XVII.a</t>
  </si>
  <si>
    <t>Subtotal.II.a</t>
  </si>
  <si>
    <t>Subtotal.I.b</t>
  </si>
  <si>
    <t>Subtotal.I.a</t>
  </si>
  <si>
    <t>Subtotal.VII.b</t>
  </si>
  <si>
    <t>Subtotal.V.a</t>
  </si>
  <si>
    <t>Subtotal.V.b</t>
  </si>
  <si>
    <t>Subtotal.XVI.a</t>
  </si>
  <si>
    <t>III.a.1</t>
  </si>
  <si>
    <t>III.a.2</t>
  </si>
  <si>
    <t>7.4  Capacity of, and electricity generated from,</t>
  </si>
  <si>
    <t xml:space="preserve">       renewable sources</t>
  </si>
  <si>
    <r>
      <t xml:space="preserve">Installed Capacity (MWe) </t>
    </r>
    <r>
      <rPr>
        <b/>
        <i/>
        <sz val="9"/>
        <rFont val="Arial"/>
        <family val="2"/>
      </rPr>
      <t>(1)</t>
    </r>
  </si>
  <si>
    <t xml:space="preserve">   Wind:</t>
  </si>
  <si>
    <t xml:space="preserve">       Onshore</t>
  </si>
  <si>
    <r>
      <t xml:space="preserve">       Offshore </t>
    </r>
    <r>
      <rPr>
        <i/>
        <sz val="8"/>
        <rFont val="Arial"/>
        <family val="2"/>
      </rPr>
      <t>(2)</t>
    </r>
  </si>
  <si>
    <t xml:space="preserve">   Shoreline wave</t>
  </si>
  <si>
    <t xml:space="preserve">   Solar photovoltaics</t>
  </si>
  <si>
    <t xml:space="preserve">   Hydro:</t>
  </si>
  <si>
    <t xml:space="preserve">       Small scale </t>
  </si>
  <si>
    <r>
      <t xml:space="preserve">       Large scale </t>
    </r>
    <r>
      <rPr>
        <i/>
        <sz val="8"/>
        <rFont val="Arial"/>
        <family val="2"/>
      </rPr>
      <t>(3)</t>
    </r>
  </si>
  <si>
    <t>Biomass:</t>
  </si>
  <si>
    <t xml:space="preserve">      Landfill gas </t>
  </si>
  <si>
    <t xml:space="preserve">      Sewage sludge digestion</t>
  </si>
  <si>
    <t xml:space="preserve">      Municipal solid waste combustion</t>
  </si>
  <si>
    <r>
      <t xml:space="preserve">      Animal Biomass </t>
    </r>
    <r>
      <rPr>
        <i/>
        <sz val="8"/>
        <rFont val="Arial"/>
        <family val="2"/>
      </rPr>
      <t>(4)</t>
    </r>
  </si>
  <si>
    <r>
      <t xml:space="preserve">      Plant Biomass </t>
    </r>
    <r>
      <rPr>
        <i/>
        <sz val="8"/>
        <rFont val="Arial"/>
        <family val="2"/>
      </rPr>
      <t>(5)</t>
    </r>
  </si>
  <si>
    <t xml:space="preserve">   Total biomass and wastes</t>
  </si>
  <si>
    <r>
      <t xml:space="preserve">Co-firing </t>
    </r>
    <r>
      <rPr>
        <i/>
        <sz val="8.5"/>
        <rFont val="Arial"/>
        <family val="2"/>
      </rPr>
      <t>(6)</t>
    </r>
  </si>
  <si>
    <t>Generation (GWh)</t>
  </si>
  <si>
    <r>
      <t xml:space="preserve">       Onshore </t>
    </r>
    <r>
      <rPr>
        <i/>
        <sz val="8"/>
        <rFont val="Arial"/>
        <family val="2"/>
      </rPr>
      <t>(7)</t>
    </r>
  </si>
  <si>
    <r>
      <t xml:space="preserve">       Offshore </t>
    </r>
    <r>
      <rPr>
        <i/>
        <sz val="8"/>
        <rFont val="Arial"/>
        <family val="2"/>
      </rPr>
      <t>(8)</t>
    </r>
  </si>
  <si>
    <r>
      <t xml:space="preserve">       Large scale</t>
    </r>
    <r>
      <rPr>
        <i/>
        <sz val="8"/>
        <rFont val="Arial"/>
        <family val="2"/>
      </rPr>
      <t xml:space="preserve"> (3)</t>
    </r>
  </si>
  <si>
    <t xml:space="preserve">       Landfill gas </t>
  </si>
  <si>
    <t xml:space="preserve">       Sewage sludge digestion</t>
  </si>
  <si>
    <r>
      <t xml:space="preserve">       Municipal solid waste combustion </t>
    </r>
    <r>
      <rPr>
        <i/>
        <sz val="8"/>
        <rFont val="Arial"/>
        <family val="2"/>
      </rPr>
      <t>(9)</t>
    </r>
  </si>
  <si>
    <t xml:space="preserve">       Co-firing with fossil fuels</t>
  </si>
  <si>
    <r>
      <t xml:space="preserve">       Animal Biomass</t>
    </r>
    <r>
      <rPr>
        <i/>
        <sz val="8"/>
        <rFont val="Arial"/>
        <family val="2"/>
      </rPr>
      <t xml:space="preserve"> (10)</t>
    </r>
  </si>
  <si>
    <r>
      <t xml:space="preserve">       Plant Biomass </t>
    </r>
    <r>
      <rPr>
        <i/>
        <sz val="8"/>
        <rFont val="Arial"/>
        <family val="2"/>
      </rPr>
      <t>(11)</t>
    </r>
  </si>
  <si>
    <t xml:space="preserve">   Total biomass</t>
  </si>
  <si>
    <t xml:space="preserve">Total generation </t>
  </si>
  <si>
    <r>
      <t xml:space="preserve">Non-biodegradable wastes </t>
    </r>
    <r>
      <rPr>
        <i/>
        <sz val="8.5"/>
        <rFont val="Arial"/>
        <family val="2"/>
      </rPr>
      <t>(12)</t>
    </r>
  </si>
  <si>
    <r>
      <t xml:space="preserve">Load factors (per cent) </t>
    </r>
    <r>
      <rPr>
        <b/>
        <i/>
        <sz val="8.5"/>
        <rFont val="Arial"/>
        <family val="2"/>
      </rPr>
      <t>(13)</t>
    </r>
  </si>
  <si>
    <t xml:space="preserve">   Onshore wind</t>
  </si>
  <si>
    <t xml:space="preserve">   Offshore wind</t>
  </si>
  <si>
    <t xml:space="preserve">..   </t>
  </si>
  <si>
    <t xml:space="preserve">   Hydro</t>
  </si>
  <si>
    <t xml:space="preserve">   Biomass (excluding co-firing)</t>
  </si>
  <si>
    <t>Total (including wastes)</t>
  </si>
  <si>
    <r>
      <t xml:space="preserve">Load factors on an unchanged configuration basis (per cent) </t>
    </r>
    <r>
      <rPr>
        <b/>
        <i/>
        <sz val="8"/>
        <rFont val="Arial"/>
        <family val="2"/>
      </rPr>
      <t>(14)</t>
    </r>
  </si>
  <si>
    <t xml:space="preserve">   Offshore wind (from 2006 only)</t>
  </si>
  <si>
    <t>(1)    Capacity on a DNC basis is shown in Long Term Trends Table 7.1.1 available on the DECC web site - see paragraph 7.74.</t>
  </si>
  <si>
    <t>(2)    In 2007 and 2008 excludes Beatrice (10 MW) which was only supplying an offshore oil platform.</t>
  </si>
  <si>
    <t xml:space="preserve">(3)    Excluding pumped storage stations.  Capacities are as at the end of December. </t>
  </si>
  <si>
    <t xml:space="preserve">(4)    Includes the use of farm waste digestion, poultry litter and meat and bone. </t>
  </si>
  <si>
    <t xml:space="preserve">(5)    Includes the use of waste tyres, straw combustion, short rotation coppice and hospital waste. </t>
  </si>
  <si>
    <t>(6)   This is the amount of fossil fuelled capacity used for co-firing of renewables based on the proportion of generation accounted</t>
  </si>
  <si>
    <t xml:space="preserve">        for by the renewable source.</t>
  </si>
  <si>
    <t>(7)    Actual generation figures are given where available, but otherwise are estimated using a typical load factor or the design</t>
  </si>
  <si>
    <t xml:space="preserve">        load factor, where known.</t>
  </si>
  <si>
    <t xml:space="preserve">(8)    Latest years include electricity from shoreline wave but this amounts to less than 0.05 GWh.  Generation by Beatrice excluded </t>
  </si>
  <si>
    <t xml:space="preserve">        (see note 2).</t>
  </si>
  <si>
    <t>(9)    Biodegradable part only.</t>
  </si>
  <si>
    <t xml:space="preserve">(10)  Includes the use of farm waste digestion, poultry litter combustion and meat and bone combustion. </t>
  </si>
  <si>
    <t xml:space="preserve">(11)  Includes the use of straw and energy crops. </t>
  </si>
  <si>
    <t>(12)  Non-biodegradable part of municipal solid waste plus waste tyres, hosptal waste and general industrial waste.</t>
  </si>
  <si>
    <t>(13)  Load factors are calculated based on installed capacity at the beginning and the end of the year - see paragraph 7.75.</t>
  </si>
  <si>
    <t>(14)  For a definition see paragraphs 7.76 and 7.77.</t>
  </si>
  <si>
    <t>V.13</t>
  </si>
  <si>
    <t>Includes wood, straw, and other plant-based biomass, wood chips, garden waste, and MSW. Does not include energy crops, including SRC</t>
  </si>
  <si>
    <t>Consumption of solid hydrocarbons</t>
  </si>
  <si>
    <t>Consumption of liquid hydrocarbons</t>
  </si>
  <si>
    <t>Bioenergy contextual data</t>
  </si>
  <si>
    <t>Subtotal.Consumption</t>
  </si>
  <si>
    <t>Subtotal.Supply</t>
  </si>
  <si>
    <t>Subtotal.Balancing</t>
  </si>
  <si>
    <t>Used in transport</t>
  </si>
  <si>
    <t>Used in CCS power plants</t>
  </si>
  <si>
    <t>Supplied from liquid biofuels</t>
  </si>
  <si>
    <t>Supplied from solid bioenergy</t>
  </si>
  <si>
    <t>Used in industry</t>
  </si>
  <si>
    <t>Source / Use</t>
  </si>
  <si>
    <t>Energy supply and demand</t>
  </si>
  <si>
    <t>Low</t>
  </si>
  <si>
    <t>High</t>
  </si>
  <si>
    <t>X3 is not an IPPC sectoral code. All CCS, including industry</t>
  </si>
  <si>
    <t>Carbon capture</t>
  </si>
  <si>
    <t>Bioenergy credit</t>
  </si>
  <si>
    <t>Consumption of gaseous hydrocarbons</t>
  </si>
  <si>
    <t>Used in commercial heating</t>
  </si>
  <si>
    <t>Used in domestic heating</t>
  </si>
  <si>
    <r>
      <t>Modelled emissions, net of capture, by sector (Mt CO</t>
    </r>
    <r>
      <rPr>
        <b/>
        <vertAlign val="subscript"/>
        <sz val="18"/>
        <color theme="1"/>
        <rFont val="Calibri"/>
        <family val="2"/>
        <scheme val="major"/>
      </rPr>
      <t>2</t>
    </r>
    <r>
      <rPr>
        <b/>
        <sz val="18"/>
        <color theme="1"/>
        <rFont val="Calibri"/>
        <family val="2"/>
        <scheme val="major"/>
      </rPr>
      <t>e)</t>
    </r>
  </si>
  <si>
    <t>Area conversions</t>
  </si>
  <si>
    <t>ha</t>
  </si>
  <si>
    <t>Hectares</t>
  </si>
  <si>
    <t>Unit.ha</t>
  </si>
  <si>
    <t>Acres</t>
  </si>
  <si>
    <t>acres</t>
  </si>
  <si>
    <t>Unit.acre</t>
  </si>
  <si>
    <t>km^2</t>
  </si>
  <si>
    <t>m^2</t>
  </si>
  <si>
    <t>Square kilometres</t>
  </si>
  <si>
    <t>Square metres</t>
  </si>
  <si>
    <t>Unit.km2</t>
  </si>
  <si>
    <t>Unit.m2</t>
  </si>
  <si>
    <t>Wales</t>
  </si>
  <si>
    <t>Unit.Wales</t>
  </si>
  <si>
    <t>Area is measured in:</t>
  </si>
  <si>
    <t>PHEV</t>
  </si>
  <si>
    <t>HEV</t>
  </si>
  <si>
    <t>Occupancies</t>
  </si>
  <si>
    <t>Technology efficiences -- Electricity [1]</t>
  </si>
  <si>
    <t>Technology efficiences -- Liquid hydrocarbons [1]</t>
  </si>
  <si>
    <t>Technology efficiences -- Hydrogen [1]</t>
  </si>
  <si>
    <t>[3a]</t>
  </si>
  <si>
    <t xml:space="preserve">2007 estimate from total passenger-km and vehicle-km </t>
  </si>
  <si>
    <t>pax / vehicle-km</t>
  </si>
  <si>
    <t>In 2007, occupancies were 105.8 pax/vehicle for trains, and 64.8 pax/vehicle for aeroplanes</t>
  </si>
  <si>
    <t>Train and aircraft efficiencies are given per seat-km, not per vehicle-km</t>
  </si>
  <si>
    <t>2007 estimates (shown in blue) from total passenger-km, vehicle-km and total sectoral energy usage</t>
  </si>
  <si>
    <t>(i) 2050 mode shares</t>
  </si>
  <si>
    <t>(i) 2050 occupancies [3]</t>
  </si>
  <si>
    <t>(i) Behaviour</t>
  </si>
  <si>
    <t>(ii) Technology penetrations</t>
  </si>
  <si>
    <t>Trajectory 1</t>
  </si>
  <si>
    <t>Trajectory 2</t>
  </si>
  <si>
    <t>Trajectory 3</t>
  </si>
  <si>
    <t>Trajectory 4</t>
  </si>
  <si>
    <t>(ii) Electrification</t>
  </si>
  <si>
    <t>Railways -- non-traction electricity use [2]</t>
  </si>
  <si>
    <t>million</t>
  </si>
  <si>
    <t>Railway and aircraft occupancies are pax / seat-km (not pax / vehicle-km)</t>
  </si>
  <si>
    <t>Road freight, distance (HGVs), diesel</t>
  </si>
  <si>
    <t>Road freight, distance (HGVs), electric</t>
  </si>
  <si>
    <t>Source for 2007 data: DUKES</t>
  </si>
  <si>
    <t>DIESEL ROAD FREIGHT</t>
  </si>
  <si>
    <t>ELECTRIC ROAD FREIGHT</t>
  </si>
  <si>
    <t>Subtotal.VIII.a</t>
  </si>
  <si>
    <t>Total supply (demand) to this point</t>
  </si>
  <si>
    <t>Storage, demand shifting, backup</t>
  </si>
  <si>
    <t>Car EV</t>
  </si>
  <si>
    <t>Car PHEV</t>
  </si>
  <si>
    <t>Days</t>
  </si>
  <si>
    <t>Unit.day</t>
  </si>
  <si>
    <t>d</t>
  </si>
  <si>
    <t>h</t>
  </si>
  <si>
    <t>Hours</t>
  </si>
  <si>
    <t>Unit.hour</t>
  </si>
  <si>
    <t>m</t>
  </si>
  <si>
    <t>Minutes</t>
  </si>
  <si>
    <t>Unit.minute</t>
  </si>
  <si>
    <t>Power to energy conversion</t>
  </si>
  <si>
    <t>Average power for given energy</t>
  </si>
  <si>
    <t>Conversion.to.average.power</t>
  </si>
  <si>
    <t>From unit</t>
  </si>
  <si>
    <t>To unit</t>
  </si>
  <si>
    <t>Factor</t>
  </si>
  <si>
    <t>Annual energy for given power</t>
  </si>
  <si>
    <t>Conversion.to.annual.energy</t>
  </si>
  <si>
    <t>Energy per second for given power</t>
  </si>
  <si>
    <t>Conversion.to.energy.per.second</t>
  </si>
  <si>
    <t>MtCO2e</t>
  </si>
  <si>
    <t>NATIONAL NAVIGATION</t>
  </si>
  <si>
    <t>PASSENGER-KM BY MODE</t>
  </si>
  <si>
    <t>PASSENGER-KM BY MODE / TECHNOLOGY</t>
  </si>
  <si>
    <t>ENERGY DEMAND BY MODE AND VECTOR</t>
  </si>
  <si>
    <t>SUMMARY BY TRANSPORT TYPE AND EMISSIONS</t>
  </si>
  <si>
    <t>M ha</t>
  </si>
  <si>
    <t>Million hectares</t>
  </si>
  <si>
    <t>Unit.Mha</t>
  </si>
  <si>
    <t>Includes use of energy in agriculture</t>
  </si>
  <si>
    <t>Balancing imports</t>
  </si>
  <si>
    <t>(Not used)</t>
  </si>
  <si>
    <t>Coal and fossil waste</t>
  </si>
  <si>
    <t>Road freight, HGV efficiencies, diesel</t>
  </si>
  <si>
    <t>Road freight, HGV efficiencies, electric</t>
  </si>
  <si>
    <t>Marine algae</t>
  </si>
  <si>
    <t>VI.c</t>
  </si>
  <si>
    <t>Environmental heat</t>
  </si>
  <si>
    <t>Energy crops (second generation)</t>
  </si>
  <si>
    <t>V.14</t>
  </si>
  <si>
    <t>Second-generation crops grown for energy use</t>
  </si>
  <si>
    <t>First-generation crops grown for energy use</t>
  </si>
  <si>
    <t>V.15</t>
  </si>
  <si>
    <t>Methane from waste</t>
  </si>
  <si>
    <t>Energy crops (first generation)</t>
  </si>
  <si>
    <t>Used in heating</t>
  </si>
  <si>
    <t>Used in refineries</t>
  </si>
  <si>
    <t>Supplied from biogas</t>
  </si>
  <si>
    <t>In the event of a 5 day peak in heating and drop in wind</t>
  </si>
  <si>
    <t>Used in unabated power plants</t>
  </si>
  <si>
    <t>Wave and Tidal</t>
  </si>
  <si>
    <t>% of base yr</t>
  </si>
  <si>
    <t>Demonstration plants only; no roll-out of CCS</t>
  </si>
  <si>
    <t>No development of macro-algae cultivation</t>
  </si>
  <si>
    <t>The dominant non-electric heating fuel is coal (biomass if available)</t>
  </si>
  <si>
    <t>The dominant non-electric heat source is heat from power stations</t>
  </si>
  <si>
    <t>Space heating demand increases by 50%, hot water demand by 60%, cooling demand by 250%</t>
  </si>
  <si>
    <t>Space heating demand increases by 30%, hot water demand by 50%, cooling demand by 60%</t>
  </si>
  <si>
    <t>100% electric</t>
  </si>
  <si>
    <t>Energy demand for lights &amp; appliances increases by 33%. Energy for cooking is stable</t>
  </si>
  <si>
    <t>60% electricity and 40% gas (no change from 2007)</t>
  </si>
  <si>
    <t>Carbon dioxide sequestration rate of 1 million tonnes per annum by 2050</t>
  </si>
  <si>
    <t>Used in electricity</t>
  </si>
  <si>
    <t>Matching electricity</t>
  </si>
  <si>
    <t>emissions factor</t>
  </si>
  <si>
    <t>Bioenergy</t>
  </si>
  <si>
    <t>Agriculture and land use</t>
  </si>
  <si>
    <t>Example pathways</t>
  </si>
  <si>
    <t>No new nuclear power installed; estimated closure of final plant in 2035</t>
  </si>
  <si>
    <t>No deployment of geothermal electricity generation</t>
  </si>
  <si>
    <t>No significant solar PV capacity is installed</t>
  </si>
  <si>
    <t>No electricity imports, other than for balancing</t>
  </si>
  <si>
    <t>Today’s 3.5 GW storage &amp; 4 GW interconnection with Europe for balancing</t>
  </si>
  <si>
    <t>4 GW storage &amp; 10 GW interconnection with Europe for balancing</t>
  </si>
  <si>
    <t>7 GW storage with 2 more pumped storage, 15 GW interconnection &amp; some demand shifting</t>
  </si>
  <si>
    <t>20 GW storage with large lagoons, 30 GW interconnection &amp; substantial demand shifting</t>
  </si>
  <si>
    <t>Average room temperature increases to 20°C (a 2.5°C increase on 2007)</t>
  </si>
  <si>
    <t>Average room temperature increases to 18°C (a 0.5°C increase on 2007)</t>
  </si>
  <si>
    <t>Average room temperature decreases to 17°C (a 0.5°C decrease on 2007)</t>
  </si>
  <si>
    <t>The dominant non-electric heat source is gas (biogas if available)</t>
  </si>
  <si>
    <t>The dominant non-electric heat source is coal (biomass if available)</t>
  </si>
  <si>
    <t>The dominant non-electric heat source is waste heat from power stations</t>
  </si>
  <si>
    <t>Space heating demand stable, hot water demand increases by 25%, cooling demand stable</t>
  </si>
  <si>
    <t>Space heating demand drops by 25%, hot water demand by 10%, cooling demand by 60%</t>
  </si>
  <si>
    <t>The proportion of non-domestic heat supplied using electricity is 0-10%, as today</t>
  </si>
  <si>
    <t>The proportion of non-domestic heat supplied using electricity is 20%</t>
  </si>
  <si>
    <t>The proportion of non-domestic heat supplied using electricity is 30-60%</t>
  </si>
  <si>
    <t>The proportion of non-domestic heat supplied using electricity is 80-100%</t>
  </si>
  <si>
    <t>A mixture of gas/biogas, coal/biomass, and heat from power stations</t>
  </si>
  <si>
    <t>Energy demand for domestic lights and appliances increases by 20% (relative to 2007)</t>
  </si>
  <si>
    <t>Energy demand for domestic lights and appliances is stable</t>
  </si>
  <si>
    <t>Energy demand for domestic lights and appliances decreases by 40%</t>
  </si>
  <si>
    <t>Energy demand for lights &amp; appliances decreases by 5%; decreases by 20% for cooking</t>
  </si>
  <si>
    <t>Energy demand for lights &amp; appliances decreases by 30%; decreases by 25% for cooking</t>
  </si>
  <si>
    <t>Road haulage makes up 73% of distance, using conventional engines. Rail all diesel</t>
  </si>
  <si>
    <t>No geosequestration</t>
  </si>
  <si>
    <t>Energy demand for lights &amp; appliances increases by 15%; decreases by 5% for cooking</t>
  </si>
  <si>
    <t>(Derived from data in "Constants")</t>
  </si>
  <si>
    <t>NB: Emissions (in blue) are modelled from energy consumption and may not agree precisely</t>
  </si>
  <si>
    <t>constant factor so that 2007 modelled emissions match 2007 actual emissions.</t>
  </si>
  <si>
    <t>NB: Modelled emissions adjusted to match 2007 actuals. See note below emission table.</t>
  </si>
  <si>
    <t>with 2007 actuals.  However, % of base year figures (in black) have been adjusted  by a</t>
  </si>
  <si>
    <t>Food consumption [UNUSED]</t>
  </si>
  <si>
    <t>Domestic aviation [UNUSED - see XII.a]</t>
  </si>
  <si>
    <t>National navigation [UNUSED - see XII.a]</t>
  </si>
  <si>
    <t>Tidal [UNUSED - See III.c]</t>
  </si>
  <si>
    <t>Domestic hot water [UNUSED - See IX.a]</t>
  </si>
  <si>
    <t>Commercial hot water [UNUSED - See IX.c]</t>
  </si>
  <si>
    <t>Total food consumption. Not presently used</t>
  </si>
  <si>
    <t>Some shift from road to rail and water, and more efficient engines</t>
  </si>
  <si>
    <t>NCV / GCV</t>
  </si>
  <si>
    <t>NCV / GCV:</t>
  </si>
  <si>
    <t>Conversion from Net Calorific Value to Gross Calorific Value</t>
  </si>
  <si>
    <t>1 (or A)</t>
  </si>
  <si>
    <t>2 (or B)</t>
  </si>
  <si>
    <t>3 (or C)</t>
  </si>
  <si>
    <t>~240 TWh/yr from 25-40 CCS power stations; comparable to current gas &amp; coal generation</t>
  </si>
  <si>
    <t>~340 TWh/yr from 35-60 CCS power stations; comparable to total current demand</t>
  </si>
  <si>
    <t xml:space="preserve">~8,000 turbines in 2050, delivering ~50 TWh/yr. </t>
  </si>
  <si>
    <t>~13,000 turbines in 2050, delivering ~80 TWh/yr</t>
  </si>
  <si>
    <t>~10,000 turbines in 2050, delivering ~180 TWh/yr</t>
  </si>
  <si>
    <t>~17,000 turbines in 2050, delivering ~310 TWh/yr</t>
  </si>
  <si>
    <t>Supply of electricity is maintained at current levels of 5 TWh/yr</t>
  </si>
  <si>
    <t>Supply grows slowly, reaching 7 TWh/yr by 2050</t>
  </si>
  <si>
    <t>Supply grows more quickly, reaching 8 TWh/yr by 2030 and is sustained</t>
  </si>
  <si>
    <t>Supply of geothermal electricity grows slowly to 7 TWh/yr in 2035 and is sustained</t>
  </si>
  <si>
    <t>Supply grows quickly reaching 21 TWh/yr by 2030 and is sustained</t>
  </si>
  <si>
    <t>4m2 of photovoltaic panels per person in 2050, supplying ~60 TWh/yr of electricity</t>
  </si>
  <si>
    <t xml:space="preserve"> 5.4m2 of photovoltaic panels per person in 2050, supplying ~80 TWh/yr</t>
  </si>
  <si>
    <t>As today, a negligible proportion of buildings have solar thermal in 2050</t>
  </si>
  <si>
    <t>~30% of suitable buildings get ~30% of their hot water from solar thermal</t>
  </si>
  <si>
    <t>All suitable buildings get ~30% of their hot water from solar thermal</t>
  </si>
  <si>
    <t>As today, no discernable supply of electricity from micro-wind turbines</t>
  </si>
  <si>
    <t>Supply increases to 1.3 TWh/yr by 2020 and is sustained</t>
  </si>
  <si>
    <t>Installed in all ~450,000 suitable domestic properties; supplies 3.5 TWh/year from 2020</t>
  </si>
  <si>
    <t>30 TWh/yr of electricity imported from Southern Europe</t>
  </si>
  <si>
    <t xml:space="preserve">70 TWh/yr imported from UK 10% share of international desert solar project </t>
  </si>
  <si>
    <t>The proportion of domestic heat supplied using electricity is 0-10%, as today</t>
  </si>
  <si>
    <t>Greater modal shift to rail and water; more efficient HGVs; more efficient logistics</t>
  </si>
  <si>
    <t>Carbon dioxide sequestration rate of ~30 million tonnes per annum by 2050</t>
  </si>
  <si>
    <t>Carbon dioxide sequestration rate of ~110 million tonnes per annum by 2050</t>
  </si>
  <si>
    <t>Biomass</t>
  </si>
  <si>
    <t>Coal, biomass, gas, and oil-fired; non-CCS</t>
  </si>
  <si>
    <t>Conventional thermal plant</t>
  </si>
  <si>
    <t>III.c.Wave</t>
  </si>
  <si>
    <t>III.c.TidalStream</t>
  </si>
  <si>
    <t>III.c.TidalRange</t>
  </si>
  <si>
    <t>Carbon Capture Storage (CCS)</t>
  </si>
  <si>
    <t>Information</t>
  </si>
  <si>
    <t>Information type</t>
  </si>
  <si>
    <t>B.01</t>
  </si>
  <si>
    <t>Installed Capacity</t>
  </si>
  <si>
    <t>Number of units</t>
  </si>
  <si>
    <t>Information summary</t>
  </si>
  <si>
    <t xml:space="preserve">Installed Capacity </t>
  </si>
  <si>
    <t>B.02</t>
  </si>
  <si>
    <t>B.03</t>
  </si>
  <si>
    <t>H2 Production for Transport</t>
  </si>
  <si>
    <t>Energy produced and required - Total Domestic passenger transport</t>
  </si>
  <si>
    <t>Energy produced and required - Road</t>
  </si>
  <si>
    <t>Energy produced and required - Rail</t>
  </si>
  <si>
    <t>Energy produced and required - Aviation</t>
  </si>
  <si>
    <t>Emissions produced - Total Domestic Passenger Transport</t>
  </si>
  <si>
    <t>Emissions produced - Rail</t>
  </si>
  <si>
    <t>Emissions produced - Road</t>
  </si>
  <si>
    <t>Emissions produced - Aviation</t>
  </si>
  <si>
    <t>Energy produced and required - Total Domestic Freight</t>
  </si>
  <si>
    <t>Energy produced and required - Road freight</t>
  </si>
  <si>
    <t>Energy produced and required - Rail freight</t>
  </si>
  <si>
    <t>Energy produced and required - National Navigation</t>
  </si>
  <si>
    <t>Emissions produced - Domestic Freight Total</t>
  </si>
  <si>
    <t>Liquid Hydrocarbon emissions</t>
  </si>
  <si>
    <t>Emissions produced - National Navigation</t>
  </si>
  <si>
    <t>B.04</t>
  </si>
  <si>
    <t>mcm/d</t>
  </si>
  <si>
    <t>mcm/d natural gas</t>
  </si>
  <si>
    <t>Unit.mcm.d</t>
  </si>
  <si>
    <t>Bioenergy Supply</t>
  </si>
  <si>
    <t>Balancing &amp; Storage</t>
  </si>
  <si>
    <t>Used in Industry</t>
  </si>
  <si>
    <t>Used in unabated power generation</t>
  </si>
  <si>
    <t>Used in CCS power generation</t>
  </si>
  <si>
    <t>Oversupply and Imports needed</t>
  </si>
  <si>
    <t>Edible biomass</t>
  </si>
  <si>
    <t>Dry biomass and waste</t>
  </si>
  <si>
    <t>Wet biomass and waste</t>
  </si>
  <si>
    <t>Gas oversupply (imports)</t>
  </si>
  <si>
    <t>Biomass oversupply (imports)</t>
  </si>
  <si>
    <t>Electricity oversupply (imports)</t>
  </si>
  <si>
    <t>Petroleum products oversupply</t>
  </si>
  <si>
    <t>Coal oversupply (imports)</t>
  </si>
  <si>
    <t>Oil and petroleum products oversupply (imports)</t>
  </si>
  <si>
    <t>4 (or D)</t>
  </si>
  <si>
    <t>~510 TWh/yr  from 50-90 CCS power stations; build rate of gas plants in the 1990s</t>
  </si>
  <si>
    <t>9.5m2 of photovoltaic panels per person – all suitable roof and facade space used</t>
  </si>
  <si>
    <t>140 TWh/yr imported from UK 20% share of international desert solar project</t>
  </si>
  <si>
    <t>~20,000 turbines in 2050, delivering ~130 TWh/yr</t>
  </si>
  <si>
    <t>Supply grows rapidly reaching 35 TWh/yr by 2030 and is sustained</t>
  </si>
  <si>
    <t>Supply grows rapidly reaching 13 TWh/yr by 2035 and is sustained</t>
  </si>
  <si>
    <t>Installed in all suitable domestic and non-domestic sties; 8.9 TWh/year from 2020</t>
  </si>
  <si>
    <t>Biomass mainly converted to biogas fuel</t>
  </si>
  <si>
    <t>Biomass converted to a mixture of solid, liquid and gas biofuels</t>
  </si>
  <si>
    <t>Biomass mainly converted to solid biofuel</t>
  </si>
  <si>
    <t>Biomass mainly converted to liquid biofuel</t>
  </si>
  <si>
    <t>Livestock numbers decrease by 10%</t>
  </si>
  <si>
    <t>Livestock numbers decrease by 20%</t>
  </si>
  <si>
    <t>Livestock numbers increase by 10%</t>
  </si>
  <si>
    <t xml:space="preserve">Road modal share falls to half; greater hybridisation. Rail freight is all electric </t>
  </si>
  <si>
    <t>Average room temperature decreases to 16°C (a 1.5°C decrease on 2007)</t>
  </si>
  <si>
    <t>A mixture of gas/biogas; coal/biomass; and heat from power stations</t>
  </si>
  <si>
    <t>All suitable buildings get ~60% of their hot water from solar thermal</t>
  </si>
  <si>
    <t>Energy demand for domestic lights and appliances decreases by 60%</t>
  </si>
  <si>
    <t>IX.a.CHP</t>
  </si>
  <si>
    <t>IX.c.CHP</t>
  </si>
  <si>
    <t>Biomass power stations</t>
  </si>
  <si>
    <t>Geothermal electricity</t>
  </si>
  <si>
    <t>Volume of waste and recycling</t>
  </si>
  <si>
    <t>Domestic transport behaviour</t>
  </si>
  <si>
    <t>Average temperature of homes</t>
  </si>
  <si>
    <t>Home insulation</t>
  </si>
  <si>
    <t>Home heating electrification</t>
  </si>
  <si>
    <t>Home heating that isn't electric</t>
  </si>
  <si>
    <t>Solar panels for hot water</t>
  </si>
  <si>
    <t>Solar panels for electricity</t>
  </si>
  <si>
    <t>Electrification of home cooking</t>
  </si>
  <si>
    <t>Commercial demand for heating and cooling</t>
  </si>
  <si>
    <t>Commercial heating electrification</t>
  </si>
  <si>
    <t>Commercial heating that isn't electric</t>
  </si>
  <si>
    <t>Electrification of commercial cooking</t>
  </si>
  <si>
    <t>Storage, demand shifting &amp; interconnection</t>
  </si>
  <si>
    <t>Tidal Stream</t>
  </si>
  <si>
    <t>Tidal Range</t>
  </si>
  <si>
    <t>Area</t>
  </si>
  <si>
    <t>UK Land area</t>
  </si>
  <si>
    <t>UK Sea area</t>
  </si>
  <si>
    <t>B.05</t>
  </si>
  <si>
    <t>Land area overseas</t>
  </si>
  <si>
    <t>B.06</t>
  </si>
  <si>
    <t>Length</t>
  </si>
  <si>
    <t>Length of wave front</t>
  </si>
  <si>
    <t>CHP used for domestic space heating and hot water</t>
  </si>
  <si>
    <t>CHP used for commercial heating and cooling</t>
  </si>
  <si>
    <t>~1,400 turbines in 2025, reducing to zero as decommissioned sites are not replanted</t>
  </si>
  <si>
    <t>~40,000 turbines in 2050, delivering ~430 TWh/yr</t>
  </si>
  <si>
    <t>Only plants built and under construction (0.6GW)</t>
  </si>
  <si>
    <t>8GW power stations by 2050 delivering 62TWh/yr</t>
  </si>
  <si>
    <t>12GW power stations by 2050 delivering 100TWh/yr</t>
  </si>
  <si>
    <t>Over 20GW installed capacity by 2050 delivering 180TWh/yr</t>
  </si>
  <si>
    <t>~4,400 turbines in 2025, reducing to zero as decommissioned sites are not replanted</t>
  </si>
  <si>
    <t>Energy crops and food production similar to today</t>
  </si>
  <si>
    <t>5% of land used for energy crops</t>
  </si>
  <si>
    <t>10% of land used for energy crops</t>
  </si>
  <si>
    <t>Livestock numbers same as today</t>
  </si>
  <si>
    <t>Area same as half of natural reserve used, delivering ~4 TWh/yr</t>
  </si>
  <si>
    <t>Area same as all of natural reserve used, delivering ~9 TWh/yr</t>
  </si>
  <si>
    <t>Imported biofuel declines from ~ 4 TWh/yr currently to zero</t>
  </si>
  <si>
    <t>In 2050, individuals travel 9% further than today. No noticeable modal shift.</t>
  </si>
  <si>
    <t>In 2050, individuals travel the same distance as today. Signficant shift to public transport.</t>
  </si>
  <si>
    <t>UK industry output more than doubles by 2050</t>
  </si>
  <si>
    <t>UK industry grows in line with current trends</t>
  </si>
  <si>
    <t>UK industry output falls 30-40% by 2050</t>
  </si>
  <si>
    <t>No electrification of processes, little improvement in energy intensity</t>
  </si>
  <si>
    <t>Some processes electrified; moderate improvements in process emissions and energy demand</t>
  </si>
  <si>
    <t>High electrification; CCS captures 48% of emissions; process emissions reduced</t>
  </si>
  <si>
    <t>Delta</t>
  </si>
  <si>
    <t>CO2e</t>
  </si>
  <si>
    <t>UK Bioenergy</t>
  </si>
  <si>
    <t>Imported Bioenergy</t>
  </si>
  <si>
    <t>UK Transport</t>
  </si>
  <si>
    <t>International Transport</t>
  </si>
  <si>
    <t>Residential Heating</t>
  </si>
  <si>
    <t>Residential Lighting &amp; Appliances</t>
  </si>
  <si>
    <t>Business</t>
  </si>
  <si>
    <t>Commercial Heating</t>
  </si>
  <si>
    <t>Commercial Lighting &amp; Appliances</t>
  </si>
  <si>
    <t>UK Electricity Generation</t>
  </si>
  <si>
    <t>Imported Electricity</t>
  </si>
  <si>
    <t>Electricity Balancing &amp; Other</t>
  </si>
  <si>
    <t>Energy Security Contextual Data</t>
  </si>
  <si>
    <t>Same as B</t>
  </si>
  <si>
    <t>Same as 3</t>
  </si>
  <si>
    <t>Same as C</t>
  </si>
  <si>
    <t>Area same as four times natural reserve used, delivering ~46 TWh/yr</t>
  </si>
  <si>
    <t>Trajectory Descriptions (slightly longer for story tab)</t>
  </si>
  <si>
    <t>~13 3GW nuclear power stations delivering ~280 TWh/yr</t>
  </si>
  <si>
    <t>~30 3GW nuclear power stations delivering ~630 TWh/yr</t>
  </si>
  <si>
    <t>~50 3GW nuclear power stations delivering ~1030 TWh/yr</t>
  </si>
  <si>
    <t>CCS demonstration plants only</t>
  </si>
  <si>
    <t>~240 TWh/yr from 25-40 CCS power stations - comparable to current gas &amp; coal generation</t>
  </si>
  <si>
    <t>~340 TWh/yr from 35-60 CCS power stations - comparable to total current demand</t>
  </si>
  <si>
    <t>~510 TWh/yr  from 50-90 CCS power stations - this requires a similar build rate to that of gas plants in the 1990s</t>
  </si>
  <si>
    <t>After demonstration plants, all CCS electricity is from solid fuel (coal or biomass)</t>
  </si>
  <si>
    <t>After demonstration plants, two thirds of CCS electricity is from solid fuel (coal or biomass), one third from gas (natural gas or biogas)</t>
  </si>
  <si>
    <t>After demonstration plants, one third of CCS electricity is from solid fuel (coal or biomass), two thirds from gas (natural gas or biogas)</t>
  </si>
  <si>
    <t>After demonstration plants, all CCS electricity is from gas (natural gas or biogas)</t>
  </si>
  <si>
    <t>~17,000 offshore wind turbines in 2050, delivering ~310 TWh/yr</t>
  </si>
  <si>
    <t>~10,000 offshore wind turbines in 2050, delivering ~180 TWh/yr</t>
  </si>
  <si>
    <t>~1,400 offshore wind turbines in 2025, reducing to zero as decommissioned sites are not replanted</t>
  </si>
  <si>
    <t>~40,000 offshore wind turbines in 2050, delivering ~430 TWh/yr</t>
  </si>
  <si>
    <t>~4,400 onshore wind turbines in 2025, reducing to zero as decommissioned sites are not replanted</t>
  </si>
  <si>
    <t xml:space="preserve">~8,000 onshore wind turbines in 2050, delivering ~50 TWh/yr. </t>
  </si>
  <si>
    <t>~13,000 onshore wind turbines in 2050, delivering ~80 TWh/yr</t>
  </si>
  <si>
    <t>~20,000 onshore wind turbines in 2050, delivering ~130 TWh/yr</t>
  </si>
  <si>
    <t>Only existing biomass plants and those already under construction (0.6GW)</t>
  </si>
  <si>
    <t>8GW of biomass power stations by 2050 delivering 62TWh/yr</t>
  </si>
  <si>
    <t>12GW of biomass power stations by 2050 delivering 100TWh/yr</t>
  </si>
  <si>
    <t>Over 20GW of biomass power stations by 2050 delivering 180TWh/yr</t>
  </si>
  <si>
    <t>Supply of geothermal electricity grows quickly reaching 21 TWh/yr by 2030 and is sustained</t>
  </si>
  <si>
    <t>Supply of geothermal electricity grows rapidly reaching 35 TWh/yr by 2030 and is sustained</t>
  </si>
  <si>
    <t>Supply of hydroelectricity is maintained at current levels of 5 TWh/yr</t>
  </si>
  <si>
    <t>Supply of hydroelectricity grows slowly, reaching 7 TWh/yr by 2050</t>
  </si>
  <si>
    <t>Supply of hydroelectricity grows more quickly, reaching 8 TWh/yr by 2030 and is sustained</t>
  </si>
  <si>
    <t>Supply of hydroelectricity grows rapidly reaching 13 TWh/yr by 2035 and is sustained</t>
  </si>
  <si>
    <t>Supply of electricity from micro wind turbines increases to 1.3 TWh/yr by 2020 and is sustained</t>
  </si>
  <si>
    <t>Micro wind turbines installed in all suitable domestic and non-domestic sties, supplying 8.9 TWh/year from 2020</t>
  </si>
  <si>
    <t>Micro wind turbines installed in all ~450,000 suitable domestic properties, supplying 3.5 TWh/year from 2020</t>
  </si>
  <si>
    <t xml:space="preserve">70 TWh/yr of electricity imported from a 10% share of an internationally coordinated desert solar project </t>
  </si>
  <si>
    <t>140 TWh/yr of electricity imported from a 20% share of an internationally coordinated desert solar project</t>
  </si>
  <si>
    <t>5% of UK land used for energy crops</t>
  </si>
  <si>
    <t>10% of UK land used for energy crops</t>
  </si>
  <si>
    <t>Macro algae covering the same area as half of natural reserve used, delivering ~4 TWh/yr</t>
  </si>
  <si>
    <t>Macro algae covering the same area as all of natural reserve used, delivering ~9 TWh/yr</t>
  </si>
  <si>
    <t>Macro algae covering the same area as four times natural reserve used, delivering ~46 TWh/yr</t>
  </si>
  <si>
    <t>No electrification of industrial processes and little improvement in industrial energy intensity</t>
  </si>
  <si>
    <t>Some industrial processes electrified and moderate improvements in process emissions and energy demand</t>
  </si>
  <si>
    <t>Many industrial processes electrified, CCS captures 48% of emissions and  substantial improvements in process emissions and energy demand</t>
  </si>
  <si>
    <t>Commercial space heating demand increases by 50%, hot water demand by 60%, cooling demand by 250%</t>
  </si>
  <si>
    <t>Commercial space heating demand increases by 30%, hot water demand by 50%, cooling demand by 60%</t>
  </si>
  <si>
    <t>Commercial space heating demand stable, hot water demand increases by 25%, cooling demand stable</t>
  </si>
  <si>
    <t>Commercial space heating demand drops by 25%, hot water demand by 10%, cooling demand by 60%</t>
  </si>
  <si>
    <t>Energy demand for commercial lights &amp; appliances increases by 33%. Energy for cooking is stable</t>
  </si>
  <si>
    <t>Energy demand for commercial lights &amp; appliances increases by 15%; decreases by 5% for cooking</t>
  </si>
  <si>
    <t>Energy demand for commercial lights &amp; appliances decreases by 5%; decreases by 20% for cooking</t>
  </si>
  <si>
    <t>Energy demand for commercial lights &amp; appliances decreases by 30%; decreases by 25% for cooking</t>
  </si>
  <si>
    <t>Energy used for domestic cooking remains at 63% electricity and 37% gas</t>
  </si>
  <si>
    <t>Energy used for domestic cooking is entirely electric</t>
  </si>
  <si>
    <t>Energy used for commercial cooking is 60% electricity and 40% gas (no change from 2007)</t>
  </si>
  <si>
    <t>Energy used for commercial cooking is 100% electric</t>
  </si>
  <si>
    <t>Carbon dioxide sequestred at a rate of 1 million tonnes per annum by 2050</t>
  </si>
  <si>
    <t>Carbon dioxide  sequestred at a rate of ~30 million tonnes per annum by 2050</t>
  </si>
  <si>
    <t>Carbon dioxide sequestred at a rate of ~110 million tonnes per annum by 2050</t>
  </si>
  <si>
    <t>20 GW of pumped storage with large lagoons, 30 GW of interconnection with Europe and substantial demand shifting available for balancing electricity supply and demand</t>
  </si>
  <si>
    <t>7 GW of pumped storage (includign 2 more sites), 15 GW of interconnection with Europe and some demand shifting available for balancing electricity supply and demand</t>
  </si>
  <si>
    <t>4 GW of pumped storage and 10 GW interconnection with Europe available for balancing electricity supply and demand</t>
  </si>
  <si>
    <t>Today’s 3.5 GW of pumped storage and 4 GW interconnection with Europe available for balancing electricity supply and demand</t>
  </si>
  <si>
    <t>Maximium demand, no supply</t>
  </si>
  <si>
    <t>Maximum supply, no demand</t>
  </si>
  <si>
    <t>CCS power stations</t>
  </si>
  <si>
    <t>100% coal/biomass, 0% gas/biogas CCS after demonstration plants</t>
  </si>
  <si>
    <t>66% coal/biomass, 33% gas/biogas CCS after demonstration plants</t>
  </si>
  <si>
    <t>33% coal/biomass, 66% gas/biogas CCS after demonstration plants</t>
  </si>
  <si>
    <t>0% coal/biomas, 100% gas/biogas CCS after demonstration plants</t>
  </si>
  <si>
    <t>Land dedicated to bioenergy</t>
  </si>
  <si>
    <t>Type of fuels from biomass</t>
  </si>
  <si>
    <t>Commercial lighting &amp; appliances</t>
  </si>
  <si>
    <t>Home lighting &amp; appliances</t>
  </si>
  <si>
    <t>Livestock and their management</t>
  </si>
  <si>
    <t>CCS power station fuel mix</t>
  </si>
  <si>
    <t>Hydroelectric power stations</t>
  </si>
  <si>
    <t>Individuals travel 7% further than today, cars and vans are 80% of 2050 passenger mileage</t>
  </si>
  <si>
    <t>Individuals travel 7% further than today; cars and vans 74% of 2050 passenger mileage</t>
  </si>
  <si>
    <t>bcm</t>
  </si>
  <si>
    <t>unit.bcm</t>
  </si>
  <si>
    <t>Up to 70 TWh/yr of imported bioenergy in 2050</t>
  </si>
  <si>
    <t>Up to 140 TWh/yr of imported bioenergy in 2050</t>
  </si>
  <si>
    <t>Up to 280 TWh/yr of imported bioenergy in 2050</t>
  </si>
  <si>
    <t>Biomass/Coal power stations</t>
  </si>
  <si>
    <t>Solar thermal</t>
  </si>
  <si>
    <t>Small-scale wind</t>
  </si>
  <si>
    <t>Volume of Waste &amp; Recycling</t>
  </si>
  <si>
    <t>Types of fuel from Biomass</t>
  </si>
  <si>
    <t>Storage, demand shifting, interconnection</t>
  </si>
  <si>
    <t>Growth in industry</t>
  </si>
  <si>
    <t>Energy intensity of industry</t>
  </si>
  <si>
    <t>17% of land used for energy crops</t>
  </si>
  <si>
    <t>17% of UK land used for energy crops</t>
  </si>
  <si>
    <t>The proportion of new domestic heating systems using electricity is 20%</t>
  </si>
  <si>
    <t>The proportion of new domestic heating systems supplied using electricity is 30-60%</t>
  </si>
  <si>
    <t>The proportion of new domestic heating systems supplied using electricity is 80-100%</t>
  </si>
  <si>
    <t>Energy balancing and bio-energy</t>
  </si>
  <si>
    <t>ONCE YOU'VE MADE YOUR CHOICES PRESS F9</t>
  </si>
  <si>
    <t xml:space="preserve">Please use the Storage, demand shifting and interconnection lever to choose balancing and </t>
  </si>
  <si>
    <t>storage options</t>
  </si>
  <si>
    <t>Billion Cubic Metres (Gas)</t>
  </si>
  <si>
    <t>C1.Low</t>
  </si>
  <si>
    <t>Low estimate of capital costs</t>
  </si>
  <si>
    <t>C2.Low</t>
  </si>
  <si>
    <t>Low estimate of operating costs</t>
  </si>
  <si>
    <t>C3.Low</t>
  </si>
  <si>
    <t>Low estimate of fuel costs</t>
  </si>
  <si>
    <t>Biomatter to fuel conversion</t>
  </si>
  <si>
    <t>C1.High</t>
  </si>
  <si>
    <t>High estimate of capital costs</t>
  </si>
  <si>
    <t>C2.High</t>
  </si>
  <si>
    <t>High estimate of operating costs</t>
  </si>
  <si>
    <t>C3.High</t>
  </si>
  <si>
    <t>High estimate of fuel costs</t>
  </si>
  <si>
    <t>Cost vectors</t>
  </si>
  <si>
    <t>Discounting</t>
  </si>
  <si>
    <t>Discount factor</t>
  </si>
  <si>
    <t>Cost conversions</t>
  </si>
  <si>
    <t>£</t>
  </si>
  <si>
    <t>£trn</t>
  </si>
  <si>
    <t>2010 trillion british pounds</t>
  </si>
  <si>
    <t>TGBP</t>
  </si>
  <si>
    <t>£bn</t>
  </si>
  <si>
    <t>2010 billion british pounds</t>
  </si>
  <si>
    <t>GGBP</t>
  </si>
  <si>
    <t>£m</t>
  </si>
  <si>
    <t>2010 million british pounds</t>
  </si>
  <si>
    <t>MGBP</t>
  </si>
  <si>
    <t>£k</t>
  </si>
  <si>
    <t>2010 thousand british pounds</t>
  </si>
  <si>
    <t>kGBP</t>
  </si>
  <si>
    <t>2010 british pounds</t>
  </si>
  <si>
    <t>GBP</t>
  </si>
  <si>
    <t>Cost assumptions</t>
  </si>
  <si>
    <t>Capital costs</t>
  </si>
  <si>
    <t>Operating costs</t>
  </si>
  <si>
    <t>Low estimate of costs</t>
  </si>
  <si>
    <t>Total costs</t>
  </si>
  <si>
    <t>High estimate of costs</t>
  </si>
  <si>
    <t>Money is measured in:</t>
  </si>
  <si>
    <t>Costs</t>
  </si>
  <si>
    <t>Costs of this physical change</t>
  </si>
  <si>
    <t>Mboe</t>
  </si>
  <si>
    <t>Million barrels of oil equivalent</t>
  </si>
  <si>
    <t>Unit.Mboe</t>
  </si>
  <si>
    <t>2009 US dollars</t>
  </si>
  <si>
    <t>USD2009_</t>
  </si>
  <si>
    <t>boe</t>
  </si>
  <si>
    <t>Barrel of oil equivalent</t>
  </si>
  <si>
    <t>Unit.boe</t>
  </si>
  <si>
    <t>Diesel fuel use</t>
  </si>
  <si>
    <t>Distance (HGVs), diesel</t>
  </si>
  <si>
    <t>Distance (HGVs), electric</t>
  </si>
  <si>
    <t>2a</t>
  </si>
  <si>
    <t>2b</t>
  </si>
  <si>
    <t>2c</t>
  </si>
  <si>
    <t>VEHICLE-KM BY MODE / TECHNOLOGY</t>
  </si>
  <si>
    <t>Vehicle-km (bn)</t>
  </si>
  <si>
    <t>VEHICLE UNITS BY MODE / TECHNOLOGY</t>
  </si>
  <si>
    <t>Vehicle Units (000s)</t>
  </si>
  <si>
    <t>2d</t>
  </si>
  <si>
    <t>2e</t>
  </si>
  <si>
    <t>HIGH OPERATING COST BY MODE / TECHNOLOGY</t>
  </si>
  <si>
    <t>LOW OPERATING COST BY MODE / TECHNOLOGY</t>
  </si>
  <si>
    <t>Lifespan</t>
  </si>
  <si>
    <t>http://decc-wiki.greenonblack.com/pages/348</t>
  </si>
  <si>
    <t>Years</t>
  </si>
  <si>
    <t>IX.a.insulation</t>
  </si>
  <si>
    <t>Domestic insulation measures</t>
  </si>
  <si>
    <t>Lifespan from MARKAL</t>
  </si>
  <si>
    <t>Domestic heating</t>
  </si>
  <si>
    <t>Rail freight, distance, diesel (DECC Estimate)</t>
  </si>
  <si>
    <t xml:space="preserve">Rail freight, distance, electric (DECC Estimate) </t>
  </si>
  <si>
    <t>Euro2002</t>
  </si>
  <si>
    <t>2002 Euros</t>
  </si>
  <si>
    <t>Euro2002_</t>
  </si>
  <si>
    <t>Volume conversions</t>
  </si>
  <si>
    <t>UK Gallon</t>
  </si>
  <si>
    <t>Litres per UK gallon</t>
  </si>
  <si>
    <t>Conversion.UKgallons.to.litres</t>
  </si>
  <si>
    <t>Litres</t>
  </si>
  <si>
    <t>US Gallon</t>
  </si>
  <si>
    <t>Litres per US gallon</t>
  </si>
  <si>
    <t>Conversion.USgallons.to.litres</t>
  </si>
  <si>
    <t>Source: DfT estimates - not for Rail which are draft DECC figures using base Network Rail figures split by future trajectories</t>
  </si>
  <si>
    <t>B.07</t>
  </si>
  <si>
    <t>B.08</t>
  </si>
  <si>
    <t>Shiftable electricity demand</t>
  </si>
  <si>
    <t>B.09</t>
  </si>
  <si>
    <t>Additional electricity at peak</t>
  </si>
  <si>
    <t>Power</t>
  </si>
  <si>
    <t>B.10</t>
  </si>
  <si>
    <t>Temperature related additional electricity demand</t>
  </si>
  <si>
    <t>Ethanol</t>
  </si>
  <si>
    <t>Jet Fuel</t>
  </si>
  <si>
    <t>B.11</t>
  </si>
  <si>
    <t>Interconnector capacity</t>
  </si>
  <si>
    <t>MWh</t>
  </si>
  <si>
    <t>Megawatt-hours</t>
  </si>
  <si>
    <t>Unit.MWh</t>
  </si>
  <si>
    <t>Rate</t>
  </si>
  <si>
    <t>Marine bunkers, fuel use</t>
  </si>
  <si>
    <t>1990</t>
  </si>
  <si>
    <t>1991</t>
  </si>
  <si>
    <t>1992</t>
  </si>
  <si>
    <t>1993</t>
  </si>
  <si>
    <t>1994</t>
  </si>
  <si>
    <t>1995</t>
  </si>
  <si>
    <t>1996</t>
  </si>
  <si>
    <t>1997</t>
  </si>
  <si>
    <t>1998</t>
  </si>
  <si>
    <t>1999</t>
  </si>
  <si>
    <t>2000</t>
  </si>
  <si>
    <t>2001</t>
  </si>
  <si>
    <t>2002</t>
  </si>
  <si>
    <t>2003</t>
  </si>
  <si>
    <t>2004</t>
  </si>
  <si>
    <t>2005</t>
  </si>
  <si>
    <t>2006</t>
  </si>
  <si>
    <t>2008</t>
  </si>
  <si>
    <t>2009</t>
  </si>
  <si>
    <t>GDP Deflator</t>
  </si>
  <si>
    <t>Calendar year 2010 = 100</t>
  </si>
  <si>
    <t xml:space="preserve">Source: http://www.hm-treasury.gov.uk/data_gdp_fig.htm </t>
  </si>
  <si>
    <t>Financing costs for different sectors</t>
  </si>
  <si>
    <t>Discount rate (User Defined)</t>
  </si>
  <si>
    <t>XVIII</t>
  </si>
  <si>
    <t>Very low production case</t>
  </si>
  <si>
    <t>LOW CAPITAL COST BY MODE / TECHNOLOGY  - TOTAL COST/CASH FLOW CALCULATION</t>
  </si>
  <si>
    <t>HIGH CAPITAL COST BY MODE / TECHNOLOGY  - TOTAL COST/CASH FLOW CALCULATION</t>
  </si>
  <si>
    <t>GDP (£2010)</t>
  </si>
  <si>
    <t>TOTAL VEHICLE UNITS BY MODE / TECHNOLOGY BY YEAR</t>
  </si>
  <si>
    <t>SCRAPPED VEHICLE UNITS BY MODE / TECHNOLOGY</t>
  </si>
  <si>
    <t>NEW VEHICLE UNITS BY MODE / TECHNOLOGY</t>
  </si>
  <si>
    <t>Compute costs by mode and technology</t>
  </si>
  <si>
    <t>3a</t>
  </si>
  <si>
    <t>3b</t>
  </si>
  <si>
    <t>km/vehicle</t>
  </si>
  <si>
    <t>Typical distance travelled by mode</t>
  </si>
  <si>
    <t>000s Vehicle Units/yr, period up to date</t>
  </si>
  <si>
    <t>CAPITAL COST OF NEW VEHICLE UNITS (LOW)</t>
  </si>
  <si>
    <t>000s Vehicle Units/yr, preceeding 5 years</t>
  </si>
  <si>
    <t>CAPITAL COST OF NEW VEHICLE UNITS (HIGH)</t>
  </si>
  <si>
    <t>TOTAL</t>
  </si>
  <si>
    <t>OPERATING COSTS OF ALL VEHICLES (LOW)</t>
  </si>
  <si>
    <t>3c</t>
  </si>
  <si>
    <t>3d</t>
  </si>
  <si>
    <t>OPERATING COSTS OF ALL VEHICLES (HIGH)</t>
  </si>
  <si>
    <t>High costs from MARKAL/Low costs from ESME (exceptions -  BUS EV which uses MARKAL for High and Low figures and Air where Markal opex&lt;ESME so Markal used)</t>
  </si>
  <si>
    <t>HGV</t>
  </si>
  <si>
    <t>Rail Freight</t>
  </si>
  <si>
    <t xml:space="preserve">Vehicle Units </t>
  </si>
  <si>
    <t>TOTAL VEHICLE UNITS BY MODE / TECHNOLOGY</t>
  </si>
  <si>
    <t>7a</t>
  </si>
  <si>
    <t>7b</t>
  </si>
  <si>
    <t>7c</t>
  </si>
  <si>
    <t>Vehicle Units/yr, period up to date</t>
  </si>
  <si>
    <t>Vehicle Units/yr, preceeding 5 years</t>
  </si>
  <si>
    <t>High cost for CAR FCV is from DfT assumption</t>
  </si>
  <si>
    <t>EV and PHEV capital costs for car include an uplift for infrastructure required using DfT assumptions of £1750 and £625 for high and low capictal, respectively.</t>
  </si>
  <si>
    <t>GDP per Capita (£2010)</t>
  </si>
  <si>
    <t>[3b]</t>
  </si>
  <si>
    <t>The above occupancy for rail is for whole trainsets.  The model now operates at a rail vehicle (carriage) unit.  The average occupancy per vehicle is 20.</t>
  </si>
  <si>
    <t>Bike cost assumptions are DECC estimates and include advice from DfT</t>
  </si>
  <si>
    <t>Low (future 2050) rail costs based on advice from DfT of 30% reduction by 2030 followed by a further 15% by 2050.  Applied to capex and opex.</t>
  </si>
  <si>
    <t>Passenger rail modelled in vehicle units using DfT veh/mile cost multiplied by average unit mileage</t>
  </si>
  <si>
    <t>High costs from ESME/Low costs from MARKAL for rail and road electric.</t>
  </si>
  <si>
    <t>High costs from MARKAL/Low costs from ESME for road ICE and opex for rail electric.  OPEX diesel high is insurance and o/head from RHA.</t>
  </si>
  <si>
    <t>B.12</t>
  </si>
  <si>
    <t>Balancing capacity used</t>
  </si>
  <si>
    <t>% of available</t>
  </si>
  <si>
    <t>IX.a.Heating</t>
  </si>
  <si>
    <t>IX.a.Insulation</t>
  </si>
  <si>
    <t>Domestic insulation</t>
  </si>
  <si>
    <t>Costs of ICE cars and buses</t>
  </si>
  <si>
    <t>Costs of HEV and PHEV cars and buses</t>
  </si>
  <si>
    <t>Costs of EV cars and buses</t>
  </si>
  <si>
    <t>Costs of FCV cars and buses</t>
  </si>
  <si>
    <t>Costs of rail</t>
  </si>
  <si>
    <t>Costs of bikes</t>
  </si>
  <si>
    <t>Costs of domestic aviation</t>
  </si>
  <si>
    <t>XII.a.ICE</t>
  </si>
  <si>
    <t>XII.a.HEV</t>
  </si>
  <si>
    <t>XII.a.EV</t>
  </si>
  <si>
    <t>XII.a.FCV</t>
  </si>
  <si>
    <t>XII.a.Rail</t>
  </si>
  <si>
    <t>XII.a.Air</t>
  </si>
  <si>
    <t>Conventional cars and buses</t>
  </si>
  <si>
    <t>Hybrid cars and buses</t>
  </si>
  <si>
    <t>Electric cars and buses</t>
  </si>
  <si>
    <t>Fuel cell cars and buses</t>
  </si>
  <si>
    <t>Bikes</t>
  </si>
  <si>
    <t>Default, unless specified below</t>
  </si>
  <si>
    <t>NB: Interest rates are REAL</t>
  </si>
  <si>
    <t>(iii) Electric/Hydrogen</t>
  </si>
  <si>
    <t>A Technology penetration (original)</t>
  </si>
  <si>
    <t>Technology penetration (addition)</t>
  </si>
  <si>
    <t>iii) Electric/hydrogen split</t>
  </si>
  <si>
    <t>VI.b.Bioenergy</t>
  </si>
  <si>
    <t>VI.b.Waste</t>
  </si>
  <si>
    <t>Energy from waste</t>
  </si>
  <si>
    <t>XII.a.Bike</t>
  </si>
  <si>
    <t>None in 2050</t>
  </si>
  <si>
    <t>None in  2050</t>
  </si>
  <si>
    <t>~300km of wave farms</t>
  </si>
  <si>
    <t>~600km of wave farms</t>
  </si>
  <si>
    <t>~900km of wave farms</t>
  </si>
  <si>
    <t>1,000 tidal stream turbines</t>
  </si>
  <si>
    <t>4,700 tidal stream turbines</t>
  </si>
  <si>
    <t>10,600 tidal stream turbines</t>
  </si>
  <si>
    <t>3 small tidal range schemes</t>
  </si>
  <si>
    <t>4 tidal range schemes</t>
  </si>
  <si>
    <t>8 tidal range schemes</t>
  </si>
  <si>
    <t>LIMIT</t>
  </si>
  <si>
    <t>YOUR CHOICE</t>
  </si>
  <si>
    <t>Trajectory Descriptions</t>
  </si>
  <si>
    <t>UK Fossil fuel production</t>
  </si>
  <si>
    <t xml:space="preserve">This page contains the translations of the different codes used in the model (e.g., N.01 is energy from  uranium). </t>
  </si>
  <si>
    <t>To the right of this page are the emissions codes and the cost codes</t>
  </si>
  <si>
    <t>This sheet contains assumptions that are common to many sheets. In particular, lower down the page are assumptions about discount rates and costs of finance.</t>
  </si>
  <si>
    <t>This page contains standard assuptions. In particular, lower down the page are the emissions per unit of energy from coal, natural gas and oil.</t>
  </si>
  <si>
    <t>Air Quality</t>
  </si>
  <si>
    <t>AQ.01</t>
  </si>
  <si>
    <t>AQ.02</t>
  </si>
  <si>
    <t>AQ.03</t>
  </si>
  <si>
    <t>AQ.04</t>
  </si>
  <si>
    <t>PM10</t>
  </si>
  <si>
    <t>NMVOC</t>
  </si>
  <si>
    <t xml:space="preserve">  Air Quality</t>
  </si>
  <si>
    <t>NOX</t>
  </si>
  <si>
    <t>SO2</t>
  </si>
  <si>
    <t>PM10 emission factors</t>
  </si>
  <si>
    <t>NOX emission factors</t>
  </si>
  <si>
    <t>SO2 emission factors</t>
  </si>
  <si>
    <t>kt</t>
  </si>
  <si>
    <t>NMVOC emission factors</t>
  </si>
  <si>
    <t>IPCC</t>
  </si>
  <si>
    <t>AF</t>
  </si>
  <si>
    <t>ROAD</t>
  </si>
  <si>
    <t>Central case</t>
  </si>
  <si>
    <t>Low production case</t>
  </si>
  <si>
    <t>$2009</t>
  </si>
  <si>
    <t>$2010</t>
  </si>
  <si>
    <t>2010 US dollars</t>
  </si>
  <si>
    <t>USD2010_</t>
  </si>
  <si>
    <t>XVIII.a</t>
  </si>
  <si>
    <t>Storage of captured CO2</t>
  </si>
  <si>
    <t>Level 1</t>
  </si>
  <si>
    <t>Level 2</t>
  </si>
  <si>
    <t>Level 3</t>
  </si>
  <si>
    <t>Level 4</t>
  </si>
  <si>
    <t>Abatement</t>
  </si>
  <si>
    <t>Emissions trajectories from DfT, assuming these are for a constant fuel mix, assuming they are CO2e not CO2</t>
  </si>
  <si>
    <t>Implied abatement from level 1 (MtCO2e)</t>
  </si>
  <si>
    <t>Evolution of marginal abatement cost</t>
  </si>
  <si>
    <t>COMBUSION EMISSIONS</t>
  </si>
  <si>
    <t>MARINE FUEL</t>
  </si>
  <si>
    <t>Compute marginal abatement and therefore costs</t>
  </si>
  <si>
    <t>ABATEMENT COST</t>
  </si>
  <si>
    <t>Level 1 emissions</t>
  </si>
  <si>
    <t>We are putting this in the 'operating cost' bucket. It is more likely a capital cost, but we don't have the actual capital spend or the finance and amortisation rate to work that out</t>
  </si>
  <si>
    <t>Air Quality vectors</t>
  </si>
  <si>
    <t>C1.Point</t>
  </si>
  <si>
    <t>Point estimate of capital costs</t>
  </si>
  <si>
    <t>C2.Point</t>
  </si>
  <si>
    <t>C3.Point</t>
  </si>
  <si>
    <t>Point estimate of fuel costs</t>
  </si>
  <si>
    <t>Point estimate of costs</t>
  </si>
  <si>
    <t>Point estimate of operating costs</t>
  </si>
  <si>
    <t>Point</t>
  </si>
  <si>
    <t>Point estimate of capital cost per vehicle</t>
  </si>
  <si>
    <t xml:space="preserve">High estimate of capital cost per vehicle </t>
  </si>
  <si>
    <t xml:space="preserve">Low estimate of capital cost per vehicle </t>
  </si>
  <si>
    <t xml:space="preserve">Point operating cost per vehicle </t>
  </si>
  <si>
    <t xml:space="preserve">High operating cost per vehicle </t>
  </si>
  <si>
    <t>Low operating cost per vehicle</t>
  </si>
  <si>
    <t>CAPITAL COST OF NEW VEHICLE UNITS (POINT)</t>
  </si>
  <si>
    <t>3e</t>
  </si>
  <si>
    <t>OPERATING COSTS OF ALL VEHICLES (POINT)</t>
  </si>
  <si>
    <t>3f</t>
  </si>
  <si>
    <t xml:space="preserve">High estimate of operating cost per vehicle </t>
  </si>
  <si>
    <t>Point estimate of operating cost per vehicle</t>
  </si>
  <si>
    <t>Low estimate of operating cost per vehicle</t>
  </si>
  <si>
    <t>Low estimate capital cost per vehicle</t>
  </si>
  <si>
    <t>High estimate of capital cost per vehicle</t>
  </si>
  <si>
    <t>POINT ESTIMATE CAPITAL COST BY MODE / TECHNOLOGY - TOTAL COST/  CASH FLOW CALCULATION</t>
  </si>
  <si>
    <t>Ratios of biomass combustion emissions to fossil fuel combustion emissions</t>
  </si>
  <si>
    <t>Fueltype</t>
  </si>
  <si>
    <t>Proportion of fuel used in Take off and landing stages</t>
  </si>
  <si>
    <t>percentage</t>
  </si>
  <si>
    <t>POINT OPERATING COST BY MODE / TECHNOLOGY</t>
  </si>
  <si>
    <t>Point Estimate</t>
  </si>
  <si>
    <t>To work properly, years should be a multiple of 5</t>
  </si>
  <si>
    <t>Atkins</t>
  </si>
  <si>
    <t>Mark Brinkley</t>
  </si>
  <si>
    <t>Implied abatement cost from level 1 (£/tCO2e)</t>
  </si>
  <si>
    <t>Emissions trajectories from DfT, assuming these are for a constant fuel mix, assuming they are CO2 not CO2e</t>
  </si>
  <si>
    <r>
      <t>Mt CO</t>
    </r>
    <r>
      <rPr>
        <vertAlign val="subscript"/>
        <sz val="10"/>
        <color theme="1"/>
        <rFont val="Cambria"/>
        <family val="1"/>
        <scheme val="minor"/>
      </rPr>
      <t>2</t>
    </r>
  </si>
  <si>
    <t>`</t>
  </si>
  <si>
    <t>~13 3GW power stations delivering ~280 TWh/yr</t>
  </si>
  <si>
    <t>~30 3GW power stations delivering ~630 TWh/yr</t>
  </si>
  <si>
    <t>~50 3GW power stations delivering ~1030 TWh/yr</t>
  </si>
  <si>
    <t>Level 1 fuel use</t>
  </si>
  <si>
    <t>Fuel saved</t>
  </si>
  <si>
    <t>Value of fuel saved at point estimate</t>
  </si>
  <si>
    <t>We are putting this in the 'operating cost' bucket. It is more likely a capital cost, but we don't have the actual capital spend or the finance and amortisation rate to work that out. Abatement cost probably includes fuel savings, so separated that out as well.</t>
  </si>
  <si>
    <t>Cost £m (assume -ve means cost, +ve means benefit)</t>
  </si>
  <si>
    <t>Cost £bn (assume -ve menas cost, +ve means benefit)</t>
  </si>
  <si>
    <t>The dominant non-electric heat source is gas or gas CHP (biogas if available)</t>
  </si>
  <si>
    <t>The dominant non-electric heat source is coal or coal CHP (biomass if available)</t>
  </si>
  <si>
    <t>Shift to zero emission transport</t>
  </si>
  <si>
    <t>By 2050, 20% plug in hybrid electric cars; 2.5% zero emission cars.</t>
  </si>
  <si>
    <t>By 2050, 35% conventional petrol or diesel engine cars; 54% plug-in hybrid vehicles; 11%  zero emission vehicles; all buses hybrids; 73% of passenger railway is electrifi</t>
  </si>
  <si>
    <t xml:space="preserve">By 2050, 20% conventional combustion engine cars, with 32% in plug-in hybrid vehicles and 48% in zero emission vehicles: 22% of bus travel fully electric or fuel cell electric </t>
  </si>
  <si>
    <t xml:space="preserve">By 2050 100%  electric motor or hydrogen fuel cell; all passenger trains electrified; 50% bus  electrified </t>
  </si>
  <si>
    <t>By 2050, 100% electric</t>
  </si>
  <si>
    <t>by 2050, 80% electric,  20% hydrogen fuel cell</t>
  </si>
  <si>
    <t>By 2050, 20% electric, 80% hydrogen fuel cell</t>
  </si>
  <si>
    <t>By 2050, 100% hydrogen fuel cells</t>
  </si>
  <si>
    <t>no improvements from energy efficiency; between 2007 and 2050 emissions increase by 139%</t>
  </si>
  <si>
    <t>1/3 of technical feasible reductions realised; between 2007 and 2050 emissions increase by 78%</t>
  </si>
  <si>
    <t>2/3 of technical feasible reductions realised; between 2007 and 2050 emissions increase by 16%</t>
  </si>
  <si>
    <t>maximum technical feasible reductions realised; between 2007 and 2050 emissions decrease by 46%</t>
  </si>
  <si>
    <t>Overall quantity of waste increases 50% to 2050; 21% increase in recycling rate and 44% increase in rate of energy from waste. 24% of waste is sent to landfill</t>
  </si>
  <si>
    <t>Overall quantity of waste increases almost 20% by 2050; recycling and energy from waste rates increase by 36% and 89% respectively. 11% of waste is sent to landfill.</t>
  </si>
  <si>
    <t>Overall quantity of waste increases 33%; waste is handled through high-tech and industry-led approaches; by 2050, recycling and energy from waste rates increase by 36% and 89% respectively. Only 2% is sent to landfill.</t>
  </si>
  <si>
    <t>Quantity of waste decreases 20% by 2050; recycling and energy from waste increase by 70% and 7% respectively; by 2050, 3% of waste sent to landfill.</t>
  </si>
  <si>
    <t>Quantity of waste increases 50%; Small increase in rates of recycling and EFW.</t>
  </si>
  <si>
    <t>Quantity of waste increases 20%; Increase in rates of recycling and EFW.</t>
  </si>
  <si>
    <t>Quantity of waste decreases 20%; Significant increase in rate of recycling.</t>
  </si>
  <si>
    <t>Quantity of waste increases 33%; Significant increase in rates of recycling and EFW through innovation.</t>
  </si>
  <si>
    <t xml:space="preserve">By 2050 100%  zero emission vehiclesl; all passenger trains electrified; 50% bus electrified </t>
  </si>
  <si>
    <t>By 2050, 54% plug-in hybrid vehicles; 11%  zero emission vehicles, all buses hybrids.</t>
  </si>
  <si>
    <t>By 2050, 32% plug-in hybrid vehicles; 48% zero emission vehicles; 22% buses electric.</t>
  </si>
  <si>
    <t>By 2050, 130% passengers increase; 50% more fuel use</t>
  </si>
  <si>
    <t>By 2050, 130% passengers increase; 45% more fuel use</t>
  </si>
  <si>
    <t>By 2050, 130% passengers increase; 31% more fuel use</t>
  </si>
  <si>
    <t>By 2050, 85% passengers increase; 5% more fuel use</t>
  </si>
  <si>
    <t>By 2050, international aviation has 130% more passengers but uses only 50% more fuel</t>
  </si>
  <si>
    <t>By 2050, international aviation has 130% more passengers but uses only 45% more fuel</t>
  </si>
  <si>
    <t>By 2050, international aviation has 130% more passengers but uses only 31% more fuel</t>
  </si>
  <si>
    <t>By 2050, international aviation has 85% more passengers but uses only 5% more fuel</t>
  </si>
  <si>
    <t>ONS ABMI for 2007. Projections assume constant was 2.0% growth (figures are 2005 constant prices)</t>
  </si>
  <si>
    <t>Higher renewables, more energy efficiency</t>
  </si>
  <si>
    <t>Higher nuclear, less energy efficiency</t>
  </si>
  <si>
    <t>Higher CCS, more bioenergy</t>
  </si>
  <si>
    <t>Analogous to MARKAL 3.26</t>
  </si>
  <si>
    <t>National Grid</t>
  </si>
  <si>
    <t>Low cost pathway</t>
  </si>
  <si>
    <t>2050 Calculator calculations</t>
  </si>
  <si>
    <t>INSTRUCTIONS ARE AVAILABLE AT:</t>
  </si>
  <si>
    <t>No new nuclear power installed. Final nuclear power station estimated to close in 2035</t>
  </si>
  <si>
    <t>http://2050-calculator-tool-wiki.decc.gov.uk/pages/72</t>
  </si>
  <si>
    <t>Choice of fuel cells or batteries</t>
  </si>
  <si>
    <t>100% of zero emission cars use batteries by 2050</t>
  </si>
  <si>
    <t>Among zero emission cars, 80% use batteries and 20% use fuel cells by 2050</t>
  </si>
  <si>
    <t>Among zero emission cars, 20% use batteries and 80% use fuel cells by 2050</t>
  </si>
  <si>
    <t>100% of zero emission cars use fuel cells by 2050</t>
  </si>
  <si>
    <t>http://2050-calculator-tool-wiki.decc.gov.uk/pages/63</t>
  </si>
  <si>
    <t>http://2050-calculator-tool-wiki.decc.gov.uk/pages/64</t>
  </si>
  <si>
    <t>http://2050-calculator-tool-wiki.decc.gov.uk/pages/70</t>
  </si>
  <si>
    <t>http://2050-calculator-tool-wiki.decc.gov.uk/pages/71</t>
  </si>
  <si>
    <t>Doesn't tackle climate change (All at level 1)</t>
  </si>
  <si>
    <t>Friends of the Earth</t>
  </si>
  <si>
    <t>Campaign to Protect Rural England</t>
  </si>
  <si>
    <t>Example pathway wiki page</t>
  </si>
  <si>
    <t>Example pathway position in cost comparator</t>
  </si>
  <si>
    <t>No</t>
  </si>
  <si>
    <t>One sentence description of pathway</t>
  </si>
  <si>
    <t>Cost-optimising model based. Mix of supply sources. Ambitious demand reduction.</t>
  </si>
  <si>
    <t>Renewables largest supply component. Very ambitious demand reduction. Lots of storage.</t>
  </si>
  <si>
    <t>Lots of nuclear. Moderate energy demand reduction. Minimal renewables.</t>
  </si>
  <si>
    <t xml:space="preserve">Lots of CCS and biomass co-firing. Ambitious demand reduction. </t>
  </si>
  <si>
    <t>TBD</t>
  </si>
  <si>
    <t xml:space="preserve">Generation from wind, marine renewables and hydro. Ambitious demand reduction. </t>
  </si>
  <si>
    <t>Offshore renewables, solar, geothermal and electricity imports. Ambitious demand reduction.</t>
  </si>
  <si>
    <t>Marine renewables, geothermal and algae supply. Some nuclear and CCS.</t>
  </si>
  <si>
    <t>Wide range of generation sources. Moderate demand reduction. Considerable bioenergy.</t>
  </si>
  <si>
    <t>Energy from a range of sources. Emphasis on UK self-reliance.</t>
  </si>
  <si>
    <t>Imported natural gas for electricity and heat. Imported oil for vehicles.</t>
  </si>
  <si>
    <t>Agriculture &amp; waste</t>
  </si>
  <si>
    <t>Electricity distribution, storage &amp; balancing</t>
  </si>
  <si>
    <t>Tidal &amp; Wave</t>
  </si>
  <si>
    <t>Int'l Aviation &amp; Shipping</t>
  </si>
  <si>
    <t>Heating &amp; cooling</t>
  </si>
  <si>
    <t>Over 7M homes insulated, average thermal leakiness falls by 25%</t>
  </si>
  <si>
    <t>Over 8M homes insulated, average thermal leakiness falls by 33%</t>
  </si>
  <si>
    <t>Over 18M homes insulated, average thermal leakiness falls by 42%</t>
  </si>
  <si>
    <t xml:space="preserve">Over 24M homes insulated, average thermal leakiness decreases by 50% </t>
  </si>
  <si>
    <t>CCS Power</t>
  </si>
  <si>
    <t>(i) 2050 ownership rates</t>
  </si>
  <si>
    <t>% of population who own</t>
  </si>
  <si>
    <t>We do this for bicycles, because the number of bicycles does not linearly folllow the number of passenger-km travelled by bike. At some point should do the same for other modes.</t>
  </si>
  <si>
    <t>Not actually used any more - the number of bicycles is set directly for each trajectory</t>
  </si>
  <si>
    <t>For bicycles, we also calculate ownership:</t>
  </si>
  <si>
    <t xml:space="preserve"> % of population with a pedal cycle</t>
  </si>
  <si>
    <t>population</t>
  </si>
  <si>
    <t>number of pedal cycles</t>
  </si>
  <si>
    <t>Version 3.5.1</t>
  </si>
</sst>
</file>

<file path=xl/styles.xml><?xml version="1.0" encoding="utf-8"?>
<styleSheet xmlns="http://schemas.openxmlformats.org/spreadsheetml/2006/main" xmlns:mc="http://schemas.openxmlformats.org/markup-compatibility/2006" xmlns:x14ac="http://schemas.microsoft.com/office/spreadsheetml/2009/9/ac" mc:Ignorable="x14ac">
  <numFmts count="42">
    <numFmt numFmtId="8" formatCode="&quot;£&quot;#,##0.00;[Red]\-&quot;£&quot;#,##0.00"/>
    <numFmt numFmtId="43" formatCode="_-* #,##0.00_-;\-* #,##0.00_-;_-* &quot;-&quot;??_-;_-@_-"/>
    <numFmt numFmtId="164" formatCode="0.000E+00"/>
    <numFmt numFmtId="165" formatCode="#,##0\ ;\-#,##0\ ;&quot; &quot;"/>
    <numFmt numFmtId="166" formatCode="#,##0\ ;\-#,##0\ ;&quot;-  &quot;"/>
    <numFmt numFmtId="167" formatCode="#,##0\r;\-#,##0\r;&quot;-r &quot;"/>
    <numFmt numFmtId="168" formatCode="\+#,##0\r;\-#,##0\r;&quot;-r &quot;"/>
    <numFmt numFmtId="169" formatCode="\+#,##0\ ;\-#,##0\ ;&quot;-  &quot;"/>
    <numFmt numFmtId="170" formatCode="#,##0.0"/>
    <numFmt numFmtId="171" formatCode="0.000"/>
    <numFmt numFmtId="172" formatCode="#,##0\ ;\-#,##0\ ;&quot;- &quot;"/>
    <numFmt numFmtId="173" formatCode="#,##0\r;\-#,##0\r;&quot;-r&quot;"/>
    <numFmt numFmtId="174" formatCode="#,##0.0\ ;\-#,##0.0\ ;&quot;- &quot;"/>
    <numFmt numFmtId="175" formatCode="_-* #,##0_-;\-* #,##0_-;_-* &quot;-&quot;??_-;_-@_-"/>
    <numFmt numFmtId="176" formatCode="#,##0.0_);\(#,##0.0\);&quot;-&quot;;@"/>
    <numFmt numFmtId="177" formatCode="0.0"/>
    <numFmt numFmtId="178" formatCode="#,##0.0\ ;\-#,##0.0\ ;&quot;-&quot;\ ;"/>
    <numFmt numFmtId="179" formatCode="0.00000"/>
    <numFmt numFmtId="180" formatCode="#,##0\ ;\-#,##0\ ;&quot;-&quot;"/>
    <numFmt numFmtId="181" formatCode="#,##0\r;\-#,##0\r;&quot;-&quot;"/>
    <numFmt numFmtId="182" formatCode="\+#,##0\ ;\-#,##0\ ;&quot;-&quot;"/>
    <numFmt numFmtId="183" formatCode="\+#,##0\ ;\-#,##0\ ;&quot;- &quot;"/>
    <numFmt numFmtId="184" formatCode="\+#,##0\r;\-#,##0\r;&quot;-r&quot;"/>
    <numFmt numFmtId="186" formatCode="#,##0\ ;\-#,##0\ ;&quot;- &quot;\ "/>
    <numFmt numFmtId="187" formatCode="#,##0\r;\-#,##0\r;&quot;-r&quot;\ "/>
    <numFmt numFmtId="188" formatCode="#,##0.00_);\(#,##0.00\);&quot;-&quot;;@"/>
    <numFmt numFmtId="189" formatCode="#,##0.000_);\(#,##0.000\);&quot;-&quot;;@"/>
    <numFmt numFmtId="190" formatCode="0.0%"/>
    <numFmt numFmtId="191" formatCode="#,##0.0_);\(#,##0.0\);&quot;-&quot;_);@"/>
    <numFmt numFmtId="192" formatCode="#,##0_);\(#,##0\);&quot;-&quot;_);@"/>
    <numFmt numFmtId="193" formatCode="0.0E+00"/>
    <numFmt numFmtId="194" formatCode="#,##0.00_);\(#,##0.00\);&quot;-&quot;_);@"/>
    <numFmt numFmtId="197" formatCode="#,##0.000_);\(#,##0.000\);&quot;-&quot;_);@"/>
    <numFmt numFmtId="198" formatCode="#,###&quot;-&quot;\ ;\-#,###&quot;-&quot;;&quot;- &quot;"/>
    <numFmt numFmtId="199" formatCode="0%;\ \(0%\);\ \-"/>
    <numFmt numFmtId="200" formatCode="0.0%;\ \(0.0%\);\ \-"/>
    <numFmt numFmtId="201" formatCode="#,##0.0\ ;\-#,##0.0\ ;&quot;- &quot;\ "/>
    <numFmt numFmtId="202" formatCode="#,##0.0\r;\-#,##0.0\r;&quot;-r&quot;\ "/>
    <numFmt numFmtId="206" formatCode="0.000000"/>
    <numFmt numFmtId="209" formatCode="&quot;£&quot;#,##0"/>
    <numFmt numFmtId="213" formatCode="0.00%;\ \(0.00%\);\ \-"/>
    <numFmt numFmtId="215" formatCode="#,##0.000000"/>
  </numFmts>
  <fonts count="178" x14ac:knownFonts="1">
    <font>
      <sz val="10"/>
      <color theme="1"/>
      <name val="Cambria"/>
      <family val="1"/>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2"/>
      <color theme="1"/>
      <name val="Cambria"/>
      <family val="2"/>
      <scheme val="minor"/>
    </font>
    <font>
      <sz val="10"/>
      <color theme="1"/>
      <name val="Arial"/>
      <family val="2"/>
    </font>
    <font>
      <sz val="10"/>
      <color theme="1"/>
      <name val="Calibri"/>
      <family val="2"/>
      <scheme val="major"/>
    </font>
    <font>
      <sz val="10"/>
      <color theme="1"/>
      <name val="Cambria"/>
      <family val="1"/>
      <scheme val="minor"/>
    </font>
    <font>
      <vertAlign val="subscript"/>
      <sz val="10"/>
      <color theme="1"/>
      <name val="Cambria"/>
      <family val="1"/>
      <scheme val="minor"/>
    </font>
    <font>
      <sz val="12"/>
      <color theme="1"/>
      <name val="Cambria"/>
      <family val="1"/>
      <scheme val="minor"/>
    </font>
    <font>
      <b/>
      <sz val="12"/>
      <color theme="1"/>
      <name val="Calibri"/>
      <family val="2"/>
      <scheme val="major"/>
    </font>
    <font>
      <sz val="12"/>
      <color theme="1"/>
      <name val="Calibri"/>
      <family val="2"/>
      <scheme val="major"/>
    </font>
    <font>
      <sz val="11"/>
      <color theme="1"/>
      <name val="Cambria"/>
      <family val="1"/>
      <scheme val="minor"/>
    </font>
    <font>
      <sz val="8"/>
      <color theme="1"/>
      <name val="Cambria"/>
      <family val="1"/>
      <scheme val="minor"/>
    </font>
    <font>
      <b/>
      <sz val="10"/>
      <color theme="1"/>
      <name val="Calibri"/>
      <family val="2"/>
      <scheme val="major"/>
    </font>
    <font>
      <sz val="8"/>
      <color theme="1"/>
      <name val="Calibri"/>
      <family val="2"/>
      <scheme val="major"/>
    </font>
    <font>
      <sz val="11"/>
      <color theme="1"/>
      <name val="Calibri"/>
      <family val="2"/>
      <scheme val="major"/>
    </font>
    <font>
      <b/>
      <sz val="10"/>
      <color theme="1"/>
      <name val="Cambria"/>
      <family val="1"/>
      <scheme val="minor"/>
    </font>
    <font>
      <b/>
      <vertAlign val="subscript"/>
      <sz val="10"/>
      <color theme="1"/>
      <name val="Cambria"/>
      <family val="1"/>
      <scheme val="minor"/>
    </font>
    <font>
      <sz val="10"/>
      <color theme="3" tint="0.79998168889431442"/>
      <name val="Cambria"/>
      <family val="1"/>
      <scheme val="minor"/>
    </font>
    <font>
      <sz val="10"/>
      <color theme="3" tint="0.79998168889431442"/>
      <name val="Calibri"/>
      <family val="2"/>
      <scheme val="major"/>
    </font>
    <font>
      <sz val="14"/>
      <color theme="1"/>
      <name val="Calibri"/>
      <family val="2"/>
      <scheme val="major"/>
    </font>
    <font>
      <i/>
      <sz val="10"/>
      <color theme="1"/>
      <name val="Cambria"/>
      <family val="1"/>
      <scheme val="minor"/>
    </font>
    <font>
      <sz val="12"/>
      <color theme="1"/>
      <name val="Arial"/>
      <family val="2"/>
    </font>
    <font>
      <sz val="8"/>
      <color theme="1"/>
      <name val="Consolas"/>
      <family val="3"/>
    </font>
    <font>
      <sz val="10"/>
      <name val="Cambria"/>
      <family val="1"/>
      <scheme val="minor"/>
    </font>
    <font>
      <sz val="10"/>
      <name val="Calibri"/>
      <family val="2"/>
      <scheme val="major"/>
    </font>
    <font>
      <sz val="10"/>
      <color rgb="FF3F3F76"/>
      <name val="Arial"/>
      <family val="2"/>
    </font>
    <font>
      <sz val="10"/>
      <name val="Arial"/>
      <family val="2"/>
    </font>
    <font>
      <b/>
      <sz val="18"/>
      <color indexed="12"/>
      <name val="Arial"/>
      <family val="2"/>
    </font>
    <font>
      <sz val="18"/>
      <color indexed="12"/>
      <name val="Arial"/>
      <family val="2"/>
    </font>
    <font>
      <sz val="20"/>
      <color indexed="12"/>
      <name val="Arial"/>
      <family val="2"/>
    </font>
    <font>
      <sz val="20"/>
      <name val="Arial"/>
      <family val="2"/>
    </font>
    <font>
      <sz val="8"/>
      <name val="Arial"/>
      <family val="2"/>
    </font>
    <font>
      <b/>
      <sz val="8"/>
      <name val="Arial"/>
      <family val="2"/>
    </font>
    <font>
      <b/>
      <sz val="9"/>
      <name val="Arial"/>
      <family val="2"/>
    </font>
    <font>
      <sz val="9"/>
      <name val="Arial"/>
      <family val="2"/>
    </font>
    <font>
      <b/>
      <sz val="8.5"/>
      <name val="Arial"/>
      <family val="2"/>
    </font>
    <font>
      <i/>
      <sz val="8.5"/>
      <name val="Arial"/>
      <family val="2"/>
    </font>
    <font>
      <sz val="7"/>
      <name val="Arial"/>
      <family val="2"/>
    </font>
    <font>
      <sz val="7.5"/>
      <name val="Arial"/>
      <family val="2"/>
    </font>
    <font>
      <i/>
      <sz val="8"/>
      <name val="Arial"/>
      <family val="2"/>
    </font>
    <font>
      <sz val="7.5"/>
      <color indexed="10"/>
      <name val="Arial"/>
      <family val="2"/>
    </font>
    <font>
      <i/>
      <sz val="10"/>
      <name val="Arial"/>
      <family val="2"/>
    </font>
    <font>
      <b/>
      <sz val="8"/>
      <color indexed="81"/>
      <name val="Tahoma"/>
      <family val="2"/>
    </font>
    <font>
      <sz val="8"/>
      <color indexed="81"/>
      <name val="Tahoma"/>
      <family val="2"/>
    </font>
    <font>
      <b/>
      <sz val="12"/>
      <name val="Arial"/>
      <family val="2"/>
    </font>
    <font>
      <b/>
      <sz val="10"/>
      <name val="Arial"/>
      <family val="2"/>
    </font>
    <font>
      <vertAlign val="superscript"/>
      <sz val="10"/>
      <name val="Arial"/>
      <family val="2"/>
    </font>
    <font>
      <sz val="21"/>
      <color indexed="12"/>
      <name val="Arial"/>
      <family val="2"/>
    </font>
    <font>
      <sz val="12"/>
      <name val="Arial"/>
      <family val="2"/>
    </font>
    <font>
      <sz val="13"/>
      <name val="Arial"/>
      <family val="2"/>
    </font>
    <font>
      <sz val="8.5"/>
      <name val="Arial"/>
      <family val="2"/>
    </font>
    <font>
      <b/>
      <sz val="8.5"/>
      <color indexed="8"/>
      <name val="Arial"/>
      <family val="2"/>
    </font>
    <font>
      <sz val="8.5"/>
      <color indexed="8"/>
      <name val="Arial"/>
      <family val="2"/>
    </font>
    <font>
      <sz val="10"/>
      <color indexed="8"/>
      <name val="Arial"/>
      <family val="2"/>
    </font>
    <font>
      <sz val="8"/>
      <color indexed="8"/>
      <name val="Arial"/>
      <family val="2"/>
    </font>
    <font>
      <sz val="8"/>
      <color indexed="12"/>
      <name val="Arial"/>
      <family val="2"/>
    </font>
    <font>
      <i/>
      <sz val="8"/>
      <color indexed="8"/>
      <name val="Arial"/>
      <family val="2"/>
    </font>
    <font>
      <b/>
      <sz val="8"/>
      <color indexed="8"/>
      <name val="Arial"/>
      <family val="2"/>
    </font>
    <font>
      <b/>
      <sz val="8"/>
      <color indexed="12"/>
      <name val="Arial"/>
      <family val="2"/>
    </font>
    <font>
      <i/>
      <sz val="8.5"/>
      <color indexed="8"/>
      <name val="Arial"/>
      <family val="2"/>
    </font>
    <font>
      <sz val="10"/>
      <color indexed="12"/>
      <name val="Arial"/>
      <family val="2"/>
    </font>
    <font>
      <sz val="8.5"/>
      <color indexed="12"/>
      <name val="Arial"/>
      <family val="2"/>
    </font>
    <font>
      <b/>
      <i/>
      <sz val="10"/>
      <name val="Arial"/>
      <family val="2"/>
    </font>
    <font>
      <sz val="8"/>
      <name val="Cambria"/>
      <family val="1"/>
      <scheme val="minor"/>
    </font>
    <font>
      <sz val="21.5"/>
      <color indexed="12"/>
      <name val="Arial"/>
      <family val="2"/>
    </font>
    <font>
      <sz val="21.5"/>
      <name val="Arial"/>
      <family val="2"/>
    </font>
    <font>
      <sz val="9"/>
      <color indexed="12"/>
      <name val="Arial"/>
      <family val="2"/>
    </font>
    <font>
      <sz val="9"/>
      <color indexed="8"/>
      <name val="Arial"/>
      <family val="2"/>
    </font>
    <font>
      <i/>
      <sz val="8"/>
      <color indexed="12"/>
      <name val="Arial"/>
      <family val="2"/>
    </font>
    <font>
      <sz val="22"/>
      <color indexed="12"/>
      <name val="Arial"/>
      <family val="2"/>
    </font>
    <font>
      <sz val="22"/>
      <name val="Arial"/>
      <family val="2"/>
    </font>
    <font>
      <b/>
      <i/>
      <sz val="8.5"/>
      <name val="Arial"/>
      <family val="2"/>
    </font>
    <font>
      <b/>
      <sz val="10"/>
      <name val="Cambria"/>
      <family val="1"/>
      <scheme val="minor"/>
    </font>
    <font>
      <sz val="18"/>
      <name val="Arial"/>
      <family val="2"/>
    </font>
    <font>
      <b/>
      <sz val="22"/>
      <name val="Arial"/>
      <family val="2"/>
    </font>
    <font>
      <b/>
      <sz val="22"/>
      <color indexed="8"/>
      <name val="Arial"/>
      <family val="2"/>
    </font>
    <font>
      <b/>
      <sz val="9"/>
      <color indexed="8"/>
      <name val="Arial"/>
      <family val="2"/>
    </font>
    <font>
      <sz val="8.5"/>
      <name val="Arial"/>
      <family val="2"/>
    </font>
    <font>
      <i/>
      <sz val="8.5"/>
      <color indexed="12"/>
      <name val="Arial"/>
      <family val="2"/>
    </font>
    <font>
      <b/>
      <sz val="7.5"/>
      <name val="Arial"/>
      <family val="2"/>
    </font>
    <font>
      <i/>
      <sz val="7.5"/>
      <name val="Arial"/>
      <family val="2"/>
    </font>
    <font>
      <sz val="12"/>
      <name val="Calibri"/>
      <family val="2"/>
      <scheme val="major"/>
    </font>
    <font>
      <b/>
      <sz val="8"/>
      <color theme="1"/>
      <name val="Calibri"/>
      <family val="2"/>
      <scheme val="major"/>
    </font>
    <font>
      <b/>
      <sz val="12"/>
      <name val="Calibri"/>
      <family val="2"/>
      <scheme val="major"/>
    </font>
    <font>
      <sz val="16"/>
      <color theme="1"/>
      <name val="Cambria"/>
      <family val="1"/>
      <scheme val="minor"/>
    </font>
    <font>
      <b/>
      <sz val="10"/>
      <color rgb="FF3F3F76"/>
      <name val="Cambria"/>
      <family val="1"/>
      <scheme val="minor"/>
    </font>
    <font>
      <sz val="10"/>
      <color theme="1"/>
      <name val="Calibri"/>
      <family val="2"/>
      <scheme val="major"/>
    </font>
    <font>
      <sz val="14"/>
      <color theme="1"/>
      <name val="Cambria"/>
      <family val="1"/>
      <scheme val="minor"/>
    </font>
    <font>
      <b/>
      <sz val="16"/>
      <color indexed="8"/>
      <name val="Calibri"/>
      <family val="2"/>
      <scheme val="major"/>
    </font>
    <font>
      <i/>
      <sz val="8"/>
      <name val="Cambria"/>
      <family val="1"/>
      <scheme val="minor"/>
    </font>
    <font>
      <sz val="10"/>
      <color theme="1"/>
      <name val="Cambria"/>
      <family val="1"/>
    </font>
    <font>
      <i/>
      <sz val="10"/>
      <name val="Cambria"/>
      <family val="1"/>
      <scheme val="minor"/>
    </font>
    <font>
      <b/>
      <i/>
      <sz val="10"/>
      <color theme="1"/>
      <name val="Cambria"/>
      <family val="1"/>
      <scheme val="minor"/>
    </font>
    <font>
      <b/>
      <sz val="18"/>
      <color theme="1"/>
      <name val="Calibri"/>
      <family val="2"/>
      <scheme val="major"/>
    </font>
    <font>
      <b/>
      <sz val="18"/>
      <name val="Calibri"/>
      <family val="2"/>
      <scheme val="major"/>
    </font>
    <font>
      <sz val="8"/>
      <color theme="4" tint="-0.249977111117893"/>
      <name val="Cambria"/>
      <family val="1"/>
      <scheme val="minor"/>
    </font>
    <font>
      <i/>
      <sz val="12"/>
      <name val="Cambria"/>
      <family val="1"/>
      <scheme val="minor"/>
    </font>
    <font>
      <b/>
      <sz val="8"/>
      <color theme="4" tint="-0.249977111117893"/>
      <name val="Calibri"/>
      <family val="2"/>
      <scheme val="major"/>
    </font>
    <font>
      <i/>
      <sz val="12"/>
      <color theme="1"/>
      <name val="Cambria"/>
      <family val="1"/>
      <scheme val="minor"/>
    </font>
    <font>
      <b/>
      <vertAlign val="subscript"/>
      <sz val="18"/>
      <color theme="1"/>
      <name val="Calibri"/>
      <family val="2"/>
      <scheme val="major"/>
    </font>
    <font>
      <sz val="18"/>
      <color theme="1"/>
      <name val="Cambria"/>
      <family val="1"/>
      <scheme val="minor"/>
    </font>
    <font>
      <sz val="10"/>
      <color indexed="10"/>
      <name val="Arial"/>
      <family val="2"/>
    </font>
    <font>
      <i/>
      <vertAlign val="superscript"/>
      <sz val="18"/>
      <color indexed="12"/>
      <name val="Arial"/>
      <family val="2"/>
    </font>
    <font>
      <b/>
      <i/>
      <sz val="9"/>
      <name val="Arial"/>
      <family val="2"/>
    </font>
    <font>
      <b/>
      <sz val="18"/>
      <color indexed="8"/>
      <name val="Calibri"/>
      <family val="2"/>
      <scheme val="major"/>
    </font>
    <font>
      <i/>
      <sz val="8"/>
      <color theme="1"/>
      <name val="Cambria"/>
      <family val="1"/>
      <scheme val="minor"/>
    </font>
    <font>
      <b/>
      <sz val="14"/>
      <color theme="1"/>
      <name val="Cambria"/>
      <family val="1"/>
      <scheme val="minor"/>
    </font>
    <font>
      <vertAlign val="superscript"/>
      <sz val="10"/>
      <color theme="1"/>
      <name val="Cambria"/>
      <family val="1"/>
      <scheme val="minor"/>
    </font>
    <font>
      <sz val="12"/>
      <name val="Cambria"/>
      <family val="1"/>
      <scheme val="minor"/>
    </font>
    <font>
      <sz val="10"/>
      <color theme="4"/>
      <name val="Cambria"/>
      <family val="1"/>
      <scheme val="minor"/>
    </font>
    <font>
      <sz val="10"/>
      <color theme="4" tint="-0.249977111117893"/>
      <name val="Cambria"/>
      <family val="1"/>
      <scheme val="minor"/>
    </font>
    <font>
      <b/>
      <sz val="8"/>
      <name val="Cambria"/>
      <family val="1"/>
      <scheme val="minor"/>
    </font>
    <font>
      <sz val="18"/>
      <name val="Cambria"/>
      <family val="1"/>
      <scheme val="minor"/>
    </font>
    <font>
      <b/>
      <sz val="12"/>
      <color theme="1"/>
      <name val="Cambria"/>
      <family val="1"/>
      <scheme val="minor"/>
    </font>
    <font>
      <i/>
      <sz val="10"/>
      <color theme="1"/>
      <name val="Calibri"/>
      <family val="2"/>
      <scheme val="major"/>
    </font>
    <font>
      <sz val="10"/>
      <color theme="0" tint="-0.499984740745262"/>
      <name val="Cambria"/>
      <family val="1"/>
      <scheme val="minor"/>
    </font>
    <font>
      <i/>
      <sz val="10"/>
      <color theme="1"/>
      <name val="Arial"/>
      <family val="2"/>
    </font>
    <font>
      <b/>
      <sz val="8"/>
      <color theme="1"/>
      <name val="Cambria"/>
      <family val="1"/>
      <scheme val="minor"/>
    </font>
    <font>
      <sz val="12"/>
      <color indexed="12"/>
      <name val="Arial"/>
      <family val="2"/>
    </font>
    <font>
      <b/>
      <i/>
      <sz val="8"/>
      <name val="Arial"/>
      <family val="2"/>
    </font>
    <font>
      <sz val="10"/>
      <color theme="0" tint="-0.34998626667073579"/>
      <name val="Cambria"/>
      <family val="1"/>
      <scheme val="minor"/>
    </font>
    <font>
      <sz val="18"/>
      <color theme="0"/>
      <name val="Calibri"/>
      <family val="2"/>
      <scheme val="major"/>
    </font>
    <font>
      <b/>
      <sz val="18"/>
      <color theme="0"/>
      <name val="Calibri"/>
      <family val="2"/>
      <scheme val="major"/>
    </font>
    <font>
      <b/>
      <sz val="12"/>
      <color theme="4" tint="-0.249977111117893"/>
      <name val="Cambria"/>
      <family val="1"/>
      <scheme val="minor"/>
    </font>
    <font>
      <sz val="12"/>
      <color theme="4" tint="-0.249977111117893"/>
      <name val="Cambria"/>
      <family val="1"/>
      <scheme val="minor"/>
    </font>
    <font>
      <b/>
      <sz val="10"/>
      <color theme="0" tint="-0.499984740745262"/>
      <name val="Calibri"/>
      <family val="2"/>
      <scheme val="major"/>
    </font>
    <font>
      <b/>
      <sz val="10"/>
      <color theme="1"/>
      <name val="Arial"/>
      <family val="2"/>
    </font>
    <font>
      <sz val="12"/>
      <color rgb="FF1F497D"/>
      <name val="Arial"/>
      <family val="2"/>
    </font>
    <font>
      <sz val="10"/>
      <color theme="1"/>
      <name val="Cambria"/>
      <family val="1"/>
      <scheme val="minor"/>
    </font>
    <font>
      <b/>
      <sz val="12"/>
      <name val="Cambria"/>
      <family val="1"/>
      <scheme val="minor"/>
    </font>
    <font>
      <b/>
      <sz val="11"/>
      <color theme="0"/>
      <name val="Calibri"/>
      <family val="2"/>
      <scheme val="major"/>
    </font>
    <font>
      <b/>
      <i/>
      <sz val="12"/>
      <color theme="1"/>
      <name val="Calibri"/>
      <family val="2"/>
      <scheme val="major"/>
    </font>
    <font>
      <b/>
      <sz val="18"/>
      <color theme="9" tint="-0.249977111117893"/>
      <name val="Cambria"/>
      <family val="1"/>
      <scheme val="minor"/>
    </font>
    <font>
      <sz val="14"/>
      <color theme="9" tint="-0.249977111117893"/>
      <name val="Cambria"/>
      <family val="1"/>
      <scheme val="minor"/>
    </font>
    <font>
      <sz val="10"/>
      <color theme="1"/>
      <name val="Cambria"/>
      <family val="1"/>
      <scheme val="minor"/>
    </font>
    <font>
      <u/>
      <sz val="10"/>
      <color theme="10"/>
      <name val="Cambria"/>
      <family val="1"/>
      <scheme val="minor"/>
    </font>
    <font>
      <u/>
      <sz val="10"/>
      <color theme="11"/>
      <name val="Cambria"/>
      <family val="1"/>
      <scheme val="minor"/>
    </font>
    <font>
      <sz val="10"/>
      <color theme="1"/>
      <name val="Cambria"/>
      <family val="1"/>
      <scheme val="minor"/>
    </font>
    <font>
      <sz val="10"/>
      <color indexed="8"/>
      <name val="Calibri"/>
      <family val="1"/>
    </font>
    <font>
      <u/>
      <sz val="8.5"/>
      <color theme="10"/>
      <name val="Cambria"/>
      <family val="1"/>
    </font>
    <font>
      <sz val="10"/>
      <color rgb="FF006100"/>
      <name val="Arial"/>
      <family val="2"/>
    </font>
    <font>
      <sz val="10"/>
      <color theme="1"/>
      <name val="Cambria"/>
      <family val="1"/>
      <scheme val="minor"/>
    </font>
    <font>
      <sz val="10"/>
      <color theme="0"/>
      <name val="Arial"/>
      <family val="2"/>
    </font>
    <font>
      <b/>
      <sz val="10"/>
      <name val="Calibri"/>
      <family val="2"/>
      <scheme val="major"/>
    </font>
    <font>
      <sz val="11"/>
      <color theme="1"/>
      <name val="Cambria"/>
      <family val="2"/>
      <scheme val="minor"/>
    </font>
    <font>
      <sz val="12"/>
      <color theme="1"/>
      <name val="Times New Roman"/>
      <family val="1"/>
    </font>
    <font>
      <b/>
      <sz val="8"/>
      <color rgb="FF000000"/>
      <name val="Arial"/>
      <family val="2"/>
    </font>
    <font>
      <sz val="8"/>
      <color rgb="FF000000"/>
      <name val="Arial"/>
      <family val="2"/>
    </font>
    <font>
      <sz val="10"/>
      <color theme="1"/>
      <name val="Cambria"/>
      <family val="1"/>
      <scheme val="minor"/>
    </font>
    <font>
      <sz val="10"/>
      <color rgb="FF000000"/>
      <name val="Cambria"/>
      <family val="1"/>
      <scheme val="minor"/>
    </font>
    <font>
      <sz val="10"/>
      <color theme="1"/>
      <name val="Cambria"/>
      <family val="1"/>
      <scheme val="minor"/>
    </font>
    <font>
      <b/>
      <sz val="18"/>
      <color theme="3"/>
      <name val="Calibri"/>
      <family val="2"/>
      <scheme val="major"/>
    </font>
    <font>
      <b/>
      <sz val="15"/>
      <color theme="3"/>
      <name val="Arial"/>
      <family val="2"/>
    </font>
    <font>
      <b/>
      <sz val="13"/>
      <color theme="3"/>
      <name val="Arial"/>
      <family val="2"/>
    </font>
    <font>
      <b/>
      <sz val="11"/>
      <color theme="3"/>
      <name val="Arial"/>
      <family val="2"/>
    </font>
    <font>
      <sz val="10"/>
      <color rgb="FF9C0006"/>
      <name val="Arial"/>
      <family val="2"/>
    </font>
    <font>
      <sz val="10"/>
      <color rgb="FF9C6500"/>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sz val="10"/>
      <color rgb="FF000000"/>
      <name val="Calibri"/>
      <family val="2"/>
      <scheme val="major"/>
    </font>
    <font>
      <sz val="14"/>
      <name val="Cambria"/>
      <family val="1"/>
      <scheme val="minor"/>
    </font>
    <font>
      <sz val="11"/>
      <color rgb="FF1F497D"/>
      <name val="Arial"/>
      <family val="2"/>
    </font>
    <font>
      <b/>
      <sz val="12"/>
      <color rgb="FF000000"/>
      <name val="Calibri"/>
      <family val="2"/>
    </font>
    <font>
      <sz val="10"/>
      <color theme="4" tint="-0.249977111117893"/>
      <name val="Calibri"/>
      <family val="2"/>
      <scheme val="major"/>
    </font>
    <font>
      <sz val="8"/>
      <color theme="4" tint="-0.249977111117893"/>
      <name val="Calibri"/>
      <family val="2"/>
      <scheme val="major"/>
    </font>
    <font>
      <b/>
      <sz val="10"/>
      <color theme="4" tint="-0.249977111117893"/>
      <name val="Calibri"/>
      <family val="2"/>
      <scheme val="major"/>
    </font>
    <font>
      <i/>
      <sz val="10"/>
      <color theme="4" tint="-0.249977111117893"/>
      <name val="Calibri"/>
      <family val="2"/>
      <scheme val="major"/>
    </font>
    <font>
      <sz val="8"/>
      <color theme="2" tint="-0.499984740745262"/>
      <name val="Calibri"/>
      <family val="2"/>
      <scheme val="major"/>
    </font>
  </fonts>
  <fills count="65">
    <fill>
      <patternFill patternType="none"/>
    </fill>
    <fill>
      <patternFill patternType="gray125"/>
    </fill>
    <fill>
      <patternFill patternType="solid">
        <fgColor theme="4" tint="0.79998168889431442"/>
        <bgColor indexed="64"/>
      </patternFill>
    </fill>
    <fill>
      <patternFill patternType="solid">
        <fgColor rgb="FFFFCC99"/>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rgb="FFE9EFF7"/>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5"/>
      </patternFill>
    </fill>
    <fill>
      <patternFill patternType="solid">
        <fgColor theme="3" tint="0.39997558519241921"/>
        <bgColor indexed="64"/>
      </patternFill>
    </fill>
    <fill>
      <patternFill patternType="solid">
        <fgColor theme="3" tint="0.79998168889431442"/>
        <bgColor indexed="64"/>
      </patternFill>
    </fill>
    <fill>
      <patternFill patternType="solid">
        <fgColor theme="0"/>
        <bgColor indexed="26"/>
      </patternFill>
    </fill>
    <fill>
      <patternFill patternType="solid">
        <fgColor theme="4" tint="0.79998168889431442"/>
        <bgColor indexed="65"/>
      </patternFill>
    </fill>
    <fill>
      <patternFill patternType="solid">
        <fgColor theme="3" tint="0.39997558519241921"/>
        <bgColor theme="5"/>
      </patternFill>
    </fill>
    <fill>
      <patternFill patternType="solid">
        <fgColor theme="3" tint="0.79998168889431442"/>
        <bgColor theme="5" tint="0.59999389629810485"/>
      </patternFill>
    </fill>
    <fill>
      <patternFill patternType="solid">
        <fgColor rgb="FFC6EFCE"/>
      </patternFill>
    </fill>
    <fill>
      <patternFill patternType="solid">
        <fgColor theme="9"/>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5" tint="-0.249977111117893"/>
        <bgColor indexed="64"/>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BF1DE"/>
        <bgColor rgb="FF000000"/>
      </patternFill>
    </fill>
    <fill>
      <patternFill patternType="solid">
        <fgColor rgb="FF95B3D7"/>
        <bgColor rgb="FF000000"/>
      </patternFill>
    </fill>
  </fills>
  <borders count="101">
    <border>
      <left/>
      <right/>
      <top/>
      <bottom/>
      <diagonal/>
    </border>
    <border>
      <left/>
      <right/>
      <top/>
      <bottom style="thin">
        <color auto="1"/>
      </bottom>
      <diagonal/>
    </border>
    <border>
      <left/>
      <right/>
      <top style="thin">
        <color auto="1"/>
      </top>
      <bottom style="thin">
        <color theme="0" tint="-0.24994659260841701"/>
      </bottom>
      <diagonal/>
    </border>
    <border>
      <left style="thin">
        <color rgb="FF7F7F7F"/>
      </left>
      <right style="thin">
        <color rgb="FF7F7F7F"/>
      </right>
      <top style="thin">
        <color rgb="FF7F7F7F"/>
      </top>
      <bottom style="thin">
        <color rgb="FF7F7F7F"/>
      </bottom>
      <diagonal/>
    </border>
    <border>
      <left/>
      <right/>
      <top style="double">
        <color auto="1"/>
      </top>
      <bottom style="thin">
        <color auto="1"/>
      </bottom>
      <diagonal/>
    </border>
    <border>
      <left/>
      <right/>
      <top style="thin">
        <color auto="1"/>
      </top>
      <bottom style="thin">
        <color auto="1"/>
      </bottom>
      <diagonal/>
    </border>
    <border>
      <left/>
      <right/>
      <top style="thin">
        <color auto="1"/>
      </top>
      <bottom style="double">
        <color auto="1"/>
      </bottom>
      <diagonal/>
    </border>
    <border>
      <left/>
      <right/>
      <top/>
      <bottom style="double">
        <color auto="1"/>
      </bottom>
      <diagonal/>
    </border>
    <border>
      <left/>
      <right/>
      <top style="thin">
        <color auto="1"/>
      </top>
      <bottom/>
      <diagonal/>
    </border>
    <border>
      <left/>
      <right/>
      <top style="double">
        <color auto="1"/>
      </top>
      <bottom/>
      <diagonal/>
    </border>
    <border>
      <left/>
      <right/>
      <top style="double">
        <color auto="1"/>
      </top>
      <bottom style="double">
        <color auto="1"/>
      </bottom>
      <diagonal/>
    </border>
    <border>
      <left/>
      <right/>
      <top style="medium">
        <color theme="1"/>
      </top>
      <bottom style="medium">
        <color theme="1"/>
      </bottom>
      <diagonal/>
    </border>
    <border>
      <left/>
      <right/>
      <top/>
      <bottom style="thin">
        <color theme="1"/>
      </bottom>
      <diagonal/>
    </border>
    <border>
      <left/>
      <right/>
      <top style="thin">
        <color theme="1"/>
      </top>
      <bottom style="thin">
        <color theme="1"/>
      </bottom>
      <diagonal/>
    </border>
    <border>
      <left/>
      <right/>
      <top style="thin">
        <color theme="0" tint="-0.34998626667073579"/>
      </top>
      <bottom/>
      <diagonal/>
    </border>
    <border>
      <left/>
      <right/>
      <top/>
      <bottom style="thin">
        <color theme="0" tint="-0.34998626667073579"/>
      </bottom>
      <diagonal/>
    </border>
    <border>
      <left/>
      <right/>
      <top style="thin">
        <color theme="1" tint="4.9989318521683403E-2"/>
      </top>
      <bottom style="thin">
        <color theme="0" tint="-0.34998626667073579"/>
      </bottom>
      <diagonal/>
    </border>
    <border>
      <left/>
      <right/>
      <top/>
      <bottom style="thin">
        <color theme="1" tint="4.9989318521683403E-2"/>
      </bottom>
      <diagonal/>
    </border>
    <border>
      <left style="thin">
        <color theme="0" tint="-0.34998626667073579"/>
      </left>
      <right/>
      <top style="thin">
        <color theme="1" tint="4.9989318521683403E-2"/>
      </top>
      <bottom style="thin">
        <color theme="0" tint="-0.34998626667073579"/>
      </bottom>
      <diagonal/>
    </border>
    <border>
      <left style="thin">
        <color theme="0" tint="-0.34998626667073579"/>
      </left>
      <right/>
      <top/>
      <bottom/>
      <diagonal/>
    </border>
    <border>
      <left style="thin">
        <color theme="0" tint="-0.34998626667073579"/>
      </left>
      <right/>
      <top/>
      <bottom style="thin">
        <color theme="1" tint="4.9989318521683403E-2"/>
      </bottom>
      <diagonal/>
    </border>
    <border>
      <left/>
      <right/>
      <top style="thin">
        <color theme="0" tint="-0.34998626667073579"/>
      </top>
      <bottom style="thin">
        <color auto="1"/>
      </bottom>
      <diagonal/>
    </border>
    <border>
      <left style="thin">
        <color theme="0" tint="-0.34998626667073579"/>
      </left>
      <right/>
      <top style="thin">
        <color theme="0" tint="-0.34998626667073579"/>
      </top>
      <bottom style="thin">
        <color auto="1"/>
      </bottom>
      <diagonal/>
    </border>
    <border>
      <left/>
      <right/>
      <top style="thin">
        <color theme="1" tint="4.9989318521683403E-2"/>
      </top>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diagonal/>
    </border>
    <border>
      <left/>
      <right style="thin">
        <color theme="0" tint="-0.34998626667073579"/>
      </right>
      <top/>
      <bottom style="thin">
        <color auto="1"/>
      </bottom>
      <diagonal/>
    </border>
    <border>
      <left style="thin">
        <color theme="0" tint="-0.34998626667073579"/>
      </left>
      <right/>
      <top/>
      <bottom style="thin">
        <color auto="1"/>
      </bottom>
      <diagonal/>
    </border>
    <border>
      <left style="thin">
        <color theme="0" tint="-0.34998626667073579"/>
      </left>
      <right/>
      <top style="thin">
        <color theme="0" tint="-0.34998626667073579"/>
      </top>
      <bottom/>
      <diagonal/>
    </border>
    <border>
      <left style="thin">
        <color theme="0"/>
      </left>
      <right style="thin">
        <color theme="0"/>
      </right>
      <top/>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tint="-0.34998626667073579"/>
      </bottom>
      <diagonal/>
    </border>
    <border>
      <left style="thin">
        <color theme="0"/>
      </left>
      <right style="thin">
        <color theme="0"/>
      </right>
      <top style="thin">
        <color theme="1"/>
      </top>
      <bottom style="thin">
        <color theme="1"/>
      </bottom>
      <diagonal/>
    </border>
    <border>
      <left style="thin">
        <color theme="0"/>
      </left>
      <right style="thin">
        <color theme="0"/>
      </right>
      <top style="thin">
        <color theme="0"/>
      </top>
      <bottom style="thin">
        <color theme="0" tint="-0.34998626667073579"/>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style="medium">
        <color theme="1"/>
      </top>
      <bottom style="medium">
        <color theme="1"/>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auto="1"/>
      </top>
      <bottom style="thin">
        <color auto="1"/>
      </bottom>
      <diagonal/>
    </border>
    <border>
      <left style="thin">
        <color theme="0"/>
      </left>
      <right style="thin">
        <color theme="0"/>
      </right>
      <top style="medium">
        <color auto="1"/>
      </top>
      <bottom style="medium">
        <color auto="1"/>
      </bottom>
      <diagonal/>
    </border>
    <border>
      <left/>
      <right/>
      <top style="thin">
        <color auto="1"/>
      </top>
      <bottom style="thin">
        <color theme="0" tint="-0.34998626667073579"/>
      </bottom>
      <diagonal/>
    </border>
    <border>
      <left/>
      <right style="thick">
        <color theme="9" tint="0.79998168889431442"/>
      </right>
      <top/>
      <bottom/>
      <diagonal/>
    </border>
    <border>
      <left style="thick">
        <color theme="9" tint="0.79998168889431442"/>
      </left>
      <right/>
      <top/>
      <bottom/>
      <diagonal/>
    </border>
    <border>
      <left/>
      <right style="thick">
        <color theme="9" tint="0.79998168889431442"/>
      </right>
      <top style="thin">
        <color theme="1" tint="4.9989318521683403E-2"/>
      </top>
      <bottom style="thin">
        <color theme="0" tint="-0.34998626667073579"/>
      </bottom>
      <diagonal/>
    </border>
    <border>
      <left/>
      <right/>
      <top style="thin">
        <color theme="0"/>
      </top>
      <bottom style="thin">
        <color auto="1"/>
      </bottom>
      <diagonal/>
    </border>
    <border>
      <left style="thin">
        <color theme="0"/>
      </left>
      <right/>
      <top style="medium">
        <color theme="0"/>
      </top>
      <bottom/>
      <diagonal/>
    </border>
    <border>
      <left/>
      <right/>
      <top style="medium">
        <color theme="0"/>
      </top>
      <bottom/>
      <diagonal/>
    </border>
    <border>
      <left/>
      <right style="thin">
        <color theme="0"/>
      </right>
      <top style="medium">
        <color theme="0"/>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theme="0"/>
      </right>
      <top/>
      <bottom style="thin">
        <color auto="1"/>
      </bottom>
      <diagonal/>
    </border>
    <border>
      <left style="thin">
        <color theme="0" tint="-0.34998626667073579"/>
      </left>
      <right/>
      <top/>
      <bottom style="thin">
        <color theme="0"/>
      </bottom>
      <diagonal/>
    </border>
    <border>
      <left/>
      <right/>
      <top style="thin">
        <color theme="0"/>
      </top>
      <bottom style="thin">
        <color theme="0" tint="-0.34998626667073579"/>
      </bottom>
      <diagonal/>
    </border>
    <border>
      <left style="thin">
        <color theme="0" tint="-0.34998626667073579"/>
      </left>
      <right/>
      <top style="thin">
        <color theme="0"/>
      </top>
      <bottom style="thin">
        <color theme="0" tint="-0.34998626667073579"/>
      </bottom>
      <diagonal/>
    </border>
    <border>
      <left/>
      <right style="thin">
        <color auto="1"/>
      </right>
      <top style="thin">
        <color theme="0" tint="-0.34998626667073579"/>
      </top>
      <bottom/>
      <diagonal/>
    </border>
    <border>
      <left/>
      <right style="thin">
        <color theme="0"/>
      </right>
      <top/>
      <bottom style="thick">
        <color theme="0"/>
      </bottom>
      <diagonal/>
    </border>
    <border>
      <left/>
      <right/>
      <top/>
      <bottom style="thick">
        <color theme="0"/>
      </bottom>
      <diagonal/>
    </border>
    <border>
      <left/>
      <right/>
      <top style="thin">
        <color theme="1" tint="4.9989318521683403E-2"/>
      </top>
      <bottom style="thin">
        <color auto="1"/>
      </bottom>
      <diagonal/>
    </border>
    <border>
      <left style="thin">
        <color theme="0" tint="-0.34998626667073579"/>
      </left>
      <right/>
      <top style="thin">
        <color theme="1" tint="4.9989318521683403E-2"/>
      </top>
      <bottom style="thin">
        <color auto="1"/>
      </bottom>
      <diagonal/>
    </border>
    <border>
      <left style="medium">
        <color auto="1"/>
      </left>
      <right style="medium">
        <color auto="1"/>
      </right>
      <top style="medium">
        <color auto="1"/>
      </top>
      <bottom/>
      <diagonal/>
    </border>
    <border>
      <left style="thin">
        <color theme="5" tint="0.59996337778862885"/>
      </left>
      <right style="thin">
        <color theme="5" tint="0.59996337778862885"/>
      </right>
      <top style="thin">
        <color theme="5" tint="0.59996337778862885"/>
      </top>
      <bottom style="thin">
        <color theme="5" tint="0.59996337778862885"/>
      </bottom>
      <diagonal/>
    </border>
    <border>
      <left style="thin">
        <color theme="5" tint="0.59996337778862885"/>
      </left>
      <right style="thin">
        <color theme="5" tint="0.59996337778862885"/>
      </right>
      <top/>
      <bottom style="thin">
        <color theme="5" tint="0.59996337778862885"/>
      </bottom>
      <diagonal/>
    </border>
    <border>
      <left style="thin">
        <color theme="5" tint="0.59996337778862885"/>
      </left>
      <right/>
      <top/>
      <bottom style="thin">
        <color theme="5" tint="0.59996337778862885"/>
      </bottom>
      <diagonal/>
    </border>
    <border>
      <left/>
      <right style="thin">
        <color theme="5" tint="0.59996337778862885"/>
      </right>
      <top style="thin">
        <color theme="5" tint="0.59996337778862885"/>
      </top>
      <bottom style="thin">
        <color theme="5" tint="0.59996337778862885"/>
      </bottom>
      <diagonal/>
    </border>
    <border>
      <left/>
      <right style="thin">
        <color theme="5" tint="0.59996337778862885"/>
      </right>
      <top style="thin">
        <color theme="5" tint="0.59996337778862885"/>
      </top>
      <bottom/>
      <diagonal/>
    </border>
    <border>
      <left style="thin">
        <color theme="5" tint="0.59996337778862885"/>
      </left>
      <right style="thin">
        <color theme="5" tint="0.59996337778862885"/>
      </right>
      <top style="thin">
        <color theme="5" tint="0.59996337778862885"/>
      </top>
      <bottom/>
      <diagonal/>
    </border>
    <border>
      <left/>
      <right style="thin">
        <color theme="5" tint="0.59996337778862885"/>
      </right>
      <top style="thin">
        <color theme="1"/>
      </top>
      <bottom style="thin">
        <color theme="5" tint="0.59996337778862885"/>
      </bottom>
      <diagonal/>
    </border>
    <border>
      <left style="thin">
        <color theme="5" tint="0.59996337778862885"/>
      </left>
      <right style="thin">
        <color theme="5" tint="0.59996337778862885"/>
      </right>
      <top style="thin">
        <color theme="1"/>
      </top>
      <bottom style="thin">
        <color theme="5" tint="0.59996337778862885"/>
      </bottom>
      <diagonal/>
    </border>
    <border>
      <left style="thin">
        <color theme="5" tint="0.59996337778862885"/>
      </left>
      <right/>
      <top style="thin">
        <color theme="1"/>
      </top>
      <bottom style="thin">
        <color theme="5" tint="0.59996337778862885"/>
      </bottom>
      <diagonal/>
    </border>
    <border>
      <left/>
      <right style="thick">
        <color theme="9" tint="0.79998168889431442"/>
      </right>
      <top/>
      <bottom style="thin">
        <color theme="0" tint="-0.34998626667073579"/>
      </bottom>
      <diagonal/>
    </border>
    <border>
      <left style="thin">
        <color theme="5" tint="0.59996337778862885"/>
      </left>
      <right style="thin">
        <color theme="5" tint="0.59996337778862885"/>
      </right>
      <top/>
      <bottom/>
      <diagonal/>
    </border>
    <border>
      <left style="thin">
        <color theme="5" tint="0.59996337778862885"/>
      </left>
      <right style="thin">
        <color theme="5" tint="0.59996337778862885"/>
      </right>
      <top style="thin">
        <color theme="1"/>
      </top>
      <bottom/>
      <diagonal/>
    </border>
    <border>
      <left style="medium">
        <color auto="1"/>
      </left>
      <right style="medium">
        <color auto="1"/>
      </right>
      <top/>
      <bottom/>
      <diagonal/>
    </border>
    <border>
      <left/>
      <right style="thin">
        <color theme="0"/>
      </right>
      <top style="thin">
        <color theme="1" tint="4.9989318521683403E-2"/>
      </top>
      <bottom style="thin">
        <color theme="0" tint="-0.34998626667073579"/>
      </bottom>
      <diagonal/>
    </border>
    <border>
      <left/>
      <right style="thin">
        <color theme="0"/>
      </right>
      <top style="thin">
        <color theme="0" tint="-0.34998626667073579"/>
      </top>
      <bottom style="thin">
        <color auto="1"/>
      </bottom>
      <diagonal/>
    </border>
    <border>
      <left/>
      <right style="thick">
        <color theme="9" tint="0.79998168889431442"/>
      </right>
      <top style="thin">
        <color theme="0" tint="-0.34998626667073579"/>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top/>
      <bottom style="thin">
        <color auto="1"/>
      </bottom>
      <diagonal/>
    </border>
  </borders>
  <cellStyleXfs count="905">
    <xf numFmtId="0" fontId="0" fillId="0" borderId="0"/>
    <xf numFmtId="199" fontId="27" fillId="0" borderId="0" applyFont="0" applyFill="0" applyBorder="0" applyAlignment="0" applyProtection="0"/>
    <xf numFmtId="191" fontId="11" fillId="0" borderId="0" applyFont="0" applyFill="0" applyBorder="0" applyAlignment="0" applyProtection="0"/>
    <xf numFmtId="0" fontId="31" fillId="3" borderId="3" applyNumberFormat="0" applyAlignment="0" applyProtection="0"/>
    <xf numFmtId="176" fontId="69" fillId="0" borderId="0" applyNumberFormat="0" applyFill="0" applyBorder="0" applyAlignment="0" applyProtection="0"/>
    <xf numFmtId="0" fontId="21" fillId="0" borderId="2" applyNumberFormat="0">
      <alignment horizontal="left" vertical="center"/>
    </xf>
    <xf numFmtId="0" fontId="32" fillId="0" borderId="0"/>
    <xf numFmtId="199" fontId="27" fillId="0" borderId="0" applyFont="0" applyFill="0" applyBorder="0" applyAlignment="0" applyProtection="0"/>
    <xf numFmtId="0" fontId="9" fillId="25" borderId="0" applyNumberFormat="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4" fillId="0" borderId="0"/>
    <xf numFmtId="0" fontId="7" fillId="29" borderId="0" applyNumberFormat="0" applyBorder="0" applyAlignment="0" applyProtection="0"/>
    <xf numFmtId="0" fontId="145" fillId="0" borderId="0" applyNumberFormat="0" applyFill="0" applyBorder="0" applyAlignment="0" applyProtection="0">
      <alignment vertical="top"/>
      <protection locked="0"/>
    </xf>
    <xf numFmtId="0" fontId="141" fillId="0" borderId="0" applyNumberFormat="0" applyFill="0" applyBorder="0" applyAlignment="0" applyProtection="0"/>
    <xf numFmtId="0" fontId="142" fillId="0" borderId="0" applyNumberFormat="0" applyFill="0" applyBorder="0" applyAlignment="0" applyProtection="0"/>
    <xf numFmtId="0" fontId="6" fillId="25" borderId="0" applyNumberFormat="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6" fillId="29" borderId="0" applyNumberFormat="0" applyBorder="0" applyAlignment="0" applyProtection="0"/>
    <xf numFmtId="0" fontId="141" fillId="0" borderId="0" applyNumberFormat="0" applyFill="0" applyBorder="0" applyAlignment="0" applyProtection="0"/>
    <xf numFmtId="0" fontId="6" fillId="0" borderId="0"/>
    <xf numFmtId="43" fontId="6" fillId="0" borderId="0" applyFont="0" applyFill="0" applyBorder="0" applyAlignment="0" applyProtection="0"/>
    <xf numFmtId="0" fontId="6" fillId="0" borderId="0"/>
    <xf numFmtId="0" fontId="141"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46" fillId="32" borderId="0" applyNumberFormat="0" applyBorder="0" applyAlignment="0" applyProtection="0"/>
    <xf numFmtId="0" fontId="5" fillId="25" borderId="0" applyNumberFormat="0" applyBorder="0" applyAlignment="0" applyProtection="0"/>
    <xf numFmtId="0" fontId="5" fillId="0" borderId="0"/>
    <xf numFmtId="0" fontId="5" fillId="0" borderId="0"/>
    <xf numFmtId="0" fontId="4" fillId="25" borderId="0" applyNumberFormat="0" applyBorder="0" applyAlignment="0" applyProtection="0"/>
    <xf numFmtId="0" fontId="148" fillId="33" borderId="0" applyNumberFormat="0" applyBorder="0" applyAlignment="0" applyProtection="0"/>
    <xf numFmtId="0" fontId="157" fillId="0" borderId="0" applyNumberFormat="0" applyFill="0" applyBorder="0" applyAlignment="0" applyProtection="0"/>
    <xf numFmtId="0" fontId="158" fillId="0" borderId="92" applyNumberFormat="0" applyFill="0" applyAlignment="0" applyProtection="0"/>
    <xf numFmtId="0" fontId="159" fillId="0" borderId="93" applyNumberFormat="0" applyFill="0" applyAlignment="0" applyProtection="0"/>
    <xf numFmtId="0" fontId="160" fillId="0" borderId="94" applyNumberFormat="0" applyFill="0" applyAlignment="0" applyProtection="0"/>
    <xf numFmtId="0" fontId="160" fillId="0" borderId="0" applyNumberFormat="0" applyFill="0" applyBorder="0" applyAlignment="0" applyProtection="0"/>
    <xf numFmtId="0" fontId="161" fillId="37" borderId="0" applyNumberFormat="0" applyBorder="0" applyAlignment="0" applyProtection="0"/>
    <xf numFmtId="0" fontId="162" fillId="38" borderId="0" applyNumberFormat="0" applyBorder="0" applyAlignment="0" applyProtection="0"/>
    <xf numFmtId="0" fontId="163" fillId="39" borderId="95" applyNumberFormat="0" applyAlignment="0" applyProtection="0"/>
    <xf numFmtId="0" fontId="164" fillId="39" borderId="3" applyNumberFormat="0" applyAlignment="0" applyProtection="0"/>
    <xf numFmtId="0" fontId="165" fillId="0" borderId="96" applyNumberFormat="0" applyFill="0" applyAlignment="0" applyProtection="0"/>
    <xf numFmtId="0" fontId="166" fillId="40" borderId="97" applyNumberFormat="0" applyAlignment="0" applyProtection="0"/>
    <xf numFmtId="0" fontId="167" fillId="0" borderId="0" applyNumberFormat="0" applyFill="0" applyBorder="0" applyAlignment="0" applyProtection="0"/>
    <xf numFmtId="0" fontId="168" fillId="0" borderId="0" applyNumberFormat="0" applyFill="0" applyBorder="0" applyAlignment="0" applyProtection="0"/>
    <xf numFmtId="0" fontId="132" fillId="0" borderId="99" applyNumberFormat="0" applyFill="0" applyAlignment="0" applyProtection="0"/>
    <xf numFmtId="0" fontId="148" fillId="42" borderId="0" applyNumberFormat="0" applyBorder="0" applyAlignment="0" applyProtection="0"/>
    <xf numFmtId="0" fontId="3" fillId="43" borderId="0" applyNumberFormat="0" applyBorder="0" applyAlignment="0" applyProtection="0"/>
    <xf numFmtId="0" fontId="148" fillId="44" borderId="0" applyNumberFormat="0" applyBorder="0" applyAlignment="0" applyProtection="0"/>
    <xf numFmtId="0" fontId="148" fillId="45" borderId="0" applyNumberFormat="0" applyBorder="0" applyAlignment="0" applyProtection="0"/>
    <xf numFmtId="0" fontId="3" fillId="46" borderId="0" applyNumberFormat="0" applyBorder="0" applyAlignment="0" applyProtection="0"/>
    <xf numFmtId="0" fontId="3" fillId="47" borderId="0" applyNumberFormat="0" applyBorder="0" applyAlignment="0" applyProtection="0"/>
    <xf numFmtId="0" fontId="148" fillId="48" borderId="0" applyNumberFormat="0" applyBorder="0" applyAlignment="0" applyProtection="0"/>
    <xf numFmtId="0" fontId="148" fillId="49"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148" fillId="52" borderId="0" applyNumberFormat="0" applyBorder="0" applyAlignment="0" applyProtection="0"/>
    <xf numFmtId="0" fontId="148"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148" fillId="56" borderId="0" applyNumberFormat="0" applyBorder="0" applyAlignment="0" applyProtection="0"/>
    <xf numFmtId="0" fontId="148"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148" fillId="60" borderId="0" applyNumberFormat="0" applyBorder="0" applyAlignment="0" applyProtection="0"/>
    <xf numFmtId="0" fontId="3" fillId="61" borderId="0" applyNumberFormat="0" applyBorder="0" applyAlignment="0" applyProtection="0"/>
    <xf numFmtId="0" fontId="148" fillId="62" borderId="0" applyNumberFormat="0" applyBorder="0" applyAlignment="0" applyProtection="0"/>
    <xf numFmtId="0" fontId="3" fillId="0" borderId="0"/>
    <xf numFmtId="0" fontId="3" fillId="41" borderId="98" applyNumberFormat="0" applyFont="0" applyAlignment="0" applyProtection="0"/>
    <xf numFmtId="0" fontId="3" fillId="29" borderId="0" applyNumberFormat="0" applyBorder="0" applyAlignment="0" applyProtection="0"/>
    <xf numFmtId="0" fontId="3" fillId="25" borderId="0" applyNumberFormat="0" applyBorder="0" applyAlignment="0" applyProtection="0"/>
    <xf numFmtId="0" fontId="2" fillId="0" borderId="0"/>
    <xf numFmtId="0" fontId="2" fillId="41" borderId="98" applyNumberFormat="0" applyFont="0" applyAlignment="0" applyProtection="0"/>
    <xf numFmtId="0" fontId="2" fillId="29"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25" borderId="0" applyNumberFormat="0" applyBorder="0" applyAlignment="0" applyProtection="0"/>
    <xf numFmtId="0" fontId="2" fillId="61" borderId="0" applyNumberFormat="0" applyBorder="0" applyAlignment="0" applyProtection="0"/>
    <xf numFmtId="0" fontId="1" fillId="0" borderId="0"/>
    <xf numFmtId="0" fontId="1" fillId="41" borderId="98" applyNumberFormat="0" applyFont="0" applyAlignment="0" applyProtection="0"/>
    <xf numFmtId="0" fontId="1" fillId="29" borderId="0" applyNumberFormat="0" applyBorder="0" applyAlignment="0" applyProtection="0"/>
    <xf numFmtId="0" fontId="1" fillId="43"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1" fillId="25" borderId="0" applyNumberFormat="0" applyBorder="0" applyAlignment="0" applyProtection="0"/>
    <xf numFmtId="0" fontId="1" fillId="61" borderId="0" applyNumberFormat="0" applyBorder="0" applyAlignment="0" applyProtection="0"/>
    <xf numFmtId="0" fontId="150" fillId="0" borderId="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191" fontId="11" fillId="0" borderId="0" applyFont="0" applyFill="0" applyBorder="0" applyAlignment="0" applyProtection="0"/>
  </cellStyleXfs>
  <cellXfs count="2233">
    <xf numFmtId="0" fontId="0" fillId="0" borderId="0" xfId="0"/>
    <xf numFmtId="0" fontId="0" fillId="0" borderId="0" xfId="0"/>
    <xf numFmtId="0" fontId="11" fillId="0" borderId="0" xfId="0" applyFont="1"/>
    <xf numFmtId="0" fontId="13" fillId="0" borderId="0" xfId="0" applyFont="1"/>
    <xf numFmtId="0" fontId="14" fillId="0" borderId="0" xfId="0" applyFont="1" applyAlignment="1">
      <alignment vertical="center"/>
    </xf>
    <xf numFmtId="0" fontId="11" fillId="0" borderId="0" xfId="0" applyFont="1" applyAlignment="1">
      <alignment vertical="center"/>
    </xf>
    <xf numFmtId="0" fontId="15" fillId="0" borderId="0" xfId="0" applyFont="1" applyAlignment="1">
      <alignment vertical="center"/>
    </xf>
    <xf numFmtId="0" fontId="16" fillId="0" borderId="0" xfId="0" applyFont="1"/>
    <xf numFmtId="0" fontId="17" fillId="0" borderId="0" xfId="0" applyFont="1"/>
    <xf numFmtId="0" fontId="17" fillId="0" borderId="0" xfId="0" applyFont="1" applyAlignment="1">
      <alignment vertical="center"/>
    </xf>
    <xf numFmtId="0" fontId="20" fillId="0" borderId="0" xfId="0" applyFont="1" applyAlignment="1">
      <alignment vertical="center"/>
    </xf>
    <xf numFmtId="0" fontId="16" fillId="0" borderId="0" xfId="0" applyFont="1" applyAlignment="1">
      <alignment vertical="center"/>
    </xf>
    <xf numFmtId="0" fontId="11" fillId="0" borderId="0" xfId="0" applyFont="1" applyAlignment="1">
      <alignment horizontal="left" vertical="center" wrapText="1"/>
    </xf>
    <xf numFmtId="0" fontId="13" fillId="0" borderId="0" xfId="0" applyFont="1" applyAlignment="1">
      <alignment horizontal="left" vertical="center" wrapText="1"/>
    </xf>
    <xf numFmtId="0" fontId="0" fillId="0" borderId="0" xfId="0" applyAlignment="1">
      <alignment vertical="center"/>
    </xf>
    <xf numFmtId="199" fontId="0" fillId="0" borderId="0" xfId="1" applyFont="1"/>
    <xf numFmtId="0" fontId="0" fillId="0" borderId="0" xfId="0" applyAlignment="1">
      <alignment horizontal="right"/>
    </xf>
    <xf numFmtId="0" fontId="0" fillId="0" borderId="0" xfId="0" applyAlignment="1">
      <alignment horizontal="left"/>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xf numFmtId="0" fontId="20" fillId="0" borderId="0" xfId="0" applyFont="1" applyAlignment="1">
      <alignment horizontal="left" vertical="center" wrapText="1"/>
    </xf>
    <xf numFmtId="0" fontId="0" fillId="0" borderId="0" xfId="0" applyAlignment="1">
      <alignment horizontal="left" vertical="center" wrapText="1"/>
    </xf>
    <xf numFmtId="191" fontId="0" fillId="0" borderId="0" xfId="2" applyFont="1"/>
    <xf numFmtId="11" fontId="0" fillId="0" borderId="0" xfId="0" applyNumberFormat="1"/>
    <xf numFmtId="0" fontId="25" fillId="0" borderId="0" xfId="0" applyFont="1"/>
    <xf numFmtId="0" fontId="0" fillId="0" borderId="0" xfId="0" applyBorder="1" applyAlignment="1">
      <alignment vertical="center"/>
    </xf>
    <xf numFmtId="164" fontId="0" fillId="0" borderId="0" xfId="0" applyNumberForma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0" fontId="21" fillId="0" borderId="2" xfId="0" applyFont="1" applyBorder="1" applyAlignment="1">
      <alignment horizontal="left" vertical="center"/>
    </xf>
    <xf numFmtId="0" fontId="21" fillId="0" borderId="2" xfId="0" applyFont="1" applyBorder="1" applyAlignment="1">
      <alignment horizontal="center" vertical="center"/>
    </xf>
    <xf numFmtId="0" fontId="28" fillId="0" borderId="0" xfId="0" applyFont="1" applyBorder="1" applyAlignment="1">
      <alignment horizontal="left" vertical="center"/>
    </xf>
    <xf numFmtId="0" fontId="28" fillId="0" borderId="1" xfId="0" applyFont="1" applyBorder="1" applyAlignment="1">
      <alignment horizontal="left" vertical="center"/>
    </xf>
    <xf numFmtId="0" fontId="0" fillId="0" borderId="0" xfId="0" applyFill="1" applyBorder="1" applyAlignment="1">
      <alignment vertical="center"/>
    </xf>
    <xf numFmtId="0" fontId="31" fillId="3" borderId="3" xfId="3" applyAlignment="1">
      <alignment horizontal="center" vertical="center"/>
    </xf>
    <xf numFmtId="0" fontId="0" fillId="0" borderId="0" xfId="0" applyBorder="1"/>
    <xf numFmtId="0" fontId="0" fillId="0" borderId="0" xfId="0" applyFill="1" applyBorder="1"/>
    <xf numFmtId="0" fontId="33" fillId="4" borderId="0" xfId="0" applyFont="1" applyFill="1" applyAlignment="1">
      <alignment horizontal="left"/>
    </xf>
    <xf numFmtId="0" fontId="33" fillId="4" borderId="0" xfId="0" applyFont="1" applyFill="1"/>
    <xf numFmtId="0" fontId="34" fillId="4" borderId="0" xfId="0" applyFont="1" applyFill="1"/>
    <xf numFmtId="0" fontId="35" fillId="4" borderId="0" xfId="0" applyFont="1" applyFill="1"/>
    <xf numFmtId="0" fontId="36" fillId="4" borderId="0" xfId="0" applyFont="1" applyFill="1"/>
    <xf numFmtId="0" fontId="37" fillId="4" borderId="0" xfId="0" applyFont="1" applyFill="1"/>
    <xf numFmtId="0" fontId="38" fillId="4" borderId="0" xfId="0" applyFont="1" applyFill="1"/>
    <xf numFmtId="0" fontId="39" fillId="4" borderId="0" xfId="0" applyFont="1" applyFill="1"/>
    <xf numFmtId="0" fontId="40" fillId="4" borderId="0" xfId="0" applyFont="1" applyFill="1"/>
    <xf numFmtId="0" fontId="39" fillId="4" borderId="0" xfId="0" applyFont="1" applyFill="1" applyAlignment="1">
      <alignment horizontal="right"/>
    </xf>
    <xf numFmtId="0" fontId="32" fillId="4" borderId="0" xfId="0" applyFont="1" applyFill="1"/>
    <xf numFmtId="0" fontId="37" fillId="4" borderId="4" xfId="0" applyFont="1" applyFill="1" applyBorder="1" applyAlignment="1">
      <alignment horizontal="right" vertical="top" wrapText="1"/>
    </xf>
    <xf numFmtId="165" fontId="41" fillId="4" borderId="4" xfId="0" applyNumberFormat="1" applyFont="1" applyFill="1" applyBorder="1" applyAlignment="1">
      <alignment horizontal="right" vertical="top" wrapText="1"/>
    </xf>
    <xf numFmtId="0" fontId="41" fillId="4" borderId="4" xfId="0" applyFont="1" applyFill="1" applyBorder="1" applyAlignment="1">
      <alignment horizontal="right" vertical="top" wrapText="1"/>
    </xf>
    <xf numFmtId="0" fontId="43" fillId="4" borderId="0" xfId="0" applyFont="1" applyFill="1" applyAlignment="1">
      <alignment horizontal="right" vertical="top" wrapText="1"/>
    </xf>
    <xf numFmtId="0" fontId="41" fillId="4" borderId="0" xfId="0" applyFont="1" applyFill="1"/>
    <xf numFmtId="166" fontId="37" fillId="4" borderId="0" xfId="0" applyNumberFormat="1" applyFont="1" applyFill="1" applyAlignment="1">
      <alignment horizontal="right"/>
    </xf>
    <xf numFmtId="3" fontId="37" fillId="4" borderId="0" xfId="0" applyNumberFormat="1" applyFont="1" applyFill="1"/>
    <xf numFmtId="0" fontId="44" fillId="4" borderId="0" xfId="0" applyFont="1" applyFill="1"/>
    <xf numFmtId="1" fontId="37" fillId="4" borderId="0" xfId="0" applyNumberFormat="1" applyFont="1" applyFill="1"/>
    <xf numFmtId="167" fontId="37" fillId="4" borderId="0" xfId="0" applyNumberFormat="1" applyFont="1" applyFill="1" applyAlignment="1">
      <alignment horizontal="right"/>
    </xf>
    <xf numFmtId="0" fontId="37" fillId="4" borderId="0" xfId="0" applyFont="1" applyFill="1" applyBorder="1"/>
    <xf numFmtId="0" fontId="41" fillId="4" borderId="5" xfId="0" applyFont="1" applyFill="1" applyBorder="1" applyAlignment="1">
      <alignment vertical="center"/>
    </xf>
    <xf numFmtId="167" fontId="38" fillId="4" borderId="5" xfId="0" applyNumberFormat="1" applyFont="1" applyFill="1" applyBorder="1" applyAlignment="1">
      <alignment horizontal="right"/>
    </xf>
    <xf numFmtId="166" fontId="38" fillId="4" borderId="5" xfId="0" applyNumberFormat="1" applyFont="1" applyFill="1" applyBorder="1" applyAlignment="1">
      <alignment horizontal="right"/>
    </xf>
    <xf numFmtId="0" fontId="44" fillId="4" borderId="0" xfId="0" applyFont="1" applyFill="1" applyAlignment="1">
      <alignment vertical="center"/>
    </xf>
    <xf numFmtId="168" fontId="37" fillId="4" borderId="0" xfId="0" applyNumberFormat="1" applyFont="1" applyFill="1" applyBorder="1" applyAlignment="1">
      <alignment horizontal="right"/>
    </xf>
    <xf numFmtId="169" fontId="37" fillId="4" borderId="0" xfId="0" applyNumberFormat="1" applyFont="1" applyFill="1" applyBorder="1" applyAlignment="1">
      <alignment horizontal="right"/>
    </xf>
    <xf numFmtId="166" fontId="38" fillId="4" borderId="0" xfId="0" applyNumberFormat="1" applyFont="1" applyFill="1" applyBorder="1" applyAlignment="1">
      <alignment horizontal="right"/>
    </xf>
    <xf numFmtId="167" fontId="38" fillId="4" borderId="0" xfId="0" applyNumberFormat="1" applyFont="1" applyFill="1" applyAlignment="1">
      <alignment horizontal="right"/>
    </xf>
    <xf numFmtId="166" fontId="38" fillId="4" borderId="0" xfId="0" applyNumberFormat="1" applyFont="1" applyFill="1" applyAlignment="1">
      <alignment horizontal="right"/>
    </xf>
    <xf numFmtId="0" fontId="46" fillId="4" borderId="0" xfId="0" applyFont="1" applyFill="1"/>
    <xf numFmtId="0" fontId="37" fillId="4" borderId="1" xfId="0" applyFont="1" applyFill="1" applyBorder="1"/>
    <xf numFmtId="166" fontId="37" fillId="4" borderId="1" xfId="0" applyNumberFormat="1" applyFont="1" applyFill="1" applyBorder="1" applyAlignment="1">
      <alignment horizontal="right"/>
    </xf>
    <xf numFmtId="0" fontId="41" fillId="4" borderId="0" xfId="0" applyFont="1" applyFill="1" applyBorder="1"/>
    <xf numFmtId="0" fontId="41" fillId="4" borderId="1" xfId="0" applyFont="1" applyFill="1" applyBorder="1"/>
    <xf numFmtId="0" fontId="41" fillId="4" borderId="5" xfId="0" applyFont="1" applyFill="1" applyBorder="1"/>
    <xf numFmtId="167" fontId="38" fillId="4" borderId="5" xfId="0" applyNumberFormat="1" applyFont="1" applyFill="1" applyBorder="1" applyAlignment="1">
      <alignment horizontal="right" vertical="center"/>
    </xf>
    <xf numFmtId="166" fontId="38" fillId="4" borderId="5" xfId="0" applyNumberFormat="1" applyFont="1" applyFill="1" applyBorder="1" applyAlignment="1">
      <alignment horizontal="right" vertical="center"/>
    </xf>
    <xf numFmtId="0" fontId="41" fillId="4" borderId="6" xfId="0" applyFont="1" applyFill="1" applyBorder="1" applyAlignment="1">
      <alignment vertical="center"/>
    </xf>
    <xf numFmtId="166" fontId="38" fillId="4" borderId="6" xfId="0" applyNumberFormat="1" applyFont="1" applyFill="1" applyBorder="1" applyAlignment="1">
      <alignment horizontal="right"/>
    </xf>
    <xf numFmtId="167" fontId="38" fillId="4" borderId="6" xfId="0" applyNumberFormat="1" applyFont="1" applyFill="1" applyBorder="1" applyAlignment="1">
      <alignment horizontal="right"/>
    </xf>
    <xf numFmtId="0" fontId="45" fillId="4" borderId="0" xfId="0" applyFont="1" applyFill="1"/>
    <xf numFmtId="0" fontId="47" fillId="4" borderId="0" xfId="0" applyFont="1" applyFill="1"/>
    <xf numFmtId="166" fontId="32" fillId="4" borderId="0" xfId="0" applyNumberFormat="1" applyFont="1" applyFill="1"/>
    <xf numFmtId="0" fontId="50" fillId="0" borderId="0" xfId="0" applyFont="1"/>
    <xf numFmtId="0" fontId="32" fillId="0" borderId="0" xfId="0" applyFont="1"/>
    <xf numFmtId="0" fontId="32" fillId="0" borderId="7" xfId="0" applyFont="1" applyBorder="1"/>
    <xf numFmtId="3" fontId="32" fillId="0" borderId="0" xfId="0" applyNumberFormat="1" applyFont="1" applyFill="1" applyBorder="1"/>
    <xf numFmtId="3" fontId="32" fillId="0" borderId="0" xfId="0" applyNumberFormat="1" applyFont="1" applyFill="1" applyBorder="1" applyAlignment="1">
      <alignment horizontal="right"/>
    </xf>
    <xf numFmtId="0" fontId="32" fillId="0" borderId="0" xfId="0" applyFont="1" applyBorder="1"/>
    <xf numFmtId="0" fontId="32" fillId="0" borderId="4" xfId="0" applyFont="1" applyBorder="1"/>
    <xf numFmtId="3" fontId="32" fillId="0" borderId="4" xfId="0" applyNumberFormat="1" applyFont="1" applyFill="1" applyBorder="1"/>
    <xf numFmtId="3" fontId="32" fillId="0" borderId="4" xfId="0" applyNumberFormat="1" applyFont="1" applyFill="1" applyBorder="1" applyAlignment="1">
      <alignment horizontal="right"/>
    </xf>
    <xf numFmtId="3" fontId="32" fillId="0" borderId="0" xfId="0" applyNumberFormat="1" applyFont="1" applyFill="1" applyAlignment="1">
      <alignment horizontal="left"/>
    </xf>
    <xf numFmtId="3" fontId="32" fillId="0" borderId="0" xfId="0" applyNumberFormat="1" applyFont="1" applyFill="1"/>
    <xf numFmtId="3" fontId="51" fillId="0" borderId="0" xfId="0" applyNumberFormat="1" applyFont="1" applyFill="1" applyBorder="1"/>
    <xf numFmtId="3" fontId="51" fillId="0" borderId="0" xfId="0" applyNumberFormat="1" applyFont="1" applyFill="1" applyBorder="1" applyAlignment="1">
      <alignment horizontal="right"/>
    </xf>
    <xf numFmtId="3" fontId="32" fillId="0" borderId="5" xfId="0" applyNumberFormat="1" applyFont="1" applyFill="1" applyBorder="1"/>
    <xf numFmtId="3" fontId="32" fillId="0" borderId="0" xfId="0" applyNumberFormat="1" applyFont="1" applyFill="1" applyBorder="1" applyAlignment="1">
      <alignment horizontal="left"/>
    </xf>
    <xf numFmtId="170" fontId="32" fillId="0" borderId="5" xfId="0" applyNumberFormat="1" applyFont="1" applyFill="1" applyBorder="1" applyAlignment="1">
      <alignment horizontal="right"/>
    </xf>
    <xf numFmtId="3" fontId="32" fillId="0" borderId="5" xfId="0" applyNumberFormat="1" applyFont="1" applyFill="1" applyBorder="1" applyAlignment="1">
      <alignment horizontal="right"/>
    </xf>
    <xf numFmtId="3" fontId="32" fillId="0" borderId="6" xfId="0" applyNumberFormat="1" applyFont="1" applyFill="1" applyBorder="1"/>
    <xf numFmtId="3" fontId="32" fillId="0" borderId="0" xfId="0" applyNumberFormat="1" applyFont="1" applyFill="1" applyAlignment="1">
      <alignment horizontal="right"/>
    </xf>
    <xf numFmtId="0" fontId="32" fillId="0" borderId="0" xfId="0" applyFont="1" applyFill="1" applyBorder="1" applyAlignment="1">
      <alignment horizontal="right"/>
    </xf>
    <xf numFmtId="3" fontId="32" fillId="0" borderId="6" xfId="0" applyNumberFormat="1" applyFont="1" applyFill="1" applyBorder="1" applyAlignment="1">
      <alignment horizontal="right"/>
    </xf>
    <xf numFmtId="1" fontId="32" fillId="0" borderId="0" xfId="0" applyNumberFormat="1" applyFont="1"/>
    <xf numFmtId="1" fontId="32" fillId="0" borderId="0" xfId="0" applyNumberFormat="1" applyFont="1" applyFill="1" applyAlignment="1">
      <alignment horizontal="left"/>
    </xf>
    <xf numFmtId="3" fontId="32" fillId="0" borderId="0" xfId="0" applyNumberFormat="1" applyFont="1"/>
    <xf numFmtId="1" fontId="32" fillId="0" borderId="5" xfId="0" applyNumberFormat="1" applyFont="1" applyFill="1" applyBorder="1" applyAlignment="1">
      <alignment horizontal="left"/>
    </xf>
    <xf numFmtId="3" fontId="32" fillId="0" borderId="5" xfId="0" applyNumberFormat="1" applyFont="1" applyBorder="1"/>
    <xf numFmtId="171" fontId="32" fillId="0" borderId="0" xfId="0" applyNumberFormat="1" applyFont="1" applyFill="1" applyBorder="1"/>
    <xf numFmtId="3" fontId="32" fillId="0" borderId="0" xfId="0" applyNumberFormat="1" applyFont="1" applyAlignment="1">
      <alignment horizontal="right"/>
    </xf>
    <xf numFmtId="1" fontId="32" fillId="0" borderId="1" xfId="0" applyNumberFormat="1" applyFont="1" applyFill="1" applyBorder="1" applyAlignment="1">
      <alignment horizontal="left"/>
    </xf>
    <xf numFmtId="3" fontId="32" fillId="0" borderId="1" xfId="0" applyNumberFormat="1" applyFont="1" applyBorder="1"/>
    <xf numFmtId="1" fontId="32" fillId="0" borderId="7" xfId="0" applyNumberFormat="1" applyFont="1" applyBorder="1"/>
    <xf numFmtId="1" fontId="32" fillId="0" borderId="6" xfId="0" applyNumberFormat="1" applyFont="1" applyFill="1" applyBorder="1" applyAlignment="1">
      <alignment horizontal="left"/>
    </xf>
    <xf numFmtId="3" fontId="32" fillId="0" borderId="6" xfId="0" applyNumberFormat="1" applyFont="1" applyBorder="1"/>
    <xf numFmtId="1" fontId="32" fillId="0" borderId="0" xfId="0" applyNumberFormat="1" applyFont="1" applyBorder="1"/>
    <xf numFmtId="0" fontId="0" fillId="0" borderId="0" xfId="0"/>
    <xf numFmtId="0" fontId="47" fillId="0" borderId="0" xfId="0" applyFont="1"/>
    <xf numFmtId="0" fontId="53" fillId="4" borderId="0" xfId="0" applyFont="1" applyFill="1"/>
    <xf numFmtId="170" fontId="53" fillId="4" borderId="0" xfId="0" applyNumberFormat="1" applyFont="1" applyFill="1"/>
    <xf numFmtId="0" fontId="33" fillId="4" borderId="0" xfId="0" applyFont="1" applyFill="1" applyAlignment="1"/>
    <xf numFmtId="0" fontId="53" fillId="4" borderId="0" xfId="0" applyFont="1" applyFill="1" applyAlignment="1"/>
    <xf numFmtId="0" fontId="54" fillId="4" borderId="0" xfId="0" applyFont="1" applyFill="1"/>
    <xf numFmtId="0" fontId="55" fillId="4" borderId="0" xfId="0" applyFont="1" applyFill="1"/>
    <xf numFmtId="0" fontId="54" fillId="4" borderId="0" xfId="0" applyFont="1" applyFill="1" applyAlignment="1"/>
    <xf numFmtId="0" fontId="55" fillId="4" borderId="0" xfId="0" applyFont="1" applyFill="1" applyAlignment="1"/>
    <xf numFmtId="0" fontId="0" fillId="4" borderId="0" xfId="0" applyFill="1"/>
    <xf numFmtId="0" fontId="56" fillId="4" borderId="0" xfId="0" applyFont="1" applyFill="1" applyAlignment="1">
      <alignment vertical="center"/>
    </xf>
    <xf numFmtId="0" fontId="41" fillId="4" borderId="0" xfId="0" applyFont="1" applyFill="1" applyAlignment="1">
      <alignment horizontal="right" vertical="center"/>
    </xf>
    <xf numFmtId="0" fontId="57" fillId="4" borderId="0" xfId="0" applyFont="1" applyFill="1" applyAlignment="1">
      <alignment horizontal="right" vertical="center"/>
    </xf>
    <xf numFmtId="0" fontId="41" fillId="4" borderId="0" xfId="0" applyFont="1" applyFill="1" applyAlignment="1">
      <alignment vertical="center"/>
    </xf>
    <xf numFmtId="0" fontId="0" fillId="4" borderId="0" xfId="0" applyFill="1" applyAlignment="1">
      <alignment vertical="center"/>
    </xf>
    <xf numFmtId="0" fontId="56" fillId="4" borderId="1" xfId="0" applyFont="1" applyFill="1" applyBorder="1" applyAlignment="1">
      <alignment vertical="center"/>
    </xf>
    <xf numFmtId="0" fontId="41" fillId="4" borderId="1" xfId="0" applyFont="1" applyFill="1" applyBorder="1" applyAlignment="1">
      <alignment horizontal="right" vertical="center"/>
    </xf>
    <xf numFmtId="0" fontId="57" fillId="4" borderId="1" xfId="0" applyFont="1" applyFill="1" applyBorder="1" applyAlignment="1">
      <alignment horizontal="right" vertical="center"/>
    </xf>
    <xf numFmtId="0" fontId="41" fillId="4" borderId="7" xfId="0" applyFont="1" applyFill="1" applyBorder="1" applyAlignment="1">
      <alignment horizontal="right" vertical="center"/>
    </xf>
    <xf numFmtId="49" fontId="42" fillId="4" borderId="1" xfId="0" applyNumberFormat="1" applyFont="1" applyFill="1" applyBorder="1" applyAlignment="1">
      <alignment horizontal="right" vertical="center"/>
    </xf>
    <xf numFmtId="49" fontId="41" fillId="4" borderId="1" xfId="0" applyNumberFormat="1" applyFont="1" applyFill="1" applyBorder="1" applyAlignment="1">
      <alignment horizontal="right" vertical="center"/>
    </xf>
    <xf numFmtId="0" fontId="41" fillId="4" borderId="1" xfId="0" applyFont="1" applyFill="1" applyBorder="1" applyAlignment="1">
      <alignment vertical="center"/>
    </xf>
    <xf numFmtId="172" fontId="0" fillId="4" borderId="0" xfId="0" applyNumberFormat="1" applyFill="1" applyAlignment="1">
      <alignment vertical="center"/>
    </xf>
    <xf numFmtId="172" fontId="59" fillId="4" borderId="0" xfId="0" applyNumberFormat="1" applyFont="1" applyFill="1" applyAlignment="1">
      <alignment vertical="center"/>
    </xf>
    <xf numFmtId="173" fontId="60" fillId="4" borderId="0" xfId="0" applyNumberFormat="1" applyFont="1" applyFill="1" applyAlignment="1">
      <alignment horizontal="right"/>
    </xf>
    <xf numFmtId="172" fontId="60" fillId="0" borderId="0" xfId="0" applyNumberFormat="1" applyFont="1" applyFill="1" applyAlignment="1">
      <alignment horizontal="right"/>
    </xf>
    <xf numFmtId="172" fontId="60" fillId="4" borderId="0" xfId="0" applyNumberFormat="1" applyFont="1" applyFill="1" applyAlignment="1">
      <alignment horizontal="right"/>
    </xf>
    <xf numFmtId="172" fontId="61" fillId="4" borderId="0" xfId="0" applyNumberFormat="1" applyFont="1" applyFill="1" applyAlignment="1">
      <alignment horizontal="right"/>
    </xf>
    <xf numFmtId="173" fontId="60" fillId="0" borderId="0" xfId="0" applyNumberFormat="1" applyFont="1" applyFill="1" applyAlignment="1">
      <alignment horizontal="right"/>
    </xf>
    <xf numFmtId="3" fontId="61" fillId="4" borderId="0" xfId="0" applyNumberFormat="1" applyFont="1" applyFill="1" applyAlignment="1">
      <alignment horizontal="right"/>
    </xf>
    <xf numFmtId="0" fontId="60" fillId="4" borderId="0" xfId="0" applyFont="1" applyFill="1"/>
    <xf numFmtId="174" fontId="0" fillId="4" borderId="0" xfId="0" applyNumberFormat="1" applyFill="1"/>
    <xf numFmtId="173" fontId="0" fillId="4" borderId="0" xfId="0" applyNumberFormat="1" applyFill="1"/>
    <xf numFmtId="0" fontId="61" fillId="4" borderId="0" xfId="0" applyFont="1" applyFill="1" applyAlignment="1">
      <alignment horizontal="right"/>
    </xf>
    <xf numFmtId="172" fontId="60" fillId="4" borderId="1" xfId="0" applyNumberFormat="1" applyFont="1" applyFill="1" applyBorder="1" applyAlignment="1">
      <alignment horizontal="right"/>
    </xf>
    <xf numFmtId="173" fontId="63" fillId="4" borderId="5" xfId="0" applyNumberFormat="1" applyFont="1" applyFill="1" applyBorder="1" applyAlignment="1">
      <alignment horizontal="right" vertical="center"/>
    </xf>
    <xf numFmtId="172" fontId="63" fillId="4" borderId="5" xfId="0" applyNumberFormat="1" applyFont="1" applyFill="1" applyBorder="1" applyAlignment="1">
      <alignment horizontal="right" vertical="center"/>
    </xf>
    <xf numFmtId="172" fontId="64" fillId="4" borderId="5" xfId="0" applyNumberFormat="1" applyFont="1" applyFill="1" applyBorder="1" applyAlignment="1">
      <alignment horizontal="right" vertical="center"/>
    </xf>
    <xf numFmtId="172" fontId="64" fillId="4" borderId="0" xfId="0" applyNumberFormat="1" applyFont="1" applyFill="1" applyBorder="1" applyAlignment="1">
      <alignment horizontal="right" vertical="center"/>
    </xf>
    <xf numFmtId="173" fontId="63" fillId="0" borderId="5" xfId="0" applyNumberFormat="1" applyFont="1" applyFill="1" applyBorder="1" applyAlignment="1">
      <alignment horizontal="right"/>
    </xf>
    <xf numFmtId="3" fontId="64" fillId="4" borderId="5" xfId="0" applyNumberFormat="1" applyFont="1" applyFill="1" applyBorder="1" applyAlignment="1">
      <alignment horizontal="right" vertical="center"/>
    </xf>
    <xf numFmtId="0" fontId="57" fillId="4" borderId="5" xfId="0" applyFont="1" applyFill="1" applyBorder="1" applyAlignment="1">
      <alignment vertical="center"/>
    </xf>
    <xf numFmtId="172" fontId="60" fillId="4" borderId="5" xfId="0" applyNumberFormat="1" applyFont="1" applyFill="1" applyBorder="1" applyAlignment="1">
      <alignment horizontal="right" vertical="center"/>
    </xf>
    <xf numFmtId="172" fontId="61" fillId="4" borderId="5" xfId="0" applyNumberFormat="1" applyFont="1" applyFill="1" applyBorder="1" applyAlignment="1">
      <alignment horizontal="right" vertical="center"/>
    </xf>
    <xf numFmtId="172" fontId="61" fillId="4" borderId="0" xfId="0" applyNumberFormat="1" applyFont="1" applyFill="1" applyAlignment="1">
      <alignment horizontal="right" vertical="center"/>
    </xf>
    <xf numFmtId="172" fontId="60" fillId="4" borderId="0" xfId="0" applyNumberFormat="1" applyFont="1" applyFill="1" applyBorder="1" applyAlignment="1">
      <alignment horizontal="right" vertical="center"/>
    </xf>
    <xf numFmtId="0" fontId="64" fillId="4" borderId="0" xfId="0" applyFont="1" applyFill="1" applyBorder="1" applyAlignment="1">
      <alignment horizontal="right" vertical="center"/>
    </xf>
    <xf numFmtId="0" fontId="57" fillId="4" borderId="0" xfId="0" applyFont="1" applyFill="1" applyBorder="1" applyAlignment="1">
      <alignment vertical="center"/>
    </xf>
    <xf numFmtId="172" fontId="63" fillId="4" borderId="0" xfId="0" applyNumberFormat="1" applyFont="1" applyFill="1" applyAlignment="1">
      <alignment horizontal="right"/>
    </xf>
    <xf numFmtId="173" fontId="63" fillId="4" borderId="0" xfId="0" applyNumberFormat="1" applyFont="1" applyFill="1" applyAlignment="1">
      <alignment horizontal="right"/>
    </xf>
    <xf numFmtId="172" fontId="64" fillId="4" borderId="0" xfId="0" applyNumberFormat="1" applyFont="1" applyFill="1" applyAlignment="1">
      <alignment horizontal="right"/>
    </xf>
    <xf numFmtId="3" fontId="64" fillId="4" borderId="0" xfId="0" applyNumberFormat="1" applyFont="1" applyFill="1" applyAlignment="1">
      <alignment horizontal="right"/>
    </xf>
    <xf numFmtId="0" fontId="57" fillId="4" borderId="0" xfId="0" applyFont="1" applyFill="1"/>
    <xf numFmtId="0" fontId="61" fillId="4" borderId="1" xfId="0" applyFont="1" applyFill="1" applyBorder="1" applyAlignment="1">
      <alignment horizontal="right"/>
    </xf>
    <xf numFmtId="0" fontId="60" fillId="4" borderId="1" xfId="0" applyFont="1" applyFill="1" applyBorder="1"/>
    <xf numFmtId="0" fontId="41" fillId="4" borderId="8" xfId="0" applyFont="1" applyFill="1" applyBorder="1" applyAlignment="1">
      <alignment vertical="center"/>
    </xf>
    <xf numFmtId="172" fontId="63" fillId="4" borderId="8" xfId="0" applyNumberFormat="1" applyFont="1" applyFill="1" applyBorder="1" applyAlignment="1">
      <alignment horizontal="right" vertical="center"/>
    </xf>
    <xf numFmtId="172" fontId="64" fillId="4" borderId="8" xfId="0" applyNumberFormat="1" applyFont="1" applyFill="1" applyBorder="1" applyAlignment="1">
      <alignment horizontal="right" vertical="center"/>
    </xf>
    <xf numFmtId="172" fontId="60" fillId="4" borderId="0" xfId="0" applyNumberFormat="1" applyFont="1" applyFill="1" applyAlignment="1">
      <alignment horizontal="right" vertical="center"/>
    </xf>
    <xf numFmtId="0" fontId="60" fillId="4" borderId="0" xfId="0" applyFont="1" applyFill="1" applyAlignment="1">
      <alignment horizontal="right" vertical="center"/>
    </xf>
    <xf numFmtId="0" fontId="57" fillId="4" borderId="0" xfId="0" applyFont="1" applyFill="1" applyAlignment="1">
      <alignment vertical="center"/>
    </xf>
    <xf numFmtId="0" fontId="60" fillId="4" borderId="0" xfId="0" applyFont="1" applyFill="1" applyAlignment="1">
      <alignment horizontal="right"/>
    </xf>
    <xf numFmtId="173" fontId="63" fillId="4" borderId="5" xfId="0" applyNumberFormat="1" applyFont="1" applyFill="1" applyBorder="1" applyAlignment="1">
      <alignment horizontal="right"/>
    </xf>
    <xf numFmtId="0" fontId="64" fillId="4" borderId="0" xfId="0" applyFont="1" applyFill="1" applyAlignment="1">
      <alignment horizontal="right"/>
    </xf>
    <xf numFmtId="173" fontId="60" fillId="4" borderId="1" xfId="0" applyNumberFormat="1" applyFont="1" applyFill="1" applyBorder="1" applyAlignment="1">
      <alignment horizontal="right"/>
    </xf>
    <xf numFmtId="172" fontId="63" fillId="4" borderId="6" xfId="0" applyNumberFormat="1" applyFont="1" applyFill="1" applyBorder="1" applyAlignment="1">
      <alignment horizontal="right" vertical="center"/>
    </xf>
    <xf numFmtId="172" fontId="64" fillId="4" borderId="6" xfId="0" applyNumberFormat="1" applyFont="1" applyFill="1" applyBorder="1" applyAlignment="1">
      <alignment horizontal="right" vertical="center"/>
    </xf>
    <xf numFmtId="172" fontId="60" fillId="4" borderId="6" xfId="0" applyNumberFormat="1" applyFont="1" applyFill="1" applyBorder="1" applyAlignment="1">
      <alignment horizontal="right"/>
    </xf>
    <xf numFmtId="0" fontId="64" fillId="4" borderId="6" xfId="0" applyFont="1" applyFill="1" applyBorder="1" applyAlignment="1">
      <alignment horizontal="right" vertical="center"/>
    </xf>
    <xf numFmtId="0" fontId="63" fillId="4" borderId="6" xfId="0" applyFont="1" applyFill="1" applyBorder="1" applyAlignment="1">
      <alignment horizontal="left" vertical="center"/>
    </xf>
    <xf numFmtId="0" fontId="56" fillId="4" borderId="0" xfId="0" applyFont="1" applyFill="1"/>
    <xf numFmtId="0" fontId="66" fillId="4" borderId="0" xfId="0" applyFont="1" applyFill="1"/>
    <xf numFmtId="0" fontId="67" fillId="4" borderId="0" xfId="0" applyFont="1" applyFill="1"/>
    <xf numFmtId="172" fontId="0" fillId="4" borderId="0" xfId="0" applyNumberFormat="1" applyFill="1"/>
    <xf numFmtId="0" fontId="50" fillId="0" borderId="0" xfId="0" applyFont="1" applyBorder="1"/>
    <xf numFmtId="0" fontId="51" fillId="0" borderId="0" xfId="0" applyFont="1" applyBorder="1"/>
    <xf numFmtId="0" fontId="51" fillId="0" borderId="0" xfId="0" applyFont="1"/>
    <xf numFmtId="0" fontId="32" fillId="0" borderId="7" xfId="0" applyFont="1" applyBorder="1" applyAlignment="1">
      <alignment horizontal="right"/>
    </xf>
    <xf numFmtId="0" fontId="68" fillId="0" borderId="7" xfId="0" applyFont="1" applyBorder="1" applyAlignment="1">
      <alignment horizontal="right"/>
    </xf>
    <xf numFmtId="0" fontId="32" fillId="0" borderId="4" xfId="0" applyFont="1" applyBorder="1" applyAlignment="1">
      <alignment horizontal="right"/>
    </xf>
    <xf numFmtId="0" fontId="32" fillId="0" borderId="4" xfId="0" applyFont="1" applyBorder="1" applyAlignment="1">
      <alignment horizontal="center"/>
    </xf>
    <xf numFmtId="0" fontId="32" fillId="0" borderId="0" xfId="0" applyFont="1" applyFill="1" applyBorder="1" applyAlignment="1">
      <alignment horizontal="right"/>
    </xf>
    <xf numFmtId="0" fontId="32" fillId="0" borderId="0" xfId="0" applyFont="1" applyAlignment="1">
      <alignment horizontal="right"/>
    </xf>
    <xf numFmtId="0" fontId="32" fillId="0" borderId="0" xfId="0" applyFont="1" applyAlignment="1">
      <alignment horizontal="left"/>
    </xf>
    <xf numFmtId="175" fontId="32" fillId="0" borderId="0" xfId="0" applyNumberFormat="1" applyFont="1" applyBorder="1"/>
    <xf numFmtId="175" fontId="32" fillId="0" borderId="0" xfId="0" applyNumberFormat="1" applyFont="1" applyBorder="1" applyAlignment="1">
      <alignment horizontal="right"/>
    </xf>
    <xf numFmtId="0" fontId="32" fillId="0" borderId="1" xfId="0" applyFont="1" applyBorder="1" applyAlignment="1">
      <alignment horizontal="left"/>
    </xf>
    <xf numFmtId="175" fontId="32" fillId="0" borderId="1" xfId="0" applyNumberFormat="1" applyFont="1" applyBorder="1"/>
    <xf numFmtId="175" fontId="32" fillId="0" borderId="1" xfId="0" applyNumberFormat="1" applyFont="1" applyBorder="1" applyAlignment="1">
      <alignment horizontal="right"/>
    </xf>
    <xf numFmtId="175" fontId="32" fillId="0" borderId="0" xfId="0" applyNumberFormat="1" applyFont="1" applyFill="1" applyBorder="1"/>
    <xf numFmtId="0" fontId="32" fillId="0" borderId="0" xfId="0" applyFont="1" applyBorder="1" applyAlignment="1">
      <alignment horizontal="left"/>
    </xf>
    <xf numFmtId="0" fontId="32" fillId="0" borderId="7" xfId="0" applyFont="1" applyBorder="1" applyAlignment="1">
      <alignment horizontal="left"/>
    </xf>
    <xf numFmtId="175" fontId="32" fillId="0" borderId="7" xfId="0" applyNumberFormat="1" applyFont="1" applyBorder="1"/>
    <xf numFmtId="175" fontId="32" fillId="0" borderId="7" xfId="0" applyNumberFormat="1" applyFont="1" applyFill="1" applyBorder="1"/>
    <xf numFmtId="175" fontId="32" fillId="0" borderId="7" xfId="0" applyNumberFormat="1" applyFont="1" applyBorder="1" applyAlignment="1">
      <alignment horizontal="right"/>
    </xf>
    <xf numFmtId="0" fontId="33" fillId="4" borderId="0" xfId="0" applyFont="1" applyFill="1"/>
    <xf numFmtId="0" fontId="33" fillId="0" borderId="0" xfId="0" applyFont="1" applyFill="1"/>
    <xf numFmtId="0" fontId="70" fillId="4" borderId="0" xfId="0" applyFont="1" applyFill="1"/>
    <xf numFmtId="0" fontId="71" fillId="4" borderId="0" xfId="0" applyFont="1" applyFill="1"/>
    <xf numFmtId="0" fontId="56" fillId="4" borderId="0" xfId="0" applyFont="1" applyFill="1"/>
    <xf numFmtId="0" fontId="32" fillId="4" borderId="0" xfId="0" applyFont="1" applyFill="1"/>
    <xf numFmtId="0" fontId="0" fillId="4" borderId="0" xfId="0" applyFill="1"/>
    <xf numFmtId="0" fontId="32" fillId="4" borderId="0" xfId="0" applyFont="1" applyFill="1" applyAlignment="1">
      <alignment horizontal="right"/>
    </xf>
    <xf numFmtId="0" fontId="40" fillId="4" borderId="0" xfId="0" applyFont="1" applyFill="1"/>
    <xf numFmtId="177" fontId="56" fillId="4" borderId="0" xfId="0" applyNumberFormat="1" applyFont="1" applyFill="1"/>
    <xf numFmtId="178" fontId="56" fillId="4" borderId="0" xfId="0" applyNumberFormat="1" applyFont="1" applyFill="1"/>
    <xf numFmtId="177" fontId="67" fillId="4" borderId="0" xfId="0" applyNumberFormat="1" applyFont="1" applyFill="1"/>
    <xf numFmtId="178" fontId="37" fillId="4" borderId="0" xfId="0" applyNumberFormat="1" applyFont="1" applyFill="1"/>
    <xf numFmtId="177" fontId="56" fillId="4" borderId="0" xfId="0" applyNumberFormat="1" applyFont="1" applyFill="1" applyAlignment="1">
      <alignment horizontal="right"/>
    </xf>
    <xf numFmtId="0" fontId="67" fillId="4" borderId="0" xfId="0" applyFont="1" applyFill="1"/>
    <xf numFmtId="178" fontId="67" fillId="4" borderId="0" xfId="0" applyNumberFormat="1" applyFont="1" applyFill="1"/>
    <xf numFmtId="0" fontId="72" fillId="4" borderId="0" xfId="0" applyFont="1" applyFill="1"/>
    <xf numFmtId="177" fontId="58" fillId="4" borderId="0" xfId="0" applyNumberFormat="1" applyFont="1" applyFill="1"/>
    <xf numFmtId="178" fontId="58" fillId="4" borderId="0" xfId="0" applyNumberFormat="1" applyFont="1" applyFill="1"/>
    <xf numFmtId="179" fontId="0" fillId="4" borderId="0" xfId="0" applyNumberFormat="1" applyFill="1"/>
    <xf numFmtId="178" fontId="58" fillId="0" borderId="0" xfId="0" applyNumberFormat="1" applyFont="1" applyFill="1"/>
    <xf numFmtId="0" fontId="66" fillId="4" borderId="0" xfId="0" applyFont="1" applyFill="1"/>
    <xf numFmtId="178" fontId="66" fillId="4" borderId="0" xfId="0" applyNumberFormat="1" applyFont="1" applyFill="1"/>
    <xf numFmtId="0" fontId="59" fillId="4" borderId="0" xfId="0" applyFont="1" applyFill="1" applyAlignment="1">
      <alignment horizontal="right"/>
    </xf>
    <xf numFmtId="0" fontId="56" fillId="4" borderId="0" xfId="0" applyNumberFormat="1" applyFont="1" applyFill="1" applyAlignment="1">
      <alignment horizontal="right"/>
    </xf>
    <xf numFmtId="0" fontId="58" fillId="4" borderId="0" xfId="0" applyNumberFormat="1" applyFont="1" applyFill="1" applyAlignment="1">
      <alignment horizontal="right"/>
    </xf>
    <xf numFmtId="0" fontId="45" fillId="4" borderId="0" xfId="0" applyFont="1" applyFill="1"/>
    <xf numFmtId="0" fontId="74" fillId="4" borderId="0" xfId="0" applyFont="1" applyFill="1"/>
    <xf numFmtId="0" fontId="37" fillId="4" borderId="0" xfId="0" applyFont="1" applyFill="1"/>
    <xf numFmtId="0" fontId="26" fillId="0" borderId="0" xfId="0" applyFont="1"/>
    <xf numFmtId="11" fontId="0" fillId="0" borderId="0" xfId="0" applyNumberFormat="1" applyBorder="1" applyAlignment="1">
      <alignment vertical="center"/>
    </xf>
    <xf numFmtId="11" fontId="0" fillId="0" borderId="1" xfId="0" applyNumberFormat="1" applyBorder="1" applyAlignment="1">
      <alignment vertical="center"/>
    </xf>
    <xf numFmtId="0" fontId="75" fillId="4" borderId="0" xfId="0" applyFont="1" applyFill="1"/>
    <xf numFmtId="0" fontId="54" fillId="4" borderId="0" xfId="0" applyFont="1" applyFill="1"/>
    <xf numFmtId="0" fontId="76" fillId="4" borderId="0" xfId="0" applyFont="1" applyFill="1"/>
    <xf numFmtId="0" fontId="32" fillId="4" borderId="7" xfId="0" applyFont="1" applyFill="1" applyBorder="1"/>
    <xf numFmtId="0" fontId="39" fillId="4" borderId="0" xfId="0" applyFont="1" applyFill="1" applyBorder="1" applyAlignment="1">
      <alignment horizontal="right"/>
    </xf>
    <xf numFmtId="0" fontId="32" fillId="4" borderId="9" xfId="0" applyFont="1" applyFill="1" applyBorder="1" applyAlignment="1">
      <alignment vertical="center"/>
    </xf>
    <xf numFmtId="0" fontId="41" fillId="4" borderId="9" xfId="0" applyFont="1" applyFill="1" applyBorder="1" applyAlignment="1">
      <alignment horizontal="right" vertical="center"/>
    </xf>
    <xf numFmtId="0" fontId="32" fillId="4" borderId="0" xfId="0" applyFont="1" applyFill="1" applyAlignment="1">
      <alignment horizontal="right" vertical="center"/>
    </xf>
    <xf numFmtId="0" fontId="41" fillId="4" borderId="0" xfId="0" applyFont="1" applyFill="1" applyBorder="1" applyAlignment="1">
      <alignment horizontal="right" vertical="center"/>
    </xf>
    <xf numFmtId="0" fontId="32" fillId="4" borderId="0" xfId="0" applyFont="1" applyFill="1" applyAlignment="1">
      <alignment vertical="center"/>
    </xf>
    <xf numFmtId="0" fontId="32" fillId="4" borderId="0" xfId="0" applyFont="1" applyFill="1" applyBorder="1" applyAlignment="1">
      <alignment vertical="center"/>
    </xf>
    <xf numFmtId="0" fontId="41" fillId="4" borderId="0" xfId="0" applyFont="1" applyFill="1" applyAlignment="1">
      <alignment horizontal="right" vertical="center"/>
    </xf>
    <xf numFmtId="0" fontId="32" fillId="4" borderId="1" xfId="0" applyFont="1" applyFill="1" applyBorder="1" applyAlignment="1">
      <alignment vertical="center"/>
    </xf>
    <xf numFmtId="0" fontId="41" fillId="4" borderId="1" xfId="0" applyFont="1" applyFill="1" applyBorder="1" applyAlignment="1">
      <alignment horizontal="right" vertical="center"/>
    </xf>
    <xf numFmtId="0" fontId="38" fillId="4" borderId="1" xfId="0" applyFont="1" applyFill="1" applyBorder="1" applyAlignment="1">
      <alignment horizontal="right" vertical="center"/>
    </xf>
    <xf numFmtId="0" fontId="32" fillId="4" borderId="0" xfId="0" applyFont="1" applyFill="1" applyBorder="1" applyAlignment="1">
      <alignment horizontal="right" vertical="center"/>
    </xf>
    <xf numFmtId="0" fontId="41" fillId="4" borderId="0" xfId="0" applyFont="1" applyFill="1"/>
    <xf numFmtId="172" fontId="38" fillId="4" borderId="0" xfId="0" applyNumberFormat="1" applyFont="1" applyFill="1" applyAlignment="1">
      <alignment horizontal="right"/>
    </xf>
    <xf numFmtId="172" fontId="51" fillId="4" borderId="0" xfId="0" applyNumberFormat="1" applyFont="1" applyFill="1" applyAlignment="1">
      <alignment horizontal="right"/>
    </xf>
    <xf numFmtId="0" fontId="51" fillId="4" borderId="0" xfId="0" applyFont="1" applyFill="1"/>
    <xf numFmtId="180" fontId="37" fillId="4" borderId="0" xfId="0" applyNumberFormat="1" applyFont="1" applyFill="1" applyAlignment="1">
      <alignment horizontal="right"/>
    </xf>
    <xf numFmtId="180" fontId="32" fillId="4" borderId="0" xfId="0" applyNumberFormat="1" applyFont="1" applyFill="1" applyAlignment="1">
      <alignment horizontal="right"/>
    </xf>
    <xf numFmtId="181" fontId="37" fillId="4" borderId="0" xfId="0" applyNumberFormat="1" applyFont="1" applyFill="1" applyAlignment="1">
      <alignment horizontal="right"/>
    </xf>
    <xf numFmtId="172" fontId="37" fillId="4" borderId="0" xfId="0" applyNumberFormat="1" applyFont="1" applyFill="1" applyAlignment="1">
      <alignment horizontal="right"/>
    </xf>
    <xf numFmtId="182" fontId="37" fillId="4" borderId="0" xfId="0" applyNumberFormat="1" applyFont="1" applyFill="1" applyAlignment="1">
      <alignment horizontal="right"/>
    </xf>
    <xf numFmtId="173" fontId="37" fillId="4" borderId="0" xfId="0" applyNumberFormat="1" applyFont="1" applyFill="1" applyAlignment="1">
      <alignment horizontal="right"/>
    </xf>
    <xf numFmtId="0" fontId="41" fillId="4" borderId="5" xfId="0" applyFont="1" applyFill="1" applyBorder="1" applyAlignment="1">
      <alignment vertical="center"/>
    </xf>
    <xf numFmtId="180" fontId="38" fillId="4" borderId="5" xfId="0" applyNumberFormat="1" applyFont="1" applyFill="1" applyBorder="1" applyAlignment="1">
      <alignment horizontal="right" vertical="center"/>
    </xf>
    <xf numFmtId="181" fontId="38" fillId="4" borderId="5" xfId="0" applyNumberFormat="1" applyFont="1" applyFill="1" applyBorder="1" applyAlignment="1">
      <alignment horizontal="right" vertical="center"/>
    </xf>
    <xf numFmtId="180" fontId="38" fillId="4" borderId="0" xfId="0" applyNumberFormat="1" applyFont="1" applyFill="1" applyBorder="1" applyAlignment="1">
      <alignment horizontal="right" vertical="center"/>
    </xf>
    <xf numFmtId="0" fontId="51" fillId="4" borderId="0" xfId="0" applyFont="1" applyFill="1" applyAlignment="1">
      <alignment vertical="center"/>
    </xf>
    <xf numFmtId="182" fontId="37" fillId="4" borderId="0" xfId="0" applyNumberFormat="1" applyFont="1" applyFill="1" applyAlignment="1">
      <alignment horizontal="right" vertical="center"/>
    </xf>
    <xf numFmtId="181" fontId="37" fillId="4" borderId="5" xfId="0" applyNumberFormat="1" applyFont="1" applyFill="1" applyBorder="1" applyAlignment="1">
      <alignment horizontal="right" vertical="center"/>
    </xf>
    <xf numFmtId="180" fontId="37" fillId="4" borderId="0" xfId="0" applyNumberFormat="1" applyFont="1" applyFill="1" applyBorder="1" applyAlignment="1">
      <alignment horizontal="right" vertical="center"/>
    </xf>
    <xf numFmtId="172" fontId="37" fillId="4" borderId="0" xfId="0" applyNumberFormat="1" applyFont="1" applyFill="1" applyAlignment="1">
      <alignment horizontal="right" vertical="center"/>
    </xf>
    <xf numFmtId="180" fontId="37" fillId="4" borderId="5" xfId="0" applyNumberFormat="1" applyFont="1" applyFill="1" applyBorder="1" applyAlignment="1">
      <alignment horizontal="right" vertical="center"/>
    </xf>
    <xf numFmtId="172" fontId="38" fillId="4" borderId="5" xfId="0" applyNumberFormat="1" applyFont="1" applyFill="1" applyBorder="1" applyAlignment="1">
      <alignment horizontal="right" vertical="center"/>
    </xf>
    <xf numFmtId="173" fontId="38" fillId="4" borderId="5" xfId="0" applyNumberFormat="1" applyFont="1" applyFill="1" applyBorder="1" applyAlignment="1">
      <alignment horizontal="right" vertical="center"/>
    </xf>
    <xf numFmtId="172" fontId="38" fillId="4" borderId="0" xfId="0" applyNumberFormat="1" applyFont="1" applyFill="1" applyBorder="1" applyAlignment="1">
      <alignment horizontal="right" vertical="center"/>
    </xf>
    <xf numFmtId="0" fontId="41" fillId="4" borderId="8" xfId="0" applyFont="1" applyFill="1" applyBorder="1"/>
    <xf numFmtId="172" fontId="38" fillId="4" borderId="8" xfId="0" applyNumberFormat="1" applyFont="1" applyFill="1" applyBorder="1" applyAlignment="1">
      <alignment horizontal="right"/>
    </xf>
    <xf numFmtId="172" fontId="38" fillId="4" borderId="0" xfId="0" applyNumberFormat="1" applyFont="1" applyFill="1" applyBorder="1" applyAlignment="1">
      <alignment horizontal="right"/>
    </xf>
    <xf numFmtId="0" fontId="56" fillId="4" borderId="0" xfId="0" applyFont="1" applyFill="1" applyAlignment="1">
      <alignment wrapText="1"/>
    </xf>
    <xf numFmtId="172" fontId="37" fillId="4" borderId="1" xfId="0" applyNumberFormat="1" applyFont="1" applyFill="1" applyBorder="1" applyAlignment="1">
      <alignment horizontal="right"/>
    </xf>
    <xf numFmtId="0" fontId="41" fillId="4" borderId="8" xfId="0" applyFont="1" applyFill="1" applyBorder="1" applyAlignment="1">
      <alignment vertical="center"/>
    </xf>
    <xf numFmtId="172" fontId="38" fillId="4" borderId="8" xfId="0" applyNumberFormat="1" applyFont="1" applyFill="1" applyBorder="1" applyAlignment="1">
      <alignment horizontal="right" vertical="center"/>
    </xf>
    <xf numFmtId="0" fontId="41" fillId="4" borderId="0" xfId="0" applyFont="1" applyFill="1" applyAlignment="1">
      <alignment vertical="center"/>
    </xf>
    <xf numFmtId="172" fontId="38" fillId="4" borderId="0" xfId="0" applyNumberFormat="1" applyFont="1" applyFill="1" applyAlignment="1">
      <alignment horizontal="right" vertical="center"/>
    </xf>
    <xf numFmtId="0" fontId="51" fillId="4" borderId="0" xfId="0" applyFont="1" applyFill="1" applyBorder="1" applyAlignment="1">
      <alignment vertical="center"/>
    </xf>
    <xf numFmtId="0" fontId="51" fillId="4" borderId="5" xfId="0" applyFont="1" applyFill="1" applyBorder="1" applyAlignment="1">
      <alignment vertical="center"/>
    </xf>
    <xf numFmtId="173" fontId="38" fillId="4" borderId="0" xfId="0" applyNumberFormat="1" applyFont="1" applyFill="1" applyAlignment="1">
      <alignment horizontal="right" vertical="center"/>
    </xf>
    <xf numFmtId="173" fontId="37" fillId="0" borderId="0" xfId="0" applyNumberFormat="1" applyFont="1" applyFill="1" applyAlignment="1">
      <alignment horizontal="right"/>
    </xf>
    <xf numFmtId="0" fontId="32" fillId="4" borderId="0" xfId="0" applyFont="1" applyFill="1" applyBorder="1"/>
    <xf numFmtId="0" fontId="37" fillId="4" borderId="0" xfId="0" applyFont="1" applyFill="1" applyAlignment="1">
      <alignment vertical="center"/>
    </xf>
    <xf numFmtId="173" fontId="38" fillId="4" borderId="0" xfId="0" applyNumberFormat="1" applyFont="1" applyFill="1" applyAlignment="1">
      <alignment horizontal="right"/>
    </xf>
    <xf numFmtId="0" fontId="41" fillId="4" borderId="6" xfId="0" applyFont="1" applyFill="1" applyBorder="1" applyAlignment="1">
      <alignment vertical="center"/>
    </xf>
    <xf numFmtId="172" fontId="37" fillId="4" borderId="6" xfId="0" applyNumberFormat="1" applyFont="1" applyFill="1" applyBorder="1" applyAlignment="1">
      <alignment horizontal="right" vertical="center"/>
    </xf>
    <xf numFmtId="172" fontId="37" fillId="4" borderId="0" xfId="0" applyNumberFormat="1" applyFont="1" applyFill="1" applyBorder="1" applyAlignment="1">
      <alignment horizontal="right" vertical="center"/>
    </xf>
    <xf numFmtId="0" fontId="41" fillId="4" borderId="0" xfId="0" applyFont="1" applyFill="1" applyBorder="1" applyAlignment="1">
      <alignment vertical="center"/>
    </xf>
    <xf numFmtId="0" fontId="42" fillId="4" borderId="0" xfId="0" applyFont="1" applyFill="1"/>
    <xf numFmtId="165" fontId="32" fillId="4" borderId="0" xfId="0" applyNumberFormat="1" applyFont="1" applyFill="1"/>
    <xf numFmtId="0" fontId="33" fillId="4" borderId="0" xfId="0" applyFont="1" applyFill="1"/>
    <xf numFmtId="0" fontId="79" fillId="4" borderId="0" xfId="0" applyFont="1" applyFill="1" applyAlignment="1">
      <alignment horizontal="right"/>
    </xf>
    <xf numFmtId="0" fontId="32" fillId="4" borderId="0" xfId="0" applyFont="1" applyFill="1"/>
    <xf numFmtId="0" fontId="80" fillId="4" borderId="0" xfId="0" applyFont="1" applyFill="1" applyBorder="1"/>
    <xf numFmtId="0" fontId="59" fillId="4" borderId="0" xfId="0" applyFont="1" applyFill="1" applyBorder="1"/>
    <xf numFmtId="0" fontId="66" fillId="4" borderId="0" xfId="0" applyFont="1" applyFill="1" applyBorder="1"/>
    <xf numFmtId="0" fontId="66" fillId="4" borderId="0" xfId="0" applyFont="1" applyFill="1"/>
    <xf numFmtId="0" fontId="54" fillId="4" borderId="0" xfId="0" applyFont="1" applyFill="1"/>
    <xf numFmtId="0" fontId="0" fillId="4" borderId="0" xfId="0" applyFill="1" applyAlignment="1">
      <alignment horizontal="right"/>
    </xf>
    <xf numFmtId="0" fontId="0" fillId="4" borderId="0" xfId="0" applyFill="1"/>
    <xf numFmtId="0" fontId="59" fillId="4" borderId="0" xfId="0" applyFont="1" applyFill="1"/>
    <xf numFmtId="0" fontId="81" fillId="4" borderId="0" xfId="0" applyFont="1" applyFill="1" applyBorder="1"/>
    <xf numFmtId="0" fontId="0" fillId="4" borderId="0" xfId="0" applyFill="1" applyBorder="1"/>
    <xf numFmtId="0" fontId="39" fillId="4" borderId="7" xfId="0" applyFont="1" applyFill="1" applyBorder="1" applyAlignment="1">
      <alignment horizontal="right"/>
    </xf>
    <xf numFmtId="0" fontId="82" fillId="4" borderId="7" xfId="0" applyFont="1" applyFill="1" applyBorder="1" applyAlignment="1">
      <alignment horizontal="right"/>
    </xf>
    <xf numFmtId="0" fontId="56" fillId="4" borderId="4" xfId="0" applyFont="1" applyFill="1" applyBorder="1"/>
    <xf numFmtId="0" fontId="56" fillId="4" borderId="4" xfId="0" applyFont="1" applyFill="1" applyBorder="1" applyAlignment="1">
      <alignment horizontal="right"/>
    </xf>
    <xf numFmtId="0" fontId="58" fillId="4" borderId="4" xfId="0" applyFont="1" applyFill="1" applyBorder="1" applyAlignment="1">
      <alignment horizontal="right"/>
    </xf>
    <xf numFmtId="0" fontId="83" fillId="4" borderId="4" xfId="0" applyFont="1" applyFill="1" applyBorder="1" applyAlignment="1">
      <alignment horizontal="right"/>
    </xf>
    <xf numFmtId="0" fontId="41" fillId="4" borderId="0" xfId="0" applyFont="1" applyFill="1"/>
    <xf numFmtId="0" fontId="56" fillId="4" borderId="0" xfId="0" applyFont="1" applyFill="1" applyAlignment="1">
      <alignment horizontal="right"/>
    </xf>
    <xf numFmtId="0" fontId="58" fillId="4" borderId="0" xfId="0" applyFont="1" applyFill="1" applyAlignment="1">
      <alignment horizontal="right"/>
    </xf>
    <xf numFmtId="0" fontId="56" fillId="4" borderId="0" xfId="0" applyFont="1" applyFill="1" applyBorder="1"/>
    <xf numFmtId="172" fontId="56" fillId="4" borderId="0" xfId="0" applyNumberFormat="1" applyFont="1" applyFill="1" applyBorder="1"/>
    <xf numFmtId="0" fontId="37" fillId="4" borderId="0" xfId="0" applyFont="1" applyFill="1"/>
    <xf numFmtId="172" fontId="60" fillId="4" borderId="0" xfId="0" applyNumberFormat="1" applyFont="1" applyFill="1" applyAlignment="1">
      <alignment horizontal="right"/>
    </xf>
    <xf numFmtId="172" fontId="37" fillId="4" borderId="0" xfId="0" applyNumberFormat="1" applyFont="1" applyFill="1" applyAlignment="1">
      <alignment horizontal="right"/>
    </xf>
    <xf numFmtId="173" fontId="37" fillId="4" borderId="0" xfId="0" applyNumberFormat="1" applyFont="1" applyFill="1" applyAlignment="1">
      <alignment horizontal="right"/>
    </xf>
    <xf numFmtId="173" fontId="37" fillId="4" borderId="0" xfId="0" applyNumberFormat="1" applyFont="1" applyFill="1" applyBorder="1" applyAlignment="1">
      <alignment horizontal="right"/>
    </xf>
    <xf numFmtId="172" fontId="37" fillId="4" borderId="0" xfId="0" applyNumberFormat="1" applyFont="1" applyFill="1" applyBorder="1" applyAlignment="1">
      <alignment horizontal="right"/>
    </xf>
    <xf numFmtId="0" fontId="56" fillId="4" borderId="0" xfId="0" applyFont="1" applyFill="1"/>
    <xf numFmtId="172" fontId="37" fillId="4" borderId="1" xfId="0" applyNumberFormat="1" applyFont="1" applyFill="1" applyBorder="1" applyAlignment="1">
      <alignment horizontal="right"/>
    </xf>
    <xf numFmtId="0" fontId="41" fillId="4" borderId="5" xfId="0" applyFont="1" applyFill="1" applyBorder="1" applyAlignment="1">
      <alignment vertical="center"/>
    </xf>
    <xf numFmtId="172" fontId="63" fillId="4" borderId="5" xfId="0" applyNumberFormat="1" applyFont="1" applyFill="1" applyBorder="1" applyAlignment="1">
      <alignment horizontal="right" vertical="center"/>
    </xf>
    <xf numFmtId="172" fontId="38" fillId="4" borderId="5" xfId="0" applyNumberFormat="1" applyFont="1" applyFill="1" applyBorder="1" applyAlignment="1">
      <alignment horizontal="right" vertical="center"/>
    </xf>
    <xf numFmtId="173" fontId="38" fillId="4" borderId="5" xfId="0" applyNumberFormat="1" applyFont="1" applyFill="1" applyBorder="1" applyAlignment="1">
      <alignment horizontal="right" vertical="center"/>
    </xf>
    <xf numFmtId="0" fontId="0" fillId="4" borderId="0" xfId="0" applyFill="1" applyAlignment="1">
      <alignment vertical="center"/>
    </xf>
    <xf numFmtId="183" fontId="60" fillId="4" borderId="5" xfId="0" applyNumberFormat="1" applyFont="1" applyFill="1" applyBorder="1" applyAlignment="1">
      <alignment horizontal="right" vertical="center"/>
    </xf>
    <xf numFmtId="183" fontId="37" fillId="4" borderId="5" xfId="0" applyNumberFormat="1" applyFont="1" applyFill="1" applyBorder="1" applyAlignment="1">
      <alignment horizontal="right" vertical="center"/>
    </xf>
    <xf numFmtId="184" fontId="37" fillId="4" borderId="5" xfId="0" applyNumberFormat="1" applyFont="1" applyFill="1" applyBorder="1" applyAlignment="1">
      <alignment horizontal="right" vertical="center"/>
    </xf>
    <xf numFmtId="172" fontId="60" fillId="4" borderId="1" xfId="0" applyNumberFormat="1" applyFont="1" applyFill="1" applyBorder="1" applyAlignment="1">
      <alignment horizontal="right"/>
    </xf>
    <xf numFmtId="0" fontId="41" fillId="4" borderId="8" xfId="0" applyFont="1" applyFill="1" applyBorder="1"/>
    <xf numFmtId="172" fontId="63" fillId="4" borderId="0" xfId="0" applyNumberFormat="1" applyFont="1" applyFill="1" applyAlignment="1">
      <alignment horizontal="right"/>
    </xf>
    <xf numFmtId="172" fontId="63" fillId="4" borderId="8" xfId="0" applyNumberFormat="1" applyFont="1" applyFill="1" applyBorder="1" applyAlignment="1">
      <alignment horizontal="right"/>
    </xf>
    <xf numFmtId="172" fontId="38" fillId="4" borderId="8" xfId="0" applyNumberFormat="1" applyFont="1" applyFill="1" applyBorder="1" applyAlignment="1">
      <alignment horizontal="right"/>
    </xf>
    <xf numFmtId="173" fontId="38" fillId="4" borderId="8" xfId="0" applyNumberFormat="1" applyFont="1" applyFill="1" applyBorder="1" applyAlignment="1">
      <alignment horizontal="right"/>
    </xf>
    <xf numFmtId="173" fontId="38" fillId="4" borderId="0" xfId="0" applyNumberFormat="1" applyFont="1" applyFill="1" applyBorder="1" applyAlignment="1">
      <alignment horizontal="right"/>
    </xf>
    <xf numFmtId="172" fontId="38" fillId="4" borderId="0" xfId="0" applyNumberFormat="1" applyFont="1" applyFill="1" applyBorder="1" applyAlignment="1">
      <alignment horizontal="right"/>
    </xf>
    <xf numFmtId="172" fontId="60" fillId="4" borderId="0" xfId="0" applyNumberFormat="1" applyFont="1" applyFill="1" applyBorder="1" applyAlignment="1">
      <alignment horizontal="right"/>
    </xf>
    <xf numFmtId="172" fontId="38" fillId="4" borderId="0" xfId="0" applyNumberFormat="1" applyFont="1" applyFill="1" applyAlignment="1">
      <alignment horizontal="right"/>
    </xf>
    <xf numFmtId="172" fontId="63" fillId="4" borderId="1" xfId="0" applyNumberFormat="1" applyFont="1" applyFill="1" applyBorder="1" applyAlignment="1">
      <alignment horizontal="right"/>
    </xf>
    <xf numFmtId="0" fontId="51" fillId="4" borderId="0" xfId="0" applyFont="1" applyFill="1"/>
    <xf numFmtId="0" fontId="41" fillId="4" borderId="5" xfId="0" applyFont="1" applyFill="1" applyBorder="1"/>
    <xf numFmtId="172" fontId="63" fillId="4" borderId="5" xfId="0" applyNumberFormat="1" applyFont="1" applyFill="1" applyBorder="1" applyAlignment="1">
      <alignment horizontal="right"/>
    </xf>
    <xf numFmtId="172" fontId="38" fillId="4" borderId="5" xfId="0" applyNumberFormat="1" applyFont="1" applyFill="1" applyBorder="1" applyAlignment="1">
      <alignment horizontal="right"/>
    </xf>
    <xf numFmtId="173" fontId="38" fillId="4" borderId="5" xfId="0" applyNumberFormat="1" applyFont="1" applyFill="1" applyBorder="1" applyAlignment="1">
      <alignment horizontal="right"/>
    </xf>
    <xf numFmtId="173" fontId="38" fillId="4" borderId="0" xfId="0" applyNumberFormat="1" applyFont="1" applyFill="1" applyAlignment="1">
      <alignment horizontal="right"/>
    </xf>
    <xf numFmtId="172" fontId="63" fillId="4" borderId="0" xfId="0" applyNumberFormat="1" applyFont="1" applyFill="1" applyBorder="1" applyAlignment="1">
      <alignment horizontal="right"/>
    </xf>
    <xf numFmtId="0" fontId="41" fillId="4" borderId="6" xfId="0" applyFont="1" applyFill="1" applyBorder="1" applyAlignment="1">
      <alignment vertical="center"/>
    </xf>
    <xf numFmtId="172" fontId="63" fillId="4" borderId="6" xfId="0" applyNumberFormat="1" applyFont="1" applyFill="1" applyBorder="1" applyAlignment="1">
      <alignment horizontal="right"/>
    </xf>
    <xf numFmtId="172" fontId="38" fillId="4" borderId="6" xfId="0" applyNumberFormat="1" applyFont="1" applyFill="1" applyBorder="1" applyAlignment="1">
      <alignment horizontal="right"/>
    </xf>
    <xf numFmtId="0" fontId="41" fillId="4" borderId="0" xfId="0" applyFont="1" applyFill="1" applyBorder="1"/>
    <xf numFmtId="0" fontId="59" fillId="4" borderId="0" xfId="0" applyFont="1" applyFill="1" applyAlignment="1">
      <alignment horizontal="right"/>
    </xf>
    <xf numFmtId="0" fontId="73" fillId="4" borderId="0" xfId="0" applyFont="1" applyFill="1" applyAlignment="1">
      <alignment horizontal="right"/>
    </xf>
    <xf numFmtId="0" fontId="40" fillId="4" borderId="0" xfId="0" applyFont="1" applyFill="1" applyAlignment="1">
      <alignment horizontal="right"/>
    </xf>
    <xf numFmtId="0" fontId="82" fillId="4" borderId="0" xfId="0" applyFont="1" applyFill="1" applyAlignment="1">
      <alignment horizontal="right"/>
    </xf>
    <xf numFmtId="0" fontId="58" fillId="4" borderId="4" xfId="0" applyFont="1" applyFill="1" applyBorder="1"/>
    <xf numFmtId="172" fontId="58" fillId="4" borderId="0" xfId="0" applyNumberFormat="1" applyFont="1" applyFill="1"/>
    <xf numFmtId="0" fontId="41" fillId="4" borderId="1" xfId="0" applyFont="1" applyFill="1" applyBorder="1"/>
    <xf numFmtId="172" fontId="38" fillId="4" borderId="1" xfId="0" applyNumberFormat="1" applyFont="1" applyFill="1" applyBorder="1" applyAlignment="1">
      <alignment horizontal="right"/>
    </xf>
    <xf numFmtId="173" fontId="38" fillId="4" borderId="1" xfId="0" applyNumberFormat="1" applyFont="1" applyFill="1" applyBorder="1" applyAlignment="1">
      <alignment horizontal="right"/>
    </xf>
    <xf numFmtId="0" fontId="0" fillId="4" borderId="8" xfId="0" applyFill="1" applyBorder="1"/>
    <xf numFmtId="0" fontId="56" fillId="4" borderId="10" xfId="0" applyFont="1" applyFill="1" applyBorder="1"/>
    <xf numFmtId="172" fontId="60" fillId="4" borderId="10" xfId="0" applyNumberFormat="1" applyFont="1" applyFill="1" applyBorder="1" applyAlignment="1">
      <alignment horizontal="right"/>
    </xf>
    <xf numFmtId="172" fontId="37" fillId="4" borderId="10" xfId="0" applyNumberFormat="1" applyFont="1" applyFill="1" applyBorder="1" applyAlignment="1">
      <alignment horizontal="right"/>
    </xf>
    <xf numFmtId="0" fontId="0" fillId="4" borderId="10" xfId="0" applyFill="1" applyBorder="1"/>
    <xf numFmtId="0" fontId="41" fillId="4" borderId="0" xfId="0" applyFont="1" applyFill="1" applyAlignment="1">
      <alignment vertical="center"/>
    </xf>
    <xf numFmtId="172" fontId="60" fillId="4" borderId="0" xfId="0" applyNumberFormat="1" applyFont="1" applyFill="1" applyAlignment="1">
      <alignment horizontal="right" vertical="center"/>
    </xf>
    <xf numFmtId="172" fontId="37" fillId="4" borderId="0" xfId="0" applyNumberFormat="1" applyFont="1" applyFill="1" applyAlignment="1">
      <alignment horizontal="right" vertical="center"/>
    </xf>
    <xf numFmtId="0" fontId="38" fillId="4" borderId="6" xfId="0" applyFont="1" applyFill="1" applyBorder="1" applyAlignment="1">
      <alignment vertical="center"/>
    </xf>
    <xf numFmtId="172" fontId="63" fillId="4" borderId="6" xfId="0" applyNumberFormat="1" applyFont="1" applyFill="1" applyBorder="1" applyAlignment="1">
      <alignment horizontal="right" vertical="center"/>
    </xf>
    <xf numFmtId="172" fontId="38" fillId="4" borderId="6" xfId="0" applyNumberFormat="1" applyFont="1" applyFill="1" applyBorder="1" applyAlignment="1">
      <alignment horizontal="right" vertical="center"/>
    </xf>
    <xf numFmtId="173" fontId="38" fillId="4" borderId="6" xfId="0" applyNumberFormat="1" applyFont="1" applyFill="1" applyBorder="1" applyAlignment="1">
      <alignment horizontal="right" vertical="center"/>
    </xf>
    <xf numFmtId="0" fontId="58" fillId="4" borderId="0" xfId="0" applyFont="1" applyFill="1"/>
    <xf numFmtId="0" fontId="42" fillId="4" borderId="0" xfId="0" applyFont="1" applyFill="1"/>
    <xf numFmtId="172" fontId="37" fillId="4" borderId="0" xfId="0" applyNumberFormat="1" applyFont="1" applyFill="1"/>
    <xf numFmtId="0" fontId="61" fillId="4" borderId="0" xfId="0" applyFont="1" applyFill="1"/>
    <xf numFmtId="0" fontId="84" fillId="4" borderId="0" xfId="0" applyFont="1" applyFill="1"/>
    <xf numFmtId="0" fontId="75" fillId="4" borderId="0" xfId="0" applyFont="1" applyFill="1"/>
    <xf numFmtId="0" fontId="75" fillId="4" borderId="0" xfId="0" applyFont="1" applyFill="1" applyBorder="1"/>
    <xf numFmtId="0" fontId="39" fillId="4" borderId="7" xfId="0" applyFont="1" applyFill="1" applyBorder="1" applyAlignment="1">
      <alignment horizontal="left"/>
    </xf>
    <xf numFmtId="0" fontId="76" fillId="4" borderId="0" xfId="0" applyFont="1" applyFill="1" applyBorder="1"/>
    <xf numFmtId="0" fontId="56" fillId="4" borderId="9" xfId="0" applyFont="1" applyFill="1" applyBorder="1"/>
    <xf numFmtId="0" fontId="41" fillId="4" borderId="9" xfId="0" applyFont="1" applyFill="1" applyBorder="1"/>
    <xf numFmtId="0" fontId="56" fillId="4" borderId="0" xfId="0" applyFont="1" applyFill="1" applyAlignment="1">
      <alignment vertical="center"/>
    </xf>
    <xf numFmtId="0" fontId="41" fillId="4" borderId="0" xfId="0" applyFont="1" applyFill="1" applyAlignment="1">
      <alignment horizontal="right" vertical="center"/>
    </xf>
    <xf numFmtId="0" fontId="41" fillId="4" borderId="0" xfId="0" applyFont="1" applyFill="1" applyAlignment="1">
      <alignment horizontal="right"/>
    </xf>
    <xf numFmtId="0" fontId="41" fillId="4" borderId="0" xfId="0" applyFont="1" applyFill="1" applyBorder="1" applyAlignment="1">
      <alignment horizontal="right"/>
    </xf>
    <xf numFmtId="0" fontId="56" fillId="4" borderId="0" xfId="0" applyFont="1" applyFill="1" applyBorder="1" applyAlignment="1">
      <alignment vertical="center"/>
    </xf>
    <xf numFmtId="0" fontId="0" fillId="4" borderId="0" xfId="0" applyFill="1" applyBorder="1" applyAlignment="1">
      <alignment vertical="center"/>
    </xf>
    <xf numFmtId="0" fontId="32" fillId="4" borderId="0" xfId="0" applyFont="1" applyFill="1" applyAlignment="1">
      <alignment horizontal="right" vertical="center"/>
    </xf>
    <xf numFmtId="0" fontId="56" fillId="4" borderId="0" xfId="0" applyFont="1" applyFill="1" applyAlignment="1">
      <alignment horizontal="right" vertical="center"/>
    </xf>
    <xf numFmtId="49" fontId="42" fillId="4" borderId="0" xfId="0" applyNumberFormat="1" applyFont="1" applyFill="1" applyAlignment="1">
      <alignment horizontal="right" vertical="center"/>
    </xf>
    <xf numFmtId="49" fontId="42" fillId="4" borderId="0" xfId="0" applyNumberFormat="1" applyFont="1" applyFill="1" applyAlignment="1">
      <alignment horizontal="right"/>
    </xf>
    <xf numFmtId="0" fontId="38" fillId="4" borderId="0" xfId="0" applyFont="1" applyFill="1" applyBorder="1" applyAlignment="1">
      <alignment horizontal="right" vertical="center"/>
    </xf>
    <xf numFmtId="0" fontId="56" fillId="4" borderId="1" xfId="0" applyFont="1" applyFill="1" applyBorder="1" applyAlignment="1">
      <alignment vertical="center"/>
    </xf>
    <xf numFmtId="0" fontId="32" fillId="4" borderId="1" xfId="0" applyFont="1" applyFill="1" applyBorder="1" applyAlignment="1">
      <alignment horizontal="right" vertical="center"/>
    </xf>
    <xf numFmtId="0" fontId="56" fillId="4" borderId="1" xfId="0" applyFont="1" applyFill="1" applyBorder="1" applyAlignment="1">
      <alignment horizontal="right" vertical="center"/>
    </xf>
    <xf numFmtId="49" fontId="42" fillId="4" borderId="1" xfId="0" applyNumberFormat="1" applyFont="1" applyFill="1" applyBorder="1" applyAlignment="1">
      <alignment horizontal="right" vertical="center"/>
    </xf>
    <xf numFmtId="0" fontId="41" fillId="4" borderId="1" xfId="0" applyFont="1" applyFill="1" applyBorder="1" applyAlignment="1">
      <alignment horizontal="right" vertical="center"/>
    </xf>
    <xf numFmtId="0" fontId="56" fillId="4" borderId="1" xfId="0" applyFont="1" applyFill="1" applyBorder="1" applyAlignment="1">
      <alignment horizontal="right"/>
    </xf>
    <xf numFmtId="0" fontId="41" fillId="4" borderId="1" xfId="0" applyFont="1" applyFill="1" applyBorder="1" applyAlignment="1">
      <alignment horizontal="right"/>
    </xf>
    <xf numFmtId="49" fontId="45" fillId="4" borderId="0" xfId="0" applyNumberFormat="1" applyFont="1" applyFill="1" applyBorder="1" applyAlignment="1">
      <alignment horizontal="right" vertical="center"/>
    </xf>
    <xf numFmtId="0" fontId="51" fillId="4" borderId="0" xfId="0" applyFont="1" applyFill="1" applyAlignment="1">
      <alignment horizontal="left"/>
    </xf>
    <xf numFmtId="0" fontId="38" fillId="4" borderId="0" xfId="0" applyFont="1" applyFill="1" applyBorder="1" applyAlignment="1">
      <alignment horizontal="right"/>
    </xf>
    <xf numFmtId="49" fontId="45" fillId="4" borderId="0" xfId="0" applyNumberFormat="1" applyFont="1" applyFill="1" applyBorder="1" applyAlignment="1">
      <alignment horizontal="right"/>
    </xf>
    <xf numFmtId="0" fontId="51" fillId="4" borderId="0" xfId="0" applyFont="1" applyFill="1" applyBorder="1" applyAlignment="1">
      <alignment horizontal="left"/>
    </xf>
    <xf numFmtId="0" fontId="44" fillId="4" borderId="0" xfId="0" applyFont="1" applyFill="1" applyBorder="1" applyAlignment="1">
      <alignment horizontal="right"/>
    </xf>
    <xf numFmtId="3" fontId="44" fillId="4" borderId="0" xfId="0" applyNumberFormat="1" applyFont="1" applyFill="1" applyBorder="1" applyAlignment="1">
      <alignment horizontal="right"/>
    </xf>
    <xf numFmtId="0" fontId="37" fillId="4" borderId="1" xfId="0" applyFont="1" applyFill="1" applyBorder="1"/>
    <xf numFmtId="0" fontId="37" fillId="4" borderId="0" xfId="0" applyFont="1" applyFill="1" applyAlignment="1">
      <alignment horizontal="right"/>
    </xf>
    <xf numFmtId="0" fontId="37" fillId="4" borderId="7" xfId="0" applyFont="1" applyFill="1" applyBorder="1"/>
    <xf numFmtId="172" fontId="37" fillId="4" borderId="7" xfId="0" applyNumberFormat="1" applyFont="1" applyFill="1" applyBorder="1" applyAlignment="1">
      <alignment horizontal="right"/>
    </xf>
    <xf numFmtId="0" fontId="44" fillId="4" borderId="0" xfId="0" applyFont="1" applyFill="1" applyBorder="1" applyAlignment="1">
      <alignment horizontal="right" vertical="center"/>
    </xf>
    <xf numFmtId="3" fontId="44" fillId="4" borderId="0" xfId="0" applyNumberFormat="1" applyFont="1" applyFill="1" applyBorder="1" applyAlignment="1">
      <alignment horizontal="right" vertical="center"/>
    </xf>
    <xf numFmtId="0" fontId="44" fillId="4" borderId="0" xfId="0" applyFont="1" applyFill="1" applyBorder="1"/>
    <xf numFmtId="0" fontId="85" fillId="4" borderId="0" xfId="0" applyFont="1" applyFill="1" applyBorder="1" applyAlignment="1">
      <alignment horizontal="left"/>
    </xf>
    <xf numFmtId="0" fontId="85" fillId="4" borderId="0" xfId="0" applyFont="1" applyFill="1" applyBorder="1" applyAlignment="1">
      <alignment horizontal="right"/>
    </xf>
    <xf numFmtId="49" fontId="86" fillId="4" borderId="0" xfId="0" applyNumberFormat="1" applyFont="1" applyFill="1" applyBorder="1" applyAlignment="1">
      <alignment horizontal="right"/>
    </xf>
    <xf numFmtId="3" fontId="44" fillId="4" borderId="0" xfId="0" applyNumberFormat="1" applyFont="1" applyFill="1" applyBorder="1" applyAlignment="1">
      <alignment vertical="center"/>
    </xf>
    <xf numFmtId="0" fontId="44" fillId="4" borderId="0" xfId="0" applyFont="1" applyFill="1" applyBorder="1" applyAlignment="1">
      <alignment vertical="center"/>
    </xf>
    <xf numFmtId="3" fontId="44" fillId="4" borderId="0" xfId="0" applyNumberFormat="1" applyFont="1" applyFill="1" applyBorder="1"/>
    <xf numFmtId="0" fontId="42" fillId="4" borderId="0" xfId="0" applyFont="1" applyFill="1" applyBorder="1"/>
    <xf numFmtId="0" fontId="56" fillId="4" borderId="1" xfId="0" applyFont="1" applyFill="1" applyBorder="1"/>
    <xf numFmtId="49" fontId="42" fillId="4" borderId="1" xfId="0" applyNumberFormat="1" applyFont="1" applyFill="1" applyBorder="1" applyAlignment="1">
      <alignment horizontal="right"/>
    </xf>
    <xf numFmtId="0" fontId="51" fillId="4" borderId="0" xfId="0" applyFont="1" applyFill="1" applyAlignment="1">
      <alignment horizontal="left" vertical="center"/>
    </xf>
    <xf numFmtId="0" fontId="37" fillId="4" borderId="0" xfId="0" applyFont="1" applyFill="1" applyAlignment="1">
      <alignment horizontal="right" vertical="center"/>
    </xf>
    <xf numFmtId="186" fontId="37" fillId="4" borderId="0" xfId="0" applyNumberFormat="1" applyFont="1" applyFill="1" applyAlignment="1">
      <alignment horizontal="right"/>
    </xf>
    <xf numFmtId="186" fontId="60" fillId="4" borderId="0" xfId="0" applyNumberFormat="1" applyFont="1" applyFill="1" applyAlignment="1">
      <alignment horizontal="right"/>
    </xf>
    <xf numFmtId="172" fontId="0" fillId="4" borderId="0" xfId="0" applyNumberFormat="1" applyFill="1"/>
    <xf numFmtId="186" fontId="60" fillId="4" borderId="0" xfId="0" applyNumberFormat="1" applyFont="1" applyFill="1" applyBorder="1" applyAlignment="1">
      <alignment horizontal="right"/>
    </xf>
    <xf numFmtId="186" fontId="60" fillId="4" borderId="1" xfId="0" applyNumberFormat="1" applyFont="1" applyFill="1" applyBorder="1" applyAlignment="1">
      <alignment horizontal="right"/>
    </xf>
    <xf numFmtId="186" fontId="60" fillId="4" borderId="7" xfId="0" applyNumberFormat="1" applyFont="1" applyFill="1" applyBorder="1" applyAlignment="1">
      <alignment horizontal="right"/>
    </xf>
    <xf numFmtId="186" fontId="60" fillId="4" borderId="0" xfId="0" applyNumberFormat="1" applyFont="1" applyFill="1" applyAlignment="1">
      <alignment horizontal="right" vertical="center"/>
    </xf>
    <xf numFmtId="186" fontId="0" fillId="4" borderId="0" xfId="0" applyNumberFormat="1" applyFill="1"/>
    <xf numFmtId="186" fontId="37" fillId="4" borderId="1" xfId="0" applyNumberFormat="1" applyFont="1" applyFill="1" applyBorder="1" applyAlignment="1">
      <alignment horizontal="right"/>
    </xf>
    <xf numFmtId="186" fontId="37" fillId="4" borderId="0" xfId="0" applyNumberFormat="1" applyFont="1" applyFill="1" applyBorder="1" applyAlignment="1">
      <alignment horizontal="right"/>
    </xf>
    <xf numFmtId="187" fontId="37" fillId="4" borderId="0" xfId="0" applyNumberFormat="1" applyFont="1" applyFill="1" applyAlignment="1">
      <alignment horizontal="right"/>
    </xf>
    <xf numFmtId="186" fontId="37" fillId="4" borderId="7" xfId="0" applyNumberFormat="1" applyFont="1" applyFill="1" applyBorder="1" applyAlignment="1">
      <alignment horizontal="right"/>
    </xf>
    <xf numFmtId="186" fontId="37" fillId="4" borderId="0" xfId="0" applyNumberFormat="1" applyFont="1" applyFill="1" applyAlignment="1">
      <alignment horizontal="right" vertical="center"/>
    </xf>
    <xf numFmtId="187" fontId="37" fillId="4" borderId="0" xfId="0" applyNumberFormat="1" applyFont="1" applyFill="1" applyBorder="1" applyAlignment="1">
      <alignment horizontal="right"/>
    </xf>
    <xf numFmtId="187" fontId="37" fillId="4" borderId="1" xfId="0" applyNumberFormat="1" applyFont="1" applyFill="1" applyBorder="1" applyAlignment="1">
      <alignment horizontal="right"/>
    </xf>
    <xf numFmtId="187" fontId="37" fillId="4" borderId="7" xfId="0" applyNumberFormat="1" applyFont="1" applyFill="1" applyBorder="1" applyAlignment="1">
      <alignment horizontal="right"/>
    </xf>
    <xf numFmtId="0" fontId="37" fillId="4" borderId="0" xfId="0" applyFont="1" applyFill="1" applyBorder="1"/>
    <xf numFmtId="0" fontId="32" fillId="4" borderId="0" xfId="0" applyFont="1" applyFill="1" applyBorder="1"/>
    <xf numFmtId="0" fontId="37" fillId="4" borderId="0" xfId="0" applyFont="1" applyFill="1" applyBorder="1" applyAlignment="1">
      <alignment horizontal="right"/>
    </xf>
    <xf numFmtId="0" fontId="56" fillId="4" borderId="0" xfId="0" applyFont="1" applyFill="1" applyBorder="1" applyAlignment="1"/>
    <xf numFmtId="0" fontId="37" fillId="4" borderId="0" xfId="0" applyFont="1" applyFill="1" applyBorder="1" applyAlignment="1">
      <alignment horizontal="center"/>
    </xf>
    <xf numFmtId="0" fontId="0" fillId="4" borderId="1" xfId="0" applyFill="1" applyBorder="1" applyAlignment="1">
      <alignment horizontal="center"/>
    </xf>
    <xf numFmtId="0" fontId="38" fillId="4" borderId="0" xfId="0" applyFont="1" applyFill="1" applyAlignment="1">
      <alignment horizontal="right"/>
    </xf>
    <xf numFmtId="0" fontId="0" fillId="4" borderId="1" xfId="0" applyFill="1" applyBorder="1"/>
    <xf numFmtId="49" fontId="86" fillId="4" borderId="1" xfId="0" applyNumberFormat="1" applyFont="1" applyFill="1" applyBorder="1" applyAlignment="1">
      <alignment horizontal="right"/>
    </xf>
    <xf numFmtId="0" fontId="0" fillId="4" borderId="1" xfId="0" applyFill="1" applyBorder="1" applyAlignment="1">
      <alignment vertical="center"/>
    </xf>
    <xf numFmtId="0" fontId="44" fillId="4" borderId="1" xfId="0" applyFont="1" applyFill="1" applyBorder="1"/>
    <xf numFmtId="0" fontId="44" fillId="4" borderId="0" xfId="0" applyFont="1" applyFill="1" applyAlignment="1">
      <alignment horizontal="right" vertical="center"/>
    </xf>
    <xf numFmtId="187" fontId="60" fillId="4" borderId="0" xfId="0" applyNumberFormat="1" applyFont="1" applyFill="1" applyBorder="1" applyAlignment="1">
      <alignment horizontal="right"/>
    </xf>
    <xf numFmtId="187" fontId="60" fillId="4" borderId="1" xfId="0" applyNumberFormat="1" applyFont="1" applyFill="1" applyBorder="1" applyAlignment="1">
      <alignment horizontal="right"/>
    </xf>
    <xf numFmtId="186" fontId="61" fillId="4" borderId="0" xfId="0" applyNumberFormat="1" applyFont="1" applyFill="1" applyAlignment="1">
      <alignment horizontal="right" vertical="center"/>
    </xf>
    <xf numFmtId="186" fontId="61" fillId="4" borderId="0" xfId="0" applyNumberFormat="1" applyFont="1" applyFill="1" applyBorder="1" applyAlignment="1">
      <alignment horizontal="right"/>
    </xf>
    <xf numFmtId="186" fontId="61" fillId="4" borderId="1" xfId="0" applyNumberFormat="1" applyFont="1" applyFill="1" applyBorder="1" applyAlignment="1">
      <alignment horizontal="right"/>
    </xf>
    <xf numFmtId="172" fontId="61" fillId="4" borderId="0" xfId="0" applyNumberFormat="1" applyFont="1" applyFill="1" applyAlignment="1">
      <alignment horizontal="right" vertical="center"/>
    </xf>
    <xf numFmtId="187" fontId="60" fillId="4" borderId="0" xfId="0" applyNumberFormat="1" applyFont="1" applyFill="1" applyAlignment="1">
      <alignment horizontal="right"/>
    </xf>
    <xf numFmtId="186" fontId="61" fillId="4" borderId="0" xfId="0" applyNumberFormat="1" applyFont="1" applyFill="1" applyAlignment="1">
      <alignment horizontal="right"/>
    </xf>
    <xf numFmtId="0" fontId="0" fillId="4" borderId="7" xfId="0" applyFill="1" applyBorder="1"/>
    <xf numFmtId="187" fontId="60" fillId="4" borderId="7" xfId="0" applyNumberFormat="1" applyFont="1" applyFill="1" applyBorder="1" applyAlignment="1">
      <alignment horizontal="right"/>
    </xf>
    <xf numFmtId="172" fontId="60" fillId="4" borderId="7" xfId="0" applyNumberFormat="1" applyFont="1" applyFill="1" applyBorder="1" applyAlignment="1">
      <alignment horizontal="right"/>
    </xf>
    <xf numFmtId="186" fontId="61" fillId="4" borderId="7" xfId="0" applyNumberFormat="1" applyFont="1" applyFill="1" applyBorder="1" applyAlignment="1">
      <alignment horizontal="right"/>
    </xf>
    <xf numFmtId="186" fontId="0" fillId="4" borderId="0" xfId="0" applyNumberFormat="1" applyFill="1" applyBorder="1"/>
    <xf numFmtId="186" fontId="37" fillId="4" borderId="0" xfId="0" applyNumberFormat="1" applyFont="1" applyFill="1" applyBorder="1"/>
    <xf numFmtId="0" fontId="67" fillId="4" borderId="0" xfId="0" applyFont="1" applyFill="1"/>
    <xf numFmtId="164" fontId="0" fillId="0" borderId="0" xfId="2" applyNumberFormat="1" applyFont="1" applyAlignment="1">
      <alignment vertical="center"/>
    </xf>
    <xf numFmtId="0" fontId="10" fillId="0" borderId="0" xfId="0" applyFont="1" applyFill="1" applyBorder="1" applyAlignment="1">
      <alignment vertical="center"/>
    </xf>
    <xf numFmtId="0" fontId="10" fillId="0" borderId="0" xfId="0" applyFont="1" applyFill="1" applyBorder="1" applyAlignment="1">
      <alignment horizontal="center" vertical="center" wrapText="1"/>
    </xf>
    <xf numFmtId="0" fontId="15" fillId="0" borderId="0" xfId="0" applyFont="1" applyFill="1" applyBorder="1" applyAlignment="1">
      <alignment vertical="center"/>
    </xf>
    <xf numFmtId="0" fontId="19"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88"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0" xfId="0" applyFont="1" applyFill="1" applyBorder="1" applyAlignment="1">
      <alignment vertical="center"/>
    </xf>
    <xf numFmtId="191" fontId="23" fillId="0" borderId="0" xfId="2" applyFont="1" applyFill="1" applyBorder="1" applyAlignment="1">
      <alignment vertical="center"/>
    </xf>
    <xf numFmtId="0" fontId="0" fillId="0" borderId="0" xfId="0" applyFont="1" applyFill="1" applyBorder="1" applyAlignment="1">
      <alignment vertical="center"/>
    </xf>
    <xf numFmtId="191" fontId="87" fillId="0" borderId="0" xfId="2" applyFont="1" applyFill="1" applyBorder="1" applyAlignment="1">
      <alignment vertical="center"/>
    </xf>
    <xf numFmtId="191" fontId="29" fillId="0" borderId="0" xfId="2" applyFont="1" applyFill="1" applyBorder="1" applyAlignment="1">
      <alignment vertical="center"/>
    </xf>
    <xf numFmtId="0" fontId="21" fillId="0" borderId="0" xfId="0" applyFont="1" applyFill="1" applyBorder="1" applyAlignment="1">
      <alignment horizontal="center" vertical="center"/>
    </xf>
    <xf numFmtId="0" fontId="21" fillId="0" borderId="0" xfId="0" applyFont="1" applyFill="1" applyBorder="1" applyAlignment="1">
      <alignment vertical="center"/>
    </xf>
    <xf numFmtId="191" fontId="78" fillId="0" borderId="0" xfId="2" applyFont="1" applyFill="1" applyBorder="1" applyAlignment="1">
      <alignment vertical="center"/>
    </xf>
    <xf numFmtId="191" fontId="29" fillId="0" borderId="0" xfId="2" applyFont="1" applyFill="1" applyBorder="1" applyAlignment="1">
      <alignment horizontal="center" vertical="center" wrapText="1"/>
    </xf>
    <xf numFmtId="0" fontId="0" fillId="0" borderId="0" xfId="0" applyFill="1" applyBorder="1" applyAlignment="1">
      <alignment horizontal="center" vertical="center"/>
    </xf>
    <xf numFmtId="0" fontId="69" fillId="0" borderId="0" xfId="4" applyNumberFormat="1" applyFill="1" applyBorder="1" applyAlignment="1">
      <alignment vertical="center"/>
    </xf>
    <xf numFmtId="0" fontId="69" fillId="0" borderId="0" xfId="4" applyNumberFormat="1" applyFill="1" applyBorder="1" applyAlignment="1">
      <alignment horizontal="center" vertical="center"/>
    </xf>
    <xf numFmtId="0" fontId="69" fillId="0" borderId="0" xfId="4" applyNumberFormat="1" applyFill="1" applyBorder="1" applyAlignment="1">
      <alignment horizontal="left" vertical="center"/>
    </xf>
    <xf numFmtId="176" fontId="69" fillId="0" borderId="0" xfId="4" applyFill="1" applyBorder="1" applyAlignment="1">
      <alignment vertical="center"/>
    </xf>
    <xf numFmtId="0" fontId="11" fillId="0" borderId="0" xfId="0" applyFont="1" applyFill="1" applyBorder="1" applyAlignment="1">
      <alignment horizontal="center" vertical="center" wrapText="1"/>
    </xf>
    <xf numFmtId="191" fontId="29" fillId="6" borderId="0" xfId="2" applyFont="1" applyFill="1" applyBorder="1" applyAlignment="1">
      <alignment vertical="center"/>
    </xf>
    <xf numFmtId="0" fontId="15" fillId="0" borderId="11" xfId="0" applyFont="1" applyFill="1" applyBorder="1" applyAlignment="1">
      <alignment vertical="center"/>
    </xf>
    <xf numFmtId="0" fontId="13" fillId="0" borderId="0" xfId="0" applyFont="1" applyFill="1" applyBorder="1" applyAlignment="1">
      <alignment vertical="center"/>
    </xf>
    <xf numFmtId="0" fontId="21" fillId="0" borderId="13" xfId="0" applyFont="1" applyFill="1" applyBorder="1" applyAlignment="1">
      <alignment vertical="center"/>
    </xf>
    <xf numFmtId="0" fontId="11" fillId="0" borderId="13" xfId="0" applyFont="1" applyFill="1" applyBorder="1" applyAlignment="1">
      <alignment vertical="center"/>
    </xf>
    <xf numFmtId="0" fontId="0" fillId="0" borderId="14" xfId="0" applyFill="1" applyBorder="1" applyAlignment="1">
      <alignment vertical="center"/>
    </xf>
    <xf numFmtId="0" fontId="14" fillId="0" borderId="0" xfId="0" applyFont="1" applyFill="1" applyBorder="1" applyAlignment="1">
      <alignment horizontal="center" vertical="center"/>
    </xf>
    <xf numFmtId="0" fontId="0" fillId="0" borderId="0" xfId="0" applyBorder="1" applyAlignment="1">
      <alignment horizontal="right" vertical="center"/>
    </xf>
    <xf numFmtId="3" fontId="0" fillId="0" borderId="1" xfId="0" applyNumberFormat="1" applyBorder="1" applyAlignment="1">
      <alignment vertical="center"/>
    </xf>
    <xf numFmtId="0" fontId="21" fillId="0" borderId="15" xfId="0" applyFont="1" applyBorder="1" applyAlignment="1">
      <alignment horizontal="left" vertical="center"/>
    </xf>
    <xf numFmtId="191" fontId="21" fillId="0" borderId="0" xfId="2" applyFont="1" applyBorder="1" applyAlignment="1">
      <alignment vertical="center"/>
    </xf>
    <xf numFmtId="188" fontId="0" fillId="0" borderId="0" xfId="2" applyNumberFormat="1" applyFont="1"/>
    <xf numFmtId="189" fontId="0" fillId="0" borderId="0" xfId="2" applyNumberFormat="1" applyFont="1"/>
    <xf numFmtId="0" fontId="21" fillId="0" borderId="2" xfId="0" applyFont="1" applyBorder="1" applyAlignment="1">
      <alignment horizontal="center" vertical="center"/>
    </xf>
    <xf numFmtId="0" fontId="0" fillId="15" borderId="0" xfId="0" applyFill="1"/>
    <xf numFmtId="0" fontId="69" fillId="0" borderId="0" xfId="4" applyNumberFormat="1"/>
    <xf numFmtId="0" fontId="21" fillId="0" borderId="0" xfId="0" applyFont="1"/>
    <xf numFmtId="0" fontId="69" fillId="0" borderId="0" xfId="4" applyNumberFormat="1" applyFont="1"/>
    <xf numFmtId="0" fontId="0" fillId="0" borderId="0" xfId="0" applyAlignment="1">
      <alignment vertical="center"/>
    </xf>
    <xf numFmtId="0" fontId="21" fillId="0" borderId="0" xfId="0" applyFont="1" applyFill="1" applyBorder="1" applyAlignment="1">
      <alignment horizontal="right" vertical="center"/>
    </xf>
    <xf numFmtId="0" fontId="69" fillId="0" borderId="0" xfId="4" applyNumberFormat="1" applyFill="1" applyBorder="1" applyAlignment="1">
      <alignment horizontal="right" vertical="center"/>
    </xf>
    <xf numFmtId="0" fontId="0" fillId="0" borderId="0" xfId="0" applyFont="1" applyFill="1" applyBorder="1" applyAlignment="1">
      <alignment horizontal="right" vertical="center"/>
    </xf>
    <xf numFmtId="0" fontId="0" fillId="0" borderId="0" xfId="0" applyAlignment="1">
      <alignment horizontal="left" vertical="center"/>
    </xf>
    <xf numFmtId="0" fontId="13" fillId="0" borderId="0" xfId="0" applyFont="1" applyAlignment="1">
      <alignment vertical="center"/>
    </xf>
    <xf numFmtId="0" fontId="0" fillId="0" borderId="0" xfId="0" applyAlignment="1">
      <alignment wrapText="1"/>
    </xf>
    <xf numFmtId="0" fontId="90" fillId="0" borderId="0" xfId="0" applyFont="1"/>
    <xf numFmtId="0" fontId="90" fillId="0" borderId="0" xfId="0" applyFont="1" applyAlignment="1">
      <alignment vertical="center"/>
    </xf>
    <xf numFmtId="0" fontId="91" fillId="3" borderId="3" xfId="3" applyFont="1" applyAlignment="1">
      <alignment horizontal="left" vertical="center" indent="1"/>
    </xf>
    <xf numFmtId="0" fontId="0" fillId="0" borderId="12" xfId="0" applyBorder="1"/>
    <xf numFmtId="0" fontId="28" fillId="0" borderId="12" xfId="0" applyFont="1" applyFill="1" applyBorder="1" applyAlignment="1">
      <alignment horizontal="left" vertical="center"/>
    </xf>
    <xf numFmtId="164" fontId="0" fillId="0" borderId="12" xfId="0" applyNumberFormat="1" applyBorder="1"/>
    <xf numFmtId="0" fontId="0" fillId="8" borderId="0" xfId="0" applyFill="1" applyBorder="1" applyAlignment="1">
      <alignment vertical="center"/>
    </xf>
    <xf numFmtId="0" fontId="18" fillId="6" borderId="16" xfId="0" applyFont="1" applyFill="1" applyBorder="1" applyAlignment="1">
      <alignment vertical="center"/>
    </xf>
    <xf numFmtId="0" fontId="93" fillId="0" borderId="0" xfId="0" applyFont="1"/>
    <xf numFmtId="0" fontId="93" fillId="0" borderId="0" xfId="0" applyFont="1" applyAlignment="1">
      <alignment vertical="center"/>
    </xf>
    <xf numFmtId="0" fontId="0" fillId="6" borderId="17" xfId="0" applyNumberFormat="1" applyFill="1" applyBorder="1" applyAlignment="1">
      <alignment vertical="center"/>
    </xf>
    <xf numFmtId="0" fontId="0" fillId="6" borderId="17" xfId="0" applyFill="1" applyBorder="1" applyAlignment="1">
      <alignment vertical="center"/>
    </xf>
    <xf numFmtId="0" fontId="18" fillId="6" borderId="16" xfId="0" applyFont="1" applyFill="1" applyBorder="1" applyAlignment="1">
      <alignment horizontal="right" vertical="center"/>
    </xf>
    <xf numFmtId="164" fontId="0" fillId="0" borderId="0" xfId="0" applyNumberFormat="1" applyAlignment="1">
      <alignment vertical="center"/>
    </xf>
    <xf numFmtId="0" fontId="10" fillId="6" borderId="0" xfId="0" applyFont="1" applyFill="1" applyBorder="1" applyAlignment="1">
      <alignment vertical="center"/>
    </xf>
    <xf numFmtId="191" fontId="21" fillId="0" borderId="0" xfId="2" applyFont="1"/>
    <xf numFmtId="0" fontId="0" fillId="0" borderId="0" xfId="0" applyNumberFormat="1" applyAlignment="1">
      <alignment vertical="center"/>
    </xf>
    <xf numFmtId="0" fontId="0" fillId="0" borderId="0" xfId="0" applyBorder="1" applyAlignment="1">
      <alignment horizontal="left" vertical="center"/>
    </xf>
    <xf numFmtId="0" fontId="0" fillId="0" borderId="0" xfId="0" applyNumberFormat="1" applyBorder="1" applyAlignment="1">
      <alignment vertical="center"/>
    </xf>
    <xf numFmtId="0" fontId="94" fillId="0" borderId="0" xfId="0" applyFont="1"/>
    <xf numFmtId="0" fontId="0" fillId="6" borderId="21" xfId="0" applyNumberFormat="1" applyFill="1" applyBorder="1" applyAlignment="1">
      <alignment vertical="center"/>
    </xf>
    <xf numFmtId="0" fontId="0" fillId="6" borderId="21" xfId="0" applyFill="1" applyBorder="1" applyAlignment="1">
      <alignment vertical="center"/>
    </xf>
    <xf numFmtId="191" fontId="0" fillId="6" borderId="21" xfId="2" applyFont="1" applyFill="1" applyBorder="1" applyAlignment="1">
      <alignment vertical="center"/>
    </xf>
    <xf numFmtId="0" fontId="0" fillId="0" borderId="0" xfId="0" quotePrefix="1"/>
    <xf numFmtId="0" fontId="21" fillId="0" borderId="0" xfId="0" quotePrefix="1" applyFont="1"/>
    <xf numFmtId="0" fontId="15" fillId="0" borderId="0" xfId="0" applyFont="1" applyFill="1" applyBorder="1" applyAlignment="1">
      <alignment horizontal="left" vertical="center"/>
    </xf>
    <xf numFmtId="0" fontId="14" fillId="0" borderId="0" xfId="0" applyFont="1"/>
    <xf numFmtId="191" fontId="69" fillId="0" borderId="0" xfId="4" applyNumberFormat="1" applyFill="1" applyBorder="1" applyAlignment="1">
      <alignment vertical="center"/>
    </xf>
    <xf numFmtId="191" fontId="11" fillId="0" borderId="0" xfId="2" applyFont="1"/>
    <xf numFmtId="190" fontId="0" fillId="0" borderId="0" xfId="1" applyNumberFormat="1" applyFont="1"/>
    <xf numFmtId="0" fontId="0" fillId="0" borderId="0" xfId="0" applyBorder="1" applyAlignment="1">
      <alignment horizontal="right"/>
    </xf>
    <xf numFmtId="0" fontId="26" fillId="0" borderId="0" xfId="0" applyFont="1" applyFill="1" applyBorder="1" applyAlignment="1">
      <alignment vertical="center"/>
    </xf>
    <xf numFmtId="0" fontId="0" fillId="6" borderId="0" xfId="0" applyNumberFormat="1" applyFill="1" applyBorder="1" applyAlignment="1">
      <alignment vertical="center"/>
    </xf>
    <xf numFmtId="0" fontId="0" fillId="6" borderId="0" xfId="0" applyFill="1" applyBorder="1" applyAlignment="1">
      <alignment vertical="center"/>
    </xf>
    <xf numFmtId="0" fontId="0" fillId="6" borderId="14" xfId="0" applyFill="1" applyBorder="1" applyAlignment="1">
      <alignment vertical="center"/>
    </xf>
    <xf numFmtId="0" fontId="21" fillId="0" borderId="0" xfId="0" applyFont="1" applyAlignment="1">
      <alignment vertical="center"/>
    </xf>
    <xf numFmtId="191" fontId="21" fillId="0" borderId="0" xfId="0" applyNumberFormat="1" applyFont="1" applyAlignment="1">
      <alignment vertical="center"/>
    </xf>
    <xf numFmtId="191" fontId="0" fillId="0" borderId="0" xfId="0" applyNumberFormat="1" applyAlignment="1">
      <alignment vertical="center"/>
    </xf>
    <xf numFmtId="191" fontId="21" fillId="0" borderId="0" xfId="2" applyFont="1" applyAlignment="1">
      <alignment vertical="center"/>
    </xf>
    <xf numFmtId="191" fontId="0" fillId="0" borderId="0" xfId="2" applyFont="1" applyAlignment="1">
      <alignment vertical="center"/>
    </xf>
    <xf numFmtId="191" fontId="0" fillId="6" borderId="0" xfId="2" applyFont="1" applyFill="1" applyBorder="1" applyAlignment="1">
      <alignment vertical="center"/>
    </xf>
    <xf numFmtId="0" fontId="0" fillId="6" borderId="0" xfId="0" applyFill="1" applyBorder="1" applyAlignment="1">
      <alignment horizontal="right" vertical="center"/>
    </xf>
    <xf numFmtId="0" fontId="95" fillId="0" borderId="0" xfId="4" applyNumberFormat="1" applyFont="1" applyFill="1" applyBorder="1" applyAlignment="1">
      <alignment horizontal="center" vertical="center"/>
    </xf>
    <xf numFmtId="0" fontId="95" fillId="0" borderId="0" xfId="4" applyNumberFormat="1" applyFont="1" applyFill="1" applyBorder="1" applyAlignment="1">
      <alignment vertical="center"/>
    </xf>
    <xf numFmtId="191" fontId="95" fillId="0" borderId="0" xfId="4" applyNumberFormat="1" applyFont="1" applyFill="1" applyBorder="1" applyAlignment="1">
      <alignment vertical="center"/>
    </xf>
    <xf numFmtId="0" fontId="0" fillId="0" borderId="0" xfId="0" applyAlignment="1">
      <alignment horizontal="center" vertical="center"/>
    </xf>
    <xf numFmtId="192" fontId="0" fillId="0" borderId="0" xfId="2" applyNumberFormat="1" applyFont="1" applyAlignment="1">
      <alignment vertical="center"/>
    </xf>
    <xf numFmtId="191" fontId="0" fillId="6" borderId="19" xfId="2" applyFont="1" applyFill="1" applyBorder="1" applyAlignment="1">
      <alignment vertical="center"/>
    </xf>
    <xf numFmtId="191" fontId="0" fillId="6" borderId="19" xfId="2" applyFont="1" applyFill="1" applyBorder="1" applyAlignment="1">
      <alignment horizontal="right" vertical="center"/>
    </xf>
    <xf numFmtId="191" fontId="0" fillId="6" borderId="20" xfId="2" applyFont="1" applyFill="1" applyBorder="1" applyAlignment="1">
      <alignment horizontal="right" vertical="center"/>
    </xf>
    <xf numFmtId="191" fontId="0" fillId="6" borderId="17" xfId="2" applyFont="1" applyFill="1" applyBorder="1" applyAlignment="1">
      <alignment horizontal="right" vertical="center"/>
    </xf>
    <xf numFmtId="0" fontId="18" fillId="0" borderId="0" xfId="0" applyFont="1" applyAlignment="1">
      <alignment horizontal="center"/>
    </xf>
    <xf numFmtId="0" fontId="21" fillId="0" borderId="0" xfId="0" applyFont="1" applyAlignment="1">
      <alignment horizontal="right"/>
    </xf>
    <xf numFmtId="0" fontId="0" fillId="6" borderId="0" xfId="0" applyFill="1" applyBorder="1"/>
    <xf numFmtId="199" fontId="0" fillId="6" borderId="0" xfId="1" applyFont="1" applyFill="1" applyBorder="1" applyAlignment="1">
      <alignment vertical="center"/>
    </xf>
    <xf numFmtId="0" fontId="21" fillId="6" borderId="0" xfId="0" applyFont="1" applyFill="1" applyBorder="1"/>
    <xf numFmtId="0" fontId="0" fillId="6" borderId="0" xfId="0" applyFill="1" applyBorder="1" applyAlignment="1">
      <alignment horizontal="right"/>
    </xf>
    <xf numFmtId="0" fontId="0" fillId="6" borderId="0" xfId="0" applyNumberFormat="1" applyFill="1" applyBorder="1"/>
    <xf numFmtId="0" fontId="21" fillId="6" borderId="0" xfId="0" applyNumberFormat="1" applyFont="1" applyFill="1" applyBorder="1" applyAlignment="1">
      <alignment vertical="center"/>
    </xf>
    <xf numFmtId="199" fontId="0" fillId="6" borderId="0" xfId="1" applyFont="1" applyFill="1" applyBorder="1" applyAlignment="1">
      <alignment horizontal="right" vertical="center"/>
    </xf>
    <xf numFmtId="0" fontId="0" fillId="0" borderId="0" xfId="0" quotePrefix="1" applyFont="1"/>
    <xf numFmtId="192" fontId="0" fillId="6" borderId="19" xfId="2" applyNumberFormat="1" applyFont="1" applyFill="1" applyBorder="1" applyAlignment="1">
      <alignment vertical="center"/>
    </xf>
    <xf numFmtId="192" fontId="0" fillId="6" borderId="17" xfId="2" applyNumberFormat="1" applyFont="1" applyFill="1" applyBorder="1" applyAlignment="1">
      <alignment horizontal="right" vertical="center"/>
    </xf>
    <xf numFmtId="0" fontId="0" fillId="6" borderId="1" xfId="0" applyNumberFormat="1" applyFill="1" applyBorder="1" applyAlignment="1">
      <alignment vertical="center"/>
    </xf>
    <xf numFmtId="0" fontId="0" fillId="6" borderId="1" xfId="0" applyFill="1" applyBorder="1" applyAlignment="1">
      <alignment vertical="center"/>
    </xf>
    <xf numFmtId="191" fontId="0" fillId="6" borderId="1" xfId="2" applyFont="1" applyFill="1" applyBorder="1" applyAlignment="1">
      <alignment vertical="center"/>
    </xf>
    <xf numFmtId="0" fontId="26" fillId="0" borderId="0" xfId="0" applyFont="1" applyAlignment="1">
      <alignment vertical="center"/>
    </xf>
    <xf numFmtId="194" fontId="0" fillId="6" borderId="19" xfId="2" applyNumberFormat="1" applyFont="1" applyFill="1" applyBorder="1" applyAlignment="1">
      <alignment vertical="center"/>
    </xf>
    <xf numFmtId="192" fontId="0" fillId="6" borderId="0" xfId="2" applyNumberFormat="1" applyFont="1" applyFill="1" applyBorder="1" applyAlignment="1">
      <alignment vertical="center"/>
    </xf>
    <xf numFmtId="192" fontId="0" fillId="6" borderId="0" xfId="2" applyNumberFormat="1" applyFont="1" applyFill="1" applyBorder="1" applyAlignment="1">
      <alignment horizontal="right" vertical="center"/>
    </xf>
    <xf numFmtId="0" fontId="0" fillId="0" borderId="0" xfId="0" applyAlignment="1">
      <alignment horizontal="center" vertical="center" wrapText="1"/>
    </xf>
    <xf numFmtId="0" fontId="21" fillId="8" borderId="16" xfId="0" applyFont="1" applyFill="1" applyBorder="1" applyAlignment="1">
      <alignment vertical="center"/>
    </xf>
    <xf numFmtId="0" fontId="18" fillId="6" borderId="16" xfId="0" applyNumberFormat="1" applyFont="1" applyFill="1" applyBorder="1" applyAlignment="1">
      <alignment horizontal="right" vertical="center"/>
    </xf>
    <xf numFmtId="0" fontId="18" fillId="6" borderId="18" xfId="0" applyNumberFormat="1" applyFont="1" applyFill="1" applyBorder="1" applyAlignment="1">
      <alignment horizontal="right" vertical="center"/>
    </xf>
    <xf numFmtId="191" fontId="10" fillId="0" borderId="0" xfId="2" applyFont="1" applyAlignment="1">
      <alignment horizontal="right"/>
    </xf>
    <xf numFmtId="193" fontId="0" fillId="6" borderId="19" xfId="2" applyNumberFormat="1" applyFont="1" applyFill="1" applyBorder="1" applyAlignment="1">
      <alignment vertical="center"/>
    </xf>
    <xf numFmtId="193" fontId="0" fillId="6" borderId="19" xfId="2" applyNumberFormat="1" applyFont="1" applyFill="1" applyBorder="1" applyAlignment="1">
      <alignment horizontal="right" vertical="center"/>
    </xf>
    <xf numFmtId="193" fontId="0" fillId="6" borderId="20" xfId="2" applyNumberFormat="1" applyFont="1" applyFill="1" applyBorder="1" applyAlignment="1">
      <alignment horizontal="right" vertical="center"/>
    </xf>
    <xf numFmtId="193" fontId="0" fillId="6" borderId="17" xfId="2" applyNumberFormat="1" applyFont="1" applyFill="1" applyBorder="1" applyAlignment="1">
      <alignment horizontal="right" vertical="center"/>
    </xf>
    <xf numFmtId="193" fontId="0" fillId="6" borderId="0" xfId="2" applyNumberFormat="1" applyFont="1" applyFill="1" applyBorder="1" applyAlignment="1">
      <alignment vertical="center"/>
    </xf>
    <xf numFmtId="193" fontId="0" fillId="6" borderId="0" xfId="2" applyNumberFormat="1" applyFont="1" applyFill="1" applyBorder="1" applyAlignment="1">
      <alignment horizontal="right" vertical="center"/>
    </xf>
    <xf numFmtId="0" fontId="21" fillId="0" borderId="2" xfId="0" applyFont="1" applyBorder="1" applyAlignment="1">
      <alignment horizontal="right" vertical="center"/>
    </xf>
    <xf numFmtId="0" fontId="21" fillId="0" borderId="15" xfId="0" applyFont="1" applyBorder="1" applyAlignment="1">
      <alignment horizontal="right" vertical="center"/>
    </xf>
    <xf numFmtId="9" fontId="0" fillId="6" borderId="21" xfId="0" applyNumberFormat="1" applyFill="1" applyBorder="1" applyAlignment="1">
      <alignment vertical="center"/>
    </xf>
    <xf numFmtId="192" fontId="10" fillId="0" borderId="0" xfId="2" applyNumberFormat="1" applyFont="1" applyAlignment="1">
      <alignment horizontal="right"/>
    </xf>
    <xf numFmtId="193" fontId="10" fillId="0" borderId="0" xfId="2" applyNumberFormat="1" applyFont="1" applyAlignment="1">
      <alignment horizontal="right"/>
    </xf>
    <xf numFmtId="11" fontId="10" fillId="0" borderId="0" xfId="2" applyNumberFormat="1" applyFont="1" applyAlignment="1">
      <alignment horizontal="right"/>
    </xf>
    <xf numFmtId="11" fontId="18" fillId="0" borderId="0" xfId="2" applyNumberFormat="1" applyFont="1" applyAlignment="1">
      <alignment horizontal="right"/>
    </xf>
    <xf numFmtId="191" fontId="18" fillId="0" borderId="0" xfId="2" applyFont="1" applyAlignment="1">
      <alignment horizontal="right"/>
    </xf>
    <xf numFmtId="194" fontId="18" fillId="0" borderId="0" xfId="2" applyNumberFormat="1" applyFont="1" applyAlignment="1">
      <alignment horizontal="right"/>
    </xf>
    <xf numFmtId="194" fontId="10" fillId="0" borderId="0" xfId="2" applyNumberFormat="1" applyFont="1" applyAlignment="1">
      <alignment horizontal="right"/>
    </xf>
    <xf numFmtId="0" fontId="0" fillId="6" borderId="0" xfId="0" applyNumberFormat="1" applyFill="1" applyBorder="1" applyAlignment="1">
      <alignment horizontal="right" vertical="center"/>
    </xf>
    <xf numFmtId="0" fontId="0" fillId="8" borderId="21" xfId="0" applyFill="1" applyBorder="1" applyAlignment="1">
      <alignment vertical="center"/>
    </xf>
    <xf numFmtId="0" fontId="10" fillId="0" borderId="0" xfId="0" applyFont="1" applyFill="1" applyBorder="1" applyAlignment="1">
      <alignment horizontal="left" vertical="center"/>
    </xf>
    <xf numFmtId="191" fontId="0" fillId="8" borderId="0" xfId="2" applyFont="1" applyFill="1" applyBorder="1" applyAlignment="1">
      <alignment vertical="center"/>
    </xf>
    <xf numFmtId="191" fontId="23" fillId="6" borderId="29" xfId="2" applyFont="1" applyFill="1" applyBorder="1" applyAlignment="1">
      <alignment vertical="center"/>
    </xf>
    <xf numFmtId="191" fontId="24" fillId="6" borderId="29" xfId="2" applyFont="1" applyFill="1" applyBorder="1" applyAlignment="1">
      <alignment horizontal="center" vertical="center" wrapText="1"/>
    </xf>
    <xf numFmtId="191" fontId="87" fillId="6" borderId="29" xfId="2" applyFont="1" applyFill="1" applyBorder="1" applyAlignment="1">
      <alignment vertical="center"/>
    </xf>
    <xf numFmtId="191" fontId="29" fillId="6" borderId="29" xfId="2" applyFont="1" applyFill="1" applyBorder="1" applyAlignment="1">
      <alignment vertical="center"/>
    </xf>
    <xf numFmtId="191" fontId="30" fillId="6" borderId="29" xfId="2" applyFont="1" applyFill="1" applyBorder="1" applyAlignment="1">
      <alignment horizontal="center" vertical="center" wrapText="1"/>
    </xf>
    <xf numFmtId="191" fontId="29" fillId="6" borderId="29" xfId="2" applyFont="1" applyFill="1" applyBorder="1" applyAlignment="1">
      <alignment horizontal="center" vertical="center" wrapText="1"/>
    </xf>
    <xf numFmtId="191" fontId="95" fillId="6" borderId="29" xfId="4" applyNumberFormat="1" applyFont="1" applyFill="1" applyBorder="1" applyAlignment="1">
      <alignment vertical="center"/>
    </xf>
    <xf numFmtId="191" fontId="95" fillId="6" borderId="29" xfId="4" applyNumberFormat="1" applyFont="1" applyFill="1" applyBorder="1" applyAlignment="1">
      <alignment horizontal="center" vertical="center" wrapText="1"/>
    </xf>
    <xf numFmtId="191" fontId="69" fillId="6" borderId="29" xfId="4" applyNumberFormat="1" applyFill="1" applyBorder="1" applyAlignment="1">
      <alignment vertical="center"/>
    </xf>
    <xf numFmtId="191" fontId="69" fillId="6" borderId="29" xfId="4" applyNumberFormat="1" applyFill="1" applyBorder="1" applyAlignment="1">
      <alignment horizontal="center" vertical="center" wrapText="1"/>
    </xf>
    <xf numFmtId="0" fontId="99" fillId="0" borderId="0" xfId="0" applyFont="1" applyFill="1" applyBorder="1" applyAlignment="1">
      <alignment horizontal="left" vertical="center"/>
    </xf>
    <xf numFmtId="0" fontId="19" fillId="5" borderId="29" xfId="0" applyFont="1" applyFill="1" applyBorder="1" applyAlignment="1">
      <alignment horizontal="center" vertical="center" wrapText="1"/>
    </xf>
    <xf numFmtId="0" fontId="19" fillId="10" borderId="29" xfId="0" applyFont="1" applyFill="1" applyBorder="1" applyAlignment="1">
      <alignment horizontal="center" vertical="center" wrapText="1"/>
    </xf>
    <xf numFmtId="191" fontId="23" fillId="2" borderId="29" xfId="2" applyFont="1" applyFill="1" applyBorder="1" applyAlignment="1">
      <alignment vertical="center"/>
    </xf>
    <xf numFmtId="191" fontId="87" fillId="2" borderId="29" xfId="2" applyFont="1" applyFill="1" applyBorder="1" applyAlignment="1">
      <alignment vertical="center"/>
    </xf>
    <xf numFmtId="191" fontId="29" fillId="2" borderId="29" xfId="2" applyFont="1" applyFill="1" applyBorder="1" applyAlignment="1">
      <alignment vertical="center"/>
    </xf>
    <xf numFmtId="191" fontId="95" fillId="2" borderId="29" xfId="4" applyNumberFormat="1" applyFont="1" applyFill="1" applyBorder="1" applyAlignment="1">
      <alignment vertical="center"/>
    </xf>
    <xf numFmtId="191" fontId="69" fillId="2" borderId="29" xfId="4" applyNumberFormat="1" applyFill="1" applyBorder="1" applyAlignment="1">
      <alignment vertical="center"/>
    </xf>
    <xf numFmtId="191" fontId="89" fillId="2" borderId="29" xfId="2" applyFont="1" applyFill="1" applyBorder="1" applyAlignment="1">
      <alignment vertical="center"/>
    </xf>
    <xf numFmtId="191" fontId="23" fillId="8" borderId="29" xfId="2" applyFont="1" applyFill="1" applyBorder="1" applyAlignment="1">
      <alignment vertical="center"/>
    </xf>
    <xf numFmtId="191" fontId="87" fillId="8" borderId="29" xfId="2" applyFont="1" applyFill="1" applyBorder="1" applyAlignment="1">
      <alignment vertical="center"/>
    </xf>
    <xf numFmtId="191" fontId="29" fillId="8" borderId="29" xfId="2" applyFont="1" applyFill="1" applyBorder="1" applyAlignment="1">
      <alignment vertical="center"/>
    </xf>
    <xf numFmtId="176" fontId="69" fillId="8" borderId="29" xfId="4" applyFill="1" applyBorder="1" applyAlignment="1">
      <alignment vertical="center"/>
    </xf>
    <xf numFmtId="191" fontId="95" fillId="8" borderId="29" xfId="4" applyNumberFormat="1" applyFont="1" applyFill="1" applyBorder="1" applyAlignment="1">
      <alignment vertical="center"/>
    </xf>
    <xf numFmtId="191" fontId="69" fillId="8" borderId="29" xfId="4" applyNumberFormat="1" applyFill="1" applyBorder="1" applyAlignment="1">
      <alignment vertical="center"/>
    </xf>
    <xf numFmtId="191" fontId="89" fillId="8" borderId="29" xfId="2" applyFont="1" applyFill="1" applyBorder="1" applyAlignment="1">
      <alignment vertical="center"/>
    </xf>
    <xf numFmtId="0" fontId="19" fillId="11" borderId="29" xfId="0" applyFont="1" applyFill="1" applyBorder="1" applyAlignment="1">
      <alignment horizontal="center" vertical="center" wrapText="1"/>
    </xf>
    <xf numFmtId="0" fontId="19" fillId="11" borderId="31" xfId="0" applyFont="1" applyFill="1" applyBorder="1" applyAlignment="1">
      <alignment horizontal="center" vertical="center" wrapText="1"/>
    </xf>
    <xf numFmtId="0" fontId="88" fillId="5" borderId="29" xfId="0" applyFont="1" applyFill="1" applyBorder="1" applyAlignment="1">
      <alignment horizontal="center" vertical="center" wrapText="1"/>
    </xf>
    <xf numFmtId="0" fontId="19" fillId="5" borderId="31" xfId="0" applyFont="1" applyFill="1" applyBorder="1" applyAlignment="1">
      <alignment horizontal="center" vertical="center" wrapText="1"/>
    </xf>
    <xf numFmtId="0" fontId="19" fillId="10" borderId="31" xfId="0" applyFont="1" applyFill="1" applyBorder="1" applyAlignment="1">
      <alignment horizontal="center" vertical="center" wrapText="1"/>
    </xf>
    <xf numFmtId="0" fontId="19" fillId="13" borderId="29" xfId="0" applyFont="1" applyFill="1" applyBorder="1" applyAlignment="1">
      <alignment horizontal="center" vertical="center" wrapText="1"/>
    </xf>
    <xf numFmtId="0" fontId="19" fillId="13" borderId="31" xfId="0" applyFont="1" applyFill="1" applyBorder="1" applyAlignment="1">
      <alignment horizontal="center" vertical="center" wrapText="1"/>
    </xf>
    <xf numFmtId="191" fontId="23" fillId="7" borderId="29" xfId="2" applyFont="1" applyFill="1" applyBorder="1" applyAlignment="1">
      <alignment vertical="center"/>
    </xf>
    <xf numFmtId="191" fontId="87" fillId="7" borderId="29" xfId="2" applyFont="1" applyFill="1" applyBorder="1" applyAlignment="1">
      <alignment vertical="center"/>
    </xf>
    <xf numFmtId="191" fontId="29" fillId="7" borderId="29" xfId="2" applyFont="1" applyFill="1" applyBorder="1" applyAlignment="1">
      <alignment vertical="center"/>
    </xf>
    <xf numFmtId="191" fontId="95" fillId="7" borderId="29" xfId="4" applyNumberFormat="1" applyFont="1" applyFill="1" applyBorder="1" applyAlignment="1">
      <alignment vertical="center"/>
    </xf>
    <xf numFmtId="191" fontId="69" fillId="7" borderId="29" xfId="4" applyNumberFormat="1" applyFill="1" applyBorder="1" applyAlignment="1">
      <alignment vertical="center"/>
    </xf>
    <xf numFmtId="191" fontId="89" fillId="7" borderId="29" xfId="2" applyFont="1" applyFill="1" applyBorder="1" applyAlignment="1">
      <alignment vertical="center"/>
    </xf>
    <xf numFmtId="0" fontId="100" fillId="9" borderId="32" xfId="0" applyFont="1" applyFill="1" applyBorder="1" applyAlignment="1">
      <alignment horizontal="centerContinuous" vertical="center" wrapText="1"/>
    </xf>
    <xf numFmtId="191" fontId="29" fillId="6" borderId="31" xfId="2" applyFont="1" applyFill="1" applyBorder="1" applyAlignment="1">
      <alignment vertical="center"/>
    </xf>
    <xf numFmtId="191" fontId="29" fillId="6" borderId="31" xfId="2" applyFont="1" applyFill="1" applyBorder="1" applyAlignment="1">
      <alignment horizontal="center" vertical="center" wrapText="1"/>
    </xf>
    <xf numFmtId="0" fontId="88" fillId="10" borderId="29" xfId="0" applyFont="1" applyFill="1" applyBorder="1" applyAlignment="1">
      <alignment horizontal="center" vertical="center" wrapText="1"/>
    </xf>
    <xf numFmtId="191" fontId="29" fillId="2" borderId="31" xfId="2" applyFont="1" applyFill="1" applyBorder="1" applyAlignment="1">
      <alignment vertical="center"/>
    </xf>
    <xf numFmtId="0" fontId="88" fillId="11" borderId="29" xfId="0" applyFont="1" applyFill="1" applyBorder="1" applyAlignment="1">
      <alignment horizontal="center" vertical="center" wrapText="1"/>
    </xf>
    <xf numFmtId="191" fontId="29" fillId="8" borderId="31" xfId="2" applyFont="1" applyFill="1" applyBorder="1" applyAlignment="1">
      <alignment vertical="center"/>
    </xf>
    <xf numFmtId="0" fontId="88" fillId="13" borderId="29" xfId="0" applyFont="1" applyFill="1" applyBorder="1" applyAlignment="1">
      <alignment horizontal="center" vertical="center" wrapText="1"/>
    </xf>
    <xf numFmtId="191" fontId="29" fillId="7" borderId="31" xfId="2" applyFont="1" applyFill="1" applyBorder="1" applyAlignment="1">
      <alignment vertical="center"/>
    </xf>
    <xf numFmtId="0" fontId="14" fillId="14" borderId="32" xfId="0" applyFont="1" applyFill="1" applyBorder="1" applyAlignment="1">
      <alignment horizontal="centerContinuous" vertical="center" wrapText="1"/>
    </xf>
    <xf numFmtId="0" fontId="69" fillId="0" borderId="30" xfId="4" applyNumberFormat="1" applyFill="1" applyBorder="1" applyAlignment="1">
      <alignment horizontal="left" vertical="center"/>
    </xf>
    <xf numFmtId="0" fontId="69" fillId="0" borderId="30" xfId="4" applyNumberFormat="1" applyFill="1" applyBorder="1" applyAlignment="1">
      <alignment vertical="center"/>
    </xf>
    <xf numFmtId="176" fontId="69" fillId="0" borderId="30" xfId="4" applyFill="1" applyBorder="1" applyAlignment="1">
      <alignment vertical="center"/>
    </xf>
    <xf numFmtId="176" fontId="69" fillId="8" borderId="31" xfId="4" applyFill="1" applyBorder="1" applyAlignment="1">
      <alignment vertical="center"/>
    </xf>
    <xf numFmtId="0" fontId="69" fillId="0" borderId="30" xfId="4" applyNumberFormat="1" applyFill="1" applyBorder="1" applyAlignment="1">
      <alignment horizontal="right" vertical="center"/>
    </xf>
    <xf numFmtId="0" fontId="69" fillId="0" borderId="15" xfId="4" applyNumberFormat="1" applyFill="1" applyBorder="1" applyAlignment="1">
      <alignment vertical="center"/>
    </xf>
    <xf numFmtId="0" fontId="69" fillId="0" borderId="15" xfId="4" applyNumberFormat="1" applyFill="1" applyBorder="1" applyAlignment="1">
      <alignment horizontal="left" vertical="center"/>
    </xf>
    <xf numFmtId="191" fontId="69" fillId="8" borderId="33" xfId="4" applyNumberFormat="1" applyFill="1" applyBorder="1" applyAlignment="1">
      <alignment vertical="center"/>
    </xf>
    <xf numFmtId="176" fontId="69" fillId="8" borderId="33" xfId="4" applyFill="1" applyBorder="1" applyAlignment="1">
      <alignment vertical="center"/>
    </xf>
    <xf numFmtId="191" fontId="78" fillId="2" borderId="34" xfId="2" applyFont="1" applyFill="1" applyBorder="1" applyAlignment="1">
      <alignment vertical="center"/>
    </xf>
    <xf numFmtId="191" fontId="78" fillId="8" borderId="34" xfId="2" applyFont="1" applyFill="1" applyBorder="1" applyAlignment="1">
      <alignment vertical="center"/>
    </xf>
    <xf numFmtId="191" fontId="78" fillId="7" borderId="34" xfId="2" applyFont="1" applyFill="1" applyBorder="1" applyAlignment="1">
      <alignment vertical="center"/>
    </xf>
    <xf numFmtId="191" fontId="101" fillId="6" borderId="29" xfId="2" applyFont="1" applyFill="1" applyBorder="1" applyAlignment="1">
      <alignment horizontal="right" vertical="center"/>
    </xf>
    <xf numFmtId="191" fontId="101" fillId="6" borderId="31" xfId="2" applyFont="1" applyFill="1" applyBorder="1" applyAlignment="1">
      <alignment horizontal="right" vertical="center"/>
    </xf>
    <xf numFmtId="191" fontId="69" fillId="6" borderId="29" xfId="2" applyFont="1" applyFill="1" applyBorder="1" applyAlignment="1">
      <alignment horizontal="right" vertical="center"/>
    </xf>
    <xf numFmtId="191" fontId="69" fillId="6" borderId="33" xfId="2" applyFont="1" applyFill="1" applyBorder="1" applyAlignment="1">
      <alignment horizontal="right" vertical="center"/>
    </xf>
    <xf numFmtId="191" fontId="29" fillId="6" borderId="29" xfId="2" applyFont="1" applyFill="1" applyBorder="1" applyAlignment="1">
      <alignment horizontal="right" vertical="center"/>
    </xf>
    <xf numFmtId="191" fontId="101" fillId="6" borderId="33" xfId="2" applyFont="1" applyFill="1" applyBorder="1" applyAlignment="1">
      <alignment horizontal="right" vertical="center"/>
    </xf>
    <xf numFmtId="191" fontId="78" fillId="6" borderId="34" xfId="2" applyFont="1" applyFill="1" applyBorder="1" applyAlignment="1">
      <alignment horizontal="right" vertical="center"/>
    </xf>
    <xf numFmtId="191" fontId="69" fillId="6" borderId="31" xfId="2" applyFont="1" applyFill="1" applyBorder="1" applyAlignment="1">
      <alignment horizontal="right" vertical="center"/>
    </xf>
    <xf numFmtId="0" fontId="99" fillId="14" borderId="32" xfId="0" applyFont="1" applyFill="1" applyBorder="1" applyAlignment="1">
      <alignment horizontal="centerContinuous" vertical="center" wrapText="1"/>
    </xf>
    <xf numFmtId="191" fontId="101" fillId="2" borderId="29" xfId="2" applyFont="1" applyFill="1" applyBorder="1" applyAlignment="1">
      <alignment vertical="center"/>
    </xf>
    <xf numFmtId="191" fontId="69" fillId="2" borderId="29" xfId="2" applyFont="1" applyFill="1" applyBorder="1" applyAlignment="1">
      <alignment vertical="center"/>
    </xf>
    <xf numFmtId="191" fontId="101" fillId="2" borderId="31" xfId="2" applyFont="1" applyFill="1" applyBorder="1" applyAlignment="1">
      <alignment vertical="center"/>
    </xf>
    <xf numFmtId="191" fontId="69" fillId="2" borderId="31" xfId="2" applyFont="1" applyFill="1" applyBorder="1" applyAlignment="1">
      <alignment vertical="center"/>
    </xf>
    <xf numFmtId="191" fontId="69" fillId="2" borderId="33" xfId="2" applyFont="1" applyFill="1" applyBorder="1" applyAlignment="1">
      <alignment vertical="center"/>
    </xf>
    <xf numFmtId="191" fontId="101" fillId="2" borderId="33" xfId="2" applyFont="1" applyFill="1" applyBorder="1" applyAlignment="1">
      <alignment vertical="center"/>
    </xf>
    <xf numFmtId="191" fontId="101" fillId="7" borderId="29" xfId="2" applyFont="1" applyFill="1" applyBorder="1" applyAlignment="1">
      <alignment vertical="center"/>
    </xf>
    <xf numFmtId="191" fontId="101" fillId="7" borderId="31" xfId="2" applyFont="1" applyFill="1" applyBorder="1" applyAlignment="1">
      <alignment vertical="center"/>
    </xf>
    <xf numFmtId="191" fontId="69" fillId="7" borderId="29" xfId="2" applyFont="1" applyFill="1" applyBorder="1" applyAlignment="1">
      <alignment vertical="center"/>
    </xf>
    <xf numFmtId="191" fontId="69" fillId="7" borderId="33" xfId="2" applyFont="1" applyFill="1" applyBorder="1" applyAlignment="1">
      <alignment vertical="center"/>
    </xf>
    <xf numFmtId="191" fontId="101" fillId="7" borderId="33" xfId="2" applyFont="1" applyFill="1" applyBorder="1" applyAlignment="1">
      <alignment vertical="center"/>
    </xf>
    <xf numFmtId="191" fontId="69" fillId="7" borderId="35" xfId="2" applyFont="1" applyFill="1" applyBorder="1" applyAlignment="1">
      <alignment vertical="center"/>
    </xf>
    <xf numFmtId="191" fontId="101" fillId="8" borderId="29" xfId="2" applyFont="1" applyFill="1" applyBorder="1" applyAlignment="1">
      <alignment vertical="center"/>
    </xf>
    <xf numFmtId="191" fontId="101" fillId="8" borderId="31" xfId="2" applyFont="1" applyFill="1" applyBorder="1" applyAlignment="1">
      <alignment vertical="center"/>
    </xf>
    <xf numFmtId="191" fontId="69" fillId="8" borderId="29" xfId="2" applyFont="1" applyFill="1" applyBorder="1" applyAlignment="1">
      <alignment vertical="center"/>
    </xf>
    <xf numFmtId="191" fontId="69" fillId="8" borderId="33" xfId="2" applyFont="1" applyFill="1" applyBorder="1" applyAlignment="1">
      <alignment vertical="center"/>
    </xf>
    <xf numFmtId="191" fontId="101" fillId="8" borderId="33" xfId="2" applyFont="1" applyFill="1" applyBorder="1" applyAlignment="1">
      <alignment vertical="center"/>
    </xf>
    <xf numFmtId="191" fontId="69" fillId="8" borderId="35" xfId="2" applyFont="1" applyFill="1" applyBorder="1" applyAlignment="1">
      <alignment vertical="center"/>
    </xf>
    <xf numFmtId="191" fontId="69" fillId="7" borderId="31" xfId="2" applyFont="1" applyFill="1" applyBorder="1" applyAlignment="1">
      <alignment vertical="center"/>
    </xf>
    <xf numFmtId="0" fontId="13" fillId="0" borderId="0" xfId="0" applyFont="1" applyAlignment="1">
      <alignment horizontal="left" vertical="center"/>
    </xf>
    <xf numFmtId="0" fontId="95" fillId="0" borderId="0" xfId="4" applyNumberFormat="1" applyFont="1" applyFill="1" applyBorder="1" applyAlignment="1">
      <alignment horizontal="right" vertical="center"/>
    </xf>
    <xf numFmtId="0" fontId="95" fillId="0" borderId="36" xfId="4" applyNumberFormat="1" applyFont="1" applyFill="1" applyBorder="1" applyAlignment="1">
      <alignment vertical="center"/>
    </xf>
    <xf numFmtId="191" fontId="95" fillId="6" borderId="37" xfId="4" applyNumberFormat="1" applyFont="1" applyFill="1" applyBorder="1" applyAlignment="1">
      <alignment vertical="center"/>
    </xf>
    <xf numFmtId="191" fontId="95" fillId="6" borderId="37" xfId="4" applyNumberFormat="1" applyFont="1" applyFill="1" applyBorder="1" applyAlignment="1">
      <alignment horizontal="center" vertical="center" wrapText="1"/>
    </xf>
    <xf numFmtId="191" fontId="95" fillId="2" borderId="37" xfId="4" applyNumberFormat="1" applyFont="1" applyFill="1" applyBorder="1" applyAlignment="1">
      <alignment vertical="center"/>
    </xf>
    <xf numFmtId="191" fontId="95" fillId="8" borderId="37" xfId="4" applyNumberFormat="1" applyFont="1" applyFill="1" applyBorder="1" applyAlignment="1">
      <alignment vertical="center"/>
    </xf>
    <xf numFmtId="191" fontId="95" fillId="7" borderId="37" xfId="4" applyNumberFormat="1" applyFont="1" applyFill="1" applyBorder="1" applyAlignment="1">
      <alignment vertical="center"/>
    </xf>
    <xf numFmtId="191" fontId="101" fillId="6" borderId="32" xfId="2" applyFont="1" applyFill="1" applyBorder="1" applyAlignment="1">
      <alignment horizontal="right" vertical="center"/>
    </xf>
    <xf numFmtId="191" fontId="69" fillId="6" borderId="32" xfId="2" applyFont="1" applyFill="1" applyBorder="1" applyAlignment="1">
      <alignment horizontal="right" vertical="center"/>
    </xf>
    <xf numFmtId="191" fontId="101" fillId="2" borderId="32" xfId="2" applyFont="1" applyFill="1" applyBorder="1" applyAlignment="1">
      <alignment vertical="center"/>
    </xf>
    <xf numFmtId="191" fontId="69" fillId="2" borderId="32" xfId="2" applyFont="1" applyFill="1" applyBorder="1" applyAlignment="1">
      <alignment vertical="center"/>
    </xf>
    <xf numFmtId="191" fontId="101" fillId="8" borderId="32" xfId="2" applyFont="1" applyFill="1" applyBorder="1" applyAlignment="1">
      <alignment vertical="center"/>
    </xf>
    <xf numFmtId="191" fontId="69" fillId="8" borderId="32" xfId="4" applyNumberFormat="1" applyFill="1" applyBorder="1" applyAlignment="1">
      <alignment vertical="center"/>
    </xf>
    <xf numFmtId="191" fontId="101" fillId="7" borderId="32" xfId="2" applyFont="1" applyFill="1" applyBorder="1" applyAlignment="1">
      <alignment vertical="center"/>
    </xf>
    <xf numFmtId="191" fontId="69" fillId="7" borderId="32" xfId="2" applyFont="1" applyFill="1" applyBorder="1" applyAlignment="1">
      <alignment vertical="center"/>
    </xf>
    <xf numFmtId="0" fontId="0" fillId="0" borderId="15" xfId="0" applyFont="1" applyFill="1" applyBorder="1" applyAlignment="1">
      <alignment vertical="center"/>
    </xf>
    <xf numFmtId="191" fontId="95" fillId="6" borderId="32" xfId="4" applyNumberFormat="1" applyFont="1" applyFill="1" applyBorder="1" applyAlignment="1">
      <alignment vertical="center"/>
    </xf>
    <xf numFmtId="191" fontId="95" fillId="6" borderId="32" xfId="4" applyNumberFormat="1" applyFont="1" applyFill="1" applyBorder="1" applyAlignment="1">
      <alignment horizontal="center" vertical="center" wrapText="1"/>
    </xf>
    <xf numFmtId="191" fontId="95" fillId="2" borderId="32" xfId="4" applyNumberFormat="1" applyFont="1" applyFill="1" applyBorder="1" applyAlignment="1">
      <alignment vertical="center"/>
    </xf>
    <xf numFmtId="191" fontId="95" fillId="8" borderId="32" xfId="4" applyNumberFormat="1" applyFont="1" applyFill="1" applyBorder="1" applyAlignment="1">
      <alignment vertical="center"/>
    </xf>
    <xf numFmtId="191" fontId="95" fillId="7" borderId="32" xfId="4" applyNumberFormat="1" applyFont="1" applyFill="1" applyBorder="1" applyAlignment="1">
      <alignment vertical="center"/>
    </xf>
    <xf numFmtId="191" fontId="78" fillId="6" borderId="34" xfId="2" applyFont="1" applyFill="1" applyBorder="1" applyAlignment="1">
      <alignment vertical="center"/>
    </xf>
    <xf numFmtId="191" fontId="78" fillId="6" borderId="34" xfId="2" applyFont="1" applyFill="1" applyBorder="1" applyAlignment="1">
      <alignment horizontal="center" vertical="center" wrapText="1"/>
    </xf>
    <xf numFmtId="10" fontId="0" fillId="0" borderId="0" xfId="0" applyNumberFormat="1"/>
    <xf numFmtId="0" fontId="21" fillId="6" borderId="0" xfId="0" applyFont="1" applyFill="1" applyBorder="1" applyAlignment="1">
      <alignment vertical="center"/>
    </xf>
    <xf numFmtId="191" fontId="0" fillId="6" borderId="0" xfId="2" applyFont="1" applyFill="1" applyBorder="1" applyAlignment="1">
      <alignment horizontal="right" vertical="center"/>
    </xf>
    <xf numFmtId="0" fontId="0" fillId="0" borderId="0" xfId="0" applyFill="1" applyBorder="1" applyAlignment="1">
      <alignment horizontal="left" vertical="center"/>
    </xf>
    <xf numFmtId="191" fontId="69" fillId="6" borderId="29" xfId="4" applyNumberFormat="1" applyFill="1" applyBorder="1" applyAlignment="1">
      <alignment horizontal="right" vertical="center"/>
    </xf>
    <xf numFmtId="191" fontId="87" fillId="6" borderId="38" xfId="2" applyFont="1" applyFill="1" applyBorder="1" applyAlignment="1">
      <alignment vertical="center"/>
    </xf>
    <xf numFmtId="191" fontId="87" fillId="2" borderId="38" xfId="2" applyFont="1" applyFill="1" applyBorder="1" applyAlignment="1">
      <alignment vertical="center"/>
    </xf>
    <xf numFmtId="191" fontId="87" fillId="8" borderId="38" xfId="2" applyFont="1" applyFill="1" applyBorder="1" applyAlignment="1">
      <alignment vertical="center"/>
    </xf>
    <xf numFmtId="191" fontId="87" fillId="7" borderId="38" xfId="2" applyFont="1" applyFill="1" applyBorder="1" applyAlignment="1">
      <alignment vertical="center"/>
    </xf>
    <xf numFmtId="191" fontId="69" fillId="6" borderId="33" xfId="4" applyNumberFormat="1" applyFill="1" applyBorder="1" applyAlignment="1">
      <alignment vertical="center"/>
    </xf>
    <xf numFmtId="191" fontId="69" fillId="6" borderId="33" xfId="4" applyNumberFormat="1" applyFill="1" applyBorder="1" applyAlignment="1">
      <alignment horizontal="center" vertical="center" wrapText="1"/>
    </xf>
    <xf numFmtId="191" fontId="69" fillId="6" borderId="33" xfId="4" applyNumberFormat="1" applyFill="1" applyBorder="1" applyAlignment="1">
      <alignment horizontal="right" vertical="center"/>
    </xf>
    <xf numFmtId="191" fontId="69" fillId="2" borderId="33" xfId="4" applyNumberFormat="1" applyFill="1" applyBorder="1" applyAlignment="1">
      <alignment vertical="center"/>
    </xf>
    <xf numFmtId="191" fontId="69" fillId="7" borderId="33" xfId="4" applyNumberFormat="1" applyFill="1" applyBorder="1" applyAlignment="1">
      <alignment vertical="center"/>
    </xf>
    <xf numFmtId="191" fontId="26" fillId="0" borderId="0" xfId="2" applyFont="1"/>
    <xf numFmtId="191" fontId="69" fillId="0" borderId="0" xfId="4" applyNumberFormat="1"/>
    <xf numFmtId="0" fontId="0" fillId="0" borderId="0" xfId="0" applyAlignment="1">
      <alignment horizontal="center"/>
    </xf>
    <xf numFmtId="0" fontId="13" fillId="2" borderId="39" xfId="0" applyFont="1" applyFill="1" applyBorder="1" applyAlignment="1">
      <alignment vertical="center"/>
    </xf>
    <xf numFmtId="0" fontId="103" fillId="0" borderId="0" xfId="0" applyFont="1" applyAlignment="1">
      <alignment horizontal="center" vertical="center"/>
    </xf>
    <xf numFmtId="0" fontId="10" fillId="0" borderId="0" xfId="0" applyFont="1"/>
    <xf numFmtId="0" fontId="98" fillId="0" borderId="0" xfId="0" applyFont="1"/>
    <xf numFmtId="3" fontId="0" fillId="0" borderId="0" xfId="0" applyNumberFormat="1" applyBorder="1" applyAlignment="1">
      <alignment vertical="center"/>
    </xf>
    <xf numFmtId="0" fontId="0" fillId="0" borderId="0" xfId="0" applyFont="1" applyBorder="1" applyAlignment="1">
      <alignment horizontal="left" vertical="center"/>
    </xf>
    <xf numFmtId="0" fontId="0" fillId="0" borderId="14" xfId="0" applyFont="1" applyBorder="1" applyAlignment="1">
      <alignment horizontal="left" vertical="center"/>
    </xf>
    <xf numFmtId="191" fontId="69" fillId="2" borderId="35" xfId="2" applyFont="1" applyFill="1" applyBorder="1" applyAlignment="1">
      <alignment vertical="center"/>
    </xf>
    <xf numFmtId="0" fontId="99" fillId="18" borderId="40" xfId="0" applyFont="1" applyFill="1" applyBorder="1" applyAlignment="1">
      <alignment horizontal="centerContinuous" vertical="center" wrapText="1"/>
    </xf>
    <xf numFmtId="0" fontId="14" fillId="18" borderId="39" xfId="0" applyFont="1" applyFill="1" applyBorder="1" applyAlignment="1">
      <alignment horizontal="centerContinuous" vertical="center" wrapText="1"/>
    </xf>
    <xf numFmtId="0" fontId="99" fillId="12" borderId="39" xfId="0" applyFont="1" applyFill="1" applyBorder="1" applyAlignment="1">
      <alignment horizontal="centerContinuous" vertical="center" wrapText="1"/>
    </xf>
    <xf numFmtId="0" fontId="14" fillId="12" borderId="39" xfId="0" applyFont="1" applyFill="1" applyBorder="1" applyAlignment="1">
      <alignment horizontal="centerContinuous" vertical="center" wrapText="1"/>
    </xf>
    <xf numFmtId="0" fontId="14" fillId="18" borderId="41" xfId="0" applyFont="1" applyFill="1" applyBorder="1" applyAlignment="1">
      <alignment horizontal="centerContinuous" vertical="center" wrapText="1"/>
    </xf>
    <xf numFmtId="0" fontId="99" fillId="18" borderId="39" xfId="0" applyFont="1" applyFill="1" applyBorder="1" applyAlignment="1">
      <alignment horizontal="centerContinuous" vertical="center" wrapText="1"/>
    </xf>
    <xf numFmtId="0" fontId="14" fillId="12" borderId="40" xfId="0" applyFont="1" applyFill="1" applyBorder="1" applyAlignment="1">
      <alignment horizontal="centerContinuous" vertical="center" wrapText="1"/>
    </xf>
    <xf numFmtId="0" fontId="14" fillId="12" borderId="41" xfId="0" applyFont="1" applyFill="1" applyBorder="1" applyAlignment="1">
      <alignment horizontal="centerContinuous" vertical="center" wrapText="1"/>
    </xf>
    <xf numFmtId="0" fontId="0" fillId="0" borderId="0" xfId="0" applyAlignment="1">
      <alignment horizontal="right" vertical="center"/>
    </xf>
    <xf numFmtId="0" fontId="99" fillId="16" borderId="40" xfId="0" applyFont="1" applyFill="1" applyBorder="1" applyAlignment="1">
      <alignment horizontal="centerContinuous" vertical="center" wrapText="1"/>
    </xf>
    <xf numFmtId="0" fontId="99" fillId="16" borderId="39" xfId="0" applyFont="1" applyFill="1" applyBorder="1" applyAlignment="1">
      <alignment horizontal="centerContinuous" vertical="center"/>
    </xf>
    <xf numFmtId="0" fontId="0" fillId="17" borderId="32" xfId="0" applyFill="1" applyBorder="1" applyAlignment="1">
      <alignment horizontal="center" vertical="center"/>
    </xf>
    <xf numFmtId="0" fontId="0" fillId="15" borderId="37" xfId="0" applyFill="1" applyBorder="1"/>
    <xf numFmtId="0" fontId="0" fillId="15" borderId="29" xfId="0" applyFill="1" applyBorder="1"/>
    <xf numFmtId="0" fontId="0" fillId="17" borderId="42" xfId="0" applyFont="1" applyFill="1" applyBorder="1" applyAlignment="1">
      <alignment horizontal="centerContinuous" vertical="center" wrapText="1"/>
    </xf>
    <xf numFmtId="0" fontId="0" fillId="17" borderId="36" xfId="0" applyFont="1" applyFill="1" applyBorder="1" applyAlignment="1">
      <alignment horizontal="centerContinuous" vertical="center" wrapText="1"/>
    </xf>
    <xf numFmtId="0" fontId="0" fillId="17" borderId="43" xfId="0" applyFont="1" applyFill="1" applyBorder="1" applyAlignment="1">
      <alignment horizontal="centerContinuous" vertical="center" wrapText="1"/>
    </xf>
    <xf numFmtId="0" fontId="17" fillId="17" borderId="44" xfId="0" applyFont="1" applyFill="1" applyBorder="1" applyAlignment="1">
      <alignment horizontal="centerContinuous" vertical="center"/>
    </xf>
    <xf numFmtId="0" fontId="17" fillId="17" borderId="30" xfId="0" applyFont="1" applyFill="1" applyBorder="1" applyAlignment="1">
      <alignment horizontal="centerContinuous" vertical="center"/>
    </xf>
    <xf numFmtId="0" fontId="17" fillId="17" borderId="45" xfId="0" applyFont="1" applyFill="1" applyBorder="1" applyAlignment="1">
      <alignment horizontal="centerContinuous" vertical="center"/>
    </xf>
    <xf numFmtId="0" fontId="0" fillId="6" borderId="46" xfId="0" applyFill="1" applyBorder="1"/>
    <xf numFmtId="0" fontId="0" fillId="6" borderId="47" xfId="0" applyFill="1" applyBorder="1"/>
    <xf numFmtId="0" fontId="13" fillId="6" borderId="46" xfId="0" applyFont="1" applyFill="1" applyBorder="1"/>
    <xf numFmtId="0" fontId="21" fillId="6" borderId="46" xfId="0" applyFont="1" applyFill="1" applyBorder="1"/>
    <xf numFmtId="0" fontId="0" fillId="6" borderId="46" xfId="0" applyFont="1" applyFill="1" applyBorder="1"/>
    <xf numFmtId="0" fontId="0" fillId="6" borderId="44" xfId="0" applyFill="1" applyBorder="1"/>
    <xf numFmtId="0" fontId="0" fillId="6" borderId="30" xfId="0" applyFill="1" applyBorder="1"/>
    <xf numFmtId="0" fontId="0" fillId="6" borderId="45" xfId="0" applyFill="1" applyBorder="1"/>
    <xf numFmtId="0" fontId="0" fillId="9" borderId="39" xfId="0" applyFill="1" applyBorder="1" applyAlignment="1">
      <alignment vertical="center"/>
    </xf>
    <xf numFmtId="0" fontId="0" fillId="9" borderId="41" xfId="0" applyFill="1" applyBorder="1" applyAlignment="1">
      <alignment vertical="center"/>
    </xf>
    <xf numFmtId="0" fontId="106" fillId="0" borderId="0" xfId="0" applyFont="1" applyAlignment="1">
      <alignment vertical="center"/>
    </xf>
    <xf numFmtId="0" fontId="106" fillId="0" borderId="0" xfId="0" applyFont="1"/>
    <xf numFmtId="0" fontId="0" fillId="8" borderId="46" xfId="0" applyFill="1" applyBorder="1"/>
    <xf numFmtId="0" fontId="0" fillId="8" borderId="0" xfId="0" applyFont="1" applyFill="1" applyBorder="1"/>
    <xf numFmtId="0" fontId="0" fillId="8" borderId="0" xfId="0" applyFill="1" applyBorder="1"/>
    <xf numFmtId="0" fontId="0" fillId="8" borderId="0" xfId="0" applyFill="1" applyBorder="1" applyAlignment="1">
      <alignment horizontal="right"/>
    </xf>
    <xf numFmtId="0" fontId="0" fillId="8" borderId="47" xfId="0" applyFill="1" applyBorder="1"/>
    <xf numFmtId="0" fontId="13" fillId="8" borderId="46" xfId="0" applyFont="1" applyFill="1" applyBorder="1"/>
    <xf numFmtId="0" fontId="13" fillId="8" borderId="44" xfId="0" applyFont="1" applyFill="1" applyBorder="1"/>
    <xf numFmtId="0" fontId="0" fillId="8" borderId="30" xfId="0" applyFill="1" applyBorder="1" applyAlignment="1">
      <alignment vertical="center"/>
    </xf>
    <xf numFmtId="0" fontId="0" fillId="8" borderId="30" xfId="0" applyFill="1" applyBorder="1"/>
    <xf numFmtId="0" fontId="0" fillId="8" borderId="45" xfId="0" applyFill="1" applyBorder="1"/>
    <xf numFmtId="0" fontId="0" fillId="12" borderId="39" xfId="0" applyFill="1" applyBorder="1"/>
    <xf numFmtId="0" fontId="0" fillId="12" borderId="41" xfId="0" applyFill="1" applyBorder="1"/>
    <xf numFmtId="0" fontId="21" fillId="8" borderId="0" xfId="0" applyFont="1" applyFill="1" applyBorder="1"/>
    <xf numFmtId="0" fontId="10" fillId="8" borderId="0" xfId="0" applyFont="1" applyFill="1" applyBorder="1" applyAlignment="1">
      <alignment vertical="center"/>
    </xf>
    <xf numFmtId="0" fontId="92" fillId="8" borderId="0" xfId="0" applyFont="1" applyFill="1" applyBorder="1" applyAlignment="1">
      <alignment vertical="center"/>
    </xf>
    <xf numFmtId="0" fontId="0" fillId="8" borderId="47" xfId="0" applyFill="1" applyBorder="1" applyAlignment="1">
      <alignment vertical="center"/>
    </xf>
    <xf numFmtId="0" fontId="0" fillId="8" borderId="44" xfId="0" applyFill="1" applyBorder="1"/>
    <xf numFmtId="0" fontId="13" fillId="6" borderId="44" xfId="0" applyFont="1" applyFill="1" applyBorder="1"/>
    <xf numFmtId="0" fontId="0" fillId="6" borderId="30" xfId="0" applyNumberFormat="1" applyFill="1" applyBorder="1" applyAlignment="1">
      <alignment vertical="center"/>
    </xf>
    <xf numFmtId="0" fontId="0" fillId="6" borderId="30" xfId="0" applyFill="1" applyBorder="1" applyAlignment="1">
      <alignment vertical="center"/>
    </xf>
    <xf numFmtId="191" fontId="0" fillId="6" borderId="30" xfId="2" applyFont="1" applyFill="1" applyBorder="1" applyAlignment="1">
      <alignment vertical="center"/>
    </xf>
    <xf numFmtId="0" fontId="0" fillId="6" borderId="30" xfId="0" applyFill="1" applyBorder="1" applyAlignment="1">
      <alignment horizontal="right" vertical="center"/>
    </xf>
    <xf numFmtId="0" fontId="14" fillId="13" borderId="39" xfId="0" applyFont="1" applyFill="1" applyBorder="1" applyAlignment="1">
      <alignment vertical="center"/>
    </xf>
    <xf numFmtId="0" fontId="0" fillId="13" borderId="39" xfId="0" applyFill="1" applyBorder="1"/>
    <xf numFmtId="0" fontId="0" fillId="13" borderId="41" xfId="0" applyFill="1" applyBorder="1"/>
    <xf numFmtId="0" fontId="21" fillId="7" borderId="0" xfId="0" applyFont="1" applyFill="1" applyBorder="1"/>
    <xf numFmtId="0" fontId="0" fillId="7" borderId="0" xfId="0" applyFill="1" applyBorder="1"/>
    <xf numFmtId="0" fontId="0" fillId="7" borderId="0" xfId="0" applyFill="1" applyBorder="1" applyAlignment="1">
      <alignment horizontal="right"/>
    </xf>
    <xf numFmtId="0" fontId="0" fillId="7" borderId="0" xfId="0" applyFill="1" applyBorder="1" applyAlignment="1">
      <alignment vertical="center"/>
    </xf>
    <xf numFmtId="0" fontId="0" fillId="7" borderId="42" xfId="0" applyFill="1" applyBorder="1"/>
    <xf numFmtId="0" fontId="0" fillId="7" borderId="36" xfId="0" applyFill="1" applyBorder="1"/>
    <xf numFmtId="0" fontId="0" fillId="7" borderId="43" xfId="0" applyFill="1" applyBorder="1"/>
    <xf numFmtId="0" fontId="0" fillId="7" borderId="46" xfId="0" applyFill="1" applyBorder="1"/>
    <xf numFmtId="0" fontId="0" fillId="7" borderId="47" xfId="0" applyFill="1" applyBorder="1"/>
    <xf numFmtId="0" fontId="13" fillId="7" borderId="46" xfId="0" applyFont="1" applyFill="1" applyBorder="1"/>
    <xf numFmtId="0" fontId="0" fillId="7" borderId="0" xfId="0" applyNumberFormat="1" applyFill="1" applyBorder="1" applyAlignment="1">
      <alignment vertical="center"/>
    </xf>
    <xf numFmtId="191" fontId="0" fillId="7" borderId="0" xfId="2" applyFont="1" applyFill="1" applyBorder="1" applyAlignment="1">
      <alignment vertical="center"/>
    </xf>
    <xf numFmtId="0" fontId="0" fillId="6" borderId="43" xfId="0" applyFill="1" applyBorder="1"/>
    <xf numFmtId="0" fontId="0" fillId="6" borderId="30" xfId="0" applyNumberFormat="1" applyFill="1" applyBorder="1"/>
    <xf numFmtId="0" fontId="29" fillId="6" borderId="0" xfId="4" applyNumberFormat="1" applyFont="1" applyFill="1" applyBorder="1" applyAlignment="1">
      <alignment horizontal="right"/>
    </xf>
    <xf numFmtId="0" fontId="29" fillId="6" borderId="0" xfId="4" applyNumberFormat="1" applyFont="1" applyFill="1" applyBorder="1" applyAlignment="1">
      <alignment horizontal="left"/>
    </xf>
    <xf numFmtId="0" fontId="69" fillId="6" borderId="0" xfId="4" applyNumberFormat="1" applyFill="1" applyBorder="1"/>
    <xf numFmtId="0" fontId="69" fillId="6" borderId="47" xfId="4" applyNumberFormat="1" applyFill="1" applyBorder="1"/>
    <xf numFmtId="0" fontId="14" fillId="12" borderId="40" xfId="0" applyFont="1" applyFill="1" applyBorder="1" applyAlignment="1">
      <alignment horizontal="left" vertical="center" indent="1"/>
    </xf>
    <xf numFmtId="0" fontId="0" fillId="0" borderId="0" xfId="0" applyAlignment="1">
      <alignment horizontal="left" indent="1"/>
    </xf>
    <xf numFmtId="0" fontId="14" fillId="9" borderId="40" xfId="0" applyFont="1" applyFill="1" applyBorder="1" applyAlignment="1">
      <alignment horizontal="left" vertical="center" indent="1"/>
    </xf>
    <xf numFmtId="0" fontId="14" fillId="13" borderId="40" xfId="0" applyFont="1" applyFill="1" applyBorder="1" applyAlignment="1">
      <alignment horizontal="left" vertical="center" indent="1"/>
    </xf>
    <xf numFmtId="0" fontId="0" fillId="6" borderId="0" xfId="0" applyFont="1" applyFill="1" applyBorder="1" applyAlignment="1">
      <alignment horizontal="right"/>
    </xf>
    <xf numFmtId="9" fontId="0" fillId="6" borderId="0" xfId="0" applyNumberFormat="1" applyFill="1" applyBorder="1" applyAlignment="1">
      <alignment vertical="center"/>
    </xf>
    <xf numFmtId="0" fontId="69" fillId="6" borderId="44" xfId="4" applyNumberFormat="1" applyFill="1" applyBorder="1"/>
    <xf numFmtId="0" fontId="0" fillId="6" borderId="30" xfId="0" applyFill="1" applyBorder="1" applyAlignment="1">
      <alignment horizontal="right"/>
    </xf>
    <xf numFmtId="0" fontId="69" fillId="6" borderId="30" xfId="4" applyNumberFormat="1" applyFill="1" applyBorder="1"/>
    <xf numFmtId="0" fontId="69" fillId="6" borderId="45" xfId="4" applyNumberFormat="1" applyFill="1" applyBorder="1"/>
    <xf numFmtId="0" fontId="0" fillId="9" borderId="39" xfId="0" applyFill="1" applyBorder="1"/>
    <xf numFmtId="0" fontId="0" fillId="9" borderId="41" xfId="0" applyFill="1" applyBorder="1"/>
    <xf numFmtId="191" fontId="0" fillId="7" borderId="0" xfId="2" applyNumberFormat="1" applyFont="1" applyFill="1" applyBorder="1" applyAlignment="1">
      <alignment vertical="center"/>
    </xf>
    <xf numFmtId="0" fontId="18" fillId="7" borderId="15" xfId="0" applyFont="1" applyFill="1" applyBorder="1" applyAlignment="1">
      <alignment vertical="center"/>
    </xf>
    <xf numFmtId="194" fontId="0" fillId="6" borderId="0" xfId="2" applyNumberFormat="1" applyFont="1" applyFill="1" applyBorder="1" applyAlignment="1">
      <alignment vertical="center"/>
    </xf>
    <xf numFmtId="191" fontId="0" fillId="7" borderId="0" xfId="0" applyNumberFormat="1" applyFont="1" applyFill="1" applyBorder="1" applyAlignment="1">
      <alignment vertical="center"/>
    </xf>
    <xf numFmtId="0" fontId="0" fillId="16" borderId="30" xfId="0" applyFill="1" applyBorder="1"/>
    <xf numFmtId="0" fontId="21" fillId="0" borderId="0" xfId="0" applyFont="1" applyAlignment="1">
      <alignment horizontal="left"/>
    </xf>
    <xf numFmtId="0" fontId="0" fillId="8" borderId="14" xfId="0" applyFill="1" applyBorder="1" applyAlignment="1">
      <alignment vertical="center"/>
    </xf>
    <xf numFmtId="0" fontId="0" fillId="8" borderId="1" xfId="0" applyFill="1" applyBorder="1" applyAlignment="1">
      <alignment vertical="center"/>
    </xf>
    <xf numFmtId="0" fontId="18" fillId="6" borderId="0" xfId="0" applyNumberFormat="1" applyFont="1" applyFill="1" applyBorder="1" applyAlignment="1">
      <alignment horizontal="right" vertical="center"/>
    </xf>
    <xf numFmtId="0" fontId="0" fillId="6" borderId="1" xfId="0" applyFill="1" applyBorder="1"/>
    <xf numFmtId="0" fontId="33" fillId="4" borderId="0" xfId="6" applyFont="1" applyFill="1"/>
    <xf numFmtId="0" fontId="75" fillId="4" borderId="0" xfId="6" applyFont="1" applyFill="1"/>
    <xf numFmtId="0" fontId="75" fillId="4" borderId="0" xfId="6" applyFont="1" applyFill="1" applyBorder="1"/>
    <xf numFmtId="14" fontId="66" fillId="4" borderId="0" xfId="6" applyNumberFormat="1" applyFont="1" applyFill="1" applyBorder="1"/>
    <xf numFmtId="14" fontId="107" fillId="4" borderId="0" xfId="6" applyNumberFormat="1" applyFont="1" applyFill="1" applyBorder="1"/>
    <xf numFmtId="198" fontId="75" fillId="4" borderId="0" xfId="6" applyNumberFormat="1" applyFont="1" applyFill="1" applyBorder="1"/>
    <xf numFmtId="198" fontId="75" fillId="4" borderId="0" xfId="6" applyNumberFormat="1" applyFont="1" applyFill="1"/>
    <xf numFmtId="0" fontId="66" fillId="4" borderId="0" xfId="6" applyFont="1" applyFill="1"/>
    <xf numFmtId="0" fontId="66" fillId="4" borderId="0" xfId="6" applyFont="1" applyFill="1" applyBorder="1"/>
    <xf numFmtId="198" fontId="66" fillId="4" borderId="0" xfId="6" applyNumberFormat="1" applyFont="1" applyFill="1"/>
    <xf numFmtId="0" fontId="37" fillId="4" borderId="0" xfId="6" applyFont="1" applyFill="1"/>
    <xf numFmtId="0" fontId="38" fillId="4" borderId="0" xfId="6" applyFont="1" applyFill="1" applyAlignment="1">
      <alignment horizontal="left"/>
    </xf>
    <xf numFmtId="0" fontId="40" fillId="4" borderId="0" xfId="6" applyFont="1" applyFill="1"/>
    <xf numFmtId="0" fontId="38" fillId="4" borderId="0" xfId="6" applyFont="1" applyFill="1" applyAlignment="1">
      <alignment horizontal="right"/>
    </xf>
    <xf numFmtId="0" fontId="32" fillId="4" borderId="0" xfId="6" applyFill="1"/>
    <xf numFmtId="0" fontId="51" fillId="4" borderId="0" xfId="6" applyFont="1" applyFill="1" applyAlignment="1">
      <alignment horizontal="right"/>
    </xf>
    <xf numFmtId="198" fontId="37" fillId="4" borderId="0" xfId="6" applyNumberFormat="1" applyFont="1" applyFill="1"/>
    <xf numFmtId="0" fontId="38" fillId="4" borderId="0" xfId="6" applyFont="1" applyFill="1"/>
    <xf numFmtId="0" fontId="32" fillId="0" borderId="0" xfId="6"/>
    <xf numFmtId="0" fontId="109" fillId="4" borderId="0" xfId="6" applyFont="1" applyFill="1" applyAlignment="1">
      <alignment horizontal="right"/>
    </xf>
    <xf numFmtId="0" fontId="109" fillId="4" borderId="7" xfId="6" applyFont="1" applyFill="1" applyBorder="1" applyAlignment="1">
      <alignment horizontal="right"/>
    </xf>
    <xf numFmtId="198" fontId="56" fillId="4" borderId="4" xfId="6" applyNumberFormat="1" applyFont="1" applyFill="1" applyBorder="1"/>
    <xf numFmtId="0" fontId="56" fillId="4" borderId="4" xfId="6" applyFont="1" applyFill="1" applyBorder="1"/>
    <xf numFmtId="0" fontId="56" fillId="4" borderId="4" xfId="6" applyNumberFormat="1" applyFont="1" applyFill="1" applyBorder="1"/>
    <xf numFmtId="198" fontId="32" fillId="4" borderId="0" xfId="6" applyNumberFormat="1" applyFill="1"/>
    <xf numFmtId="0" fontId="41" fillId="4" borderId="0" xfId="6" applyFont="1" applyFill="1" applyAlignment="1">
      <alignment vertical="center"/>
    </xf>
    <xf numFmtId="172" fontId="37" fillId="4" borderId="0" xfId="6" applyNumberFormat="1" applyFont="1" applyFill="1" applyAlignment="1">
      <alignment vertical="center"/>
    </xf>
    <xf numFmtId="172" fontId="66" fillId="4" borderId="0" xfId="6" applyNumberFormat="1" applyFont="1" applyFill="1" applyBorder="1" applyAlignment="1">
      <alignment vertical="center"/>
    </xf>
    <xf numFmtId="198" fontId="32" fillId="4" borderId="0" xfId="6" applyNumberFormat="1" applyFill="1" applyBorder="1" applyAlignment="1">
      <alignment vertical="center"/>
    </xf>
    <xf numFmtId="198" fontId="66" fillId="4" borderId="0" xfId="6" applyNumberFormat="1" applyFont="1" applyFill="1" applyBorder="1" applyAlignment="1">
      <alignment vertical="center"/>
    </xf>
    <xf numFmtId="198" fontId="37" fillId="4" borderId="0" xfId="6" applyNumberFormat="1" applyFont="1" applyFill="1" applyBorder="1" applyAlignment="1">
      <alignment vertical="center"/>
    </xf>
    <xf numFmtId="198" fontId="32" fillId="4" borderId="0" xfId="6" applyNumberFormat="1" applyFill="1" applyAlignment="1">
      <alignment vertical="center"/>
    </xf>
    <xf numFmtId="0" fontId="32" fillId="4" borderId="0" xfId="6" applyFill="1" applyAlignment="1">
      <alignment vertical="center"/>
    </xf>
    <xf numFmtId="165" fontId="60" fillId="4" borderId="0" xfId="6" applyNumberFormat="1" applyFont="1" applyFill="1" applyAlignment="1">
      <alignment horizontal="right"/>
    </xf>
    <xf numFmtId="172" fontId="60" fillId="4" borderId="0" xfId="6" applyNumberFormat="1" applyFont="1" applyFill="1" applyAlignment="1">
      <alignment horizontal="right"/>
    </xf>
    <xf numFmtId="172" fontId="60" fillId="4" borderId="0" xfId="6" applyNumberFormat="1" applyFont="1" applyFill="1" applyBorder="1" applyAlignment="1">
      <alignment horizontal="right"/>
    </xf>
    <xf numFmtId="172" fontId="37" fillId="4" borderId="0" xfId="6" applyNumberFormat="1" applyFont="1" applyFill="1" applyBorder="1" applyAlignment="1">
      <alignment horizontal="right"/>
    </xf>
    <xf numFmtId="173" fontId="37" fillId="4" borderId="0" xfId="6" applyNumberFormat="1" applyFont="1" applyFill="1" applyBorder="1" applyAlignment="1">
      <alignment horizontal="right"/>
    </xf>
    <xf numFmtId="173" fontId="60" fillId="4" borderId="0" xfId="6" applyNumberFormat="1" applyFont="1" applyFill="1" applyBorder="1" applyAlignment="1">
      <alignment horizontal="right"/>
    </xf>
    <xf numFmtId="0" fontId="41" fillId="4" borderId="6" xfId="6" applyFont="1" applyFill="1" applyBorder="1" applyAlignment="1">
      <alignment vertical="center"/>
    </xf>
    <xf numFmtId="165" fontId="63" fillId="4" borderId="6" xfId="6" applyNumberFormat="1" applyFont="1" applyFill="1" applyBorder="1" applyAlignment="1">
      <alignment horizontal="right"/>
    </xf>
    <xf numFmtId="172" fontId="63" fillId="4" borderId="6" xfId="6" applyNumberFormat="1" applyFont="1" applyFill="1" applyBorder="1" applyAlignment="1">
      <alignment horizontal="right"/>
    </xf>
    <xf numFmtId="172" fontId="38" fillId="4" borderId="6" xfId="6" applyNumberFormat="1" applyFont="1" applyFill="1" applyBorder="1" applyAlignment="1">
      <alignment horizontal="right"/>
    </xf>
    <xf numFmtId="173" fontId="38" fillId="4" borderId="6" xfId="6" applyNumberFormat="1" applyFont="1" applyFill="1" applyBorder="1" applyAlignment="1">
      <alignment horizontal="right"/>
    </xf>
    <xf numFmtId="165" fontId="63" fillId="4" borderId="0" xfId="6" applyNumberFormat="1" applyFont="1" applyFill="1" applyAlignment="1">
      <alignment horizontal="right"/>
    </xf>
    <xf numFmtId="172" fontId="63" fillId="4" borderId="0" xfId="6" applyNumberFormat="1" applyFont="1" applyFill="1" applyAlignment="1">
      <alignment horizontal="right"/>
    </xf>
    <xf numFmtId="172" fontId="38" fillId="4" borderId="0" xfId="6" applyNumberFormat="1" applyFont="1" applyFill="1" applyAlignment="1">
      <alignment horizontal="right"/>
    </xf>
    <xf numFmtId="0" fontId="41" fillId="4" borderId="1" xfId="6" applyFont="1" applyFill="1" applyBorder="1" applyAlignment="1">
      <alignment vertical="center"/>
    </xf>
    <xf numFmtId="165" fontId="60" fillId="4" borderId="1" xfId="6" applyNumberFormat="1" applyFont="1" applyFill="1" applyBorder="1" applyAlignment="1">
      <alignment horizontal="right"/>
    </xf>
    <xf numFmtId="172" fontId="60" fillId="4" borderId="1" xfId="6" applyNumberFormat="1" applyFont="1" applyFill="1" applyBorder="1" applyAlignment="1">
      <alignment horizontal="right"/>
    </xf>
    <xf numFmtId="172" fontId="37" fillId="4" borderId="1" xfId="6" applyNumberFormat="1" applyFont="1" applyFill="1" applyBorder="1" applyAlignment="1">
      <alignment horizontal="right"/>
    </xf>
    <xf numFmtId="173" fontId="38" fillId="4" borderId="0" xfId="6" applyNumberFormat="1" applyFont="1" applyFill="1" applyAlignment="1">
      <alignment horizontal="right"/>
    </xf>
    <xf numFmtId="0" fontId="41" fillId="4" borderId="7" xfId="6" applyFont="1" applyFill="1" applyBorder="1" applyAlignment="1">
      <alignment vertical="center"/>
    </xf>
    <xf numFmtId="165" fontId="60" fillId="4" borderId="7" xfId="6" applyNumberFormat="1" applyFont="1" applyFill="1" applyBorder="1" applyAlignment="1">
      <alignment horizontal="right"/>
    </xf>
    <xf numFmtId="172" fontId="60" fillId="4" borderId="7" xfId="6" applyNumberFormat="1" applyFont="1" applyFill="1" applyBorder="1" applyAlignment="1">
      <alignment horizontal="right"/>
    </xf>
    <xf numFmtId="173" fontId="37" fillId="4" borderId="7" xfId="6" applyNumberFormat="1" applyFont="1" applyFill="1" applyBorder="1" applyAlignment="1">
      <alignment horizontal="right"/>
    </xf>
    <xf numFmtId="172" fontId="61" fillId="4" borderId="0" xfId="6" applyNumberFormat="1" applyFont="1" applyFill="1" applyAlignment="1">
      <alignment horizontal="right"/>
    </xf>
    <xf numFmtId="173" fontId="37" fillId="4" borderId="0" xfId="6" applyNumberFormat="1" applyFont="1" applyFill="1" applyAlignment="1">
      <alignment horizontal="right"/>
    </xf>
    <xf numFmtId="172" fontId="37" fillId="4" borderId="0" xfId="6" applyNumberFormat="1" applyFont="1" applyFill="1" applyAlignment="1">
      <alignment horizontal="right"/>
    </xf>
    <xf numFmtId="0" fontId="37" fillId="4" borderId="1" xfId="6" applyFont="1" applyFill="1" applyBorder="1"/>
    <xf numFmtId="173" fontId="37" fillId="4" borderId="1" xfId="6" applyNumberFormat="1" applyFont="1" applyFill="1" applyBorder="1" applyAlignment="1">
      <alignment horizontal="right"/>
    </xf>
    <xf numFmtId="165" fontId="63" fillId="4" borderId="7" xfId="6" applyNumberFormat="1" applyFont="1" applyFill="1" applyBorder="1" applyAlignment="1">
      <alignment horizontal="right"/>
    </xf>
    <xf numFmtId="172" fontId="63" fillId="4" borderId="7" xfId="6" applyNumberFormat="1" applyFont="1" applyFill="1" applyBorder="1" applyAlignment="1">
      <alignment horizontal="right"/>
    </xf>
    <xf numFmtId="172" fontId="63" fillId="4" borderId="7" xfId="6" applyNumberFormat="1" applyFont="1" applyFill="1" applyBorder="1" applyAlignment="1">
      <alignment horizontal="right" vertical="center"/>
    </xf>
    <xf numFmtId="173" fontId="38" fillId="4" borderId="7" xfId="6" applyNumberFormat="1" applyFont="1" applyFill="1" applyBorder="1" applyAlignment="1">
      <alignment horizontal="right" vertical="center"/>
    </xf>
    <xf numFmtId="172" fontId="38" fillId="4" borderId="7" xfId="6" applyNumberFormat="1" applyFont="1" applyFill="1" applyBorder="1" applyAlignment="1">
      <alignment horizontal="right" vertical="center"/>
    </xf>
    <xf numFmtId="0" fontId="41" fillId="4" borderId="0" xfId="6" applyFont="1" applyFill="1"/>
    <xf numFmtId="198" fontId="37" fillId="4" borderId="1" xfId="6" applyNumberFormat="1" applyFont="1" applyFill="1" applyBorder="1"/>
    <xf numFmtId="198" fontId="45" fillId="4" borderId="7" xfId="6" applyNumberFormat="1" applyFont="1" applyFill="1" applyBorder="1"/>
    <xf numFmtId="165" fontId="37" fillId="4" borderId="0" xfId="6" applyNumberFormat="1" applyFont="1" applyFill="1" applyAlignment="1">
      <alignment horizontal="right"/>
    </xf>
    <xf numFmtId="172" fontId="63" fillId="4" borderId="0" xfId="6" applyNumberFormat="1" applyFont="1" applyFill="1" applyAlignment="1">
      <alignment horizontal="right" vertical="center"/>
    </xf>
    <xf numFmtId="173" fontId="38" fillId="4" borderId="0" xfId="6" applyNumberFormat="1" applyFont="1" applyFill="1" applyAlignment="1">
      <alignment horizontal="right" vertical="center"/>
    </xf>
    <xf numFmtId="172" fontId="60" fillId="4" borderId="1" xfId="6" applyNumberFormat="1" applyFont="1" applyFill="1" applyBorder="1" applyAlignment="1">
      <alignment horizontal="right" vertical="center"/>
    </xf>
    <xf numFmtId="173" fontId="37" fillId="4" borderId="1" xfId="6" applyNumberFormat="1" applyFont="1" applyFill="1" applyBorder="1" applyAlignment="1">
      <alignment horizontal="right" vertical="center"/>
    </xf>
    <xf numFmtId="172" fontId="60" fillId="4" borderId="7" xfId="6" applyNumberFormat="1" applyFont="1" applyFill="1" applyBorder="1" applyAlignment="1">
      <alignment horizontal="right" vertical="center"/>
    </xf>
    <xf numFmtId="173" fontId="37" fillId="4" borderId="7" xfId="6" applyNumberFormat="1" applyFont="1" applyFill="1" applyBorder="1" applyAlignment="1">
      <alignment horizontal="right" vertical="center"/>
    </xf>
    <xf numFmtId="172" fontId="61" fillId="4" borderId="0" xfId="6" applyNumberFormat="1" applyFont="1" applyFill="1" applyAlignment="1">
      <alignment horizontal="right" vertical="center"/>
    </xf>
    <xf numFmtId="172" fontId="38" fillId="4" borderId="0" xfId="6" applyNumberFormat="1" applyFont="1" applyFill="1" applyAlignment="1">
      <alignment horizontal="right" vertical="center"/>
    </xf>
    <xf numFmtId="0" fontId="60" fillId="4" borderId="0" xfId="6" applyFont="1" applyFill="1"/>
    <xf numFmtId="0" fontId="60" fillId="4" borderId="0" xfId="6" applyFont="1" applyFill="1" applyAlignment="1">
      <alignment horizontal="right"/>
    </xf>
    <xf numFmtId="0" fontId="32" fillId="4" borderId="0" xfId="6" applyFont="1" applyFill="1" applyBorder="1" applyAlignment="1">
      <alignment horizontal="right"/>
    </xf>
    <xf numFmtId="0" fontId="32" fillId="4" borderId="0" xfId="6" applyFill="1" applyBorder="1" applyAlignment="1">
      <alignment horizontal="right"/>
    </xf>
    <xf numFmtId="0" fontId="66" fillId="4" borderId="0" xfId="6" applyFont="1" applyFill="1" applyBorder="1" applyAlignment="1">
      <alignment horizontal="right"/>
    </xf>
    <xf numFmtId="198" fontId="37" fillId="4" borderId="0" xfId="6" applyNumberFormat="1" applyFont="1" applyFill="1" applyBorder="1"/>
    <xf numFmtId="0" fontId="45" fillId="4" borderId="0" xfId="6" applyFont="1" applyFill="1"/>
    <xf numFmtId="0" fontId="37" fillId="4" borderId="0" xfId="6" applyFont="1" applyFill="1" applyAlignment="1">
      <alignment horizontal="right"/>
    </xf>
    <xf numFmtId="198" fontId="32" fillId="4" borderId="0" xfId="6" applyNumberFormat="1" applyFont="1" applyFill="1"/>
    <xf numFmtId="0" fontId="32" fillId="4" borderId="0" xfId="6" applyFont="1" applyFill="1"/>
    <xf numFmtId="0" fontId="32" fillId="4" borderId="0" xfId="6" applyFill="1" applyAlignment="1">
      <alignment horizontal="right"/>
    </xf>
    <xf numFmtId="198" fontId="38" fillId="4" borderId="0" xfId="6" applyNumberFormat="1" applyFont="1" applyFill="1" applyBorder="1"/>
    <xf numFmtId="0" fontId="32" fillId="4" borderId="0" xfId="6" applyFill="1" applyBorder="1"/>
    <xf numFmtId="0" fontId="32" fillId="0" borderId="0" xfId="6" applyFont="1"/>
    <xf numFmtId="198" fontId="56" fillId="4" borderId="0" xfId="6" applyNumberFormat="1" applyFont="1" applyFill="1"/>
    <xf numFmtId="0" fontId="56" fillId="4" borderId="0" xfId="6" applyFont="1" applyFill="1"/>
    <xf numFmtId="198" fontId="37" fillId="4" borderId="0" xfId="6" applyNumberFormat="1" applyFont="1" applyFill="1" applyAlignment="1">
      <alignment vertical="center"/>
    </xf>
    <xf numFmtId="198" fontId="61" fillId="4" borderId="0" xfId="6" applyNumberFormat="1" applyFont="1" applyFill="1" applyAlignment="1">
      <alignment vertical="center"/>
    </xf>
    <xf numFmtId="198" fontId="64" fillId="4" borderId="0" xfId="6" applyNumberFormat="1" applyFont="1" applyFill="1" applyBorder="1" applyAlignment="1">
      <alignment vertical="center"/>
    </xf>
    <xf numFmtId="165" fontId="60" fillId="4" borderId="0" xfId="6" applyNumberFormat="1" applyFont="1" applyFill="1"/>
    <xf numFmtId="172" fontId="60" fillId="4" borderId="0" xfId="6" applyNumberFormat="1" applyFont="1" applyFill="1"/>
    <xf numFmtId="172" fontId="37" fillId="4" borderId="0" xfId="6" applyNumberFormat="1" applyFont="1" applyFill="1"/>
    <xf numFmtId="173" fontId="37" fillId="4" borderId="0" xfId="6" applyNumberFormat="1" applyFont="1" applyFill="1"/>
    <xf numFmtId="165" fontId="37" fillId="4" borderId="0" xfId="6" applyNumberFormat="1" applyFont="1" applyFill="1"/>
    <xf numFmtId="172" fontId="60" fillId="4" borderId="1" xfId="6" quotePrefix="1" applyNumberFormat="1" applyFont="1" applyFill="1" applyBorder="1" applyAlignment="1">
      <alignment horizontal="right"/>
    </xf>
    <xf numFmtId="0" fontId="41" fillId="4" borderId="7" xfId="6" applyFont="1" applyFill="1" applyBorder="1"/>
    <xf numFmtId="165" fontId="63" fillId="4" borderId="7" xfId="6" applyNumberFormat="1" applyFont="1" applyFill="1" applyBorder="1"/>
    <xf numFmtId="172" fontId="63" fillId="4" borderId="7" xfId="6" applyNumberFormat="1" applyFont="1" applyFill="1" applyBorder="1"/>
    <xf numFmtId="173" fontId="38" fillId="4" borderId="7" xfId="6" applyNumberFormat="1" applyFont="1" applyFill="1" applyBorder="1"/>
    <xf numFmtId="0" fontId="41" fillId="4" borderId="9" xfId="6" applyFont="1" applyFill="1" applyBorder="1"/>
    <xf numFmtId="165" fontId="63" fillId="4" borderId="9" xfId="6" applyNumberFormat="1" applyFont="1" applyFill="1" applyBorder="1"/>
    <xf numFmtId="172" fontId="63" fillId="4" borderId="9" xfId="6" applyNumberFormat="1" applyFont="1" applyFill="1" applyBorder="1"/>
    <xf numFmtId="172" fontId="38" fillId="4" borderId="9" xfId="6" applyNumberFormat="1" applyFont="1" applyFill="1" applyBorder="1"/>
    <xf numFmtId="173" fontId="38" fillId="4" borderId="9" xfId="6" applyNumberFormat="1" applyFont="1" applyFill="1" applyBorder="1"/>
    <xf numFmtId="0" fontId="41" fillId="4" borderId="0" xfId="6" applyFont="1" applyFill="1" applyBorder="1"/>
    <xf numFmtId="165" fontId="63" fillId="4" borderId="0" xfId="6" applyNumberFormat="1" applyFont="1" applyFill="1" applyBorder="1"/>
    <xf numFmtId="172" fontId="63" fillId="4" borderId="0" xfId="6" applyNumberFormat="1" applyFont="1" applyFill="1" applyBorder="1"/>
    <xf numFmtId="173" fontId="38" fillId="4" borderId="0" xfId="6" applyNumberFormat="1" applyFont="1" applyFill="1" applyBorder="1"/>
    <xf numFmtId="172" fontId="61" fillId="4" borderId="0" xfId="6" applyNumberFormat="1" applyFont="1" applyFill="1"/>
    <xf numFmtId="165" fontId="60" fillId="4" borderId="1" xfId="6" applyNumberFormat="1" applyFont="1" applyFill="1" applyBorder="1"/>
    <xf numFmtId="172" fontId="60" fillId="4" borderId="1" xfId="6" applyNumberFormat="1" applyFont="1" applyFill="1" applyBorder="1"/>
    <xf numFmtId="173" fontId="37" fillId="4" borderId="1" xfId="6" applyNumberFormat="1" applyFont="1" applyFill="1" applyBorder="1"/>
    <xf numFmtId="165" fontId="63" fillId="4" borderId="0" xfId="6" applyNumberFormat="1" applyFont="1" applyFill="1"/>
    <xf numFmtId="172" fontId="63" fillId="4" borderId="0" xfId="6" applyNumberFormat="1" applyFont="1" applyFill="1"/>
    <xf numFmtId="173" fontId="38" fillId="4" borderId="0" xfId="6" applyNumberFormat="1" applyFont="1" applyFill="1"/>
    <xf numFmtId="165" fontId="63" fillId="4" borderId="0" xfId="6" applyNumberFormat="1" applyFont="1" applyFill="1" applyBorder="1" applyAlignment="1">
      <alignment horizontal="right"/>
    </xf>
    <xf numFmtId="172" fontId="63" fillId="4" borderId="0" xfId="6" applyNumberFormat="1" applyFont="1" applyFill="1" applyBorder="1" applyAlignment="1">
      <alignment horizontal="right"/>
    </xf>
    <xf numFmtId="173" fontId="38" fillId="4" borderId="0" xfId="6" applyNumberFormat="1" applyFont="1" applyFill="1" applyBorder="1" applyAlignment="1">
      <alignment horizontal="right"/>
    </xf>
    <xf numFmtId="0" fontId="41" fillId="4" borderId="0" xfId="6" applyFont="1" applyFill="1" applyAlignment="1"/>
    <xf numFmtId="172" fontId="61" fillId="4" borderId="0" xfId="6" applyNumberFormat="1" applyFont="1" applyFill="1" applyAlignment="1">
      <alignment vertical="center"/>
    </xf>
    <xf numFmtId="198" fontId="37" fillId="4" borderId="7" xfId="6" applyNumberFormat="1" applyFont="1" applyFill="1" applyBorder="1"/>
    <xf numFmtId="0" fontId="62" fillId="4" borderId="0" xfId="6" applyFont="1" applyFill="1"/>
    <xf numFmtId="0" fontId="74" fillId="4" borderId="0" xfId="6" applyFont="1" applyFill="1"/>
    <xf numFmtId="0" fontId="32" fillId="4" borderId="0" xfId="6" applyFont="1" applyFill="1" applyBorder="1"/>
    <xf numFmtId="0" fontId="41" fillId="4" borderId="0" xfId="6" applyFont="1" applyFill="1" applyAlignment="1">
      <alignment horizontal="right"/>
    </xf>
    <xf numFmtId="3" fontId="60" fillId="4" borderId="0" xfId="6" applyNumberFormat="1" applyFont="1" applyFill="1"/>
    <xf numFmtId="1" fontId="60" fillId="4" borderId="0" xfId="6" applyNumberFormat="1" applyFont="1" applyFill="1"/>
    <xf numFmtId="3" fontId="63" fillId="4" borderId="0" xfId="6" applyNumberFormat="1" applyFont="1" applyFill="1"/>
    <xf numFmtId="172" fontId="63" fillId="0" borderId="0" xfId="6" applyNumberFormat="1" applyFont="1" applyFill="1"/>
    <xf numFmtId="173" fontId="38" fillId="0" borderId="0" xfId="6" applyNumberFormat="1" applyFont="1" applyFill="1"/>
    <xf numFmtId="0" fontId="63" fillId="4" borderId="0" xfId="6" applyFont="1" applyFill="1"/>
    <xf numFmtId="172" fontId="59" fillId="4" borderId="0" xfId="6" applyNumberFormat="1" applyFont="1" applyFill="1"/>
    <xf numFmtId="165" fontId="59" fillId="4" borderId="0" xfId="6" applyNumberFormat="1" applyFont="1" applyFill="1" applyBorder="1"/>
    <xf numFmtId="172" fontId="64" fillId="4" borderId="0" xfId="6" applyNumberFormat="1" applyFont="1" applyFill="1" applyAlignment="1">
      <alignment horizontal="right"/>
    </xf>
    <xf numFmtId="0" fontId="59" fillId="4" borderId="0" xfId="6" applyFont="1" applyFill="1"/>
    <xf numFmtId="10" fontId="0" fillId="0" borderId="0" xfId="1" applyNumberFormat="1" applyFont="1"/>
    <xf numFmtId="191" fontId="0" fillId="0" borderId="0" xfId="2" applyFont="1" applyAlignment="1">
      <alignment horizontal="right"/>
    </xf>
    <xf numFmtId="191" fontId="0" fillId="8" borderId="0" xfId="0" applyNumberFormat="1" applyFont="1" applyFill="1" applyBorder="1" applyAlignment="1">
      <alignment vertical="center"/>
    </xf>
    <xf numFmtId="9" fontId="0" fillId="6" borderId="1" xfId="0" applyNumberFormat="1" applyFill="1" applyBorder="1" applyAlignment="1">
      <alignment vertical="center"/>
    </xf>
    <xf numFmtId="0" fontId="110" fillId="0" borderId="0" xfId="0" applyFont="1"/>
    <xf numFmtId="0" fontId="29" fillId="0" borderId="0" xfId="0" applyFont="1"/>
    <xf numFmtId="191" fontId="95" fillId="6" borderId="32" xfId="4" applyNumberFormat="1" applyFont="1" applyFill="1" applyBorder="1" applyAlignment="1">
      <alignment horizontal="right" vertical="center"/>
    </xf>
    <xf numFmtId="0" fontId="21" fillId="0" borderId="0" xfId="0" applyFont="1" applyAlignment="1">
      <alignment horizontal="center" vertical="center"/>
    </xf>
    <xf numFmtId="0" fontId="69" fillId="0" borderId="0" xfId="4" applyNumberFormat="1" applyBorder="1" applyAlignment="1">
      <alignment vertical="center"/>
    </xf>
    <xf numFmtId="191" fontId="69" fillId="15" borderId="29" xfId="2" applyFont="1" applyFill="1" applyBorder="1" applyAlignment="1">
      <alignment vertical="center"/>
    </xf>
    <xf numFmtId="191" fontId="0" fillId="15" borderId="29" xfId="2" applyFont="1" applyFill="1" applyBorder="1" applyAlignment="1">
      <alignment vertical="center"/>
    </xf>
    <xf numFmtId="0" fontId="69" fillId="0" borderId="30" xfId="4" applyNumberFormat="1" applyBorder="1" applyAlignment="1">
      <alignment vertical="center"/>
    </xf>
    <xf numFmtId="0" fontId="69" fillId="0" borderId="0" xfId="4" applyNumberFormat="1" applyAlignment="1">
      <alignment vertical="center"/>
    </xf>
    <xf numFmtId="191" fontId="69" fillId="15" borderId="33" xfId="2" applyFont="1" applyFill="1" applyBorder="1" applyAlignment="1">
      <alignment vertical="center"/>
    </xf>
    <xf numFmtId="191" fontId="0" fillId="15" borderId="33" xfId="2" applyFont="1" applyFill="1" applyBorder="1" applyAlignment="1">
      <alignment vertical="center"/>
    </xf>
    <xf numFmtId="191" fontId="21" fillId="15" borderId="48" xfId="2" applyFont="1" applyFill="1" applyBorder="1" applyAlignment="1">
      <alignment vertical="center"/>
    </xf>
    <xf numFmtId="0" fontId="95" fillId="0" borderId="0" xfId="4" applyNumberFormat="1" applyFont="1" applyAlignment="1">
      <alignment vertical="center"/>
    </xf>
    <xf numFmtId="0" fontId="102" fillId="0" borderId="0" xfId="4" applyNumberFormat="1" applyFont="1" applyAlignment="1">
      <alignment vertical="center"/>
    </xf>
    <xf numFmtId="191" fontId="95" fillId="15" borderId="29" xfId="2" applyFont="1" applyFill="1" applyBorder="1" applyAlignment="1">
      <alignment vertical="center"/>
    </xf>
    <xf numFmtId="0" fontId="95" fillId="0" borderId="39" xfId="4" applyNumberFormat="1" applyFont="1" applyBorder="1" applyAlignment="1">
      <alignment vertical="center"/>
    </xf>
    <xf numFmtId="0" fontId="29" fillId="0" borderId="0" xfId="4" applyNumberFormat="1" applyFont="1" applyAlignment="1">
      <alignment vertical="center"/>
    </xf>
    <xf numFmtId="191" fontId="15" fillId="15" borderId="49" xfId="2" applyFont="1" applyFill="1" applyBorder="1" applyAlignment="1">
      <alignment vertical="center"/>
    </xf>
    <xf numFmtId="0" fontId="0" fillId="15" borderId="31" xfId="0" applyFill="1" applyBorder="1" applyAlignment="1">
      <alignment vertical="center"/>
    </xf>
    <xf numFmtId="0" fontId="112" fillId="0" borderId="0" xfId="0" applyFont="1" applyAlignment="1">
      <alignment vertical="center"/>
    </xf>
    <xf numFmtId="11" fontId="0" fillId="6" borderId="0" xfId="2" applyNumberFormat="1" applyFont="1" applyFill="1" applyBorder="1" applyAlignment="1">
      <alignment vertical="center"/>
    </xf>
    <xf numFmtId="0" fontId="0" fillId="6" borderId="14" xfId="0" applyNumberFormat="1" applyFill="1" applyBorder="1" applyAlignment="1">
      <alignment vertical="center"/>
    </xf>
    <xf numFmtId="0" fontId="95" fillId="0" borderId="39" xfId="4" applyNumberFormat="1" applyFont="1" applyFill="1" applyBorder="1" applyAlignment="1">
      <alignment horizontal="right" vertical="center"/>
    </xf>
    <xf numFmtId="0" fontId="95" fillId="0" borderId="39" xfId="4" applyNumberFormat="1" applyFont="1" applyFill="1" applyBorder="1" applyAlignment="1">
      <alignment vertical="center"/>
    </xf>
    <xf numFmtId="191" fontId="95" fillId="0" borderId="39" xfId="4" applyNumberFormat="1" applyFont="1" applyFill="1" applyBorder="1" applyAlignment="1">
      <alignment vertical="center"/>
    </xf>
    <xf numFmtId="191" fontId="95" fillId="0" borderId="39" xfId="4" applyNumberFormat="1" applyFont="1" applyBorder="1" applyAlignment="1">
      <alignment vertical="center"/>
    </xf>
    <xf numFmtId="191" fontId="95" fillId="15" borderId="32" xfId="4" applyNumberFormat="1" applyFont="1" applyFill="1" applyBorder="1" applyAlignment="1">
      <alignment vertical="center"/>
    </xf>
    <xf numFmtId="0" fontId="0" fillId="6" borderId="0" xfId="0" applyFont="1" applyFill="1" applyBorder="1"/>
    <xf numFmtId="0" fontId="21" fillId="0" borderId="16" xfId="0" applyFont="1" applyFill="1" applyBorder="1" applyAlignment="1">
      <alignment horizontal="center" vertical="center"/>
    </xf>
    <xf numFmtId="0" fontId="0" fillId="0" borderId="1" xfId="0" applyBorder="1"/>
    <xf numFmtId="0" fontId="26" fillId="0" borderId="0" xfId="0" applyFont="1" applyAlignment="1">
      <alignment horizontal="right"/>
    </xf>
    <xf numFmtId="0" fontId="0" fillId="0" borderId="0" xfId="0" applyFont="1" applyAlignment="1">
      <alignment horizontal="right"/>
    </xf>
    <xf numFmtId="0" fontId="0" fillId="0" borderId="0" xfId="0" applyFill="1"/>
    <xf numFmtId="0" fontId="0" fillId="0" borderId="0" xfId="0" applyFont="1" applyBorder="1"/>
    <xf numFmtId="0" fontId="0" fillId="0" borderId="0" xfId="0" applyBorder="1" applyAlignment="1">
      <alignment horizontal="left" vertical="center" wrapText="1"/>
    </xf>
    <xf numFmtId="191" fontId="69" fillId="15" borderId="29" xfId="4" applyNumberFormat="1" applyFill="1" applyBorder="1" applyAlignment="1">
      <alignment vertical="center"/>
    </xf>
    <xf numFmtId="191" fontId="69" fillId="0" borderId="0" xfId="4" applyNumberFormat="1" applyAlignment="1">
      <alignment vertical="center"/>
    </xf>
    <xf numFmtId="191" fontId="101" fillId="6" borderId="29" xfId="4" applyNumberFormat="1" applyFont="1" applyFill="1" applyBorder="1" applyAlignment="1">
      <alignment horizontal="right" vertical="center"/>
    </xf>
    <xf numFmtId="191" fontId="101" fillId="6" borderId="29" xfId="4" applyNumberFormat="1" applyFont="1" applyFill="1" applyBorder="1" applyAlignment="1">
      <alignment horizontal="right" vertical="center" wrapText="1"/>
    </xf>
    <xf numFmtId="191" fontId="101" fillId="2" borderId="29" xfId="4" applyNumberFormat="1" applyFont="1" applyFill="1" applyBorder="1" applyAlignment="1">
      <alignment vertical="center"/>
    </xf>
    <xf numFmtId="191" fontId="101" fillId="8" borderId="29" xfId="4" applyNumberFormat="1" applyFont="1" applyFill="1" applyBorder="1" applyAlignment="1">
      <alignment vertical="center"/>
    </xf>
    <xf numFmtId="191" fontId="101" fillId="7" borderId="29" xfId="4" applyNumberFormat="1" applyFont="1" applyFill="1" applyBorder="1" applyAlignment="1">
      <alignment vertical="center"/>
    </xf>
    <xf numFmtId="191" fontId="0" fillId="0" borderId="0" xfId="2" applyFont="1" applyBorder="1" applyAlignment="1">
      <alignment vertical="center"/>
    </xf>
    <xf numFmtId="199" fontId="21" fillId="6" borderId="0" xfId="1" applyFont="1" applyFill="1" applyBorder="1" applyAlignment="1">
      <alignment vertical="center"/>
    </xf>
    <xf numFmtId="199" fontId="21" fillId="6" borderId="0" xfId="1" applyFont="1" applyFill="1" applyBorder="1" applyAlignment="1">
      <alignment horizontal="right" vertical="center"/>
    </xf>
    <xf numFmtId="0" fontId="0" fillId="6" borderId="17" xfId="0" applyNumberFormat="1" applyFill="1" applyBorder="1" applyAlignment="1">
      <alignment horizontal="right" vertical="center"/>
    </xf>
    <xf numFmtId="0" fontId="114" fillId="6" borderId="46" xfId="4" applyNumberFormat="1" applyFont="1" applyFill="1" applyBorder="1"/>
    <xf numFmtId="199" fontId="10" fillId="0" borderId="0" xfId="1" applyFont="1" applyAlignment="1">
      <alignment horizontal="right"/>
    </xf>
    <xf numFmtId="0" fontId="0" fillId="6" borderId="0" xfId="0" applyNumberFormat="1" applyFill="1" applyBorder="1" applyAlignment="1">
      <alignment horizontal="left" vertical="center"/>
    </xf>
    <xf numFmtId="0" fontId="17" fillId="0" borderId="0" xfId="0" applyFont="1" applyAlignment="1">
      <alignment horizontal="right"/>
    </xf>
    <xf numFmtId="192" fontId="18" fillId="0" borderId="0" xfId="2" applyNumberFormat="1" applyFont="1" applyAlignment="1">
      <alignment horizontal="right"/>
    </xf>
    <xf numFmtId="0" fontId="0" fillId="0" borderId="0" xfId="0" applyFont="1" applyAlignment="1">
      <alignment horizontal="left"/>
    </xf>
    <xf numFmtId="0" fontId="0" fillId="0" borderId="0" xfId="0" quotePrefix="1" applyFont="1" applyAlignment="1">
      <alignment horizontal="right"/>
    </xf>
    <xf numFmtId="190" fontId="115" fillId="6" borderId="0" xfId="1" applyNumberFormat="1" applyFont="1" applyFill="1" applyBorder="1" applyAlignment="1">
      <alignment vertical="center"/>
    </xf>
    <xf numFmtId="191" fontId="69" fillId="0" borderId="0" xfId="2" applyFont="1"/>
    <xf numFmtId="194" fontId="69" fillId="0" borderId="0" xfId="2" applyNumberFormat="1" applyFont="1"/>
    <xf numFmtId="0" fontId="115" fillId="0" borderId="0" xfId="0" applyFont="1"/>
    <xf numFmtId="192" fontId="115" fillId="6" borderId="0" xfId="2" applyNumberFormat="1" applyFont="1" applyFill="1" applyBorder="1" applyAlignment="1">
      <alignment vertical="center"/>
    </xf>
    <xf numFmtId="192" fontId="115" fillId="6" borderId="17" xfId="2" applyNumberFormat="1" applyFont="1" applyFill="1" applyBorder="1" applyAlignment="1">
      <alignment vertical="center"/>
    </xf>
    <xf numFmtId="190" fontId="115" fillId="6" borderId="17" xfId="1" applyNumberFormat="1" applyFont="1" applyFill="1" applyBorder="1" applyAlignment="1">
      <alignment vertical="center"/>
    </xf>
    <xf numFmtId="191" fontId="116" fillId="6" borderId="0" xfId="2" applyFont="1" applyFill="1" applyBorder="1" applyAlignment="1">
      <alignment vertical="center"/>
    </xf>
    <xf numFmtId="10" fontId="69" fillId="0" borderId="0" xfId="4" applyNumberFormat="1"/>
    <xf numFmtId="0" fontId="117" fillId="0" borderId="0" xfId="4" applyNumberFormat="1" applyFont="1"/>
    <xf numFmtId="194" fontId="0" fillId="0" borderId="0" xfId="2" applyNumberFormat="1" applyFont="1"/>
    <xf numFmtId="10" fontId="69" fillId="0" borderId="0" xfId="1" applyNumberFormat="1" applyFont="1"/>
    <xf numFmtId="190" fontId="17" fillId="0" borderId="0" xfId="1" applyNumberFormat="1" applyFont="1"/>
    <xf numFmtId="193" fontId="116" fillId="6" borderId="0" xfId="2" applyNumberFormat="1" applyFont="1" applyFill="1" applyBorder="1" applyAlignment="1">
      <alignment vertical="center"/>
    </xf>
    <xf numFmtId="193" fontId="116" fillId="6" borderId="0" xfId="2" applyNumberFormat="1" applyFont="1" applyFill="1" applyBorder="1" applyAlignment="1">
      <alignment horizontal="right" vertical="center"/>
    </xf>
    <xf numFmtId="193" fontId="116" fillId="6" borderId="17" xfId="2" applyNumberFormat="1" applyFont="1" applyFill="1" applyBorder="1" applyAlignment="1">
      <alignment horizontal="right" vertical="center"/>
    </xf>
    <xf numFmtId="191" fontId="116" fillId="6" borderId="19" xfId="2" applyFont="1" applyFill="1" applyBorder="1" applyAlignment="1">
      <alignment vertical="center"/>
    </xf>
    <xf numFmtId="191" fontId="116" fillId="6" borderId="19" xfId="2" applyFont="1" applyFill="1" applyBorder="1" applyAlignment="1">
      <alignment horizontal="right" vertical="center"/>
    </xf>
    <xf numFmtId="191" fontId="116" fillId="6" borderId="0" xfId="2" applyFont="1" applyFill="1" applyBorder="1" applyAlignment="1">
      <alignment horizontal="right" vertical="center"/>
    </xf>
    <xf numFmtId="191" fontId="116" fillId="6" borderId="17" xfId="2" applyFont="1" applyFill="1" applyBorder="1" applyAlignment="1">
      <alignment horizontal="right" vertical="center"/>
    </xf>
    <xf numFmtId="191" fontId="116" fillId="6" borderId="20" xfId="2" applyFont="1" applyFill="1" applyBorder="1" applyAlignment="1">
      <alignment horizontal="right" vertical="center"/>
    </xf>
    <xf numFmtId="9" fontId="0" fillId="6" borderId="14" xfId="0" applyNumberFormat="1" applyFill="1" applyBorder="1" applyAlignment="1">
      <alignment vertical="center"/>
    </xf>
    <xf numFmtId="0" fontId="0" fillId="6" borderId="15" xfId="0" applyFill="1" applyBorder="1" applyAlignment="1">
      <alignment vertical="center"/>
    </xf>
    <xf numFmtId="9" fontId="0" fillId="6" borderId="15" xfId="0" applyNumberFormat="1" applyFill="1" applyBorder="1" applyAlignment="1">
      <alignment vertical="center"/>
    </xf>
    <xf numFmtId="0" fontId="21" fillId="6" borderId="0" xfId="0" applyFont="1" applyFill="1" applyBorder="1" applyAlignment="1">
      <alignment horizontal="left"/>
    </xf>
    <xf numFmtId="9" fontId="115" fillId="6" borderId="0" xfId="1" applyNumberFormat="1" applyFont="1" applyFill="1" applyBorder="1" applyAlignment="1">
      <alignment vertical="center"/>
    </xf>
    <xf numFmtId="199" fontId="115" fillId="6" borderId="0" xfId="1" applyFont="1" applyFill="1" applyBorder="1" applyAlignment="1">
      <alignment horizontal="right" vertical="center"/>
    </xf>
    <xf numFmtId="190" fontId="29" fillId="6" borderId="19" xfId="1" applyNumberFormat="1" applyFont="1" applyFill="1" applyBorder="1" applyAlignment="1">
      <alignment vertical="center"/>
    </xf>
    <xf numFmtId="190" fontId="29" fillId="6" borderId="0" xfId="1" applyNumberFormat="1" applyFont="1" applyFill="1" applyBorder="1" applyAlignment="1">
      <alignment vertical="center"/>
    </xf>
    <xf numFmtId="0" fontId="21" fillId="6" borderId="0" xfId="0" applyNumberFormat="1" applyFont="1" applyFill="1" applyBorder="1" applyAlignment="1">
      <alignment horizontal="left" vertical="center"/>
    </xf>
    <xf numFmtId="199" fontId="21" fillId="6" borderId="0" xfId="1" applyFont="1" applyFill="1" applyBorder="1" applyAlignment="1">
      <alignment horizontal="left" vertical="center"/>
    </xf>
    <xf numFmtId="192" fontId="29" fillId="6" borderId="19" xfId="2" applyNumberFormat="1" applyFont="1" applyFill="1" applyBorder="1" applyAlignment="1">
      <alignment vertical="center"/>
    </xf>
    <xf numFmtId="192" fontId="29" fillId="6" borderId="0" xfId="2" applyNumberFormat="1" applyFont="1" applyFill="1" applyBorder="1" applyAlignment="1">
      <alignment vertical="center"/>
    </xf>
    <xf numFmtId="199" fontId="29" fillId="6" borderId="14" xfId="1" applyFont="1" applyFill="1" applyBorder="1" applyAlignment="1">
      <alignment vertical="center"/>
    </xf>
    <xf numFmtId="199" fontId="29" fillId="6" borderId="0" xfId="1" applyFont="1" applyFill="1" applyBorder="1" applyAlignment="1">
      <alignment vertical="center"/>
    </xf>
    <xf numFmtId="199" fontId="29" fillId="6" borderId="15" xfId="1" applyFont="1" applyFill="1" applyBorder="1" applyAlignment="1">
      <alignment vertical="center"/>
    </xf>
    <xf numFmtId="199" fontId="29" fillId="6" borderId="21" xfId="1" applyFont="1" applyFill="1" applyBorder="1" applyAlignment="1">
      <alignment vertical="center"/>
    </xf>
    <xf numFmtId="199" fontId="29" fillId="6" borderId="28" xfId="1" applyFont="1" applyFill="1" applyBorder="1" applyAlignment="1">
      <alignment vertical="center"/>
    </xf>
    <xf numFmtId="199" fontId="29" fillId="6" borderId="19" xfId="1" applyFont="1" applyFill="1" applyBorder="1" applyAlignment="1">
      <alignment vertical="center"/>
    </xf>
    <xf numFmtId="199" fontId="29" fillId="6" borderId="24" xfId="1" applyFont="1" applyFill="1" applyBorder="1" applyAlignment="1">
      <alignment vertical="center"/>
    </xf>
    <xf numFmtId="199" fontId="29" fillId="6" borderId="22" xfId="1" applyFont="1" applyFill="1" applyBorder="1" applyAlignment="1">
      <alignment vertical="center"/>
    </xf>
    <xf numFmtId="0" fontId="118" fillId="0" borderId="0" xfId="4" applyNumberFormat="1" applyFont="1"/>
    <xf numFmtId="0" fontId="119" fillId="6" borderId="46" xfId="0" applyFont="1" applyFill="1" applyBorder="1"/>
    <xf numFmtId="190" fontId="29" fillId="6" borderId="17" xfId="1" applyNumberFormat="1" applyFont="1" applyFill="1" applyBorder="1" applyAlignment="1">
      <alignment vertical="center"/>
    </xf>
    <xf numFmtId="190" fontId="29" fillId="6" borderId="0" xfId="1" applyNumberFormat="1" applyFont="1" applyFill="1" applyBorder="1"/>
    <xf numFmtId="190" fontId="29" fillId="6" borderId="19" xfId="1" applyNumberFormat="1" applyFont="1" applyFill="1" applyBorder="1" applyAlignment="1">
      <alignment horizontal="right" vertical="center"/>
    </xf>
    <xf numFmtId="190" fontId="29" fillId="6" borderId="0" xfId="1" applyNumberFormat="1" applyFont="1" applyFill="1" applyBorder="1" applyAlignment="1">
      <alignment horizontal="right" vertical="center"/>
    </xf>
    <xf numFmtId="190" fontId="29" fillId="6" borderId="20" xfId="1" applyNumberFormat="1" applyFont="1" applyFill="1" applyBorder="1" applyAlignment="1">
      <alignment horizontal="right" vertical="center"/>
    </xf>
    <xf numFmtId="190" fontId="29" fillId="6" borderId="17" xfId="1" applyNumberFormat="1" applyFont="1" applyFill="1" applyBorder="1" applyAlignment="1">
      <alignment horizontal="right" vertical="center"/>
    </xf>
    <xf numFmtId="194" fontId="29" fillId="6" borderId="14" xfId="2" applyNumberFormat="1" applyFont="1" applyFill="1" applyBorder="1" applyAlignment="1">
      <alignment vertical="center"/>
    </xf>
    <xf numFmtId="194" fontId="29" fillId="6" borderId="0" xfId="2" applyNumberFormat="1" applyFont="1" applyFill="1" applyBorder="1" applyAlignment="1">
      <alignment vertical="center"/>
    </xf>
    <xf numFmtId="194" fontId="29" fillId="6" borderId="21" xfId="2" applyNumberFormat="1" applyFont="1" applyFill="1" applyBorder="1" applyAlignment="1">
      <alignment vertical="center"/>
    </xf>
    <xf numFmtId="194" fontId="29" fillId="6" borderId="28" xfId="2" applyNumberFormat="1" applyFont="1" applyFill="1" applyBorder="1" applyAlignment="1">
      <alignment vertical="center"/>
    </xf>
    <xf numFmtId="194" fontId="29" fillId="6" borderId="19" xfId="2" applyNumberFormat="1" applyFont="1" applyFill="1" applyBorder="1" applyAlignment="1">
      <alignment vertical="center"/>
    </xf>
    <xf numFmtId="194" fontId="29" fillId="6" borderId="22" xfId="2" applyNumberFormat="1" applyFont="1" applyFill="1" applyBorder="1" applyAlignment="1">
      <alignment vertical="center"/>
    </xf>
    <xf numFmtId="191" fontId="18" fillId="0" borderId="0" xfId="2" applyFont="1" applyAlignment="1">
      <alignment horizontal="left"/>
    </xf>
    <xf numFmtId="191" fontId="117" fillId="0" borderId="0" xfId="2" applyFont="1"/>
    <xf numFmtId="192" fontId="69" fillId="0" borderId="0" xfId="2" applyNumberFormat="1" applyFont="1"/>
    <xf numFmtId="191" fontId="29" fillId="6" borderId="21" xfId="2" applyNumberFormat="1" applyFont="1" applyFill="1" applyBorder="1" applyAlignment="1">
      <alignment vertical="center"/>
    </xf>
    <xf numFmtId="191" fontId="29" fillId="6" borderId="22" xfId="2" applyNumberFormat="1" applyFont="1" applyFill="1" applyBorder="1" applyAlignment="1">
      <alignment vertical="center"/>
    </xf>
    <xf numFmtId="192" fontId="0" fillId="0" borderId="0" xfId="2" applyNumberFormat="1" applyFont="1"/>
    <xf numFmtId="0" fontId="0" fillId="0" borderId="0" xfId="0" applyFont="1" applyBorder="1" applyAlignment="1">
      <alignment horizontal="left" vertical="center" wrapText="1"/>
    </xf>
    <xf numFmtId="192" fontId="0" fillId="6" borderId="17" xfId="2" applyNumberFormat="1" applyFont="1" applyFill="1" applyBorder="1" applyAlignment="1">
      <alignment vertical="center"/>
    </xf>
    <xf numFmtId="192" fontId="0" fillId="6" borderId="1" xfId="2" applyNumberFormat="1" applyFont="1" applyFill="1" applyBorder="1" applyAlignment="1">
      <alignment vertical="center"/>
    </xf>
    <xf numFmtId="192" fontId="0" fillId="6" borderId="0" xfId="2" applyNumberFormat="1" applyFont="1" applyFill="1" applyBorder="1"/>
    <xf numFmtId="192" fontId="0" fillId="6" borderId="1" xfId="2" applyNumberFormat="1" applyFont="1" applyFill="1" applyBorder="1"/>
    <xf numFmtId="191" fontId="120" fillId="0" borderId="0" xfId="2" applyFont="1" applyAlignment="1">
      <alignment horizontal="right"/>
    </xf>
    <xf numFmtId="0" fontId="0" fillId="6" borderId="52" xfId="0" applyFill="1" applyBorder="1"/>
    <xf numFmtId="0" fontId="0" fillId="6" borderId="51" xfId="0" applyFill="1" applyBorder="1"/>
    <xf numFmtId="194" fontId="0" fillId="6" borderId="0" xfId="2" applyNumberFormat="1" applyFont="1" applyFill="1" applyBorder="1" applyAlignment="1">
      <alignment horizontal="right" vertical="center"/>
    </xf>
    <xf numFmtId="194" fontId="0" fillId="6" borderId="19" xfId="2" applyNumberFormat="1" applyFont="1" applyFill="1" applyBorder="1" applyAlignment="1">
      <alignment horizontal="right" vertical="center"/>
    </xf>
    <xf numFmtId="194" fontId="0" fillId="6" borderId="17" xfId="2" applyNumberFormat="1" applyFont="1" applyFill="1" applyBorder="1" applyAlignment="1">
      <alignment horizontal="right" vertical="center"/>
    </xf>
    <xf numFmtId="194" fontId="0" fillId="6" borderId="20" xfId="2" applyNumberFormat="1" applyFont="1" applyFill="1" applyBorder="1" applyAlignment="1">
      <alignment horizontal="right" vertical="center"/>
    </xf>
    <xf numFmtId="199" fontId="121" fillId="6" borderId="0" xfId="1" applyFont="1" applyFill="1" applyBorder="1" applyAlignment="1">
      <alignment vertical="center"/>
    </xf>
    <xf numFmtId="199" fontId="29" fillId="6" borderId="1" xfId="1" applyFont="1" applyFill="1" applyBorder="1" applyAlignment="1">
      <alignment vertical="center"/>
    </xf>
    <xf numFmtId="0" fontId="0" fillId="2" borderId="0" xfId="0" applyFill="1" applyBorder="1" applyAlignment="1">
      <alignment vertical="center"/>
    </xf>
    <xf numFmtId="199" fontId="121" fillId="6" borderId="19" xfId="1" applyFont="1" applyFill="1" applyBorder="1" applyAlignment="1">
      <alignment vertical="center"/>
    </xf>
    <xf numFmtId="200" fontId="21" fillId="0" borderId="0" xfId="1" applyNumberFormat="1" applyFont="1"/>
    <xf numFmtId="191" fontId="29" fillId="6" borderId="0" xfId="2" applyFont="1" applyFill="1" applyBorder="1" applyAlignment="1">
      <alignment horizontal="right" vertical="center"/>
    </xf>
    <xf numFmtId="0" fontId="21" fillId="0" borderId="0" xfId="0" applyFont="1" applyBorder="1" applyAlignment="1">
      <alignment vertical="center"/>
    </xf>
    <xf numFmtId="0" fontId="0" fillId="8" borderId="50" xfId="0" applyFill="1" applyBorder="1" applyAlignment="1">
      <alignment horizontal="left" vertical="center"/>
    </xf>
    <xf numFmtId="0" fontId="0" fillId="8" borderId="50" xfId="0" applyFill="1" applyBorder="1" applyAlignment="1">
      <alignment horizontal="right" vertical="center"/>
    </xf>
    <xf numFmtId="0" fontId="18" fillId="8" borderId="50" xfId="0" applyFont="1" applyFill="1" applyBorder="1" applyAlignment="1">
      <alignment vertical="center"/>
    </xf>
    <xf numFmtId="0" fontId="21" fillId="8" borderId="14" xfId="0" applyFont="1" applyFill="1" applyBorder="1" applyAlignment="1">
      <alignment vertical="center"/>
    </xf>
    <xf numFmtId="191" fontId="21" fillId="8" borderId="14" xfId="2" applyFont="1" applyFill="1" applyBorder="1" applyAlignment="1">
      <alignment vertical="center"/>
    </xf>
    <xf numFmtId="0" fontId="21" fillId="8" borderId="0" xfId="0" applyFont="1" applyFill="1" applyBorder="1" applyAlignment="1">
      <alignment vertical="center"/>
    </xf>
    <xf numFmtId="191" fontId="21" fillId="8" borderId="0" xfId="2" applyFont="1" applyFill="1" applyBorder="1" applyAlignment="1">
      <alignment vertical="center"/>
    </xf>
    <xf numFmtId="0" fontId="0" fillId="8" borderId="54" xfId="0" applyFill="1" applyBorder="1"/>
    <xf numFmtId="0" fontId="0" fillId="8" borderId="54" xfId="0" applyFill="1" applyBorder="1" applyAlignment="1">
      <alignment vertical="center"/>
    </xf>
    <xf numFmtId="0" fontId="69" fillId="8" borderId="46" xfId="4" applyNumberFormat="1" applyFill="1" applyBorder="1"/>
    <xf numFmtId="0" fontId="69" fillId="8" borderId="0" xfId="4" applyNumberFormat="1" applyFill="1" applyBorder="1"/>
    <xf numFmtId="191" fontId="69" fillId="8" borderId="0" xfId="4" applyNumberFormat="1" applyFill="1" applyBorder="1"/>
    <xf numFmtId="191" fontId="69" fillId="8" borderId="47" xfId="4" applyNumberFormat="1" applyFill="1" applyBorder="1"/>
    <xf numFmtId="191" fontId="0" fillId="8" borderId="0" xfId="2" applyFont="1" applyFill="1" applyBorder="1"/>
    <xf numFmtId="191" fontId="0" fillId="8" borderId="47" xfId="2" applyFont="1" applyFill="1" applyBorder="1"/>
    <xf numFmtId="0" fontId="112" fillId="8" borderId="46" xfId="0" applyFont="1" applyFill="1" applyBorder="1" applyAlignment="1">
      <alignment vertical="center"/>
    </xf>
    <xf numFmtId="191" fontId="21" fillId="8" borderId="47" xfId="2" applyFont="1" applyFill="1" applyBorder="1" applyAlignment="1">
      <alignment vertical="center"/>
    </xf>
    <xf numFmtId="0" fontId="21" fillId="8" borderId="46" xfId="0" applyFont="1" applyFill="1" applyBorder="1"/>
    <xf numFmtId="191" fontId="21" fillId="8" borderId="0" xfId="2" applyFont="1" applyFill="1" applyBorder="1"/>
    <xf numFmtId="191" fontId="21" fillId="8" borderId="47" xfId="2" applyFont="1" applyFill="1" applyBorder="1"/>
    <xf numFmtId="0" fontId="26" fillId="8" borderId="46" xfId="0" applyFont="1" applyFill="1" applyBorder="1"/>
    <xf numFmtId="0" fontId="26" fillId="8" borderId="0" xfId="0" applyFont="1" applyFill="1" applyBorder="1"/>
    <xf numFmtId="191" fontId="26" fillId="8" borderId="0" xfId="2" applyFont="1" applyFill="1" applyBorder="1"/>
    <xf numFmtId="191" fontId="26" fillId="8" borderId="47" xfId="2" applyFont="1" applyFill="1" applyBorder="1"/>
    <xf numFmtId="0" fontId="93" fillId="8" borderId="46" xfId="0" applyFont="1" applyFill="1" applyBorder="1" applyAlignment="1">
      <alignment vertical="center"/>
    </xf>
    <xf numFmtId="191" fontId="0" fillId="8" borderId="47" xfId="2" applyFont="1" applyFill="1" applyBorder="1" applyAlignment="1">
      <alignment vertical="center"/>
    </xf>
    <xf numFmtId="0" fontId="112" fillId="8" borderId="44" xfId="0" applyFont="1" applyFill="1" applyBorder="1" applyAlignment="1">
      <alignment vertical="center"/>
    </xf>
    <xf numFmtId="0" fontId="21" fillId="8" borderId="30" xfId="0" applyFont="1" applyFill="1" applyBorder="1" applyAlignment="1">
      <alignment vertical="center"/>
    </xf>
    <xf numFmtId="191" fontId="21" fillId="8" borderId="30" xfId="2" applyFont="1" applyFill="1" applyBorder="1" applyAlignment="1">
      <alignment vertical="center"/>
    </xf>
    <xf numFmtId="191" fontId="21" fillId="8" borderId="45" xfId="2" applyFont="1" applyFill="1" applyBorder="1" applyAlignment="1">
      <alignment vertical="center"/>
    </xf>
    <xf numFmtId="0" fontId="78" fillId="8" borderId="0" xfId="4" applyNumberFormat="1" applyFont="1" applyFill="1" applyBorder="1"/>
    <xf numFmtId="0" fontId="17" fillId="8" borderId="0" xfId="0" applyFont="1" applyFill="1" applyBorder="1"/>
    <xf numFmtId="0" fontId="123" fillId="8" borderId="0" xfId="0" applyFont="1" applyFill="1" applyBorder="1" applyAlignment="1">
      <alignment vertical="center"/>
    </xf>
    <xf numFmtId="0" fontId="123" fillId="8" borderId="0" xfId="0" applyFont="1" applyFill="1" applyBorder="1"/>
    <xf numFmtId="0" fontId="111" fillId="8" borderId="0" xfId="0" applyFont="1" applyFill="1" applyBorder="1"/>
    <xf numFmtId="0" fontId="69" fillId="8" borderId="0" xfId="4" applyNumberFormat="1" applyFont="1" applyFill="1" applyBorder="1"/>
    <xf numFmtId="0" fontId="14" fillId="18" borderId="40" xfId="0" applyFont="1" applyFill="1" applyBorder="1" applyAlignment="1">
      <alignment horizontal="left" vertical="center" indent="1"/>
    </xf>
    <xf numFmtId="0" fontId="0" fillId="18" borderId="39" xfId="0" applyFill="1" applyBorder="1"/>
    <xf numFmtId="191" fontId="0" fillId="18" borderId="39" xfId="2" applyFont="1" applyFill="1" applyBorder="1"/>
    <xf numFmtId="191" fontId="0" fillId="18" borderId="41" xfId="2" applyFont="1" applyFill="1" applyBorder="1"/>
    <xf numFmtId="0" fontId="0" fillId="2" borderId="42" xfId="0" applyFill="1" applyBorder="1"/>
    <xf numFmtId="0" fontId="0" fillId="2" borderId="36" xfId="0" applyFill="1" applyBorder="1"/>
    <xf numFmtId="191" fontId="0" fillId="2" borderId="36" xfId="2" applyFont="1" applyFill="1" applyBorder="1"/>
    <xf numFmtId="191" fontId="0" fillId="2" borderId="43" xfId="2" applyFont="1" applyFill="1" applyBorder="1"/>
    <xf numFmtId="0" fontId="0" fillId="2" borderId="46" xfId="0" applyFill="1" applyBorder="1"/>
    <xf numFmtId="0" fontId="0" fillId="2" borderId="0" xfId="0" applyFill="1" applyBorder="1"/>
    <xf numFmtId="191" fontId="69" fillId="2" borderId="0" xfId="4" applyNumberFormat="1" applyFill="1" applyBorder="1"/>
    <xf numFmtId="191" fontId="0" fillId="2" borderId="0" xfId="2" applyFont="1" applyFill="1" applyBorder="1"/>
    <xf numFmtId="191" fontId="0" fillId="2" borderId="47" xfId="2" applyFont="1" applyFill="1" applyBorder="1"/>
    <xf numFmtId="0" fontId="93" fillId="2" borderId="46" xfId="0" applyFont="1" applyFill="1" applyBorder="1" applyAlignment="1">
      <alignment vertical="center"/>
    </xf>
    <xf numFmtId="0" fontId="21" fillId="2" borderId="14" xfId="0" applyFont="1" applyFill="1" applyBorder="1" applyAlignment="1">
      <alignment vertical="center"/>
    </xf>
    <xf numFmtId="191" fontId="21" fillId="2" borderId="14" xfId="2" applyFont="1" applyFill="1" applyBorder="1" applyAlignment="1">
      <alignment vertical="center"/>
    </xf>
    <xf numFmtId="191" fontId="0" fillId="2" borderId="47" xfId="2" applyFont="1" applyFill="1" applyBorder="1" applyAlignment="1">
      <alignment vertical="center"/>
    </xf>
    <xf numFmtId="0" fontId="0" fillId="2" borderId="47" xfId="0" applyFill="1" applyBorder="1"/>
    <xf numFmtId="0" fontId="69" fillId="2" borderId="46" xfId="4" applyNumberFormat="1" applyFill="1" applyBorder="1"/>
    <xf numFmtId="0" fontId="69" fillId="2" borderId="47" xfId="4" applyNumberFormat="1" applyFill="1" applyBorder="1"/>
    <xf numFmtId="0" fontId="21" fillId="2" borderId="14" xfId="0" applyFont="1" applyFill="1" applyBorder="1"/>
    <xf numFmtId="191" fontId="21" fillId="2" borderId="14" xfId="2" applyFont="1" applyFill="1" applyBorder="1"/>
    <xf numFmtId="0" fontId="0" fillId="0" borderId="46" xfId="0" applyFill="1" applyBorder="1"/>
    <xf numFmtId="0" fontId="0" fillId="0" borderId="47" xfId="0" applyFill="1" applyBorder="1"/>
    <xf numFmtId="0" fontId="14" fillId="2" borderId="46" xfId="0" applyFont="1" applyFill="1" applyBorder="1" applyAlignment="1">
      <alignment horizontal="left" vertical="center" indent="1"/>
    </xf>
    <xf numFmtId="0" fontId="0" fillId="0" borderId="0" xfId="0" applyFont="1" applyFill="1"/>
    <xf numFmtId="0" fontId="14" fillId="16" borderId="40" xfId="0" applyFont="1" applyFill="1" applyBorder="1" applyAlignment="1">
      <alignment horizontal="left" vertical="center" indent="1"/>
    </xf>
    <xf numFmtId="0" fontId="13" fillId="15" borderId="46" xfId="0" applyFont="1" applyFill="1" applyBorder="1"/>
    <xf numFmtId="0" fontId="0" fillId="15" borderId="0" xfId="0" applyFill="1" applyBorder="1"/>
    <xf numFmtId="0" fontId="0" fillId="15" borderId="0" xfId="0" applyFill="1" applyBorder="1" applyAlignment="1">
      <alignment horizontal="right"/>
    </xf>
    <xf numFmtId="0" fontId="0" fillId="15" borderId="47" xfId="0" applyFill="1" applyBorder="1"/>
    <xf numFmtId="0" fontId="0" fillId="15" borderId="46" xfId="0" applyFill="1" applyBorder="1"/>
    <xf numFmtId="0" fontId="21" fillId="15" borderId="0" xfId="0" applyFont="1" applyFill="1" applyBorder="1"/>
    <xf numFmtId="0" fontId="69" fillId="15" borderId="46" xfId="4" applyNumberFormat="1" applyFill="1" applyBorder="1"/>
    <xf numFmtId="0" fontId="69" fillId="15" borderId="0" xfId="4" applyNumberFormat="1" applyFill="1" applyBorder="1" applyAlignment="1">
      <alignment horizontal="right"/>
    </xf>
    <xf numFmtId="0" fontId="69" fillId="15" borderId="0" xfId="4" applyNumberFormat="1" applyFill="1" applyBorder="1"/>
    <xf numFmtId="192" fontId="69" fillId="15" borderId="0" xfId="4" applyNumberFormat="1" applyFill="1" applyBorder="1"/>
    <xf numFmtId="192" fontId="0" fillId="15" borderId="0" xfId="0" applyNumberFormat="1" applyFill="1" applyBorder="1"/>
    <xf numFmtId="0" fontId="69" fillId="15" borderId="47" xfId="4" applyNumberFormat="1" applyFill="1" applyBorder="1"/>
    <xf numFmtId="192" fontId="0" fillId="15" borderId="0" xfId="2" applyNumberFormat="1" applyFont="1" applyFill="1" applyBorder="1"/>
    <xf numFmtId="192" fontId="21" fillId="15" borderId="0" xfId="0" applyNumberFormat="1" applyFont="1" applyFill="1" applyBorder="1"/>
    <xf numFmtId="0" fontId="21" fillId="15" borderId="46" xfId="0" applyFont="1" applyFill="1" applyBorder="1"/>
    <xf numFmtId="192" fontId="21" fillId="15" borderId="0" xfId="2" applyNumberFormat="1" applyFont="1" applyFill="1" applyBorder="1"/>
    <xf numFmtId="199" fontId="21" fillId="15" borderId="0" xfId="1" applyFont="1" applyFill="1" applyBorder="1"/>
    <xf numFmtId="0" fontId="21" fillId="15" borderId="47" xfId="0" applyFont="1" applyFill="1" applyBorder="1"/>
    <xf numFmtId="0" fontId="26" fillId="15" borderId="46" xfId="0" applyFont="1" applyFill="1" applyBorder="1"/>
    <xf numFmtId="0" fontId="26" fillId="15" borderId="0" xfId="0" applyFont="1" applyFill="1" applyBorder="1"/>
    <xf numFmtId="192" fontId="26" fillId="15" borderId="0" xfId="0" applyNumberFormat="1" applyFont="1" applyFill="1" applyBorder="1"/>
    <xf numFmtId="0" fontId="26" fillId="15" borderId="47" xfId="0" applyFont="1" applyFill="1" applyBorder="1"/>
    <xf numFmtId="0" fontId="0" fillId="15" borderId="44" xfId="0" applyFill="1" applyBorder="1"/>
    <xf numFmtId="0" fontId="0" fillId="15" borderId="30" xfId="0" applyFill="1" applyBorder="1"/>
    <xf numFmtId="0" fontId="0" fillId="15" borderId="45" xfId="0" applyFill="1" applyBorder="1"/>
    <xf numFmtId="0" fontId="0" fillId="16" borderId="39" xfId="0" applyFill="1" applyBorder="1"/>
    <xf numFmtId="0" fontId="0" fillId="16" borderId="39" xfId="0" applyFill="1" applyBorder="1" applyAlignment="1">
      <alignment horizontal="right"/>
    </xf>
    <xf numFmtId="0" fontId="0" fillId="16" borderId="41" xfId="0" applyFill="1" applyBorder="1"/>
    <xf numFmtId="192" fontId="26" fillId="15" borderId="0" xfId="2" applyNumberFormat="1" applyFont="1" applyFill="1" applyBorder="1"/>
    <xf numFmtId="0" fontId="13" fillId="15" borderId="0" xfId="0" applyFont="1" applyFill="1" applyBorder="1"/>
    <xf numFmtId="192" fontId="13" fillId="0" borderId="0" xfId="2" applyNumberFormat="1" applyFont="1" applyAlignment="1">
      <alignment vertical="center"/>
    </xf>
    <xf numFmtId="0" fontId="0" fillId="15" borderId="0" xfId="0" applyFill="1" applyBorder="1" applyAlignment="1">
      <alignment horizontal="center"/>
    </xf>
    <xf numFmtId="9" fontId="0" fillId="15" borderId="0" xfId="0" quotePrefix="1" applyNumberFormat="1" applyFill="1" applyBorder="1"/>
    <xf numFmtId="0" fontId="0" fillId="15" borderId="0" xfId="0" quotePrefix="1" applyFill="1" applyBorder="1"/>
    <xf numFmtId="199" fontId="26" fillId="15" borderId="0" xfId="1" applyFont="1" applyFill="1" applyBorder="1"/>
    <xf numFmtId="0" fontId="0" fillId="15" borderId="46" xfId="0" applyFill="1" applyBorder="1" applyAlignment="1">
      <alignment vertical="center"/>
    </xf>
    <xf numFmtId="0" fontId="0" fillId="15" borderId="0" xfId="0" applyFill="1" applyBorder="1" applyAlignment="1">
      <alignment vertical="center"/>
    </xf>
    <xf numFmtId="0" fontId="0" fillId="15" borderId="47" xfId="0" applyFill="1" applyBorder="1" applyAlignment="1">
      <alignment vertical="center"/>
    </xf>
    <xf numFmtId="199" fontId="0" fillId="15" borderId="0" xfId="1" applyNumberFormat="1" applyFont="1" applyFill="1" applyBorder="1"/>
    <xf numFmtId="199" fontId="0" fillId="15" borderId="0" xfId="0" applyNumberFormat="1" applyFill="1" applyBorder="1"/>
    <xf numFmtId="199" fontId="21" fillId="15" borderId="0" xfId="1" applyNumberFormat="1" applyFont="1" applyFill="1" applyBorder="1"/>
    <xf numFmtId="199" fontId="26" fillId="15" borderId="0" xfId="1" applyNumberFormat="1" applyFont="1" applyFill="1" applyBorder="1"/>
    <xf numFmtId="0" fontId="69" fillId="0" borderId="39" xfId="4" applyNumberFormat="1" applyBorder="1" applyAlignment="1">
      <alignment vertical="center"/>
    </xf>
    <xf numFmtId="0" fontId="69" fillId="0" borderId="39" xfId="4" applyNumberFormat="1" applyFill="1" applyBorder="1" applyAlignment="1">
      <alignment horizontal="right" vertical="center"/>
    </xf>
    <xf numFmtId="0" fontId="69" fillId="0" borderId="39" xfId="4" applyNumberFormat="1" applyFill="1" applyBorder="1" applyAlignment="1">
      <alignment vertical="center"/>
    </xf>
    <xf numFmtId="0" fontId="0" fillId="0" borderId="39" xfId="0" applyBorder="1" applyAlignment="1">
      <alignment vertical="center"/>
    </xf>
    <xf numFmtId="191" fontId="69" fillId="0" borderId="39" xfId="4" applyNumberFormat="1" applyFill="1" applyBorder="1" applyAlignment="1">
      <alignment vertical="center"/>
    </xf>
    <xf numFmtId="191" fontId="0" fillId="0" borderId="39" xfId="2" applyFont="1" applyBorder="1" applyAlignment="1">
      <alignment vertical="center"/>
    </xf>
    <xf numFmtId="191" fontId="69" fillId="15" borderId="32" xfId="2" applyFont="1" applyFill="1" applyBorder="1" applyAlignment="1">
      <alignment vertical="center"/>
    </xf>
    <xf numFmtId="191" fontId="0" fillId="15" borderId="32" xfId="2" applyFont="1" applyFill="1" applyBorder="1" applyAlignment="1">
      <alignment vertical="center"/>
    </xf>
    <xf numFmtId="191" fontId="0" fillId="0" borderId="39" xfId="0" applyNumberFormat="1" applyBorder="1" applyAlignment="1">
      <alignment vertical="center"/>
    </xf>
    <xf numFmtId="191" fontId="95" fillId="15" borderId="32" xfId="2" applyFont="1" applyFill="1" applyBorder="1" applyAlignment="1">
      <alignment vertical="center"/>
    </xf>
    <xf numFmtId="0" fontId="34" fillId="4" borderId="0" xfId="6" applyFont="1" applyFill="1"/>
    <xf numFmtId="14" fontId="59" fillId="4" borderId="0" xfId="6" applyNumberFormat="1" applyFont="1" applyFill="1"/>
    <xf numFmtId="0" fontId="124" fillId="4" borderId="0" xfId="6" applyFont="1" applyFill="1"/>
    <xf numFmtId="0" fontId="32" fillId="4" borderId="7" xfId="6" applyFill="1" applyBorder="1"/>
    <xf numFmtId="0" fontId="58" fillId="4" borderId="4" xfId="6" applyFont="1" applyFill="1" applyBorder="1"/>
    <xf numFmtId="0" fontId="56" fillId="4" borderId="1" xfId="6" applyFont="1" applyFill="1" applyBorder="1"/>
    <xf numFmtId="0" fontId="39" fillId="4" borderId="0" xfId="6" applyFont="1" applyFill="1"/>
    <xf numFmtId="201" fontId="60" fillId="4" borderId="0" xfId="6" applyNumberFormat="1" applyFont="1" applyFill="1" applyAlignment="1">
      <alignment horizontal="right"/>
    </xf>
    <xf numFmtId="201" fontId="32" fillId="4" borderId="0" xfId="6" applyNumberFormat="1" applyFill="1"/>
    <xf numFmtId="202" fontId="60" fillId="4" borderId="0" xfId="6" applyNumberFormat="1" applyFont="1" applyFill="1" applyAlignment="1">
      <alignment horizontal="right"/>
    </xf>
    <xf numFmtId="0" fontId="37" fillId="4" borderId="0" xfId="6" applyFont="1" applyFill="1" applyBorder="1"/>
    <xf numFmtId="201" fontId="60" fillId="4" borderId="1" xfId="6" applyNumberFormat="1" applyFont="1" applyFill="1" applyBorder="1" applyAlignment="1">
      <alignment horizontal="right"/>
    </xf>
    <xf numFmtId="0" fontId="41" fillId="4" borderId="10" xfId="6" applyFont="1" applyFill="1" applyBorder="1"/>
    <xf numFmtId="201" fontId="63" fillId="4" borderId="10" xfId="6" applyNumberFormat="1" applyFont="1" applyFill="1" applyBorder="1" applyAlignment="1">
      <alignment horizontal="right"/>
    </xf>
    <xf numFmtId="202" fontId="63" fillId="4" borderId="10" xfId="6" applyNumberFormat="1" applyFont="1" applyFill="1" applyBorder="1" applyAlignment="1">
      <alignment horizontal="right"/>
    </xf>
    <xf numFmtId="0" fontId="56" fillId="4" borderId="10" xfId="6" applyFont="1" applyFill="1" applyBorder="1"/>
    <xf numFmtId="201" fontId="60" fillId="4" borderId="10" xfId="6" applyNumberFormat="1" applyFont="1" applyFill="1" applyBorder="1" applyAlignment="1">
      <alignment horizontal="right"/>
    </xf>
    <xf numFmtId="186" fontId="60" fillId="4" borderId="0" xfId="6" applyNumberFormat="1" applyFont="1" applyFill="1" applyAlignment="1">
      <alignment horizontal="right"/>
    </xf>
    <xf numFmtId="187" fontId="60" fillId="4" borderId="0" xfId="6" applyNumberFormat="1" applyFont="1" applyFill="1" applyAlignment="1">
      <alignment horizontal="right"/>
    </xf>
    <xf numFmtId="0" fontId="37" fillId="4" borderId="5" xfId="6" applyFont="1" applyFill="1" applyBorder="1"/>
    <xf numFmtId="186" fontId="60" fillId="4" borderId="5" xfId="6" applyNumberFormat="1" applyFont="1" applyFill="1" applyBorder="1" applyAlignment="1">
      <alignment horizontal="right"/>
    </xf>
    <xf numFmtId="187" fontId="60" fillId="4" borderId="5" xfId="6" applyNumberFormat="1" applyFont="1" applyFill="1" applyBorder="1" applyAlignment="1">
      <alignment horizontal="right"/>
    </xf>
    <xf numFmtId="186" fontId="63" fillId="4" borderId="10" xfId="6" applyNumberFormat="1" applyFont="1" applyFill="1" applyBorder="1" applyAlignment="1">
      <alignment horizontal="right"/>
    </xf>
    <xf numFmtId="187" fontId="63" fillId="4" borderId="10" xfId="6" applyNumberFormat="1" applyFont="1" applyFill="1" applyBorder="1" applyAlignment="1">
      <alignment horizontal="right"/>
    </xf>
    <xf numFmtId="186" fontId="60" fillId="4" borderId="10" xfId="6" applyNumberFormat="1" applyFont="1" applyFill="1" applyBorder="1" applyAlignment="1">
      <alignment horizontal="right"/>
    </xf>
    <xf numFmtId="0" fontId="61" fillId="4" borderId="0" xfId="6" applyFont="1" applyFill="1" applyBorder="1" applyAlignment="1">
      <alignment horizontal="right"/>
    </xf>
    <xf numFmtId="0" fontId="60" fillId="4" borderId="0" xfId="6" applyFont="1" applyFill="1" applyBorder="1" applyAlignment="1">
      <alignment horizontal="right"/>
    </xf>
    <xf numFmtId="201" fontId="61" fillId="4" borderId="0" xfId="6" applyNumberFormat="1" applyFont="1" applyFill="1" applyBorder="1" applyAlignment="1">
      <alignment horizontal="right"/>
    </xf>
    <xf numFmtId="201" fontId="60" fillId="4" borderId="0" xfId="6" applyNumberFormat="1" applyFont="1" applyFill="1" applyBorder="1" applyAlignment="1">
      <alignment horizontal="right"/>
    </xf>
    <xf numFmtId="202" fontId="60" fillId="4" borderId="0" xfId="6" applyNumberFormat="1" applyFont="1" applyFill="1" applyBorder="1" applyAlignment="1">
      <alignment horizontal="right"/>
    </xf>
    <xf numFmtId="0" fontId="37" fillId="4" borderId="7" xfId="6" applyFont="1" applyFill="1" applyBorder="1"/>
    <xf numFmtId="201" fontId="60" fillId="4" borderId="7" xfId="6" applyNumberFormat="1" applyFont="1" applyFill="1" applyBorder="1" applyAlignment="1">
      <alignment horizontal="right"/>
    </xf>
    <xf numFmtId="202" fontId="60" fillId="4" borderId="7" xfId="6" applyNumberFormat="1" applyFont="1" applyFill="1" applyBorder="1" applyAlignment="1">
      <alignment horizontal="right"/>
    </xf>
    <xf numFmtId="0" fontId="37" fillId="4" borderId="10" xfId="6" applyFont="1" applyFill="1" applyBorder="1"/>
    <xf numFmtId="0" fontId="38" fillId="4" borderId="0" xfId="6" applyFont="1" applyFill="1" applyBorder="1"/>
    <xf numFmtId="201" fontId="61" fillId="4" borderId="0" xfId="6" applyNumberFormat="1" applyFont="1" applyFill="1" applyBorder="1"/>
    <xf numFmtId="202" fontId="60" fillId="4" borderId="7" xfId="6" applyNumberFormat="1" applyFont="1" applyFill="1" applyBorder="1"/>
    <xf numFmtId="201" fontId="60" fillId="4" borderId="7" xfId="6" applyNumberFormat="1" applyFont="1" applyFill="1" applyBorder="1"/>
    <xf numFmtId="0" fontId="61" fillId="4" borderId="0" xfId="6" applyFont="1" applyFill="1"/>
    <xf numFmtId="0" fontId="67" fillId="4" borderId="0" xfId="6" applyFont="1" applyFill="1"/>
    <xf numFmtId="0" fontId="107" fillId="4" borderId="0" xfId="6" applyFont="1" applyFill="1"/>
    <xf numFmtId="0" fontId="59" fillId="4" borderId="0" xfId="6" applyFont="1" applyFill="1" applyBorder="1"/>
    <xf numFmtId="0" fontId="56" fillId="4" borderId="0" xfId="6" applyFont="1" applyFill="1" applyBorder="1"/>
    <xf numFmtId="0" fontId="58" fillId="4" borderId="0" xfId="6" applyFont="1" applyFill="1" applyBorder="1"/>
    <xf numFmtId="2" fontId="37" fillId="4" borderId="0" xfId="6" applyNumberFormat="1" applyFont="1" applyFill="1" applyBorder="1"/>
    <xf numFmtId="2" fontId="60" fillId="4" borderId="0" xfId="6" applyNumberFormat="1" applyFont="1" applyFill="1" applyBorder="1"/>
    <xf numFmtId="0" fontId="0" fillId="2" borderId="50" xfId="0" applyFill="1" applyBorder="1"/>
    <xf numFmtId="0" fontId="18" fillId="2" borderId="50" xfId="0" applyFont="1" applyFill="1" applyBorder="1" applyAlignment="1">
      <alignment horizontal="center" vertical="center"/>
    </xf>
    <xf numFmtId="191" fontId="101" fillId="6" borderId="37" xfId="2" applyFont="1" applyFill="1" applyBorder="1" applyAlignment="1">
      <alignment horizontal="right" vertical="center"/>
    </xf>
    <xf numFmtId="191" fontId="69" fillId="6" borderId="37" xfId="2" applyFont="1" applyFill="1" applyBorder="1" applyAlignment="1">
      <alignment horizontal="right" vertical="center"/>
    </xf>
    <xf numFmtId="191" fontId="101" fillId="2" borderId="37" xfId="2" applyFont="1" applyFill="1" applyBorder="1" applyAlignment="1">
      <alignment vertical="center"/>
    </xf>
    <xf numFmtId="191" fontId="69" fillId="2" borderId="37" xfId="2" applyFont="1" applyFill="1" applyBorder="1" applyAlignment="1">
      <alignment vertical="center"/>
    </xf>
    <xf numFmtId="191" fontId="101" fillId="8" borderId="37" xfId="2" applyFont="1" applyFill="1" applyBorder="1" applyAlignment="1">
      <alignment vertical="center"/>
    </xf>
    <xf numFmtId="191" fontId="69" fillId="8" borderId="37" xfId="4" applyNumberFormat="1" applyFill="1" applyBorder="1" applyAlignment="1">
      <alignment vertical="center"/>
    </xf>
    <xf numFmtId="191" fontId="101" fillId="7" borderId="37" xfId="2" applyFont="1" applyFill="1" applyBorder="1" applyAlignment="1">
      <alignment vertical="center"/>
    </xf>
    <xf numFmtId="191" fontId="69" fillId="7" borderId="37" xfId="2" applyFont="1" applyFill="1" applyBorder="1" applyAlignment="1">
      <alignment vertical="center"/>
    </xf>
    <xf numFmtId="0" fontId="26" fillId="2" borderId="0" xfId="0" applyFont="1" applyFill="1" applyBorder="1" applyAlignment="1">
      <alignment vertical="center"/>
    </xf>
    <xf numFmtId="0" fontId="26" fillId="2" borderId="0" xfId="0" applyFont="1" applyFill="1" applyBorder="1"/>
    <xf numFmtId="191" fontId="26" fillId="2" borderId="0" xfId="2" applyFont="1" applyFill="1" applyBorder="1" applyAlignment="1">
      <alignment vertical="center"/>
    </xf>
    <xf numFmtId="0" fontId="26" fillId="2" borderId="47" xfId="0" applyFont="1" applyFill="1" applyBorder="1" applyAlignment="1">
      <alignment vertical="center"/>
    </xf>
    <xf numFmtId="191" fontId="0" fillId="0" borderId="0" xfId="2" applyFont="1" applyFill="1" applyBorder="1"/>
    <xf numFmtId="191" fontId="0" fillId="0" borderId="47" xfId="2" applyFont="1" applyFill="1" applyBorder="1"/>
    <xf numFmtId="191" fontId="69" fillId="0" borderId="0" xfId="4" applyNumberFormat="1" applyFill="1" applyBorder="1"/>
    <xf numFmtId="0" fontId="93" fillId="0" borderId="46" xfId="0" applyFont="1" applyFill="1" applyBorder="1" applyAlignment="1">
      <alignment vertical="center"/>
    </xf>
    <xf numFmtId="0" fontId="21" fillId="0" borderId="14" xfId="0" applyFont="1" applyFill="1" applyBorder="1" applyAlignment="1">
      <alignment vertical="center"/>
    </xf>
    <xf numFmtId="191" fontId="21" fillId="0" borderId="14" xfId="2" applyFont="1" applyFill="1" applyBorder="1" applyAlignment="1">
      <alignment vertical="center"/>
    </xf>
    <xf numFmtId="0" fontId="0" fillId="0" borderId="47" xfId="0" applyFill="1" applyBorder="1" applyAlignment="1">
      <alignment vertical="center"/>
    </xf>
    <xf numFmtId="0" fontId="26" fillId="2" borderId="46" xfId="0" applyFont="1" applyFill="1" applyBorder="1" applyAlignment="1">
      <alignment vertical="center"/>
    </xf>
    <xf numFmtId="0" fontId="0" fillId="2" borderId="46" xfId="0" applyFont="1" applyFill="1" applyBorder="1"/>
    <xf numFmtId="0" fontId="26" fillId="2" borderId="46" xfId="0" applyFont="1" applyFill="1" applyBorder="1"/>
    <xf numFmtId="191" fontId="26" fillId="2" borderId="0" xfId="2" applyFont="1" applyFill="1" applyBorder="1"/>
    <xf numFmtId="191" fontId="26" fillId="2" borderId="47" xfId="2" applyFont="1" applyFill="1" applyBorder="1"/>
    <xf numFmtId="0" fontId="26" fillId="0" borderId="0" xfId="0" applyFont="1" applyFill="1" applyBorder="1" applyAlignment="1">
      <alignment horizontal="right" vertical="center"/>
    </xf>
    <xf numFmtId="0" fontId="0" fillId="2" borderId="0" xfId="0" applyFill="1"/>
    <xf numFmtId="0" fontId="0" fillId="2" borderId="0" xfId="0" applyFill="1" applyAlignment="1">
      <alignment vertical="center"/>
    </xf>
    <xf numFmtId="0" fontId="26" fillId="2" borderId="0" xfId="0" applyFont="1" applyFill="1" applyAlignment="1">
      <alignment vertical="center"/>
    </xf>
    <xf numFmtId="192" fontId="13" fillId="2" borderId="0" xfId="2" applyNumberFormat="1" applyFont="1" applyFill="1" applyAlignment="1">
      <alignment vertical="center"/>
    </xf>
    <xf numFmtId="0" fontId="13" fillId="2" borderId="0" xfId="0" applyFont="1" applyFill="1" applyAlignment="1">
      <alignment vertical="center"/>
    </xf>
    <xf numFmtId="0" fontId="119" fillId="2" borderId="50" xfId="0" applyFont="1" applyFill="1" applyBorder="1" applyAlignment="1">
      <alignment vertical="center"/>
    </xf>
    <xf numFmtId="0" fontId="13" fillId="2" borderId="0" xfId="0" applyFont="1" applyFill="1" applyAlignment="1">
      <alignment horizontal="right" vertical="center"/>
    </xf>
    <xf numFmtId="0" fontId="0" fillId="2" borderId="14" xfId="0" applyFill="1" applyBorder="1" applyAlignment="1">
      <alignment vertical="center"/>
    </xf>
    <xf numFmtId="0" fontId="119" fillId="2" borderId="14" xfId="0" applyFont="1" applyFill="1" applyBorder="1" applyAlignment="1">
      <alignment vertical="center"/>
    </xf>
    <xf numFmtId="0" fontId="0" fillId="2" borderId="1" xfId="0" applyFill="1" applyBorder="1" applyAlignment="1">
      <alignment vertical="center"/>
    </xf>
    <xf numFmtId="0" fontId="13" fillId="2" borderId="1" xfId="0" applyFont="1" applyFill="1" applyBorder="1" applyAlignment="1">
      <alignment vertical="center"/>
    </xf>
    <xf numFmtId="0" fontId="0" fillId="2" borderId="1" xfId="0" applyFont="1" applyFill="1" applyBorder="1" applyAlignment="1">
      <alignment vertical="center"/>
    </xf>
    <xf numFmtId="0" fontId="26" fillId="2" borderId="1" xfId="0" applyFont="1" applyFill="1" applyBorder="1" applyAlignment="1">
      <alignment vertical="center"/>
    </xf>
    <xf numFmtId="0" fontId="99" fillId="2" borderId="0" xfId="0" applyFont="1" applyFill="1" applyAlignment="1">
      <alignment vertical="center"/>
    </xf>
    <xf numFmtId="0" fontId="13" fillId="2" borderId="50" xfId="0" applyFont="1" applyFill="1" applyBorder="1" applyAlignment="1">
      <alignment vertical="center"/>
    </xf>
    <xf numFmtId="0" fontId="119" fillId="2" borderId="0" xfId="0" applyFont="1" applyFill="1" applyAlignment="1">
      <alignment horizontal="left" vertical="center"/>
    </xf>
    <xf numFmtId="0" fontId="13" fillId="2" borderId="1" xfId="0" applyFont="1" applyFill="1" applyBorder="1" applyAlignment="1">
      <alignment horizontal="right" vertical="center"/>
    </xf>
    <xf numFmtId="192" fontId="13" fillId="2" borderId="1" xfId="2" applyNumberFormat="1" applyFont="1" applyFill="1" applyBorder="1" applyAlignment="1">
      <alignment vertical="center"/>
    </xf>
    <xf numFmtId="0" fontId="127" fillId="19" borderId="0" xfId="0" applyFont="1" applyFill="1" applyAlignment="1">
      <alignment vertical="center"/>
    </xf>
    <xf numFmtId="0" fontId="128" fillId="19" borderId="0" xfId="0" applyFont="1" applyFill="1" applyAlignment="1">
      <alignment vertical="center"/>
    </xf>
    <xf numFmtId="0" fontId="127" fillId="19" borderId="0" xfId="0" applyFont="1" applyFill="1" applyAlignment="1">
      <alignment horizontal="centerContinuous" vertical="center"/>
    </xf>
    <xf numFmtId="0" fontId="128" fillId="19" borderId="0" xfId="0" applyFont="1" applyFill="1" applyAlignment="1">
      <alignment horizontal="centerContinuous" vertical="center"/>
    </xf>
    <xf numFmtId="0" fontId="0" fillId="0" borderId="0" xfId="0" applyFill="1" applyAlignment="1">
      <alignment vertical="center"/>
    </xf>
    <xf numFmtId="192" fontId="119" fillId="2" borderId="0" xfId="2" applyNumberFormat="1" applyFont="1" applyFill="1" applyAlignment="1">
      <alignment vertical="center"/>
    </xf>
    <xf numFmtId="0" fontId="21" fillId="2" borderId="50" xfId="0" applyFont="1" applyFill="1" applyBorder="1" applyAlignment="1">
      <alignment vertical="center"/>
    </xf>
    <xf numFmtId="0" fontId="0" fillId="2" borderId="50" xfId="0" applyFont="1" applyFill="1" applyBorder="1" applyAlignment="1">
      <alignment horizontal="right" vertical="center"/>
    </xf>
    <xf numFmtId="0" fontId="13" fillId="2" borderId="50" xfId="0" applyFont="1" applyFill="1" applyBorder="1"/>
    <xf numFmtId="0" fontId="129" fillId="2" borderId="50" xfId="0" applyFont="1" applyFill="1" applyBorder="1" applyAlignment="1">
      <alignment vertical="center"/>
    </xf>
    <xf numFmtId="0" fontId="0" fillId="0" borderId="0" xfId="0" applyFill="1" applyBorder="1" applyAlignment="1">
      <alignment horizontal="left"/>
    </xf>
    <xf numFmtId="0" fontId="13" fillId="6" borderId="42" xfId="0" applyFont="1" applyFill="1" applyBorder="1"/>
    <xf numFmtId="0" fontId="0" fillId="6" borderId="36" xfId="0" applyNumberFormat="1" applyFill="1" applyBorder="1" applyAlignment="1">
      <alignment vertical="center"/>
    </xf>
    <xf numFmtId="0" fontId="0" fillId="6" borderId="36" xfId="0" applyFill="1" applyBorder="1" applyAlignment="1">
      <alignment vertical="center"/>
    </xf>
    <xf numFmtId="0" fontId="0" fillId="0" borderId="36" xfId="0" applyBorder="1"/>
    <xf numFmtId="0" fontId="96" fillId="0" borderId="0" xfId="0" applyFont="1" applyAlignment="1">
      <alignment vertical="center"/>
    </xf>
    <xf numFmtId="0" fontId="126" fillId="15" borderId="0" xfId="0" applyFont="1" applyFill="1" applyAlignment="1">
      <alignment vertical="center"/>
    </xf>
    <xf numFmtId="0" fontId="21" fillId="15" borderId="0" xfId="0" applyFont="1" applyFill="1" applyBorder="1" applyAlignment="1">
      <alignment horizontal="right" vertical="center"/>
    </xf>
    <xf numFmtId="197" fontId="21" fillId="15" borderId="0" xfId="2" applyNumberFormat="1" applyFont="1" applyFill="1" applyBorder="1" applyAlignment="1">
      <alignment vertical="center"/>
    </xf>
    <xf numFmtId="0" fontId="13" fillId="2" borderId="0" xfId="0" applyFont="1" applyFill="1" applyBorder="1" applyAlignment="1">
      <alignment horizontal="right" vertical="center"/>
    </xf>
    <xf numFmtId="0" fontId="13" fillId="2" borderId="0" xfId="0" applyFont="1" applyFill="1" applyBorder="1" applyAlignment="1">
      <alignment vertical="center"/>
    </xf>
    <xf numFmtId="199" fontId="13" fillId="2" borderId="0" xfId="1" applyFont="1" applyFill="1" applyBorder="1" applyAlignment="1">
      <alignment vertical="center"/>
    </xf>
    <xf numFmtId="0" fontId="88" fillId="0" borderId="0" xfId="0" applyFont="1" applyAlignment="1">
      <alignment horizontal="center"/>
    </xf>
    <xf numFmtId="192" fontId="10" fillId="0" borderId="0" xfId="2" applyNumberFormat="1" applyFont="1"/>
    <xf numFmtId="192" fontId="29" fillId="6" borderId="19" xfId="2" applyNumberFormat="1" applyFont="1" applyFill="1" applyBorder="1" applyAlignment="1">
      <alignment horizontal="right" vertical="center"/>
    </xf>
    <xf numFmtId="192" fontId="29" fillId="6" borderId="0" xfId="2" applyNumberFormat="1" applyFont="1" applyFill="1" applyBorder="1" applyAlignment="1">
      <alignment horizontal="right" vertical="center"/>
    </xf>
    <xf numFmtId="199" fontId="29" fillId="6" borderId="19" xfId="1" applyFont="1" applyFill="1" applyBorder="1" applyAlignment="1">
      <alignment horizontal="right" vertical="center"/>
    </xf>
    <xf numFmtId="199" fontId="29" fillId="6" borderId="0" xfId="1" applyFont="1" applyFill="1" applyBorder="1" applyAlignment="1">
      <alignment horizontal="right" vertical="center"/>
    </xf>
    <xf numFmtId="0" fontId="99" fillId="2" borderId="0" xfId="0" applyFont="1" applyFill="1" applyAlignment="1"/>
    <xf numFmtId="0" fontId="28" fillId="0" borderId="0" xfId="0" applyFont="1" applyFill="1" applyBorder="1" applyAlignment="1">
      <alignment horizontal="left" vertical="center"/>
    </xf>
    <xf numFmtId="164" fontId="0" fillId="0" borderId="0" xfId="0" applyNumberFormat="1" applyBorder="1"/>
    <xf numFmtId="194" fontId="115" fillId="6" borderId="14" xfId="2" applyNumberFormat="1" applyFont="1" applyFill="1" applyBorder="1" applyAlignment="1">
      <alignment horizontal="right" vertical="center"/>
    </xf>
    <xf numFmtId="199" fontId="115" fillId="6" borderId="14" xfId="1" applyFont="1" applyFill="1" applyBorder="1" applyAlignment="1">
      <alignment horizontal="right" vertical="center"/>
    </xf>
    <xf numFmtId="194" fontId="121" fillId="6" borderId="14" xfId="2" applyNumberFormat="1" applyFont="1" applyFill="1" applyBorder="1" applyAlignment="1">
      <alignment vertical="center"/>
    </xf>
    <xf numFmtId="194" fontId="121" fillId="6" borderId="0" xfId="2" applyNumberFormat="1" applyFont="1" applyFill="1" applyBorder="1" applyAlignment="1">
      <alignment vertical="center"/>
    </xf>
    <xf numFmtId="194" fontId="115" fillId="6" borderId="0" xfId="2" applyNumberFormat="1" applyFont="1" applyFill="1" applyBorder="1" applyAlignment="1">
      <alignment vertical="center"/>
    </xf>
    <xf numFmtId="194" fontId="29" fillId="6" borderId="14" xfId="2" applyNumberFormat="1" applyFont="1" applyFill="1" applyBorder="1" applyAlignment="1">
      <alignment horizontal="right" vertical="center"/>
    </xf>
    <xf numFmtId="191" fontId="29" fillId="6" borderId="17" xfId="2" applyFont="1" applyFill="1" applyBorder="1" applyAlignment="1">
      <alignment vertical="center"/>
    </xf>
    <xf numFmtId="197" fontId="29" fillId="6" borderId="0" xfId="2" applyNumberFormat="1" applyFont="1" applyFill="1" applyBorder="1" applyAlignment="1">
      <alignment vertical="center"/>
    </xf>
    <xf numFmtId="194" fontId="29" fillId="6" borderId="19" xfId="2" applyNumberFormat="1" applyFont="1" applyFill="1" applyBorder="1" applyAlignment="1">
      <alignment horizontal="right" vertical="center"/>
    </xf>
    <xf numFmtId="194" fontId="29" fillId="6" borderId="0" xfId="2" applyNumberFormat="1" applyFont="1" applyFill="1" applyBorder="1" applyAlignment="1">
      <alignment horizontal="right" vertical="center"/>
    </xf>
    <xf numFmtId="197" fontId="29" fillId="6" borderId="19" xfId="2" applyNumberFormat="1" applyFont="1" applyFill="1" applyBorder="1" applyAlignment="1">
      <alignment horizontal="right" vertical="center"/>
    </xf>
    <xf numFmtId="197" fontId="29" fillId="6" borderId="0" xfId="2" applyNumberFormat="1" applyFont="1" applyFill="1" applyBorder="1" applyAlignment="1">
      <alignment horizontal="right" vertical="center"/>
    </xf>
    <xf numFmtId="194" fontId="115" fillId="6" borderId="21" xfId="2" applyNumberFormat="1" applyFont="1" applyFill="1" applyBorder="1" applyAlignment="1">
      <alignment horizontal="right" vertical="center"/>
    </xf>
    <xf numFmtId="197" fontId="115" fillId="6" borderId="14" xfId="2" applyNumberFormat="1" applyFont="1" applyFill="1" applyBorder="1" applyAlignment="1">
      <alignment horizontal="right" vertical="center"/>
    </xf>
    <xf numFmtId="197" fontId="115" fillId="6" borderId="21" xfId="2" applyNumberFormat="1" applyFont="1" applyFill="1" applyBorder="1" applyAlignment="1">
      <alignment horizontal="right" vertical="center"/>
    </xf>
    <xf numFmtId="197" fontId="29" fillId="6" borderId="22" xfId="2" applyNumberFormat="1" applyFont="1" applyFill="1" applyBorder="1" applyAlignment="1">
      <alignment vertical="center"/>
    </xf>
    <xf numFmtId="197" fontId="29" fillId="6" borderId="21" xfId="2" applyNumberFormat="1" applyFont="1" applyFill="1" applyBorder="1" applyAlignment="1">
      <alignment vertical="center"/>
    </xf>
    <xf numFmtId="0" fontId="114" fillId="6" borderId="55" xfId="4" applyNumberFormat="1" applyFont="1" applyFill="1" applyBorder="1"/>
    <xf numFmtId="0" fontId="0" fillId="6" borderId="56" xfId="0" applyNumberFormat="1" applyFill="1" applyBorder="1" applyAlignment="1">
      <alignment vertical="center"/>
    </xf>
    <xf numFmtId="0" fontId="21" fillId="6" borderId="56" xfId="0" applyFont="1" applyFill="1" applyBorder="1" applyAlignment="1">
      <alignment vertical="center"/>
    </xf>
    <xf numFmtId="0" fontId="0" fillId="6" borderId="56" xfId="0" applyFill="1" applyBorder="1" applyAlignment="1">
      <alignment vertical="center"/>
    </xf>
    <xf numFmtId="199" fontId="21" fillId="6" borderId="56" xfId="1" applyFont="1" applyFill="1" applyBorder="1" applyAlignment="1">
      <alignment vertical="center"/>
    </xf>
    <xf numFmtId="199" fontId="21" fillId="6" borderId="56" xfId="1" applyFont="1" applyFill="1" applyBorder="1" applyAlignment="1">
      <alignment horizontal="right" vertical="center"/>
    </xf>
    <xf numFmtId="193" fontId="0" fillId="6" borderId="56" xfId="2" applyNumberFormat="1" applyFont="1" applyFill="1" applyBorder="1" applyAlignment="1">
      <alignment horizontal="right" vertical="center"/>
    </xf>
    <xf numFmtId="0" fontId="69" fillId="6" borderId="57" xfId="4" applyNumberFormat="1" applyFill="1" applyBorder="1"/>
    <xf numFmtId="190" fontId="121" fillId="6" borderId="19" xfId="1" applyNumberFormat="1" applyFont="1" applyFill="1" applyBorder="1" applyAlignment="1">
      <alignment vertical="center"/>
    </xf>
    <xf numFmtId="190" fontId="121" fillId="6" borderId="0" xfId="1" applyNumberFormat="1" applyFont="1" applyFill="1" applyBorder="1" applyAlignment="1">
      <alignment vertical="center"/>
    </xf>
    <xf numFmtId="190" fontId="121" fillId="6" borderId="0" xfId="1" applyNumberFormat="1" applyFont="1" applyFill="1" applyBorder="1"/>
    <xf numFmtId="190" fontId="121" fillId="6" borderId="19" xfId="1" applyNumberFormat="1" applyFont="1" applyFill="1" applyBorder="1" applyAlignment="1">
      <alignment horizontal="right" vertical="center"/>
    </xf>
    <xf numFmtId="190" fontId="121" fillId="6" borderId="0" xfId="1" applyNumberFormat="1" applyFont="1" applyFill="1" applyBorder="1" applyAlignment="1">
      <alignment horizontal="right" vertical="center"/>
    </xf>
    <xf numFmtId="190" fontId="121" fillId="6" borderId="20" xfId="1" applyNumberFormat="1" applyFont="1" applyFill="1" applyBorder="1" applyAlignment="1">
      <alignment horizontal="right" vertical="center"/>
    </xf>
    <xf numFmtId="190" fontId="121" fillId="6" borderId="17" xfId="1" applyNumberFormat="1" applyFont="1" applyFill="1" applyBorder="1" applyAlignment="1">
      <alignment horizontal="right" vertical="center"/>
    </xf>
    <xf numFmtId="191" fontId="18" fillId="0" borderId="0" xfId="2" applyFont="1" applyBorder="1" applyAlignment="1">
      <alignment horizontal="right"/>
    </xf>
    <xf numFmtId="194" fontId="121" fillId="6" borderId="19" xfId="2" applyNumberFormat="1" applyFont="1" applyFill="1" applyBorder="1" applyAlignment="1">
      <alignment vertical="center"/>
    </xf>
    <xf numFmtId="194" fontId="121" fillId="6" borderId="0" xfId="2" applyNumberFormat="1" applyFont="1" applyFill="1" applyBorder="1"/>
    <xf numFmtId="194" fontId="121" fillId="6" borderId="19" xfId="2" applyNumberFormat="1" applyFont="1" applyFill="1" applyBorder="1" applyAlignment="1">
      <alignment horizontal="right" vertical="center"/>
    </xf>
    <xf numFmtId="194" fontId="121" fillId="6" borderId="0" xfId="2" applyNumberFormat="1" applyFont="1" applyFill="1" applyBorder="1" applyAlignment="1">
      <alignment horizontal="right" vertical="center"/>
    </xf>
    <xf numFmtId="197" fontId="121" fillId="6" borderId="19" xfId="2" applyNumberFormat="1" applyFont="1" applyFill="1" applyBorder="1" applyAlignment="1">
      <alignment horizontal="right" vertical="center"/>
    </xf>
    <xf numFmtId="197" fontId="121" fillId="6" borderId="0" xfId="2" applyNumberFormat="1" applyFont="1" applyFill="1" applyBorder="1" applyAlignment="1">
      <alignment horizontal="right" vertical="center"/>
    </xf>
    <xf numFmtId="197" fontId="121" fillId="6" borderId="0" xfId="2" applyNumberFormat="1" applyFont="1" applyFill="1" applyBorder="1"/>
    <xf numFmtId="191" fontId="121" fillId="6" borderId="20" xfId="2" applyNumberFormat="1" applyFont="1" applyFill="1" applyBorder="1" applyAlignment="1">
      <alignment horizontal="right" vertical="center"/>
    </xf>
    <xf numFmtId="191" fontId="121" fillId="6" borderId="17" xfId="2" applyNumberFormat="1" applyFont="1" applyFill="1" applyBorder="1" applyAlignment="1">
      <alignment horizontal="right" vertical="center"/>
    </xf>
    <xf numFmtId="191" fontId="29" fillId="6" borderId="1" xfId="2" applyFont="1" applyFill="1" applyBorder="1" applyAlignment="1">
      <alignment vertical="center"/>
    </xf>
    <xf numFmtId="194" fontId="29" fillId="6" borderId="21" xfId="2" applyNumberFormat="1" applyFont="1" applyFill="1" applyBorder="1" applyAlignment="1">
      <alignment horizontal="right" vertical="center"/>
    </xf>
    <xf numFmtId="0" fontId="21" fillId="0" borderId="0" xfId="0" applyFont="1" applyBorder="1"/>
    <xf numFmtId="192" fontId="131" fillId="0" borderId="14" xfId="2" applyNumberFormat="1" applyFont="1" applyBorder="1" applyAlignment="1">
      <alignment horizontal="right"/>
    </xf>
    <xf numFmtId="194" fontId="115" fillId="6" borderId="17" xfId="2" applyNumberFormat="1" applyFont="1" applyFill="1" applyBorder="1" applyAlignment="1">
      <alignment vertical="center"/>
    </xf>
    <xf numFmtId="194" fontId="29" fillId="6" borderId="20" xfId="2" applyNumberFormat="1" applyFont="1" applyFill="1" applyBorder="1" applyAlignment="1">
      <alignment horizontal="right" vertical="center"/>
    </xf>
    <xf numFmtId="194" fontId="29" fillId="6" borderId="17" xfId="2" applyNumberFormat="1" applyFont="1" applyFill="1" applyBorder="1" applyAlignment="1">
      <alignment horizontal="right" vertical="center"/>
    </xf>
    <xf numFmtId="191" fontId="116" fillId="6" borderId="26" xfId="2" applyFont="1" applyFill="1" applyBorder="1" applyAlignment="1">
      <alignment vertical="center"/>
    </xf>
    <xf numFmtId="0" fontId="104" fillId="20" borderId="39" xfId="0" applyFont="1" applyFill="1" applyBorder="1" applyAlignment="1">
      <alignment vertical="center"/>
    </xf>
    <xf numFmtId="0" fontId="13" fillId="20" borderId="39" xfId="0" applyFont="1" applyFill="1" applyBorder="1" applyAlignment="1">
      <alignment vertical="center"/>
    </xf>
    <xf numFmtId="191" fontId="0" fillId="8" borderId="0" xfId="2" applyNumberFormat="1" applyFont="1" applyFill="1" applyBorder="1" applyAlignment="1">
      <alignment vertical="center"/>
    </xf>
    <xf numFmtId="0" fontId="0" fillId="8" borderId="0" xfId="0" applyNumberFormat="1" applyFill="1" applyBorder="1" applyAlignment="1">
      <alignment vertical="center"/>
    </xf>
    <xf numFmtId="192" fontId="0" fillId="0" borderId="0" xfId="2" applyNumberFormat="1" applyFont="1" applyBorder="1" applyAlignment="1">
      <alignment vertical="center"/>
    </xf>
    <xf numFmtId="0" fontId="28" fillId="0" borderId="1" xfId="0" applyFont="1" applyFill="1" applyBorder="1" applyAlignment="1">
      <alignment horizontal="left" vertical="center"/>
    </xf>
    <xf numFmtId="192" fontId="0" fillId="0" borderId="1" xfId="2" applyNumberFormat="1" applyFont="1" applyBorder="1" applyAlignment="1">
      <alignment vertical="center"/>
    </xf>
    <xf numFmtId="11" fontId="0" fillId="0" borderId="0" xfId="2" applyNumberFormat="1" applyFont="1" applyBorder="1" applyAlignment="1">
      <alignment vertical="center"/>
    </xf>
    <xf numFmtId="192" fontId="0" fillId="0" borderId="0" xfId="2" applyNumberFormat="1" applyFont="1" applyBorder="1" applyAlignment="1">
      <alignment horizontal="left" vertical="center"/>
    </xf>
    <xf numFmtId="0" fontId="0" fillId="0" borderId="5" xfId="0" applyBorder="1"/>
    <xf numFmtId="191" fontId="0" fillId="0" borderId="0" xfId="0" applyNumberFormat="1"/>
    <xf numFmtId="0" fontId="18" fillId="0" borderId="0" xfId="0" applyFont="1" applyFill="1" applyBorder="1" applyAlignment="1">
      <alignment vertical="center"/>
    </xf>
    <xf numFmtId="0" fontId="13" fillId="2" borderId="0" xfId="0" applyFont="1" applyFill="1" applyAlignment="1">
      <alignment horizontal="left" vertical="center"/>
    </xf>
    <xf numFmtId="199" fontId="13" fillId="2" borderId="0" xfId="1" applyFont="1" applyFill="1"/>
    <xf numFmtId="0" fontId="13" fillId="2" borderId="1" xfId="0" applyFont="1" applyFill="1" applyBorder="1" applyAlignment="1">
      <alignment horizontal="left" vertical="center"/>
    </xf>
    <xf numFmtId="0" fontId="0" fillId="2" borderId="1" xfId="0" applyFill="1" applyBorder="1"/>
    <xf numFmtId="192" fontId="0" fillId="0" borderId="1" xfId="2" applyNumberFormat="1" applyFont="1" applyBorder="1" applyAlignment="1">
      <alignment horizontal="left" vertical="center"/>
    </xf>
    <xf numFmtId="0" fontId="0" fillId="0" borderId="1" xfId="0" applyBorder="1" applyAlignment="1">
      <alignment horizontal="left" vertical="center"/>
    </xf>
    <xf numFmtId="177" fontId="0" fillId="0" borderId="0" xfId="0" applyNumberFormat="1"/>
    <xf numFmtId="0" fontId="13" fillId="6" borderId="0" xfId="0" applyFont="1" applyFill="1" applyBorder="1"/>
    <xf numFmtId="0" fontId="0" fillId="0" borderId="8" xfId="0" applyBorder="1"/>
    <xf numFmtId="194" fontId="0" fillId="6" borderId="14" xfId="2" applyNumberFormat="1" applyFont="1" applyFill="1" applyBorder="1" applyAlignment="1">
      <alignment vertical="center"/>
    </xf>
    <xf numFmtId="0" fontId="10" fillId="6" borderId="0" xfId="0" applyFont="1" applyFill="1" applyBorder="1" applyAlignment="1">
      <alignment horizontal="right" vertical="center"/>
    </xf>
    <xf numFmtId="0" fontId="27" fillId="0" borderId="0" xfId="0" applyFont="1"/>
    <xf numFmtId="191" fontId="0" fillId="6" borderId="36" xfId="2" applyFont="1" applyFill="1" applyBorder="1" applyAlignment="1">
      <alignment vertical="center"/>
    </xf>
    <xf numFmtId="0" fontId="0" fillId="6" borderId="36" xfId="0" applyFill="1" applyBorder="1" applyAlignment="1">
      <alignment horizontal="right" vertical="center"/>
    </xf>
    <xf numFmtId="194" fontId="116" fillId="6" borderId="25" xfId="2" applyNumberFormat="1" applyFont="1" applyFill="1" applyBorder="1" applyAlignment="1">
      <alignment vertical="center"/>
    </xf>
    <xf numFmtId="194" fontId="116" fillId="6" borderId="0" xfId="2" applyNumberFormat="1" applyFont="1" applyFill="1" applyBorder="1" applyAlignment="1">
      <alignment vertical="center"/>
    </xf>
    <xf numFmtId="194" fontId="116" fillId="6" borderId="0" xfId="2" applyNumberFormat="1" applyFont="1" applyFill="1" applyBorder="1" applyAlignment="1">
      <alignment horizontal="right" vertical="center"/>
    </xf>
    <xf numFmtId="194" fontId="116" fillId="6" borderId="17" xfId="2" applyNumberFormat="1" applyFont="1" applyFill="1" applyBorder="1" applyAlignment="1">
      <alignment horizontal="right" vertical="center"/>
    </xf>
    <xf numFmtId="194" fontId="121" fillId="6" borderId="17" xfId="2" applyNumberFormat="1" applyFont="1" applyFill="1" applyBorder="1" applyAlignment="1">
      <alignment horizontal="right" vertical="center"/>
    </xf>
    <xf numFmtId="194" fontId="29" fillId="6" borderId="27" xfId="2" applyNumberFormat="1" applyFont="1" applyFill="1" applyBorder="1" applyAlignment="1">
      <alignment vertical="center"/>
    </xf>
    <xf numFmtId="194" fontId="29" fillId="6" borderId="1" xfId="2" applyNumberFormat="1" applyFont="1" applyFill="1" applyBorder="1" applyAlignment="1">
      <alignment vertical="center"/>
    </xf>
    <xf numFmtId="194" fontId="0" fillId="6" borderId="28" xfId="2" applyNumberFormat="1" applyFont="1" applyFill="1" applyBorder="1" applyAlignment="1">
      <alignment vertical="center"/>
    </xf>
    <xf numFmtId="194" fontId="120" fillId="0" borderId="0" xfId="2" applyNumberFormat="1" applyFont="1" applyAlignment="1">
      <alignment horizontal="right"/>
    </xf>
    <xf numFmtId="193" fontId="120" fillId="0" borderId="0" xfId="2" applyNumberFormat="1" applyFont="1" applyAlignment="1">
      <alignment horizontal="right"/>
    </xf>
    <xf numFmtId="0" fontId="133" fillId="0" borderId="0" xfId="0" applyFont="1"/>
    <xf numFmtId="191" fontId="0" fillId="6" borderId="47" xfId="2" applyFont="1" applyFill="1" applyBorder="1"/>
    <xf numFmtId="11" fontId="51" fillId="0" borderId="0" xfId="0" applyNumberFormat="1" applyFont="1" applyFill="1" applyBorder="1"/>
    <xf numFmtId="0" fontId="134" fillId="0" borderId="0" xfId="0" applyFont="1" applyBorder="1"/>
    <xf numFmtId="0" fontId="134" fillId="0" borderId="0" xfId="0" applyFont="1" applyBorder="1" applyAlignment="1">
      <alignment vertical="center"/>
    </xf>
    <xf numFmtId="0" fontId="134" fillId="0" borderId="0" xfId="0" applyFont="1" applyBorder="1" applyAlignment="1">
      <alignment horizontal="left" vertical="center" wrapText="1"/>
    </xf>
    <xf numFmtId="0" fontId="0" fillId="6" borderId="1" xfId="0" applyNumberFormat="1" applyFill="1" applyBorder="1" applyAlignment="1">
      <alignment horizontal="right" vertical="center"/>
    </xf>
    <xf numFmtId="192" fontId="13" fillId="2" borderId="0" xfId="2" applyNumberFormat="1" applyFont="1" applyFill="1" applyBorder="1" applyAlignment="1">
      <alignment vertical="center"/>
    </xf>
    <xf numFmtId="199" fontId="69" fillId="0" borderId="0" xfId="1" applyFont="1"/>
    <xf numFmtId="0" fontId="0" fillId="6" borderId="8" xfId="0" applyFill="1" applyBorder="1" applyAlignment="1">
      <alignment vertical="center"/>
    </xf>
    <xf numFmtId="0" fontId="0" fillId="2" borderId="0" xfId="0" applyFont="1" applyFill="1" applyBorder="1" applyAlignment="1">
      <alignment horizontal="right" vertical="center"/>
    </xf>
    <xf numFmtId="0" fontId="21" fillId="2" borderId="0" xfId="0" applyFont="1" applyFill="1" applyBorder="1" applyAlignment="1">
      <alignment vertical="center"/>
    </xf>
    <xf numFmtId="0" fontId="0" fillId="2" borderId="0" xfId="0" applyFont="1" applyFill="1" applyBorder="1"/>
    <xf numFmtId="0" fontId="0" fillId="0" borderId="58" xfId="0" applyBorder="1"/>
    <xf numFmtId="0" fontId="0" fillId="0" borderId="59" xfId="0" applyBorder="1"/>
    <xf numFmtId="0" fontId="0" fillId="0" borderId="60" xfId="0" applyBorder="1"/>
    <xf numFmtId="0" fontId="0" fillId="0" borderId="61" xfId="0" applyBorder="1"/>
    <xf numFmtId="0" fontId="0" fillId="0" borderId="62" xfId="0" applyBorder="1"/>
    <xf numFmtId="192" fontId="130" fillId="2" borderId="0" xfId="2" applyNumberFormat="1" applyFont="1" applyFill="1" applyAlignment="1">
      <alignment vertical="center"/>
    </xf>
    <xf numFmtId="192" fontId="129" fillId="2" borderId="14" xfId="0" applyNumberFormat="1" applyFont="1" applyFill="1" applyBorder="1" applyAlignment="1">
      <alignment vertical="center"/>
    </xf>
    <xf numFmtId="0" fontId="135" fillId="2" borderId="50" xfId="0" applyFont="1" applyFill="1" applyBorder="1" applyAlignment="1">
      <alignment vertical="center"/>
    </xf>
    <xf numFmtId="199" fontId="114" fillId="2" borderId="0" xfId="1" applyFont="1" applyFill="1" applyAlignment="1">
      <alignment vertical="center"/>
    </xf>
    <xf numFmtId="199" fontId="135" fillId="2" borderId="14" xfId="1" applyNumberFormat="1" applyFont="1" applyFill="1" applyBorder="1" applyAlignment="1">
      <alignment vertical="center"/>
    </xf>
    <xf numFmtId="0" fontId="97" fillId="2" borderId="1" xfId="0" applyFont="1" applyFill="1" applyBorder="1" applyAlignment="1">
      <alignment vertical="center"/>
    </xf>
    <xf numFmtId="199" fontId="130" fillId="2" borderId="1" xfId="1" applyFont="1" applyFill="1" applyBorder="1" applyAlignment="1">
      <alignment vertical="center"/>
    </xf>
    <xf numFmtId="0" fontId="16" fillId="2" borderId="0" xfId="0" applyFont="1" applyFill="1" applyAlignment="1"/>
    <xf numFmtId="0" fontId="16" fillId="2" borderId="0" xfId="0" applyFont="1" applyFill="1" applyAlignment="1">
      <alignment vertical="center"/>
    </xf>
    <xf numFmtId="0" fontId="100" fillId="12" borderId="0" xfId="0" applyFont="1" applyFill="1" applyAlignment="1">
      <alignment vertical="center"/>
    </xf>
    <xf numFmtId="0" fontId="128" fillId="12" borderId="0" xfId="0" applyFont="1" applyFill="1" applyAlignment="1">
      <alignment vertical="center"/>
    </xf>
    <xf numFmtId="0" fontId="137" fillId="24" borderId="40" xfId="0" applyFont="1" applyFill="1" applyBorder="1" applyAlignment="1">
      <alignment horizontal="left" vertical="center" indent="1"/>
    </xf>
    <xf numFmtId="0" fontId="26" fillId="24" borderId="39" xfId="0" applyFont="1" applyFill="1" applyBorder="1"/>
    <xf numFmtId="191" fontId="26" fillId="24" borderId="39" xfId="2" applyFont="1" applyFill="1" applyBorder="1"/>
    <xf numFmtId="191" fontId="26" fillId="24" borderId="41" xfId="2" applyFont="1" applyFill="1" applyBorder="1"/>
    <xf numFmtId="0" fontId="26" fillId="23" borderId="0" xfId="0" applyFont="1" applyFill="1" applyBorder="1"/>
    <xf numFmtId="0" fontId="26" fillId="23" borderId="36" xfId="0" applyFont="1" applyFill="1" applyBorder="1"/>
    <xf numFmtId="191" fontId="26" fillId="23" borderId="36" xfId="2" applyFont="1" applyFill="1" applyBorder="1"/>
    <xf numFmtId="0" fontId="26" fillId="23" borderId="46" xfId="0" applyFont="1" applyFill="1" applyBorder="1"/>
    <xf numFmtId="0" fontId="26" fillId="23" borderId="47" xfId="0" applyFont="1" applyFill="1" applyBorder="1"/>
    <xf numFmtId="0" fontId="137" fillId="23" borderId="42" xfId="0" applyFont="1" applyFill="1" applyBorder="1" applyAlignment="1">
      <alignment horizontal="left" vertical="center" indent="1"/>
    </xf>
    <xf numFmtId="191" fontId="26" fillId="23" borderId="43" xfId="2" applyFont="1" applyFill="1" applyBorder="1"/>
    <xf numFmtId="192" fontId="26" fillId="23" borderId="0" xfId="2" applyNumberFormat="1" applyFont="1" applyFill="1" applyBorder="1"/>
    <xf numFmtId="0" fontId="98" fillId="23" borderId="0" xfId="0" applyFont="1" applyFill="1" applyBorder="1"/>
    <xf numFmtId="192" fontId="98" fillId="23" borderId="0" xfId="2" applyNumberFormat="1" applyFont="1" applyFill="1" applyBorder="1"/>
    <xf numFmtId="191" fontId="26" fillId="23" borderId="0" xfId="0" applyNumberFormat="1" applyFont="1" applyFill="1" applyBorder="1"/>
    <xf numFmtId="194" fontId="0" fillId="6" borderId="0" xfId="2" applyNumberFormat="1" applyFont="1" applyFill="1" applyAlignment="1">
      <alignment horizontal="left"/>
    </xf>
    <xf numFmtId="0" fontId="138" fillId="0" borderId="0" xfId="0" applyFont="1" applyAlignment="1">
      <alignment vertical="center"/>
    </xf>
    <xf numFmtId="0" fontId="139" fillId="0" borderId="0" xfId="0" applyFont="1" applyAlignment="1">
      <alignment vertical="center"/>
    </xf>
    <xf numFmtId="0" fontId="0" fillId="0" borderId="0" xfId="0"/>
    <xf numFmtId="0" fontId="0" fillId="0" borderId="0" xfId="0"/>
    <xf numFmtId="0" fontId="10" fillId="6" borderId="0" xfId="0" applyFont="1" applyFill="1" applyBorder="1"/>
    <xf numFmtId="0" fontId="0" fillId="0" borderId="0" xfId="0" applyFill="1" applyAlignment="1">
      <alignment horizontal="right"/>
    </xf>
    <xf numFmtId="0" fontId="14" fillId="26" borderId="40" xfId="0" applyFont="1" applyFill="1" applyBorder="1" applyAlignment="1">
      <alignment horizontal="left" vertical="center" indent="1"/>
    </xf>
    <xf numFmtId="0" fontId="0" fillId="26" borderId="39" xfId="0" applyFill="1" applyBorder="1"/>
    <xf numFmtId="0" fontId="0" fillId="26" borderId="41" xfId="0" applyFill="1" applyBorder="1"/>
    <xf numFmtId="0" fontId="0" fillId="27" borderId="46" xfId="0" applyFill="1" applyBorder="1"/>
    <xf numFmtId="0" fontId="0" fillId="27" borderId="0" xfId="0" applyFill="1" applyBorder="1"/>
    <xf numFmtId="0" fontId="0" fillId="27" borderId="47" xfId="0" applyFill="1" applyBorder="1"/>
    <xf numFmtId="0" fontId="13" fillId="27" borderId="46" xfId="0" applyFont="1" applyFill="1" applyBorder="1"/>
    <xf numFmtId="0" fontId="18" fillId="27" borderId="15" xfId="0" applyFont="1" applyFill="1" applyBorder="1" applyAlignment="1">
      <alignment vertical="center"/>
    </xf>
    <xf numFmtId="0" fontId="0" fillId="27" borderId="0" xfId="0" applyFill="1" applyBorder="1" applyAlignment="1">
      <alignment vertical="center"/>
    </xf>
    <xf numFmtId="0" fontId="0" fillId="27" borderId="0" xfId="0" applyFont="1" applyFill="1" applyBorder="1" applyAlignment="1">
      <alignment vertical="center"/>
    </xf>
    <xf numFmtId="192" fontId="0" fillId="27" borderId="0" xfId="2" applyNumberFormat="1" applyFont="1" applyFill="1" applyBorder="1" applyAlignment="1">
      <alignment vertical="center"/>
    </xf>
    <xf numFmtId="0" fontId="0" fillId="27" borderId="30" xfId="0" applyFill="1" applyBorder="1"/>
    <xf numFmtId="0" fontId="0" fillId="0" borderId="0" xfId="0"/>
    <xf numFmtId="0" fontId="0" fillId="0" borderId="0" xfId="0"/>
    <xf numFmtId="0" fontId="0" fillId="22" borderId="0" xfId="0" applyFill="1"/>
    <xf numFmtId="0" fontId="119" fillId="2" borderId="0" xfId="0" applyFont="1" applyFill="1" applyBorder="1" applyAlignment="1">
      <alignment vertical="center"/>
    </xf>
    <xf numFmtId="0" fontId="13" fillId="2" borderId="0" xfId="0" applyFont="1" applyFill="1" applyBorder="1"/>
    <xf numFmtId="0" fontId="114" fillId="6" borderId="44" xfId="4" applyNumberFormat="1" applyFont="1" applyFill="1" applyBorder="1"/>
    <xf numFmtId="9" fontId="0" fillId="6" borderId="30" xfId="0" applyNumberFormat="1" applyFill="1" applyBorder="1" applyAlignment="1">
      <alignment vertical="center"/>
    </xf>
    <xf numFmtId="199" fontId="29" fillId="6" borderId="30" xfId="1" applyFont="1" applyFill="1" applyBorder="1" applyAlignment="1">
      <alignment vertical="center"/>
    </xf>
    <xf numFmtId="199" fontId="29" fillId="6" borderId="65" xfId="1" applyFont="1" applyFill="1" applyBorder="1" applyAlignment="1">
      <alignment vertical="center"/>
    </xf>
    <xf numFmtId="0" fontId="114" fillId="6" borderId="42" xfId="4" applyNumberFormat="1" applyFont="1" applyFill="1" applyBorder="1"/>
    <xf numFmtId="0" fontId="0" fillId="6" borderId="66" xfId="0" applyFill="1" applyBorder="1" applyAlignment="1">
      <alignment vertical="center"/>
    </xf>
    <xf numFmtId="9" fontId="0" fillId="6" borderId="66" xfId="0" applyNumberFormat="1" applyFill="1" applyBorder="1" applyAlignment="1">
      <alignment vertical="center"/>
    </xf>
    <xf numFmtId="199" fontId="29" fillId="6" borderId="66" xfId="1" applyFont="1" applyFill="1" applyBorder="1" applyAlignment="1">
      <alignment vertical="center"/>
    </xf>
    <xf numFmtId="199" fontId="29" fillId="6" borderId="67" xfId="1" applyFont="1" applyFill="1" applyBorder="1" applyAlignment="1">
      <alignment vertical="center"/>
    </xf>
    <xf numFmtId="199" fontId="29" fillId="6" borderId="36" xfId="1" applyFont="1" applyFill="1" applyBorder="1" applyAlignment="1">
      <alignment vertical="center"/>
    </xf>
    <xf numFmtId="199" fontId="69" fillId="0" borderId="0" xfId="4" applyNumberFormat="1"/>
    <xf numFmtId="194" fontId="29" fillId="6" borderId="1" xfId="2" applyNumberFormat="1" applyFont="1" applyFill="1" applyBorder="1" applyAlignment="1">
      <alignment horizontal="right" vertical="center"/>
    </xf>
    <xf numFmtId="190" fontId="115" fillId="6" borderId="14" xfId="1" applyNumberFormat="1" applyFont="1" applyFill="1" applyBorder="1" applyAlignment="1">
      <alignment horizontal="right" vertical="center"/>
    </xf>
    <xf numFmtId="199" fontId="115" fillId="6" borderId="26" xfId="1" applyFont="1" applyFill="1" applyBorder="1" applyAlignment="1">
      <alignment horizontal="right" vertical="center"/>
    </xf>
    <xf numFmtId="0" fontId="0" fillId="22" borderId="0" xfId="0" applyFill="1" applyAlignment="1">
      <alignment vertical="center"/>
    </xf>
    <xf numFmtId="0" fontId="0" fillId="0" borderId="0" xfId="0"/>
    <xf numFmtId="2" fontId="13" fillId="2" borderId="0" xfId="1" applyNumberFormat="1" applyFont="1" applyFill="1"/>
    <xf numFmtId="206" fontId="21" fillId="0" borderId="0" xfId="0" applyNumberFormat="1" applyFont="1"/>
    <xf numFmtId="192" fontId="21" fillId="0" borderId="0" xfId="0" applyNumberFormat="1" applyFont="1"/>
    <xf numFmtId="0" fontId="14" fillId="26" borderId="39" xfId="0" applyFont="1" applyFill="1" applyBorder="1" applyAlignment="1">
      <alignment vertical="center"/>
    </xf>
    <xf numFmtId="0" fontId="0" fillId="27" borderId="42" xfId="0" applyFill="1" applyBorder="1"/>
    <xf numFmtId="0" fontId="0" fillId="27" borderId="36" xfId="0" applyFill="1" applyBorder="1"/>
    <xf numFmtId="0" fontId="0" fillId="27" borderId="43" xfId="0" applyFill="1" applyBorder="1"/>
    <xf numFmtId="0" fontId="21" fillId="27" borderId="0" xfId="0" applyFont="1" applyFill="1" applyBorder="1"/>
    <xf numFmtId="0" fontId="0" fillId="27" borderId="0" xfId="0" applyFill="1" applyBorder="1" applyAlignment="1">
      <alignment horizontal="right"/>
    </xf>
    <xf numFmtId="0" fontId="0" fillId="27" borderId="45" xfId="0" applyFill="1" applyBorder="1"/>
    <xf numFmtId="0" fontId="0" fillId="0" borderId="0" xfId="0"/>
    <xf numFmtId="191" fontId="0" fillId="27" borderId="0" xfId="2" applyNumberFormat="1" applyFont="1" applyFill="1" applyBorder="1" applyAlignment="1">
      <alignment vertical="center"/>
    </xf>
    <xf numFmtId="0" fontId="13" fillId="27" borderId="44" xfId="0" applyFont="1" applyFill="1" applyBorder="1"/>
    <xf numFmtId="0" fontId="140" fillId="0" borderId="0" xfId="0" applyFont="1" applyBorder="1"/>
    <xf numFmtId="0" fontId="140" fillId="0" borderId="0" xfId="0" applyFont="1" applyBorder="1" applyAlignment="1">
      <alignment vertical="center"/>
    </xf>
    <xf numFmtId="0" fontId="140" fillId="0" borderId="0" xfId="0" applyFont="1" applyBorder="1" applyAlignment="1">
      <alignment horizontal="left" vertical="center" wrapText="1"/>
    </xf>
    <xf numFmtId="0" fontId="0" fillId="0" borderId="0" xfId="0"/>
    <xf numFmtId="0" fontId="0" fillId="0" borderId="0" xfId="0"/>
    <xf numFmtId="192" fontId="29" fillId="6" borderId="24" xfId="2" applyNumberFormat="1" applyFont="1" applyFill="1" applyBorder="1" applyAlignment="1">
      <alignment horizontal="right" vertical="center"/>
    </xf>
    <xf numFmtId="192" fontId="29" fillId="6" borderId="15" xfId="2" applyNumberFormat="1" applyFont="1" applyFill="1" applyBorder="1" applyAlignment="1">
      <alignment horizontal="right" vertical="center"/>
    </xf>
    <xf numFmtId="191" fontId="11" fillId="25" borderId="60" xfId="8" applyNumberFormat="1" applyFont="1" applyBorder="1" applyAlignment="1">
      <alignment vertical="center"/>
    </xf>
    <xf numFmtId="191" fontId="11" fillId="25" borderId="0" xfId="8" applyNumberFormat="1" applyFont="1" applyBorder="1" applyAlignment="1">
      <alignment vertical="center"/>
    </xf>
    <xf numFmtId="191" fontId="11" fillId="25" borderId="62" xfId="8" applyNumberFormat="1" applyFont="1" applyBorder="1" applyAlignment="1">
      <alignment vertical="center"/>
    </xf>
    <xf numFmtId="191" fontId="11" fillId="25" borderId="1" xfId="8" applyNumberFormat="1" applyFont="1" applyBorder="1" applyAlignment="1">
      <alignment vertical="center"/>
    </xf>
    <xf numFmtId="192" fontId="0" fillId="0" borderId="0" xfId="0" applyNumberFormat="1"/>
    <xf numFmtId="199" fontId="8" fillId="2" borderId="0" xfId="1" applyFont="1" applyFill="1"/>
    <xf numFmtId="2" fontId="13" fillId="2" borderId="1" xfId="1" applyNumberFormat="1" applyFont="1" applyFill="1" applyBorder="1"/>
    <xf numFmtId="199" fontId="13" fillId="2" borderId="0" xfId="1" applyFont="1" applyFill="1" applyAlignment="1">
      <alignment horizontal="right" vertical="center"/>
    </xf>
    <xf numFmtId="192" fontId="13" fillId="2" borderId="0" xfId="2" applyNumberFormat="1" applyFont="1" applyFill="1" applyAlignment="1">
      <alignment horizontal="right" vertical="center"/>
    </xf>
    <xf numFmtId="192" fontId="13" fillId="2" borderId="0" xfId="2" applyNumberFormat="1" applyFont="1" applyFill="1" applyAlignment="1">
      <alignment horizontal="right"/>
    </xf>
    <xf numFmtId="192" fontId="13" fillId="2" borderId="1" xfId="2" applyNumberFormat="1" applyFont="1" applyFill="1" applyBorder="1" applyAlignment="1">
      <alignment horizontal="right" vertical="center"/>
    </xf>
    <xf numFmtId="192" fontId="13" fillId="2" borderId="1" xfId="2" applyNumberFormat="1" applyFont="1" applyFill="1" applyBorder="1" applyAlignment="1">
      <alignment horizontal="right"/>
    </xf>
    <xf numFmtId="0" fontId="0" fillId="0" borderId="0" xfId="0"/>
    <xf numFmtId="0" fontId="0" fillId="6" borderId="5" xfId="0" applyFill="1" applyBorder="1"/>
    <xf numFmtId="0" fontId="21" fillId="6" borderId="0" xfId="0" applyFont="1" applyFill="1" applyBorder="1" applyAlignment="1">
      <alignment horizontal="right"/>
    </xf>
    <xf numFmtId="0" fontId="0" fillId="0" borderId="0" xfId="0"/>
    <xf numFmtId="0" fontId="14" fillId="18" borderId="0" xfId="0" applyFont="1" applyFill="1" applyAlignment="1">
      <alignment vertical="center" wrapText="1"/>
    </xf>
    <xf numFmtId="192" fontId="11" fillId="0" borderId="0" xfId="2" applyNumberFormat="1" applyFont="1"/>
    <xf numFmtId="0" fontId="10" fillId="6" borderId="0" xfId="0" applyNumberFormat="1" applyFont="1" applyFill="1" applyBorder="1" applyAlignment="1">
      <alignment horizontal="right" vertical="center"/>
    </xf>
    <xf numFmtId="192" fontId="0" fillId="6" borderId="8" xfId="2" applyNumberFormat="1" applyFont="1" applyFill="1" applyBorder="1" applyAlignment="1">
      <alignment vertical="center"/>
    </xf>
    <xf numFmtId="9" fontId="10" fillId="6" borderId="0" xfId="0" applyNumberFormat="1" applyFont="1" applyFill="1" applyBorder="1" applyAlignment="1">
      <alignment horizontal="right" vertical="center"/>
    </xf>
    <xf numFmtId="0" fontId="0" fillId="0" borderId="0" xfId="0"/>
    <xf numFmtId="0" fontId="0" fillId="0" borderId="0" xfId="0"/>
    <xf numFmtId="0" fontId="14" fillId="18" borderId="0" xfId="0" applyFont="1" applyFill="1" applyAlignment="1">
      <alignment horizontal="center" vertical="center" wrapText="1"/>
    </xf>
    <xf numFmtId="0" fontId="0" fillId="23" borderId="0" xfId="0" applyFill="1"/>
    <xf numFmtId="0" fontId="32" fillId="23" borderId="0" xfId="6" applyFont="1" applyFill="1"/>
    <xf numFmtId="0" fontId="32" fillId="23" borderId="0" xfId="6" applyNumberFormat="1" applyFont="1" applyFill="1"/>
    <xf numFmtId="192" fontId="32" fillId="23" borderId="0" xfId="2" applyNumberFormat="1" applyFont="1" applyFill="1"/>
    <xf numFmtId="0" fontId="51" fillId="23" borderId="0" xfId="6" applyFont="1" applyFill="1"/>
    <xf numFmtId="0" fontId="0" fillId="23" borderId="0" xfId="0" applyFill="1" applyBorder="1"/>
    <xf numFmtId="0" fontId="51" fillId="23" borderId="0" xfId="6" applyNumberFormat="1" applyFont="1" applyFill="1"/>
    <xf numFmtId="0" fontId="21" fillId="23" borderId="0" xfId="0" applyFont="1" applyFill="1" applyBorder="1"/>
    <xf numFmtId="0" fontId="21" fillId="23" borderId="0" xfId="0" applyFont="1" applyFill="1" applyBorder="1" applyAlignment="1">
      <alignment horizontal="right"/>
    </xf>
    <xf numFmtId="0" fontId="0" fillId="0" borderId="0" xfId="0"/>
    <xf numFmtId="0" fontId="143" fillId="0" borderId="0" xfId="0" applyFont="1" applyBorder="1"/>
    <xf numFmtId="0" fontId="143" fillId="0" borderId="0" xfId="0" applyFont="1" applyBorder="1" applyAlignment="1">
      <alignment vertical="center"/>
    </xf>
    <xf numFmtId="0" fontId="143" fillId="0" borderId="0" xfId="0" applyFont="1" applyBorder="1" applyAlignment="1">
      <alignment horizontal="left" vertical="center" wrapText="1"/>
    </xf>
    <xf numFmtId="0" fontId="0" fillId="22" borderId="0" xfId="0" applyFill="1" applyBorder="1" applyAlignment="1">
      <alignment horizontal="right"/>
    </xf>
    <xf numFmtId="0" fontId="0" fillId="22" borderId="0" xfId="0" applyFill="1" applyBorder="1"/>
    <xf numFmtId="192" fontId="0" fillId="22" borderId="0" xfId="0" applyNumberFormat="1" applyFill="1" applyBorder="1" applyAlignment="1">
      <alignment horizontal="center"/>
    </xf>
    <xf numFmtId="0" fontId="0" fillId="22" borderId="0" xfId="0" applyFill="1" applyBorder="1" applyAlignment="1">
      <alignment horizontal="left"/>
    </xf>
    <xf numFmtId="0" fontId="144" fillId="28" borderId="0" xfId="229" applyFont="1" applyFill="1" applyBorder="1" applyAlignment="1">
      <alignment horizontal="right"/>
    </xf>
    <xf numFmtId="192" fontId="0" fillId="22" borderId="0" xfId="0" applyNumberFormat="1" applyFill="1" applyBorder="1" applyAlignment="1">
      <alignment horizontal="right"/>
    </xf>
    <xf numFmtId="199" fontId="0" fillId="15" borderId="0" xfId="0" applyNumberFormat="1" applyFill="1" applyBorder="1" applyAlignment="1">
      <alignment vertical="center"/>
    </xf>
    <xf numFmtId="0" fontId="0" fillId="15" borderId="0" xfId="0" applyFill="1" applyBorder="1" applyAlignment="1">
      <alignment horizontal="right" vertical="center"/>
    </xf>
    <xf numFmtId="199" fontId="26" fillId="23" borderId="0" xfId="1" applyFont="1" applyFill="1" applyBorder="1"/>
    <xf numFmtId="0" fontId="0" fillId="0" borderId="0" xfId="0"/>
    <xf numFmtId="0" fontId="0" fillId="0" borderId="0" xfId="0"/>
    <xf numFmtId="191" fontId="0" fillId="6" borderId="68" xfId="2" applyFont="1" applyFill="1" applyBorder="1" applyAlignment="1">
      <alignment vertical="center"/>
    </xf>
    <xf numFmtId="191" fontId="0" fillId="6" borderId="61" xfId="2" applyFont="1" applyFill="1" applyBorder="1" applyAlignment="1">
      <alignment vertical="center"/>
    </xf>
    <xf numFmtId="191" fontId="0" fillId="6" borderId="63" xfId="2" applyFont="1" applyFill="1" applyBorder="1" applyAlignment="1">
      <alignment vertical="center"/>
    </xf>
    <xf numFmtId="0" fontId="21" fillId="2" borderId="0" xfId="0" applyFont="1" applyFill="1" applyBorder="1"/>
    <xf numFmtId="191" fontId="21" fillId="2" borderId="0" xfId="2" applyFont="1" applyFill="1" applyBorder="1"/>
    <xf numFmtId="1" fontId="32" fillId="15" borderId="0" xfId="230" applyNumberFormat="1" applyFont="1" applyFill="1" applyAlignment="1">
      <alignment vertical="center"/>
    </xf>
    <xf numFmtId="1" fontId="32" fillId="15" borderId="0" xfId="230" applyNumberFormat="1" applyFont="1" applyFill="1" applyBorder="1" applyAlignment="1">
      <alignment vertical="center"/>
    </xf>
    <xf numFmtId="0" fontId="29" fillId="15" borderId="0" xfId="0" applyFont="1" applyFill="1" applyBorder="1"/>
    <xf numFmtId="0" fontId="32" fillId="15" borderId="0" xfId="6" applyFont="1" applyFill="1"/>
    <xf numFmtId="192" fontId="32" fillId="15" borderId="0" xfId="2" applyNumberFormat="1" applyFont="1" applyFill="1"/>
    <xf numFmtId="0" fontId="29" fillId="15" borderId="0" xfId="0" applyFont="1" applyFill="1" applyAlignment="1">
      <alignment vertical="center"/>
    </xf>
    <xf numFmtId="0" fontId="97" fillId="15" borderId="0" xfId="0" applyFont="1" applyFill="1" applyBorder="1" applyAlignment="1">
      <alignment vertical="center"/>
    </xf>
    <xf numFmtId="0" fontId="29" fillId="15" borderId="0" xfId="0" applyFont="1" applyFill="1" applyBorder="1" applyAlignment="1">
      <alignment vertical="center"/>
    </xf>
    <xf numFmtId="0" fontId="78" fillId="15" borderId="0" xfId="0" applyFont="1" applyFill="1" applyAlignment="1">
      <alignment vertical="center"/>
    </xf>
    <xf numFmtId="0" fontId="21" fillId="15" borderId="0" xfId="0" applyFont="1" applyFill="1" applyBorder="1" applyAlignment="1">
      <alignment horizontal="left" vertical="center"/>
    </xf>
    <xf numFmtId="0" fontId="78" fillId="15" borderId="0" xfId="0" applyFont="1" applyFill="1" applyAlignment="1">
      <alignment horizontal="left" vertical="center"/>
    </xf>
    <xf numFmtId="0" fontId="51" fillId="15" borderId="0" xfId="6" applyFont="1" applyFill="1" applyBorder="1" applyAlignment="1">
      <alignment horizontal="center" vertical="center"/>
    </xf>
    <xf numFmtId="1" fontId="0" fillId="15" borderId="0" xfId="0" applyNumberFormat="1" applyFill="1" applyBorder="1"/>
    <xf numFmtId="0" fontId="0" fillId="0" borderId="0" xfId="0"/>
    <xf numFmtId="0" fontId="0" fillId="0" borderId="0" xfId="0"/>
    <xf numFmtId="0" fontId="98" fillId="15" borderId="0" xfId="0" applyFont="1" applyFill="1" applyBorder="1"/>
    <xf numFmtId="192" fontId="0" fillId="15" borderId="47" xfId="0" applyNumberFormat="1" applyFill="1" applyBorder="1"/>
    <xf numFmtId="0" fontId="0" fillId="0" borderId="0" xfId="0"/>
    <xf numFmtId="0" fontId="21" fillId="11" borderId="29" xfId="0" applyFont="1" applyFill="1" applyBorder="1" applyAlignment="1">
      <alignment horizontal="center" textRotation="90"/>
    </xf>
    <xf numFmtId="0" fontId="0" fillId="0" borderId="60" xfId="0" applyBorder="1" applyAlignment="1">
      <alignment vertical="center"/>
    </xf>
    <xf numFmtId="0" fontId="0" fillId="0" borderId="60" xfId="0" applyBorder="1" applyAlignment="1">
      <alignment horizontal="left" vertical="center"/>
    </xf>
    <xf numFmtId="0" fontId="26" fillId="0" borderId="60" xfId="0" applyFont="1" applyBorder="1" applyAlignment="1">
      <alignment vertical="center"/>
    </xf>
    <xf numFmtId="0" fontId="0" fillId="0" borderId="0" xfId="0"/>
    <xf numFmtId="0" fontId="0" fillId="15" borderId="0" xfId="0" applyFont="1" applyFill="1" applyBorder="1" applyAlignment="1">
      <alignment horizontal="left" vertical="center"/>
    </xf>
    <xf numFmtId="0" fontId="0" fillId="0" borderId="0" xfId="0" applyFont="1" applyAlignment="1">
      <alignment horizontal="left" vertical="center"/>
    </xf>
    <xf numFmtId="0" fontId="29" fillId="15" borderId="0" xfId="4" applyNumberFormat="1" applyFont="1" applyFill="1" applyBorder="1"/>
    <xf numFmtId="0" fontId="51" fillId="15" borderId="0" xfId="6" applyFont="1" applyFill="1" applyBorder="1" applyAlignment="1">
      <alignment horizontal="right" vertical="center"/>
    </xf>
    <xf numFmtId="0" fontId="21" fillId="15" borderId="0" xfId="0" applyFont="1" applyFill="1" applyBorder="1" applyAlignment="1">
      <alignment vertical="center"/>
    </xf>
    <xf numFmtId="0" fontId="0" fillId="15" borderId="0" xfId="0" applyFont="1" applyFill="1" applyBorder="1" applyAlignment="1">
      <alignment horizontal="right" vertical="center"/>
    </xf>
    <xf numFmtId="0" fontId="78" fillId="15" borderId="0" xfId="0" applyFont="1" applyFill="1" applyBorder="1" applyAlignment="1">
      <alignment horizontal="left" vertical="center"/>
    </xf>
    <xf numFmtId="192" fontId="78" fillId="15" borderId="0" xfId="2" applyNumberFormat="1" applyFont="1" applyFill="1" applyBorder="1" applyAlignment="1">
      <alignment vertical="center"/>
    </xf>
    <xf numFmtId="199" fontId="97" fillId="15" borderId="0" xfId="1" applyFont="1" applyFill="1" applyBorder="1" applyAlignment="1">
      <alignment vertical="center"/>
    </xf>
    <xf numFmtId="0" fontId="29" fillId="15" borderId="0" xfId="0" applyFont="1" applyFill="1" applyBorder="1" applyAlignment="1">
      <alignment horizontal="right" vertical="center"/>
    </xf>
    <xf numFmtId="1" fontId="97" fillId="15" borderId="0" xfId="1" applyNumberFormat="1" applyFont="1" applyFill="1" applyBorder="1" applyAlignment="1">
      <alignment vertical="center"/>
    </xf>
    <xf numFmtId="0" fontId="97" fillId="15" borderId="0" xfId="0" applyFont="1" applyFill="1" applyBorder="1" applyAlignment="1">
      <alignment horizontal="right" vertical="center"/>
    </xf>
    <xf numFmtId="194" fontId="0" fillId="0" borderId="0" xfId="0" applyNumberFormat="1"/>
    <xf numFmtId="191" fontId="0" fillId="2" borderId="29" xfId="2" applyFont="1" applyFill="1" applyBorder="1" applyAlignment="1">
      <alignment vertical="center"/>
    </xf>
    <xf numFmtId="0" fontId="29" fillId="2" borderId="0" xfId="4" applyNumberFormat="1" applyFont="1" applyFill="1" applyBorder="1"/>
    <xf numFmtId="191" fontId="29" fillId="2" borderId="0" xfId="4" applyNumberFormat="1" applyFont="1" applyFill="1" applyBorder="1"/>
    <xf numFmtId="0" fontId="0" fillId="0" borderId="0" xfId="0"/>
    <xf numFmtId="1" fontId="26" fillId="15" borderId="0" xfId="0" applyNumberFormat="1" applyFont="1" applyFill="1" applyBorder="1"/>
    <xf numFmtId="0" fontId="0" fillId="0" borderId="0" xfId="0"/>
    <xf numFmtId="0" fontId="0" fillId="0" borderId="0" xfId="0"/>
    <xf numFmtId="0" fontId="128" fillId="19" borderId="0" xfId="0" applyFont="1" applyFill="1" applyAlignment="1">
      <alignment horizontal="left" vertical="top"/>
    </xf>
    <xf numFmtId="0" fontId="99" fillId="2" borderId="0" xfId="0" applyFont="1" applyFill="1" applyBorder="1" applyAlignment="1"/>
    <xf numFmtId="0" fontId="16" fillId="2" borderId="0" xfId="0" applyFont="1" applyFill="1" applyBorder="1" applyAlignment="1"/>
    <xf numFmtId="0" fontId="99" fillId="2" borderId="0" xfId="0" applyFont="1" applyFill="1" applyBorder="1" applyAlignment="1">
      <alignment vertical="center"/>
    </xf>
    <xf numFmtId="0" fontId="119" fillId="2" borderId="0" xfId="0" applyFont="1" applyFill="1" applyBorder="1" applyAlignment="1">
      <alignment horizontal="left" vertical="center"/>
    </xf>
    <xf numFmtId="0" fontId="104" fillId="2" borderId="0" xfId="0" applyFont="1" applyFill="1" applyBorder="1" applyAlignment="1">
      <alignment horizontal="right" vertical="center"/>
    </xf>
    <xf numFmtId="0" fontId="13" fillId="2" borderId="0" xfId="0" applyFont="1" applyFill="1" applyBorder="1" applyAlignment="1">
      <alignment horizontal="left" vertical="center"/>
    </xf>
    <xf numFmtId="0" fontId="78" fillId="15" borderId="0" xfId="0" applyFont="1" applyFill="1" applyBorder="1"/>
    <xf numFmtId="0" fontId="97" fillId="15" borderId="0" xfId="0" applyFont="1" applyFill="1" applyBorder="1"/>
    <xf numFmtId="0" fontId="0" fillId="0" borderId="0" xfId="0" applyFont="1" applyFill="1" applyBorder="1"/>
    <xf numFmtId="0" fontId="104" fillId="2" borderId="0" xfId="0" applyFont="1" applyFill="1" applyBorder="1" applyAlignment="1">
      <alignment vertical="center"/>
    </xf>
    <xf numFmtId="199" fontId="104" fillId="2" borderId="0" xfId="1" applyFont="1" applyFill="1" applyBorder="1" applyAlignment="1">
      <alignment vertical="center"/>
    </xf>
    <xf numFmtId="192" fontId="104" fillId="2" borderId="0" xfId="2" applyNumberFormat="1" applyFont="1" applyFill="1" applyBorder="1" applyAlignment="1">
      <alignment vertical="center"/>
    </xf>
    <xf numFmtId="0" fontId="93" fillId="2" borderId="0" xfId="0" applyFont="1" applyFill="1" applyAlignment="1">
      <alignment vertical="center"/>
    </xf>
    <xf numFmtId="0" fontId="0" fillId="0" borderId="0" xfId="0"/>
    <xf numFmtId="0" fontId="136" fillId="30" borderId="69" xfId="0" applyFont="1" applyFill="1" applyBorder="1" applyAlignment="1">
      <alignment vertical="center"/>
    </xf>
    <xf numFmtId="0" fontId="136" fillId="30" borderId="70" xfId="0" applyFont="1" applyFill="1" applyBorder="1" applyAlignment="1">
      <alignment horizontal="left" vertical="center" wrapText="1"/>
    </xf>
    <xf numFmtId="0" fontId="0" fillId="31" borderId="47" xfId="0" applyFill="1" applyBorder="1"/>
    <xf numFmtId="0" fontId="0" fillId="31" borderId="47" xfId="0" applyFill="1" applyBorder="1" applyAlignment="1">
      <alignment vertical="center"/>
    </xf>
    <xf numFmtId="0" fontId="0" fillId="31" borderId="0" xfId="0" applyFont="1" applyFill="1" applyBorder="1" applyAlignment="1">
      <alignment horizontal="left" vertical="center" wrapText="1"/>
    </xf>
    <xf numFmtId="0" fontId="21" fillId="0" borderId="58" xfId="0" applyFont="1" applyBorder="1" applyAlignment="1">
      <alignment horizontal="left" vertical="center"/>
    </xf>
    <xf numFmtId="0" fontId="21" fillId="0" borderId="8" xfId="0" applyFont="1" applyBorder="1" applyAlignment="1">
      <alignment horizontal="left" vertical="center"/>
    </xf>
    <xf numFmtId="0" fontId="21" fillId="0" borderId="8" xfId="0" applyFont="1" applyBorder="1" applyAlignment="1">
      <alignment horizontal="center" vertical="center"/>
    </xf>
    <xf numFmtId="0" fontId="21" fillId="0" borderId="59" xfId="0" applyFont="1" applyBorder="1" applyAlignment="1">
      <alignment horizontal="center" vertical="center"/>
    </xf>
    <xf numFmtId="11" fontId="0" fillId="0" borderId="61" xfId="2" applyNumberFormat="1" applyFont="1" applyBorder="1" applyAlignment="1">
      <alignment vertical="center"/>
    </xf>
    <xf numFmtId="0" fontId="0" fillId="0" borderId="62" xfId="0" applyBorder="1" applyAlignment="1">
      <alignment vertical="center"/>
    </xf>
    <xf numFmtId="11" fontId="0" fillId="0" borderId="63" xfId="2" applyNumberFormat="1" applyFont="1" applyBorder="1" applyAlignment="1">
      <alignment vertical="center"/>
    </xf>
    <xf numFmtId="0" fontId="21" fillId="27" borderId="0" xfId="0" applyFont="1" applyFill="1"/>
    <xf numFmtId="0" fontId="0" fillId="27" borderId="0" xfId="0" applyFill="1"/>
    <xf numFmtId="0" fontId="10" fillId="27" borderId="47" xfId="0" applyFont="1" applyFill="1" applyBorder="1" applyAlignment="1">
      <alignment vertical="center"/>
    </xf>
    <xf numFmtId="0" fontId="16" fillId="27" borderId="46" xfId="0" applyFont="1" applyFill="1" applyBorder="1"/>
    <xf numFmtId="170" fontId="0" fillId="27" borderId="47" xfId="0" applyNumberFormat="1" applyFill="1" applyBorder="1" applyAlignment="1">
      <alignment vertical="center"/>
    </xf>
    <xf numFmtId="0" fontId="16" fillId="27" borderId="44" xfId="0" applyFont="1" applyFill="1" applyBorder="1"/>
    <xf numFmtId="170" fontId="0" fillId="27" borderId="45" xfId="0" applyNumberFormat="1" applyFill="1" applyBorder="1" applyAlignment="1">
      <alignment vertical="center"/>
    </xf>
    <xf numFmtId="0" fontId="0" fillId="0" borderId="0" xfId="0"/>
    <xf numFmtId="0" fontId="0" fillId="0" borderId="0" xfId="0"/>
    <xf numFmtId="0" fontId="0" fillId="6" borderId="0" xfId="0" applyFill="1"/>
    <xf numFmtId="0" fontId="145" fillId="0" borderId="0" xfId="231" applyAlignment="1" applyProtection="1">
      <alignment vertical="center"/>
    </xf>
    <xf numFmtId="0" fontId="0" fillId="0" borderId="0" xfId="0"/>
    <xf numFmtId="0" fontId="145" fillId="6" borderId="0" xfId="231" applyFill="1" applyBorder="1" applyAlignment="1" applyProtection="1"/>
    <xf numFmtId="192" fontId="0" fillId="6" borderId="0" xfId="2" applyNumberFormat="1" applyFont="1" applyFill="1" applyBorder="1" applyAlignment="1">
      <alignment horizontal="right"/>
    </xf>
    <xf numFmtId="0" fontId="0" fillId="6" borderId="71" xfId="0" applyNumberFormat="1" applyFill="1" applyBorder="1" applyAlignment="1">
      <alignment horizontal="center" vertical="center"/>
    </xf>
    <xf numFmtId="0" fontId="0" fillId="6" borderId="71" xfId="0" applyFill="1" applyBorder="1" applyAlignment="1">
      <alignment vertical="center"/>
    </xf>
    <xf numFmtId="0" fontId="0" fillId="0" borderId="0" xfId="0"/>
    <xf numFmtId="0" fontId="18" fillId="0" borderId="0" xfId="0" applyNumberFormat="1" applyFont="1" applyFill="1" applyBorder="1" applyAlignment="1">
      <alignment horizontal="right" vertical="center"/>
    </xf>
    <xf numFmtId="0" fontId="0" fillId="0" borderId="0" xfId="0"/>
    <xf numFmtId="192" fontId="0" fillId="6" borderId="19" xfId="2" applyNumberFormat="1" applyFont="1" applyFill="1" applyBorder="1" applyAlignment="1">
      <alignment horizontal="right" vertical="center"/>
    </xf>
    <xf numFmtId="0" fontId="0" fillId="0" borderId="0" xfId="0"/>
    <xf numFmtId="0" fontId="0" fillId="0" borderId="0" xfId="0"/>
    <xf numFmtId="0" fontId="69" fillId="0" borderId="0" xfId="4" applyNumberFormat="1"/>
    <xf numFmtId="0" fontId="0" fillId="6" borderId="17" xfId="0" applyNumberFormat="1" applyFill="1" applyBorder="1" applyAlignment="1">
      <alignment vertical="center"/>
    </xf>
    <xf numFmtId="0" fontId="18" fillId="6" borderId="0" xfId="0" applyFont="1" applyFill="1" applyBorder="1" applyAlignment="1">
      <alignment vertical="center"/>
    </xf>
    <xf numFmtId="0" fontId="0" fillId="6" borderId="0" xfId="0" applyNumberFormat="1" applyFill="1" applyBorder="1" applyAlignment="1">
      <alignment vertical="center"/>
    </xf>
    <xf numFmtId="0" fontId="0" fillId="6" borderId="0" xfId="0" applyFill="1" applyBorder="1" applyAlignment="1">
      <alignment vertical="center"/>
    </xf>
    <xf numFmtId="0" fontId="0" fillId="6" borderId="0" xfId="0" applyFill="1" applyBorder="1"/>
    <xf numFmtId="0" fontId="21" fillId="6" borderId="0" xfId="0" applyFont="1" applyFill="1" applyBorder="1"/>
    <xf numFmtId="0" fontId="21" fillId="6" borderId="0" xfId="0" applyFont="1" applyFill="1" applyBorder="1" applyAlignment="1">
      <alignment vertical="center"/>
    </xf>
    <xf numFmtId="0" fontId="0" fillId="6" borderId="46" xfId="0" applyFill="1" applyBorder="1"/>
    <xf numFmtId="0" fontId="0" fillId="6" borderId="47" xfId="0" applyFill="1" applyBorder="1"/>
    <xf numFmtId="0" fontId="21" fillId="6" borderId="46" xfId="0" applyFont="1" applyFill="1" applyBorder="1"/>
    <xf numFmtId="0" fontId="106" fillId="0" borderId="0" xfId="0" applyFont="1"/>
    <xf numFmtId="0" fontId="14" fillId="9" borderId="40" xfId="0" applyFont="1" applyFill="1" applyBorder="1" applyAlignment="1">
      <alignment horizontal="left" vertical="center" indent="1"/>
    </xf>
    <xf numFmtId="0" fontId="0" fillId="9" borderId="39" xfId="0" applyFill="1" applyBorder="1"/>
    <xf numFmtId="0" fontId="0" fillId="9" borderId="41" xfId="0" applyFill="1" applyBorder="1"/>
    <xf numFmtId="0" fontId="0" fillId="0" borderId="0" xfId="0" applyAlignment="1">
      <alignment horizontal="right"/>
    </xf>
    <xf numFmtId="0" fontId="21" fillId="0" borderId="0" xfId="0" applyFont="1"/>
    <xf numFmtId="0" fontId="14" fillId="26" borderId="40" xfId="0" applyFont="1" applyFill="1" applyBorder="1" applyAlignment="1">
      <alignment horizontal="left" vertical="center" indent="1"/>
    </xf>
    <xf numFmtId="0" fontId="0" fillId="26" borderId="39" xfId="0" applyFill="1" applyBorder="1"/>
    <xf numFmtId="0" fontId="0" fillId="26" borderId="41" xfId="0" applyFill="1" applyBorder="1"/>
    <xf numFmtId="0" fontId="0" fillId="27" borderId="46" xfId="0" applyFill="1" applyBorder="1"/>
    <xf numFmtId="0" fontId="0" fillId="27" borderId="0" xfId="0" applyFill="1" applyBorder="1"/>
    <xf numFmtId="0" fontId="0" fillId="27" borderId="47" xfId="0" applyFill="1" applyBorder="1"/>
    <xf numFmtId="0" fontId="13" fillId="27" borderId="46" xfId="0" applyFont="1" applyFill="1" applyBorder="1"/>
    <xf numFmtId="0" fontId="18" fillId="27" borderId="15" xfId="0" applyFont="1" applyFill="1" applyBorder="1" applyAlignment="1">
      <alignment vertical="center"/>
    </xf>
    <xf numFmtId="0" fontId="0" fillId="27" borderId="0" xfId="0" applyFill="1" applyBorder="1" applyAlignment="1">
      <alignment vertical="center"/>
    </xf>
    <xf numFmtId="0" fontId="0" fillId="27" borderId="0" xfId="0" applyFont="1" applyFill="1" applyBorder="1" applyAlignment="1">
      <alignment vertical="center"/>
    </xf>
    <xf numFmtId="0" fontId="0" fillId="27" borderId="30" xfId="0" applyFill="1" applyBorder="1"/>
    <xf numFmtId="0" fontId="21" fillId="27" borderId="0" xfId="0" applyFont="1" applyFill="1"/>
    <xf numFmtId="0" fontId="0" fillId="27" borderId="0" xfId="0" applyFill="1"/>
    <xf numFmtId="0" fontId="10" fillId="27" borderId="47" xfId="0" applyFont="1" applyFill="1" applyBorder="1" applyAlignment="1">
      <alignment vertical="center"/>
    </xf>
    <xf numFmtId="0" fontId="16" fillId="27" borderId="46" xfId="0" applyFont="1" applyFill="1" applyBorder="1"/>
    <xf numFmtId="170" fontId="0" fillId="27" borderId="47" xfId="0" applyNumberFormat="1" applyFill="1" applyBorder="1" applyAlignment="1">
      <alignment vertical="center"/>
    </xf>
    <xf numFmtId="0" fontId="16" fillId="27" borderId="44" xfId="0" applyFont="1" applyFill="1" applyBorder="1"/>
    <xf numFmtId="0" fontId="0" fillId="0" borderId="0" xfId="0"/>
    <xf numFmtId="0" fontId="0" fillId="0" borderId="0" xfId="0"/>
    <xf numFmtId="0" fontId="0" fillId="0" borderId="0" xfId="0"/>
    <xf numFmtId="192" fontId="0" fillId="6" borderId="19" xfId="2" applyNumberFormat="1" applyFont="1" applyFill="1" applyBorder="1"/>
    <xf numFmtId="192" fontId="0" fillId="6" borderId="28" xfId="2" applyNumberFormat="1" applyFont="1" applyFill="1" applyBorder="1"/>
    <xf numFmtId="192" fontId="0" fillId="6" borderId="14" xfId="2" applyNumberFormat="1" applyFont="1" applyFill="1" applyBorder="1"/>
    <xf numFmtId="192" fontId="0" fillId="6" borderId="27" xfId="2" applyNumberFormat="1" applyFont="1" applyFill="1" applyBorder="1"/>
    <xf numFmtId="0" fontId="69" fillId="0" borderId="0" xfId="4" applyNumberFormat="1" applyFill="1" applyBorder="1"/>
    <xf numFmtId="0" fontId="0" fillId="0" borderId="0" xfId="0" applyFill="1" applyBorder="1" applyAlignment="1">
      <alignment horizontal="right"/>
    </xf>
    <xf numFmtId="0" fontId="0" fillId="0" borderId="0" xfId="0"/>
    <xf numFmtId="0" fontId="0" fillId="0" borderId="0" xfId="0"/>
    <xf numFmtId="0" fontId="0" fillId="0" borderId="0" xfId="0"/>
    <xf numFmtId="194" fontId="0" fillId="0" borderId="1" xfId="2" applyNumberFormat="1" applyFont="1" applyBorder="1"/>
    <xf numFmtId="0" fontId="21" fillId="0" borderId="58" xfId="0" applyFont="1" applyBorder="1"/>
    <xf numFmtId="0" fontId="0" fillId="0" borderId="0" xfId="0"/>
    <xf numFmtId="0" fontId="136" fillId="30" borderId="47" xfId="0" applyFont="1" applyFill="1" applyBorder="1" applyAlignment="1">
      <alignment vertical="center"/>
    </xf>
    <xf numFmtId="0" fontId="136" fillId="30" borderId="0" xfId="0" applyFont="1" applyFill="1" applyBorder="1" applyAlignment="1">
      <alignment horizontal="left" vertical="center" wrapText="1"/>
    </xf>
    <xf numFmtId="0" fontId="0" fillId="0" borderId="0" xfId="0"/>
    <xf numFmtId="0" fontId="29" fillId="6" borderId="0" xfId="0" applyFont="1" applyFill="1" applyBorder="1"/>
    <xf numFmtId="0" fontId="29" fillId="6" borderId="0" xfId="0" applyFont="1" applyFill="1" applyBorder="1" applyAlignment="1">
      <alignment vertical="center"/>
    </xf>
    <xf numFmtId="192" fontId="29" fillId="6" borderId="17" xfId="2" applyNumberFormat="1" applyFont="1" applyFill="1" applyBorder="1" applyAlignment="1">
      <alignment vertical="center"/>
    </xf>
    <xf numFmtId="0" fontId="0" fillId="0" borderId="0" xfId="0"/>
    <xf numFmtId="192" fontId="0" fillId="6" borderId="71" xfId="2" applyNumberFormat="1" applyFont="1" applyFill="1" applyBorder="1" applyAlignment="1">
      <alignment vertical="center"/>
    </xf>
    <xf numFmtId="192" fontId="0" fillId="6" borderId="72" xfId="2" applyNumberFormat="1" applyFont="1" applyFill="1" applyBorder="1" applyAlignment="1">
      <alignment vertical="center"/>
    </xf>
    <xf numFmtId="0" fontId="0" fillId="0" borderId="45" xfId="0" applyFont="1" applyFill="1" applyBorder="1"/>
    <xf numFmtId="0" fontId="0" fillId="0" borderId="0" xfId="0"/>
    <xf numFmtId="0" fontId="0" fillId="0" borderId="0" xfId="0"/>
    <xf numFmtId="0" fontId="0" fillId="0" borderId="0" xfId="0"/>
    <xf numFmtId="0" fontId="0" fillId="0" borderId="0" xfId="0"/>
    <xf numFmtId="0" fontId="0" fillId="0" borderId="0" xfId="0"/>
    <xf numFmtId="192" fontId="0" fillId="6" borderId="0" xfId="2" applyNumberFormat="1" applyFont="1" applyFill="1" applyBorder="1" applyAlignment="1">
      <alignment horizontal="center"/>
    </xf>
    <xf numFmtId="192" fontId="0" fillId="6" borderId="0" xfId="2" applyNumberFormat="1" applyFont="1" applyFill="1" applyBorder="1" applyAlignment="1"/>
    <xf numFmtId="192" fontId="29" fillId="6" borderId="1" xfId="2" applyNumberFormat="1" applyFont="1" applyFill="1" applyBorder="1" applyAlignment="1">
      <alignment vertical="center"/>
    </xf>
    <xf numFmtId="192" fontId="21" fillId="6" borderId="50" xfId="2" applyNumberFormat="1" applyFont="1" applyFill="1" applyBorder="1"/>
    <xf numFmtId="192" fontId="0" fillId="6" borderId="50" xfId="2" applyNumberFormat="1" applyFont="1" applyFill="1" applyBorder="1"/>
    <xf numFmtId="0" fontId="18" fillId="6" borderId="50" xfId="0" applyFont="1" applyFill="1" applyBorder="1" applyAlignment="1">
      <alignment horizontal="right"/>
    </xf>
    <xf numFmtId="192" fontId="121" fillId="6" borderId="19" xfId="2" applyNumberFormat="1" applyFont="1" applyFill="1" applyBorder="1" applyAlignment="1">
      <alignment vertical="center"/>
    </xf>
    <xf numFmtId="192" fontId="121" fillId="6" borderId="0" xfId="2" applyNumberFormat="1" applyFont="1" applyFill="1" applyBorder="1" applyAlignment="1">
      <alignment vertical="center"/>
    </xf>
    <xf numFmtId="192" fontId="121" fillId="6" borderId="0" xfId="2" applyNumberFormat="1" applyFont="1" applyFill="1" applyBorder="1"/>
    <xf numFmtId="192" fontId="121" fillId="6" borderId="19" xfId="2" applyNumberFormat="1" applyFont="1" applyFill="1" applyBorder="1" applyAlignment="1">
      <alignment horizontal="right" vertical="center"/>
    </xf>
    <xf numFmtId="192" fontId="121" fillId="6" borderId="0" xfId="2" applyNumberFormat="1" applyFont="1" applyFill="1" applyBorder="1" applyAlignment="1">
      <alignment horizontal="right" vertical="center"/>
    </xf>
    <xf numFmtId="192" fontId="121" fillId="6" borderId="20" xfId="2" applyNumberFormat="1" applyFont="1" applyFill="1" applyBorder="1" applyAlignment="1">
      <alignment horizontal="right" vertical="center"/>
    </xf>
    <xf numFmtId="192" fontId="121" fillId="6" borderId="17" xfId="2" applyNumberFormat="1" applyFont="1" applyFill="1" applyBorder="1" applyAlignment="1">
      <alignment horizontal="right" vertical="center"/>
    </xf>
    <xf numFmtId="192" fontId="10" fillId="6" borderId="0" xfId="2" applyNumberFormat="1" applyFont="1" applyFill="1" applyBorder="1" applyAlignment="1">
      <alignment horizontal="right"/>
    </xf>
    <xf numFmtId="0" fontId="21" fillId="0" borderId="0" xfId="0" applyFont="1" applyFill="1"/>
    <xf numFmtId="191" fontId="18" fillId="0" borderId="0" xfId="2" applyFont="1" applyFill="1" applyAlignment="1">
      <alignment horizontal="right"/>
    </xf>
    <xf numFmtId="0" fontId="21" fillId="0" borderId="0" xfId="0" quotePrefix="1" applyFont="1" applyFill="1"/>
    <xf numFmtId="0" fontId="18" fillId="0" borderId="0" xfId="0" applyFont="1" applyFill="1" applyAlignment="1">
      <alignment horizontal="center"/>
    </xf>
    <xf numFmtId="0" fontId="0" fillId="0" borderId="0" xfId="0" applyFont="1" applyFill="1" applyAlignment="1">
      <alignment horizontal="right"/>
    </xf>
    <xf numFmtId="0" fontId="0" fillId="0" borderId="0" xfId="0" applyFill="1" applyAlignment="1">
      <alignment horizontal="left"/>
    </xf>
    <xf numFmtId="0" fontId="0" fillId="0" borderId="0" xfId="0" applyFont="1" applyFill="1" applyAlignment="1">
      <alignment horizontal="left"/>
    </xf>
    <xf numFmtId="194" fontId="10" fillId="0" borderId="0" xfId="2" applyNumberFormat="1" applyFont="1" applyFill="1" applyAlignment="1">
      <alignment horizontal="right"/>
    </xf>
    <xf numFmtId="192" fontId="10" fillId="0" borderId="0" xfId="2" applyNumberFormat="1" applyFont="1" applyFill="1" applyAlignment="1">
      <alignment horizontal="right"/>
    </xf>
    <xf numFmtId="0" fontId="0" fillId="0" borderId="0" xfId="0"/>
    <xf numFmtId="2" fontId="10" fillId="0" borderId="0" xfId="0" applyNumberFormat="1" applyFont="1" applyFill="1" applyAlignment="1">
      <alignment horizontal="center"/>
    </xf>
    <xf numFmtId="2" fontId="10" fillId="0" borderId="0" xfId="2" applyNumberFormat="1" applyFont="1" applyAlignment="1">
      <alignment horizontal="right"/>
    </xf>
    <xf numFmtId="1" fontId="10" fillId="0" borderId="0" xfId="0" applyNumberFormat="1" applyFont="1" applyFill="1" applyAlignment="1">
      <alignment horizontal="center"/>
    </xf>
    <xf numFmtId="191" fontId="10" fillId="0" borderId="0" xfId="2" applyFont="1" applyFill="1" applyAlignment="1">
      <alignment horizontal="right"/>
    </xf>
    <xf numFmtId="3" fontId="10" fillId="0" borderId="0" xfId="2" applyNumberFormat="1" applyFont="1" applyFill="1" applyAlignment="1">
      <alignment horizontal="right"/>
    </xf>
    <xf numFmtId="0" fontId="0" fillId="0" borderId="0" xfId="0"/>
    <xf numFmtId="0" fontId="0" fillId="0" borderId="0" xfId="0"/>
    <xf numFmtId="0" fontId="0" fillId="6" borderId="0" xfId="0" applyFill="1" applyBorder="1" applyAlignment="1">
      <alignment horizontal="center" vertical="center"/>
    </xf>
    <xf numFmtId="0" fontId="0" fillId="6" borderId="30" xfId="0" applyNumberFormat="1" applyFill="1" applyBorder="1" applyAlignment="1">
      <alignment horizontal="right" vertical="center"/>
    </xf>
    <xf numFmtId="2" fontId="0" fillId="6" borderId="0" xfId="0" applyNumberFormat="1" applyFill="1" applyBorder="1"/>
    <xf numFmtId="0" fontId="0" fillId="0" borderId="0" xfId="0"/>
    <xf numFmtId="0" fontId="0" fillId="0" borderId="0" xfId="0"/>
    <xf numFmtId="0" fontId="0" fillId="0" borderId="0" xfId="0"/>
    <xf numFmtId="0" fontId="10" fillId="9" borderId="39" xfId="0" applyFont="1" applyFill="1" applyBorder="1" applyAlignment="1">
      <alignment vertical="center"/>
    </xf>
    <xf numFmtId="0" fontId="147" fillId="0" borderId="0" xfId="0" applyFont="1" applyBorder="1"/>
    <xf numFmtId="0" fontId="147" fillId="0" borderId="0" xfId="0" applyFont="1" applyBorder="1" applyAlignment="1">
      <alignment vertical="center"/>
    </xf>
    <xf numFmtId="0" fontId="147" fillId="0" borderId="0" xfId="0" applyFont="1" applyBorder="1" applyAlignment="1">
      <alignment horizontal="left" vertical="center" wrapText="1"/>
    </xf>
    <xf numFmtId="0" fontId="0" fillId="0" borderId="0" xfId="0"/>
    <xf numFmtId="0" fontId="0" fillId="0" borderId="0" xfId="0"/>
    <xf numFmtId="191" fontId="11" fillId="2" borderId="0" xfId="2" applyFont="1" applyFill="1" applyBorder="1"/>
    <xf numFmtId="0" fontId="0" fillId="0" borderId="0" xfId="0"/>
    <xf numFmtId="0" fontId="0" fillId="0" borderId="0" xfId="0"/>
    <xf numFmtId="0" fontId="0" fillId="0" borderId="0" xfId="0"/>
    <xf numFmtId="0" fontId="0" fillId="34" borderId="41" xfId="0" applyFont="1" applyFill="1" applyBorder="1" applyAlignment="1">
      <alignment horizontal="left" vertical="center"/>
    </xf>
    <xf numFmtId="0" fontId="0" fillId="34" borderId="45" xfId="0" applyFont="1" applyFill="1" applyBorder="1" applyAlignment="1">
      <alignment horizontal="left" vertical="center"/>
    </xf>
    <xf numFmtId="0" fontId="0" fillId="0" borderId="0" xfId="0"/>
    <xf numFmtId="0" fontId="0" fillId="0" borderId="0" xfId="0"/>
    <xf numFmtId="0" fontId="0" fillId="0" borderId="0" xfId="0" applyAlignment="1">
      <alignment vertical="center" wrapText="1"/>
    </xf>
    <xf numFmtId="0" fontId="13" fillId="2" borderId="0" xfId="0" applyFont="1" applyFill="1" applyBorder="1" applyAlignment="1">
      <alignment horizontal="center" vertical="center" wrapText="1"/>
    </xf>
    <xf numFmtId="0" fontId="21" fillId="18" borderId="0" xfId="0" applyFont="1" applyFill="1" applyAlignment="1">
      <alignment horizontal="center" textRotation="90"/>
    </xf>
    <xf numFmtId="0" fontId="21" fillId="11" borderId="73" xfId="0" applyFont="1" applyFill="1" applyBorder="1" applyAlignment="1">
      <alignment horizontal="center" textRotation="90"/>
    </xf>
    <xf numFmtId="0" fontId="0" fillId="2" borderId="0" xfId="0" applyFont="1" applyFill="1" applyBorder="1" applyAlignment="1">
      <alignment horizontal="center" vertical="center"/>
    </xf>
    <xf numFmtId="0" fontId="0" fillId="20" borderId="0" xfId="0" applyFont="1" applyFill="1" applyBorder="1" applyAlignment="1">
      <alignment horizontal="center" vertical="center"/>
    </xf>
    <xf numFmtId="0" fontId="18" fillId="18" borderId="0" xfId="0" applyFont="1" applyFill="1" applyAlignment="1">
      <alignment horizontal="center" vertical="center" wrapText="1"/>
    </xf>
    <xf numFmtId="0" fontId="138" fillId="0" borderId="0" xfId="0" applyFont="1" applyAlignment="1">
      <alignment horizontal="left" vertical="center"/>
    </xf>
    <xf numFmtId="0" fontId="32" fillId="0" borderId="0" xfId="6" applyAlignment="1">
      <alignment horizontal="left"/>
    </xf>
    <xf numFmtId="0" fontId="14" fillId="18" borderId="0" xfId="0" applyFont="1" applyFill="1" applyAlignment="1">
      <alignment horizontal="left" vertical="center"/>
    </xf>
    <xf numFmtId="0" fontId="14" fillId="18" borderId="0" xfId="0" applyFont="1" applyFill="1" applyAlignment="1">
      <alignment horizontal="left" vertical="center" wrapText="1"/>
    </xf>
    <xf numFmtId="0" fontId="119" fillId="0" borderId="0" xfId="0" applyFont="1" applyAlignment="1">
      <alignment vertical="center" wrapText="1"/>
    </xf>
    <xf numFmtId="0" fontId="119" fillId="0" borderId="47" xfId="0" applyFont="1" applyBorder="1" applyAlignment="1">
      <alignment vertical="center" wrapText="1"/>
    </xf>
    <xf numFmtId="0" fontId="119" fillId="0" borderId="0" xfId="0" applyFont="1" applyAlignment="1">
      <alignment vertical="center"/>
    </xf>
    <xf numFmtId="0" fontId="14" fillId="18" borderId="0" xfId="0" applyFont="1" applyFill="1" applyAlignment="1">
      <alignment horizontal="left"/>
    </xf>
    <xf numFmtId="0" fontId="18" fillId="18" borderId="0" xfId="0" applyFont="1" applyFill="1" applyAlignment="1"/>
    <xf numFmtId="0" fontId="0" fillId="0" borderId="0" xfId="0" applyAlignment="1"/>
    <xf numFmtId="0" fontId="18" fillId="18" borderId="0" xfId="0" applyFont="1" applyFill="1" applyAlignment="1">
      <alignment horizontal="center"/>
    </xf>
    <xf numFmtId="0" fontId="18" fillId="18" borderId="60" xfId="0" applyFont="1" applyFill="1" applyBorder="1" applyAlignment="1">
      <alignment horizontal="center"/>
    </xf>
    <xf numFmtId="0" fontId="0" fillId="2" borderId="0" xfId="0" applyFill="1" applyAlignment="1"/>
    <xf numFmtId="0" fontId="32" fillId="0" borderId="0" xfId="6" applyAlignment="1"/>
    <xf numFmtId="0" fontId="13" fillId="0" borderId="0" xfId="0" applyFont="1" applyAlignment="1">
      <alignment horizontal="left" vertical="center" wrapText="1"/>
    </xf>
    <xf numFmtId="0" fontId="0" fillId="0" borderId="0" xfId="0"/>
    <xf numFmtId="0" fontId="0" fillId="0" borderId="0" xfId="0"/>
    <xf numFmtId="0" fontId="0" fillId="0" borderId="0" xfId="0"/>
    <xf numFmtId="0" fontId="0" fillId="35" borderId="0" xfId="0" applyFill="1"/>
    <xf numFmtId="0" fontId="14" fillId="36" borderId="0" xfId="0" applyFont="1" applyFill="1"/>
    <xf numFmtId="0" fontId="0" fillId="36" borderId="0" xfId="0" applyFill="1"/>
    <xf numFmtId="0" fontId="0" fillId="35" borderId="77" xfId="0" applyFill="1" applyBorder="1"/>
    <xf numFmtId="0" fontId="0" fillId="35" borderId="74" xfId="0" applyNumberFormat="1" applyFill="1" applyBorder="1"/>
    <xf numFmtId="0" fontId="0" fillId="35" borderId="74" xfId="0" applyFill="1" applyBorder="1"/>
    <xf numFmtId="0" fontId="0" fillId="35" borderId="78" xfId="0" applyFill="1" applyBorder="1"/>
    <xf numFmtId="0" fontId="0" fillId="35" borderId="79" xfId="0" applyNumberFormat="1" applyFill="1" applyBorder="1"/>
    <xf numFmtId="0" fontId="29" fillId="35" borderId="80" xfId="0" applyFont="1" applyFill="1" applyBorder="1"/>
    <xf numFmtId="0" fontId="29" fillId="35" borderId="81" xfId="0" applyFont="1" applyFill="1" applyBorder="1"/>
    <xf numFmtId="0" fontId="29" fillId="35" borderId="82" xfId="0" applyFont="1" applyFill="1" applyBorder="1"/>
    <xf numFmtId="0" fontId="149" fillId="6" borderId="16" xfId="0" applyFont="1" applyFill="1" applyBorder="1" applyAlignment="1">
      <alignment vertical="center"/>
    </xf>
    <xf numFmtId="0" fontId="149" fillId="6" borderId="53" xfId="0" applyFont="1" applyFill="1" applyBorder="1" applyAlignment="1">
      <alignment vertical="center"/>
    </xf>
    <xf numFmtId="0" fontId="149" fillId="6" borderId="16" xfId="0" applyNumberFormat="1" applyFont="1" applyFill="1" applyBorder="1" applyAlignment="1">
      <alignment horizontal="right" vertical="center"/>
    </xf>
    <xf numFmtId="0" fontId="29" fillId="6" borderId="0" xfId="0" applyNumberFormat="1" applyFont="1" applyFill="1" applyBorder="1" applyAlignment="1">
      <alignment vertical="center"/>
    </xf>
    <xf numFmtId="9" fontId="29" fillId="6" borderId="51" xfId="0" applyNumberFormat="1" applyFont="1" applyFill="1" applyBorder="1" applyAlignment="1">
      <alignment vertical="center"/>
    </xf>
    <xf numFmtId="197" fontId="0" fillId="6" borderId="0" xfId="2" applyNumberFormat="1" applyFont="1" applyFill="1" applyBorder="1" applyAlignment="1">
      <alignment vertical="center"/>
    </xf>
    <xf numFmtId="0" fontId="149" fillId="6" borderId="15" xfId="0" applyFont="1" applyFill="1" applyBorder="1" applyAlignment="1">
      <alignment vertical="center"/>
    </xf>
    <xf numFmtId="0" fontId="149" fillId="6" borderId="83" xfId="0" applyFont="1" applyFill="1" applyBorder="1" applyAlignment="1">
      <alignment vertical="center"/>
    </xf>
    <xf numFmtId="0" fontId="149" fillId="6" borderId="15" xfId="0" applyNumberFormat="1" applyFont="1" applyFill="1" applyBorder="1" applyAlignment="1">
      <alignment horizontal="right" vertical="center"/>
    </xf>
    <xf numFmtId="0" fontId="0" fillId="35" borderId="0" xfId="0" applyFill="1" applyBorder="1"/>
    <xf numFmtId="0" fontId="21" fillId="35" borderId="0" xfId="0" applyFont="1" applyFill="1"/>
    <xf numFmtId="0" fontId="29" fillId="35" borderId="0" xfId="0" applyFont="1" applyFill="1"/>
    <xf numFmtId="0" fontId="29" fillId="35" borderId="78" xfId="0" applyFont="1" applyFill="1" applyBorder="1"/>
    <xf numFmtId="191" fontId="29" fillId="35" borderId="79" xfId="0" applyNumberFormat="1" applyFont="1" applyFill="1" applyBorder="1"/>
    <xf numFmtId="0" fontId="78" fillId="35" borderId="0" xfId="0" applyFont="1" applyFill="1"/>
    <xf numFmtId="0" fontId="29" fillId="35" borderId="77" xfId="0" applyFont="1" applyFill="1" applyBorder="1"/>
    <xf numFmtId="0" fontId="29" fillId="35" borderId="74" xfId="0" applyNumberFormat="1" applyFont="1" applyFill="1" applyBorder="1"/>
    <xf numFmtId="0" fontId="29" fillId="35" borderId="74" xfId="0" applyFont="1" applyFill="1" applyBorder="1"/>
    <xf numFmtId="191" fontId="29" fillId="35" borderId="74" xfId="0" applyNumberFormat="1" applyFont="1" applyFill="1" applyBorder="1"/>
    <xf numFmtId="0" fontId="29" fillId="35" borderId="79" xfId="0" applyNumberFormat="1" applyFont="1" applyFill="1" applyBorder="1"/>
    <xf numFmtId="0" fontId="13" fillId="35" borderId="46" xfId="0" applyFont="1" applyFill="1" applyBorder="1"/>
    <xf numFmtId="0" fontId="0" fillId="35" borderId="0" xfId="0" applyFill="1" applyBorder="1" applyAlignment="1">
      <alignment vertical="center"/>
    </xf>
    <xf numFmtId="191" fontId="0" fillId="35" borderId="0" xfId="2" applyFont="1" applyFill="1" applyBorder="1" applyAlignment="1">
      <alignment vertical="center"/>
    </xf>
    <xf numFmtId="0" fontId="0" fillId="35" borderId="47" xfId="0" applyFill="1" applyBorder="1"/>
    <xf numFmtId="191" fontId="0" fillId="35" borderId="0" xfId="0" applyNumberFormat="1" applyFont="1" applyFill="1" applyBorder="1" applyAlignment="1">
      <alignment vertical="center"/>
    </xf>
    <xf numFmtId="0" fontId="21" fillId="35" borderId="0" xfId="0" applyFont="1" applyFill="1" applyBorder="1"/>
    <xf numFmtId="0" fontId="0" fillId="35" borderId="0" xfId="0" applyFill="1" applyBorder="1" applyAlignment="1">
      <alignment horizontal="right"/>
    </xf>
    <xf numFmtId="0" fontId="18" fillId="35" borderId="15" xfId="0" applyFont="1" applyFill="1" applyBorder="1" applyAlignment="1">
      <alignment vertical="center"/>
    </xf>
    <xf numFmtId="0" fontId="29" fillId="35" borderId="85" xfId="0" applyFont="1" applyFill="1" applyBorder="1"/>
    <xf numFmtId="0" fontId="16" fillId="0" borderId="0" xfId="0" applyFont="1" applyFill="1" applyBorder="1"/>
    <xf numFmtId="170" fontId="0" fillId="0" borderId="0" xfId="0" applyNumberFormat="1" applyFill="1" applyBorder="1" applyAlignment="1">
      <alignment vertical="center"/>
    </xf>
    <xf numFmtId="0" fontId="29" fillId="35" borderId="75" xfId="0" applyFont="1" applyFill="1" applyBorder="1"/>
    <xf numFmtId="0" fontId="29" fillId="35" borderId="84" xfId="0" applyFont="1" applyFill="1" applyBorder="1"/>
    <xf numFmtId="0" fontId="29" fillId="35" borderId="76" xfId="0" applyFont="1" applyFill="1" applyBorder="1"/>
    <xf numFmtId="1" fontId="0" fillId="0" borderId="0" xfId="0" applyNumberFormat="1"/>
    <xf numFmtId="171" fontId="0" fillId="0" borderId="0" xfId="0" applyNumberFormat="1"/>
    <xf numFmtId="0" fontId="0" fillId="0" borderId="0" xfId="0"/>
    <xf numFmtId="0" fontId="0" fillId="0" borderId="0" xfId="0" applyBorder="1"/>
    <xf numFmtId="0" fontId="0" fillId="0" borderId="0" xfId="0"/>
    <xf numFmtId="0" fontId="0" fillId="0" borderId="62" xfId="0" applyBorder="1" applyAlignment="1">
      <alignment horizontal="left"/>
    </xf>
    <xf numFmtId="0" fontId="0" fillId="0" borderId="1" xfId="0" applyFill="1" applyBorder="1"/>
    <xf numFmtId="0" fontId="0" fillId="0" borderId="63" xfId="0" applyFill="1" applyBorder="1"/>
    <xf numFmtId="0" fontId="0" fillId="0" borderId="1" xfId="0" applyBorder="1" applyAlignment="1">
      <alignment horizontal="center"/>
    </xf>
    <xf numFmtId="0" fontId="0" fillId="0" borderId="60" xfId="0" applyFont="1" applyFill="1" applyBorder="1"/>
    <xf numFmtId="10" fontId="0" fillId="0" borderId="0" xfId="0" applyNumberFormat="1" applyFont="1" applyFill="1" applyBorder="1"/>
    <xf numFmtId="200" fontId="11" fillId="0" borderId="0" xfId="1" applyNumberFormat="1" applyFont="1" applyFill="1" applyBorder="1"/>
    <xf numFmtId="200" fontId="0" fillId="0" borderId="0" xfId="0" applyNumberFormat="1" applyFont="1" applyFill="1" applyBorder="1"/>
    <xf numFmtId="0" fontId="0" fillId="0" borderId="0" xfId="0" applyBorder="1"/>
    <xf numFmtId="0" fontId="0" fillId="0" borderId="0" xfId="0"/>
    <xf numFmtId="0" fontId="21" fillId="6" borderId="0" xfId="0" applyFont="1" applyFill="1" applyBorder="1" applyAlignment="1">
      <alignment horizontal="center"/>
    </xf>
    <xf numFmtId="0" fontId="18" fillId="27" borderId="0" xfId="0" applyFont="1" applyFill="1" applyBorder="1" applyAlignment="1">
      <alignment vertical="center"/>
    </xf>
    <xf numFmtId="0" fontId="0" fillId="0" borderId="0" xfId="0" applyFont="1" applyBorder="1" applyAlignment="1">
      <alignment horizontal="left" wrapText="1"/>
    </xf>
    <xf numFmtId="0" fontId="0" fillId="0" borderId="0" xfId="0" applyBorder="1" applyAlignment="1">
      <alignment horizontal="left" vertical="top" wrapText="1"/>
    </xf>
    <xf numFmtId="0" fontId="0" fillId="0" borderId="0" xfId="0" applyFont="1" applyBorder="1" applyAlignment="1">
      <alignment horizontal="right" vertical="top" wrapText="1"/>
    </xf>
    <xf numFmtId="0" fontId="0" fillId="0" borderId="0" xfId="0" applyFont="1" applyBorder="1" applyAlignment="1">
      <alignment horizontal="right" vertical="top"/>
    </xf>
    <xf numFmtId="0" fontId="0" fillId="0" borderId="0" xfId="0" applyFont="1" applyBorder="1" applyAlignment="1">
      <alignment horizontal="right" wrapText="1"/>
    </xf>
    <xf numFmtId="0" fontId="27" fillId="0" borderId="0" xfId="0" applyFont="1" applyBorder="1" applyAlignment="1">
      <alignment horizontal="right" vertical="top" wrapText="1"/>
    </xf>
    <xf numFmtId="0" fontId="27" fillId="0" borderId="0" xfId="0" applyFont="1" applyBorder="1" applyAlignment="1">
      <alignment horizontal="right" wrapText="1"/>
    </xf>
    <xf numFmtId="192" fontId="0" fillId="0" borderId="0" xfId="2" applyNumberFormat="1" applyFont="1" applyAlignment="1">
      <alignment horizontal="right"/>
    </xf>
    <xf numFmtId="0" fontId="0" fillId="6" borderId="14" xfId="0" applyNumberFormat="1" applyFill="1" applyBorder="1" applyAlignment="1">
      <alignment horizontal="left" vertical="center"/>
    </xf>
    <xf numFmtId="0" fontId="0" fillId="6" borderId="1" xfId="0" applyNumberFormat="1" applyFill="1" applyBorder="1" applyAlignment="1">
      <alignment horizontal="left" vertical="center"/>
    </xf>
    <xf numFmtId="1" fontId="97" fillId="15" borderId="0" xfId="1" applyNumberFormat="1" applyFont="1" applyFill="1" applyBorder="1" applyAlignment="1">
      <alignment horizontal="right" vertical="center"/>
    </xf>
    <xf numFmtId="0" fontId="149" fillId="6" borderId="87" xfId="0" applyFont="1" applyFill="1" applyBorder="1" applyAlignment="1">
      <alignment vertical="center"/>
    </xf>
    <xf numFmtId="0" fontId="149" fillId="6" borderId="87" xfId="0" applyNumberFormat="1" applyFont="1" applyFill="1" applyBorder="1" applyAlignment="1">
      <alignment horizontal="right" vertical="center"/>
    </xf>
    <xf numFmtId="0" fontId="29" fillId="6" borderId="88" xfId="0" applyNumberFormat="1" applyFont="1" applyFill="1" applyBorder="1" applyAlignment="1">
      <alignment vertical="center"/>
    </xf>
    <xf numFmtId="9" fontId="29" fillId="6" borderId="89" xfId="0" applyNumberFormat="1" applyFont="1" applyFill="1" applyBorder="1" applyAlignment="1">
      <alignment vertical="center"/>
    </xf>
    <xf numFmtId="0" fontId="21" fillId="0" borderId="0" xfId="0" applyFont="1" applyAlignment="1">
      <alignment horizontal="left" vertical="center"/>
    </xf>
    <xf numFmtId="0" fontId="21" fillId="0" borderId="0" xfId="0" applyFont="1" applyFill="1" applyBorder="1"/>
    <xf numFmtId="192" fontId="0" fillId="0" borderId="0" xfId="2" applyNumberFormat="1" applyFont="1" applyFill="1" applyBorder="1" applyAlignment="1">
      <alignment horizontal="right"/>
    </xf>
    <xf numFmtId="0" fontId="0" fillId="0" borderId="0" xfId="0" applyNumberFormat="1" applyFill="1" applyBorder="1" applyAlignment="1">
      <alignment horizontal="center" vertical="center"/>
    </xf>
    <xf numFmtId="192" fontId="0" fillId="0" borderId="0" xfId="2" applyNumberFormat="1" applyFont="1" applyFill="1" applyBorder="1"/>
    <xf numFmtId="0" fontId="26" fillId="0" borderId="0" xfId="0" applyFont="1" applyFill="1" applyBorder="1"/>
    <xf numFmtId="0" fontId="0" fillId="0" borderId="0" xfId="0" applyNumberFormat="1" applyFont="1" applyFill="1" applyBorder="1" applyAlignment="1">
      <alignment vertical="center"/>
    </xf>
    <xf numFmtId="191" fontId="0" fillId="0" borderId="0" xfId="2" applyFont="1" applyFill="1" applyBorder="1" applyAlignment="1">
      <alignment vertical="center"/>
    </xf>
    <xf numFmtId="0" fontId="69" fillId="6" borderId="0" xfId="4" applyNumberFormat="1" applyFill="1"/>
    <xf numFmtId="0" fontId="0" fillId="27" borderId="1" xfId="0" applyFill="1" applyBorder="1" applyAlignment="1">
      <alignment vertical="center"/>
    </xf>
    <xf numFmtId="0" fontId="0" fillId="27" borderId="1" xfId="0" applyFont="1" applyFill="1" applyBorder="1" applyAlignment="1">
      <alignment vertical="center"/>
    </xf>
    <xf numFmtId="0" fontId="0" fillId="6" borderId="8" xfId="0" applyFill="1" applyBorder="1"/>
    <xf numFmtId="0" fontId="18" fillId="6" borderId="8" xfId="0" applyFont="1" applyFill="1" applyBorder="1" applyAlignment="1">
      <alignment vertical="center"/>
    </xf>
    <xf numFmtId="0" fontId="0" fillId="6" borderId="5" xfId="0" applyFill="1" applyBorder="1" applyAlignment="1">
      <alignment vertical="center"/>
    </xf>
    <xf numFmtId="192" fontId="0" fillId="0" borderId="0" xfId="2" applyNumberFormat="1" applyFont="1" applyFill="1" applyBorder="1" applyAlignment="1">
      <alignment vertical="center"/>
    </xf>
    <xf numFmtId="1" fontId="0" fillId="0" borderId="0" xfId="0" applyNumberFormat="1" applyFill="1" applyBorder="1" applyAlignment="1">
      <alignment horizontal="right"/>
    </xf>
    <xf numFmtId="192" fontId="0" fillId="6" borderId="8" xfId="2" applyNumberFormat="1" applyFont="1" applyFill="1" applyBorder="1"/>
    <xf numFmtId="0" fontId="29" fillId="0" borderId="0" xfId="0" applyFont="1" applyFill="1" applyBorder="1"/>
    <xf numFmtId="0" fontId="0" fillId="0" borderId="0" xfId="0"/>
    <xf numFmtId="0" fontId="0" fillId="0" borderId="0" xfId="0" applyBorder="1"/>
    <xf numFmtId="0" fontId="0" fillId="0" borderId="0" xfId="0"/>
    <xf numFmtId="192" fontId="0" fillId="6" borderId="0" xfId="2" applyNumberFormat="1" applyFont="1" applyFill="1" applyBorder="1" applyAlignment="1">
      <alignment horizontal="left" vertical="center"/>
    </xf>
    <xf numFmtId="0" fontId="0" fillId="6" borderId="1" xfId="0" applyFill="1" applyBorder="1" applyAlignment="1">
      <alignment horizontal="center" vertical="center"/>
    </xf>
    <xf numFmtId="192" fontId="0" fillId="6" borderId="1" xfId="2" applyNumberFormat="1" applyFont="1" applyFill="1" applyBorder="1" applyAlignment="1">
      <alignment horizontal="left" vertical="center"/>
    </xf>
    <xf numFmtId="0" fontId="0" fillId="6" borderId="8" xfId="0" applyFill="1" applyBorder="1" applyAlignment="1">
      <alignment horizontal="center" vertical="center"/>
    </xf>
    <xf numFmtId="192" fontId="0" fillId="6" borderId="8" xfId="2" applyNumberFormat="1" applyFont="1" applyFill="1" applyBorder="1" applyAlignment="1">
      <alignment horizontal="left" vertical="center"/>
    </xf>
    <xf numFmtId="0" fontId="0" fillId="6" borderId="5" xfId="0" applyFill="1" applyBorder="1" applyAlignment="1">
      <alignment horizontal="center" vertical="center"/>
    </xf>
    <xf numFmtId="0" fontId="21" fillId="6" borderId="8" xfId="0" applyFont="1" applyFill="1" applyBorder="1" applyAlignment="1">
      <alignment horizontal="right"/>
    </xf>
    <xf numFmtId="192" fontId="21" fillId="6" borderId="8" xfId="2" applyNumberFormat="1" applyFont="1" applyFill="1" applyBorder="1"/>
    <xf numFmtId="0" fontId="18" fillId="6" borderId="8" xfId="0" applyFont="1" applyFill="1" applyBorder="1" applyAlignment="1">
      <alignment horizontal="right"/>
    </xf>
    <xf numFmtId="192" fontId="29" fillId="6" borderId="8" xfId="2" applyNumberFormat="1" applyFont="1" applyFill="1" applyBorder="1" applyAlignment="1">
      <alignment vertical="center"/>
    </xf>
    <xf numFmtId="192" fontId="10" fillId="6" borderId="5" xfId="2" applyNumberFormat="1" applyFont="1" applyFill="1" applyBorder="1" applyAlignment="1">
      <alignment horizontal="right"/>
    </xf>
    <xf numFmtId="192" fontId="21" fillId="6" borderId="5" xfId="2" applyNumberFormat="1" applyFont="1" applyFill="1" applyBorder="1"/>
    <xf numFmtId="192" fontId="0" fillId="6" borderId="5" xfId="2" applyNumberFormat="1" applyFont="1" applyFill="1" applyBorder="1"/>
    <xf numFmtId="0" fontId="21" fillId="6" borderId="5" xfId="0" applyFont="1" applyFill="1" applyBorder="1" applyAlignment="1">
      <alignment horizontal="right"/>
    </xf>
    <xf numFmtId="0" fontId="18" fillId="6" borderId="5" xfId="0" applyFont="1" applyFill="1" applyBorder="1" applyAlignment="1">
      <alignment horizontal="right"/>
    </xf>
    <xf numFmtId="192" fontId="10" fillId="6" borderId="1" xfId="2" applyNumberFormat="1" applyFont="1" applyFill="1" applyBorder="1" applyAlignment="1">
      <alignment horizontal="right"/>
    </xf>
    <xf numFmtId="192" fontId="10" fillId="6" borderId="8" xfId="2" applyNumberFormat="1" applyFont="1" applyFill="1" applyBorder="1" applyAlignment="1">
      <alignment horizontal="right"/>
    </xf>
    <xf numFmtId="192" fontId="21" fillId="6" borderId="0" xfId="2" applyNumberFormat="1" applyFont="1" applyFill="1" applyBorder="1"/>
    <xf numFmtId="192" fontId="29" fillId="6" borderId="5" xfId="2" applyNumberFormat="1" applyFont="1" applyFill="1" applyBorder="1" applyAlignment="1">
      <alignment vertical="center"/>
    </xf>
    <xf numFmtId="1" fontId="0" fillId="6" borderId="0" xfId="0" applyNumberFormat="1" applyFill="1" applyBorder="1"/>
    <xf numFmtId="1" fontId="0" fillId="6" borderId="8" xfId="0" applyNumberFormat="1" applyFill="1" applyBorder="1"/>
    <xf numFmtId="1" fontId="0" fillId="6" borderId="1" xfId="0" applyNumberFormat="1" applyFill="1" applyBorder="1"/>
    <xf numFmtId="0" fontId="0" fillId="0" borderId="0" xfId="0"/>
    <xf numFmtId="0" fontId="0" fillId="27" borderId="8" xfId="0" applyFill="1" applyBorder="1" applyAlignment="1">
      <alignment vertical="center"/>
    </xf>
    <xf numFmtId="0" fontId="0" fillId="27" borderId="8" xfId="0" applyFont="1" applyFill="1" applyBorder="1" applyAlignment="1">
      <alignment vertical="center"/>
    </xf>
    <xf numFmtId="192" fontId="0" fillId="27" borderId="8" xfId="2" applyNumberFormat="1" applyFont="1" applyFill="1" applyBorder="1" applyAlignment="1">
      <alignment vertical="center"/>
    </xf>
    <xf numFmtId="192" fontId="0" fillId="27" borderId="1" xfId="2" applyNumberFormat="1" applyFont="1" applyFill="1" applyBorder="1" applyAlignment="1">
      <alignment vertical="center"/>
    </xf>
    <xf numFmtId="0" fontId="0" fillId="0" borderId="0" xfId="0"/>
    <xf numFmtId="0" fontId="0" fillId="0" borderId="0" xfId="0" applyFill="1" applyAlignment="1">
      <alignment horizontal="left" indent="1"/>
    </xf>
    <xf numFmtId="0" fontId="18" fillId="0" borderId="0" xfId="0" applyFont="1" applyFill="1" applyBorder="1" applyAlignment="1">
      <alignment horizontal="right"/>
    </xf>
    <xf numFmtId="192" fontId="10" fillId="0" borderId="0" xfId="2" applyNumberFormat="1" applyFont="1" applyFill="1" applyBorder="1" applyAlignment="1">
      <alignment horizontal="right"/>
    </xf>
    <xf numFmtId="192" fontId="29" fillId="0" borderId="0" xfId="2" applyNumberFormat="1" applyFont="1" applyFill="1" applyBorder="1" applyAlignment="1">
      <alignment vertical="center"/>
    </xf>
    <xf numFmtId="192" fontId="21" fillId="6" borderId="0" xfId="2" applyNumberFormat="1" applyFont="1" applyFill="1" applyBorder="1" applyAlignment="1">
      <alignment horizontal="right"/>
    </xf>
    <xf numFmtId="0" fontId="21" fillId="6" borderId="0" xfId="0" applyFont="1" applyFill="1" applyAlignment="1">
      <alignment horizontal="right"/>
    </xf>
    <xf numFmtId="0" fontId="10" fillId="6" borderId="5" xfId="0" applyNumberFormat="1" applyFont="1" applyFill="1" applyBorder="1" applyAlignment="1">
      <alignment horizontal="left" vertical="center"/>
    </xf>
    <xf numFmtId="0" fontId="0" fillId="0" borderId="0" xfId="0"/>
    <xf numFmtId="0" fontId="0" fillId="0" borderId="0" xfId="0"/>
    <xf numFmtId="0" fontId="0" fillId="0" borderId="0" xfId="0"/>
    <xf numFmtId="0" fontId="0" fillId="0" borderId="0" xfId="0"/>
    <xf numFmtId="213" fontId="29" fillId="0" borderId="0" xfId="1" applyNumberFormat="1" applyFont="1" applyFill="1" applyBorder="1" applyAlignment="1">
      <alignment vertical="center"/>
    </xf>
    <xf numFmtId="0" fontId="149" fillId="0" borderId="0" xfId="0" applyFont="1" applyFill="1" applyBorder="1" applyAlignment="1">
      <alignment vertical="center"/>
    </xf>
    <xf numFmtId="0" fontId="149" fillId="0" borderId="0" xfId="0" applyNumberFormat="1" applyFont="1" applyFill="1" applyBorder="1" applyAlignment="1">
      <alignment horizontal="right" vertical="center"/>
    </xf>
    <xf numFmtId="0" fontId="29" fillId="0" borderId="0" xfId="0" applyNumberFormat="1" applyFont="1" applyFill="1" applyBorder="1" applyAlignment="1">
      <alignment vertical="center"/>
    </xf>
    <xf numFmtId="0" fontId="117" fillId="0" borderId="0" xfId="4" applyNumberFormat="1" applyFont="1" applyFill="1" applyBorder="1"/>
    <xf numFmtId="0" fontId="152" fillId="0" borderId="0" xfId="0" applyFont="1" applyFill="1" applyBorder="1" applyAlignment="1">
      <alignment horizontal="left"/>
    </xf>
    <xf numFmtId="0" fontId="153" fillId="0" borderId="0" xfId="0" applyFont="1" applyFill="1" applyBorder="1" applyAlignment="1">
      <alignment horizontal="left"/>
    </xf>
    <xf numFmtId="191" fontId="154" fillId="8" borderId="0" xfId="0" applyNumberFormat="1" applyFont="1" applyFill="1" applyBorder="1" applyAlignment="1">
      <alignment vertical="center"/>
    </xf>
    <xf numFmtId="215" fontId="153" fillId="0" borderId="0" xfId="0" applyNumberFormat="1" applyFont="1" applyFill="1" applyBorder="1" applyAlignment="1">
      <alignment horizontal="right"/>
    </xf>
    <xf numFmtId="177" fontId="153" fillId="0" borderId="0" xfId="0" applyNumberFormat="1" applyFont="1" applyFill="1" applyBorder="1" applyAlignment="1">
      <alignment horizontal="right"/>
    </xf>
    <xf numFmtId="0" fontId="153" fillId="0" borderId="0" xfId="0" applyFont="1" applyFill="1" applyBorder="1" applyAlignment="1">
      <alignment horizontal="right"/>
    </xf>
    <xf numFmtId="0" fontId="0" fillId="21" borderId="0" xfId="0" applyFill="1" applyAlignment="1"/>
    <xf numFmtId="0" fontId="0" fillId="0" borderId="0" xfId="0" applyFill="1" applyAlignment="1"/>
    <xf numFmtId="0" fontId="0" fillId="0" borderId="0" xfId="0" applyFill="1" applyBorder="1" applyAlignment="1"/>
    <xf numFmtId="0" fontId="155" fillId="0" borderId="0" xfId="0" applyFont="1" applyFill="1" applyBorder="1" applyAlignment="1">
      <alignment horizontal="left"/>
    </xf>
    <xf numFmtId="0" fontId="122" fillId="0" borderId="0" xfId="0" applyFont="1" applyFill="1" applyBorder="1" applyAlignment="1">
      <alignment horizontal="left"/>
    </xf>
    <xf numFmtId="177" fontId="0" fillId="6" borderId="1" xfId="0" applyNumberFormat="1" applyFill="1" applyBorder="1"/>
    <xf numFmtId="191" fontId="156" fillId="7" borderId="0" xfId="0" applyNumberFormat="1" applyFont="1" applyFill="1" applyBorder="1" applyAlignment="1">
      <alignment vertical="center"/>
    </xf>
    <xf numFmtId="8" fontId="153" fillId="0" borderId="0" xfId="0" applyNumberFormat="1" applyFont="1" applyFill="1" applyBorder="1" applyAlignment="1">
      <alignment horizontal="left"/>
    </xf>
    <xf numFmtId="0" fontId="169" fillId="0" borderId="0" xfId="0" applyFont="1" applyFill="1" applyBorder="1" applyAlignment="1">
      <alignment horizontal="left"/>
    </xf>
    <xf numFmtId="0" fontId="0" fillId="0" borderId="0" xfId="0" applyBorder="1"/>
    <xf numFmtId="0" fontId="0" fillId="0" borderId="0" xfId="0"/>
    <xf numFmtId="177" fontId="0" fillId="6" borderId="0" xfId="0" applyNumberFormat="1" applyFill="1" applyBorder="1"/>
    <xf numFmtId="177" fontId="0" fillId="6" borderId="8" xfId="0" applyNumberFormat="1" applyFill="1" applyBorder="1"/>
    <xf numFmtId="177" fontId="0" fillId="6" borderId="5" xfId="0" applyNumberFormat="1" applyFill="1" applyBorder="1"/>
    <xf numFmtId="2" fontId="0" fillId="6" borderId="5" xfId="0" applyNumberFormat="1" applyFill="1" applyBorder="1"/>
    <xf numFmtId="2" fontId="0" fillId="6" borderId="8" xfId="0" applyNumberFormat="1" applyFill="1" applyBorder="1"/>
    <xf numFmtId="2" fontId="0" fillId="6" borderId="1" xfId="0" applyNumberFormat="1" applyFill="1" applyBorder="1"/>
    <xf numFmtId="209" fontId="0" fillId="0" borderId="0" xfId="2" applyNumberFormat="1" applyFont="1" applyFill="1" applyBorder="1" applyAlignment="1">
      <alignment horizontal="center" vertical="center"/>
    </xf>
    <xf numFmtId="1" fontId="0" fillId="6" borderId="5" xfId="0" applyNumberFormat="1" applyFill="1" applyBorder="1"/>
    <xf numFmtId="2" fontId="0" fillId="6" borderId="0" xfId="2" applyNumberFormat="1" applyFont="1" applyFill="1" applyBorder="1"/>
    <xf numFmtId="2" fontId="0" fillId="6" borderId="0" xfId="2" applyNumberFormat="1" applyFont="1" applyFill="1" applyBorder="1" applyAlignment="1">
      <alignment horizontal="right"/>
    </xf>
    <xf numFmtId="2" fontId="18" fillId="6" borderId="8" xfId="0" applyNumberFormat="1" applyFont="1" applyFill="1" applyBorder="1" applyAlignment="1">
      <alignment horizontal="right"/>
    </xf>
    <xf numFmtId="2" fontId="0" fillId="6" borderId="0" xfId="0" applyNumberFormat="1" applyFill="1"/>
    <xf numFmtId="1" fontId="0" fillId="6" borderId="0" xfId="2" applyNumberFormat="1" applyFont="1" applyFill="1" applyBorder="1" applyAlignment="1">
      <alignment horizontal="right"/>
    </xf>
    <xf numFmtId="0" fontId="10" fillId="0" borderId="0" xfId="0" applyNumberFormat="1" applyFont="1" applyFill="1" applyBorder="1" applyAlignment="1">
      <alignment horizontal="right" vertical="center"/>
    </xf>
    <xf numFmtId="0" fontId="0" fillId="0" borderId="0" xfId="0"/>
    <xf numFmtId="0" fontId="0" fillId="0" borderId="0" xfId="0"/>
    <xf numFmtId="9" fontId="0" fillId="0" borderId="60" xfId="0" applyNumberFormat="1" applyBorder="1"/>
    <xf numFmtId="0" fontId="0" fillId="0" borderId="0" xfId="0" applyBorder="1"/>
    <xf numFmtId="192" fontId="0" fillId="0" borderId="0" xfId="0" applyNumberFormat="1" applyFill="1"/>
    <xf numFmtId="1" fontId="0" fillId="0" borderId="0" xfId="0" applyNumberFormat="1" applyFill="1" applyBorder="1"/>
    <xf numFmtId="1" fontId="0" fillId="0" borderId="0" xfId="0" applyNumberFormat="1" applyFill="1"/>
    <xf numFmtId="191" fontId="21" fillId="0" borderId="0" xfId="2" applyFont="1" applyFill="1" applyBorder="1" applyAlignment="1">
      <alignment vertical="center"/>
    </xf>
    <xf numFmtId="1" fontId="0" fillId="6" borderId="0" xfId="0" applyNumberFormat="1" applyFill="1"/>
    <xf numFmtId="0" fontId="0" fillId="0" borderId="0" xfId="0"/>
    <xf numFmtId="0" fontId="0" fillId="0" borderId="0" xfId="0"/>
    <xf numFmtId="0" fontId="21" fillId="6" borderId="0" xfId="0" applyFont="1" applyFill="1" applyBorder="1" applyAlignment="1">
      <alignment horizontal="center"/>
    </xf>
    <xf numFmtId="0" fontId="0" fillId="0" borderId="0" xfId="0"/>
    <xf numFmtId="0" fontId="29" fillId="6" borderId="21" xfId="0" applyNumberFormat="1" applyFont="1" applyFill="1" applyBorder="1" applyAlignment="1">
      <alignment vertical="center"/>
    </xf>
    <xf numFmtId="0" fontId="29" fillId="6" borderId="21" xfId="0" applyFont="1" applyFill="1" applyBorder="1" applyAlignment="1">
      <alignment vertical="center"/>
    </xf>
    <xf numFmtId="0" fontId="29" fillId="6" borderId="88" xfId="0" applyFont="1" applyFill="1" applyBorder="1"/>
    <xf numFmtId="213" fontId="29" fillId="6" borderId="88" xfId="1" applyNumberFormat="1" applyFont="1" applyFill="1" applyBorder="1" applyAlignment="1">
      <alignment vertical="center"/>
    </xf>
    <xf numFmtId="192" fontId="0" fillId="6" borderId="20" xfId="2" applyNumberFormat="1" applyFont="1" applyFill="1" applyBorder="1" applyAlignment="1">
      <alignment horizontal="right" vertical="center"/>
    </xf>
    <xf numFmtId="192" fontId="0" fillId="6" borderId="71" xfId="2" applyNumberFormat="1" applyFont="1" applyFill="1" applyBorder="1" applyAlignment="1">
      <alignment horizontal="right" vertical="center"/>
    </xf>
    <xf numFmtId="0" fontId="149" fillId="0" borderId="0" xfId="0" applyNumberFormat="1" applyFont="1" applyFill="1" applyBorder="1" applyAlignment="1">
      <alignment horizontal="left" vertical="center"/>
    </xf>
    <xf numFmtId="192" fontId="0" fillId="0" borderId="5" xfId="2" applyNumberFormat="1" applyFont="1" applyBorder="1"/>
    <xf numFmtId="1" fontId="10" fillId="6" borderId="5" xfId="2" applyNumberFormat="1" applyFont="1" applyFill="1" applyBorder="1" applyAlignment="1">
      <alignment horizontal="right"/>
    </xf>
    <xf numFmtId="1" fontId="29" fillId="6" borderId="8" xfId="2" applyNumberFormat="1" applyFont="1" applyFill="1" applyBorder="1" applyAlignment="1">
      <alignment vertical="center"/>
    </xf>
    <xf numFmtId="1" fontId="29" fillId="6" borderId="0" xfId="2" applyNumberFormat="1" applyFont="1" applyFill="1" applyBorder="1" applyAlignment="1">
      <alignment vertical="center"/>
    </xf>
    <xf numFmtId="1" fontId="29" fillId="6" borderId="1" xfId="2" applyNumberFormat="1" applyFont="1" applyFill="1" applyBorder="1" applyAlignment="1">
      <alignment vertical="center"/>
    </xf>
    <xf numFmtId="1" fontId="29" fillId="6" borderId="5" xfId="2" applyNumberFormat="1" applyFont="1" applyFill="1" applyBorder="1" applyAlignment="1">
      <alignment vertical="center"/>
    </xf>
    <xf numFmtId="1" fontId="18" fillId="6" borderId="8" xfId="0" applyNumberFormat="1" applyFont="1" applyFill="1" applyBorder="1" applyAlignment="1">
      <alignment horizontal="right"/>
    </xf>
    <xf numFmtId="1" fontId="10" fillId="6" borderId="8" xfId="2" applyNumberFormat="1" applyFont="1" applyFill="1" applyBorder="1" applyAlignment="1">
      <alignment horizontal="right"/>
    </xf>
    <xf numFmtId="1" fontId="18" fillId="6" borderId="5" xfId="0" applyNumberFormat="1" applyFont="1" applyFill="1" applyBorder="1" applyAlignment="1">
      <alignment horizontal="right"/>
    </xf>
    <xf numFmtId="1" fontId="11" fillId="0" borderId="0" xfId="2" applyNumberFormat="1" applyFont="1"/>
    <xf numFmtId="1" fontId="0" fillId="0" borderId="0" xfId="0" applyNumberFormat="1" applyAlignment="1">
      <alignment vertical="center"/>
    </xf>
    <xf numFmtId="192" fontId="11" fillId="15" borderId="0" xfId="2" applyNumberFormat="1" applyFont="1" applyFill="1" applyBorder="1" applyAlignment="1">
      <alignment vertical="center"/>
    </xf>
    <xf numFmtId="0" fontId="21" fillId="0" borderId="0" xfId="0" applyFont="1" applyFill="1" applyBorder="1" applyAlignment="1">
      <alignment horizontal="center"/>
    </xf>
    <xf numFmtId="1" fontId="29" fillId="0" borderId="0" xfId="2" applyNumberFormat="1" applyFont="1" applyFill="1" applyBorder="1" applyAlignment="1">
      <alignment vertical="center"/>
    </xf>
    <xf numFmtId="192" fontId="30" fillId="6" borderId="8" xfId="2" applyNumberFormat="1" applyFont="1" applyFill="1" applyBorder="1" applyAlignment="1">
      <alignment horizontal="right"/>
    </xf>
    <xf numFmtId="192" fontId="30" fillId="6" borderId="0" xfId="2" applyNumberFormat="1" applyFont="1" applyFill="1" applyBorder="1" applyAlignment="1">
      <alignment horizontal="right"/>
    </xf>
    <xf numFmtId="192" fontId="30" fillId="6" borderId="5" xfId="2" applyNumberFormat="1" applyFont="1" applyFill="1" applyBorder="1" applyAlignment="1">
      <alignment horizontal="right"/>
    </xf>
    <xf numFmtId="0" fontId="170" fillId="0" borderId="0" xfId="4" applyNumberFormat="1" applyFont="1" applyFill="1" applyBorder="1"/>
    <xf numFmtId="1" fontId="0" fillId="0" borderId="0" xfId="0" applyNumberFormat="1" applyFill="1" applyBorder="1" applyAlignment="1">
      <alignment horizontal="left"/>
    </xf>
    <xf numFmtId="0" fontId="114" fillId="0" borderId="0" xfId="4" applyNumberFormat="1" applyFont="1" applyFill="1" applyBorder="1"/>
    <xf numFmtId="3" fontId="27" fillId="0" borderId="0" xfId="0" applyNumberFormat="1" applyFont="1" applyFill="1" applyBorder="1"/>
    <xf numFmtId="0" fontId="0" fillId="0" borderId="0" xfId="0" applyFill="1" applyBorder="1" applyAlignment="1">
      <alignment horizontal="center"/>
    </xf>
    <xf numFmtId="0" fontId="3" fillId="0" borderId="0" xfId="830" applyFill="1" applyBorder="1"/>
    <xf numFmtId="177" fontId="3" fillId="0" borderId="0" xfId="830" applyNumberFormat="1" applyFill="1" applyBorder="1"/>
    <xf numFmtId="0" fontId="0" fillId="0" borderId="0" xfId="0"/>
    <xf numFmtId="0" fontId="137" fillId="23" borderId="46" xfId="0" applyFont="1" applyFill="1" applyBorder="1" applyAlignment="1">
      <alignment horizontal="left" vertical="center" indent="1"/>
    </xf>
    <xf numFmtId="191" fontId="26" fillId="23" borderId="0" xfId="2" applyFont="1" applyFill="1" applyBorder="1"/>
    <xf numFmtId="191" fontId="26" fillId="23" borderId="47" xfId="2" applyFont="1" applyFill="1" applyBorder="1"/>
    <xf numFmtId="0" fontId="0" fillId="23" borderId="0" xfId="0" applyFont="1" applyFill="1" applyBorder="1"/>
    <xf numFmtId="199" fontId="29" fillId="15" borderId="0" xfId="1" applyNumberFormat="1" applyFont="1" applyFill="1" applyBorder="1" applyAlignment="1">
      <alignment vertical="center"/>
    </xf>
    <xf numFmtId="0" fontId="0" fillId="0" borderId="0" xfId="0"/>
    <xf numFmtId="0" fontId="0" fillId="0" borderId="0" xfId="0"/>
    <xf numFmtId="0" fontId="0" fillId="0" borderId="0" xfId="0"/>
    <xf numFmtId="0" fontId="0" fillId="0" borderId="0" xfId="0"/>
    <xf numFmtId="192" fontId="0" fillId="0" borderId="0" xfId="2" applyNumberFormat="1" applyFont="1" applyBorder="1" applyAlignment="1">
      <alignment horizontal="right" vertical="top"/>
    </xf>
    <xf numFmtId="192" fontId="0" fillId="0" borderId="0" xfId="2" applyNumberFormat="1" applyFont="1" applyBorder="1" applyAlignment="1">
      <alignment horizontal="right" wrapText="1"/>
    </xf>
    <xf numFmtId="191" fontId="0" fillId="0" borderId="0" xfId="2" applyFont="1" applyFill="1" applyBorder="1" applyAlignment="1">
      <alignment horizontal="right" vertical="top"/>
    </xf>
    <xf numFmtId="192" fontId="0" fillId="0" borderId="0" xfId="2" applyNumberFormat="1" applyFont="1" applyFill="1" applyBorder="1" applyAlignment="1">
      <alignment horizontal="right" vertical="top"/>
    </xf>
    <xf numFmtId="177" fontId="0" fillId="0" borderId="0" xfId="0" applyNumberFormat="1" applyAlignment="1">
      <alignment horizontal="right"/>
    </xf>
    <xf numFmtId="0" fontId="171" fillId="0" borderId="0" xfId="0" applyFont="1"/>
    <xf numFmtId="0" fontId="0" fillId="2" borderId="0" xfId="0" applyFill="1" applyBorder="1" applyAlignment="1">
      <alignment horizontal="center" vertical="center"/>
    </xf>
    <xf numFmtId="0" fontId="10" fillId="6" borderId="23" xfId="0" applyNumberFormat="1" applyFont="1" applyFill="1" applyBorder="1" applyAlignment="1">
      <alignment horizontal="right" vertical="center"/>
    </xf>
    <xf numFmtId="192" fontId="0" fillId="6" borderId="5" xfId="2" applyNumberFormat="1" applyFont="1" applyFill="1" applyBorder="1" applyAlignment="1">
      <alignment vertical="center"/>
    </xf>
    <xf numFmtId="0" fontId="0" fillId="0" borderId="15" xfId="0" applyFill="1" applyBorder="1" applyAlignment="1">
      <alignment vertical="center"/>
    </xf>
    <xf numFmtId="177" fontId="0" fillId="0" borderId="0" xfId="1" applyNumberFormat="1" applyFont="1" applyFill="1" applyBorder="1" applyAlignment="1">
      <alignment vertical="center"/>
    </xf>
    <xf numFmtId="209" fontId="0" fillId="0" borderId="0" xfId="2" applyNumberFormat="1" applyFont="1" applyFill="1" applyBorder="1" applyAlignment="1">
      <alignment horizontal="center"/>
    </xf>
    <xf numFmtId="1" fontId="0" fillId="0" borderId="0" xfId="2" applyNumberFormat="1" applyFont="1" applyFill="1" applyBorder="1" applyAlignment="1">
      <alignment horizontal="right"/>
    </xf>
    <xf numFmtId="164" fontId="0" fillId="0" borderId="0" xfId="0" applyNumberFormat="1" applyFill="1" applyBorder="1" applyAlignment="1">
      <alignment vertical="center"/>
    </xf>
    <xf numFmtId="171" fontId="0" fillId="0" borderId="0" xfId="0" applyNumberFormat="1" applyFill="1" applyBorder="1" applyAlignment="1">
      <alignment vertical="center"/>
    </xf>
    <xf numFmtId="0" fontId="151" fillId="0" borderId="0" xfId="0" applyFont="1" applyFill="1" applyBorder="1"/>
    <xf numFmtId="0" fontId="151" fillId="0" borderId="0" xfId="0" quotePrefix="1" applyFont="1" applyFill="1" applyBorder="1"/>
    <xf numFmtId="206" fontId="0" fillId="0" borderId="0" xfId="0" applyNumberFormat="1" applyFill="1" applyBorder="1" applyAlignment="1">
      <alignment vertical="center"/>
    </xf>
    <xf numFmtId="0" fontId="29" fillId="0" borderId="0" xfId="0" applyFont="1" applyFill="1" applyBorder="1" applyAlignment="1">
      <alignment vertical="center"/>
    </xf>
    <xf numFmtId="2" fontId="0" fillId="0" borderId="0" xfId="0" applyNumberFormat="1" applyFill="1" applyBorder="1" applyAlignment="1">
      <alignment vertical="center"/>
    </xf>
    <xf numFmtId="171" fontId="0" fillId="0" borderId="0" xfId="0" applyNumberFormat="1" applyFill="1" applyBorder="1"/>
    <xf numFmtId="0" fontId="0" fillId="8" borderId="29" xfId="0" applyNumberFormat="1" applyFill="1" applyBorder="1" applyAlignment="1">
      <alignment horizontal="center" vertical="center"/>
    </xf>
    <xf numFmtId="0" fontId="0" fillId="8" borderId="47" xfId="0" applyNumberFormat="1" applyFill="1" applyBorder="1" applyAlignment="1">
      <alignment horizontal="center" vertical="center"/>
    </xf>
    <xf numFmtId="0" fontId="0" fillId="8" borderId="29" xfId="0" applyNumberFormat="1" applyFont="1" applyFill="1" applyBorder="1" applyAlignment="1">
      <alignment horizontal="center" vertical="center"/>
    </xf>
    <xf numFmtId="0" fontId="0" fillId="0" borderId="0" xfId="0"/>
    <xf numFmtId="0" fontId="21" fillId="0" borderId="90" xfId="0" applyFont="1" applyBorder="1" applyAlignment="1">
      <alignment horizontal="left"/>
    </xf>
    <xf numFmtId="0" fontId="21" fillId="0" borderId="5" xfId="0" applyFont="1" applyBorder="1" applyAlignment="1">
      <alignment horizontal="right"/>
    </xf>
    <xf numFmtId="0" fontId="21" fillId="0" borderId="90" xfId="0" applyFont="1" applyBorder="1" applyAlignment="1">
      <alignment horizontal="right"/>
    </xf>
    <xf numFmtId="0" fontId="21" fillId="0" borderId="91" xfId="0" applyFont="1" applyBorder="1" applyAlignment="1">
      <alignment horizontal="right"/>
    </xf>
    <xf numFmtId="0" fontId="0" fillId="0" borderId="62" xfId="0" applyFont="1" applyFill="1" applyBorder="1"/>
    <xf numFmtId="0" fontId="0" fillId="0" borderId="64" xfId="0" applyFont="1" applyFill="1" applyBorder="1"/>
    <xf numFmtId="9" fontId="0" fillId="0" borderId="60" xfId="0" applyNumberFormat="1" applyFill="1" applyBorder="1"/>
    <xf numFmtId="0" fontId="0" fillId="0" borderId="61" xfId="0" applyFill="1" applyBorder="1"/>
    <xf numFmtId="9" fontId="0" fillId="0" borderId="62" xfId="0" applyNumberFormat="1" applyFill="1" applyBorder="1"/>
    <xf numFmtId="0" fontId="0" fillId="0" borderId="0" xfId="0"/>
    <xf numFmtId="0" fontId="0" fillId="0" borderId="0" xfId="0"/>
    <xf numFmtId="0" fontId="0" fillId="8" borderId="0" xfId="0" applyFill="1" applyBorder="1" applyAlignment="1">
      <alignment horizontal="right" vertical="center"/>
    </xf>
    <xf numFmtId="191" fontId="21" fillId="2" borderId="0" xfId="2" applyFont="1" applyFill="1" applyBorder="1" applyAlignment="1">
      <alignment vertical="center"/>
    </xf>
    <xf numFmtId="0" fontId="173" fillId="8" borderId="0" xfId="0" applyFont="1" applyFill="1" applyBorder="1"/>
    <xf numFmtId="0" fontId="173" fillId="8" borderId="0" xfId="0" applyFont="1" applyFill="1" applyBorder="1" applyAlignment="1">
      <alignment horizontal="right" vertical="center"/>
    </xf>
    <xf numFmtId="191" fontId="174" fillId="8" borderId="0" xfId="4" applyNumberFormat="1" applyFont="1" applyFill="1" applyBorder="1"/>
    <xf numFmtId="191" fontId="173" fillId="8" borderId="0" xfId="2" applyFont="1" applyFill="1" applyBorder="1"/>
    <xf numFmtId="191" fontId="175" fillId="8" borderId="0" xfId="2" applyFont="1" applyFill="1" applyBorder="1" applyAlignment="1">
      <alignment vertical="center"/>
    </xf>
    <xf numFmtId="191" fontId="175" fillId="8" borderId="0" xfId="2" applyFont="1" applyFill="1" applyBorder="1"/>
    <xf numFmtId="191" fontId="176" fillId="8" borderId="0" xfId="2" applyFont="1" applyFill="1" applyBorder="1"/>
    <xf numFmtId="0" fontId="176" fillId="8" borderId="0" xfId="0" applyFont="1" applyFill="1" applyBorder="1"/>
    <xf numFmtId="191" fontId="175" fillId="8" borderId="30" xfId="2" applyFont="1" applyFill="1" applyBorder="1" applyAlignment="1">
      <alignment vertical="center"/>
    </xf>
    <xf numFmtId="191" fontId="175" fillId="0" borderId="0" xfId="2" applyFont="1" applyBorder="1" applyAlignment="1">
      <alignment vertical="center"/>
    </xf>
    <xf numFmtId="0" fontId="173" fillId="18" borderId="39" xfId="0" applyFont="1" applyFill="1" applyBorder="1"/>
    <xf numFmtId="0" fontId="173" fillId="2" borderId="36" xfId="0" applyFont="1" applyFill="1" applyBorder="1"/>
    <xf numFmtId="191" fontId="174" fillId="2" borderId="0" xfId="4" applyNumberFormat="1" applyFont="1" applyFill="1" applyBorder="1"/>
    <xf numFmtId="191" fontId="175" fillId="2" borderId="0" xfId="2" applyFont="1" applyFill="1" applyBorder="1" applyAlignment="1">
      <alignment vertical="center"/>
    </xf>
    <xf numFmtId="0" fontId="173" fillId="2" borderId="0" xfId="0" applyFont="1" applyFill="1" applyBorder="1"/>
    <xf numFmtId="0" fontId="176" fillId="2" borderId="0" xfId="0" applyFont="1" applyFill="1" applyBorder="1"/>
    <xf numFmtId="191" fontId="176" fillId="2" borderId="0" xfId="2" applyFont="1" applyFill="1" applyBorder="1" applyAlignment="1">
      <alignment vertical="center"/>
    </xf>
    <xf numFmtId="0" fontId="173" fillId="0" borderId="0" xfId="0" applyFont="1" applyFill="1" applyBorder="1"/>
    <xf numFmtId="191" fontId="173" fillId="0" borderId="0" xfId="2" applyFont="1" applyFill="1" applyBorder="1"/>
    <xf numFmtId="191" fontId="174" fillId="0" borderId="0" xfId="4" applyNumberFormat="1" applyFont="1" applyFill="1" applyBorder="1"/>
    <xf numFmtId="191" fontId="175" fillId="0" borderId="0" xfId="2" applyFont="1" applyFill="1" applyBorder="1" applyAlignment="1">
      <alignment vertical="center"/>
    </xf>
    <xf numFmtId="191" fontId="173" fillId="2" borderId="0" xfId="2" applyFont="1" applyFill="1" applyBorder="1"/>
    <xf numFmtId="191" fontId="173" fillId="2" borderId="0" xfId="4" applyNumberFormat="1" applyFont="1" applyFill="1" applyBorder="1"/>
    <xf numFmtId="191" fontId="175" fillId="2" borderId="0" xfId="2" applyFont="1" applyFill="1" applyBorder="1"/>
    <xf numFmtId="0" fontId="173" fillId="2" borderId="50" xfId="0" applyFont="1" applyFill="1" applyBorder="1"/>
    <xf numFmtId="0" fontId="173" fillId="2" borderId="0" xfId="4" applyNumberFormat="1" applyFont="1" applyFill="1" applyBorder="1"/>
    <xf numFmtId="0" fontId="175" fillId="2" borderId="14" xfId="0" applyFont="1" applyFill="1" applyBorder="1"/>
    <xf numFmtId="0" fontId="173" fillId="0" borderId="0" xfId="0" applyFont="1"/>
    <xf numFmtId="0" fontId="173" fillId="16" borderId="39" xfId="0" applyFont="1" applyFill="1" applyBorder="1"/>
    <xf numFmtId="0" fontId="173" fillId="15" borderId="0" xfId="0" applyFont="1" applyFill="1" applyBorder="1"/>
    <xf numFmtId="192" fontId="174" fillId="15" borderId="0" xfId="4" applyNumberFormat="1" applyFont="1" applyFill="1" applyBorder="1"/>
    <xf numFmtId="199" fontId="173" fillId="15" borderId="0" xfId="1" applyNumberFormat="1" applyFont="1" applyFill="1" applyBorder="1"/>
    <xf numFmtId="199" fontId="175" fillId="15" borderId="0" xfId="1" applyNumberFormat="1" applyFont="1" applyFill="1" applyBorder="1"/>
    <xf numFmtId="199" fontId="173" fillId="15" borderId="0" xfId="0" applyNumberFormat="1" applyFont="1" applyFill="1" applyBorder="1"/>
    <xf numFmtId="199" fontId="176" fillId="15" borderId="0" xfId="1" applyNumberFormat="1" applyFont="1" applyFill="1" applyBorder="1"/>
    <xf numFmtId="0" fontId="173" fillId="15" borderId="0" xfId="0" applyFont="1" applyFill="1" applyAlignment="1">
      <alignment vertical="center"/>
    </xf>
    <xf numFmtId="0" fontId="175" fillId="15" borderId="0" xfId="0" applyFont="1" applyFill="1" applyBorder="1" applyAlignment="1">
      <alignment horizontal="right" vertical="center"/>
    </xf>
    <xf numFmtId="0" fontId="173" fillId="15" borderId="0" xfId="0" applyFont="1" applyFill="1" applyBorder="1" applyAlignment="1">
      <alignment horizontal="right" vertical="center"/>
    </xf>
    <xf numFmtId="0" fontId="176" fillId="15" borderId="0" xfId="0" applyFont="1" applyFill="1" applyBorder="1"/>
    <xf numFmtId="192" fontId="173" fillId="15" borderId="0" xfId="2" applyNumberFormat="1" applyFont="1" applyFill="1" applyBorder="1"/>
    <xf numFmtId="192" fontId="173" fillId="15" borderId="0" xfId="0" applyNumberFormat="1" applyFont="1" applyFill="1" applyBorder="1"/>
    <xf numFmtId="192" fontId="175" fillId="15" borderId="0" xfId="0" applyNumberFormat="1" applyFont="1" applyFill="1" applyBorder="1"/>
    <xf numFmtId="192" fontId="176" fillId="15" borderId="0" xfId="2" applyNumberFormat="1" applyFont="1" applyFill="1" applyBorder="1"/>
    <xf numFmtId="0" fontId="173" fillId="15" borderId="0" xfId="0" applyFont="1" applyFill="1" applyBorder="1" applyAlignment="1">
      <alignment horizontal="center"/>
    </xf>
    <xf numFmtId="192" fontId="175" fillId="15" borderId="0" xfId="2" applyNumberFormat="1" applyFont="1" applyFill="1" applyBorder="1"/>
    <xf numFmtId="0" fontId="173" fillId="15" borderId="30" xfId="0" applyFont="1" applyFill="1" applyBorder="1"/>
    <xf numFmtId="0" fontId="173" fillId="15" borderId="0" xfId="0" applyFont="1" applyFill="1"/>
    <xf numFmtId="0" fontId="173" fillId="8" borderId="0" xfId="0" applyFont="1" applyFill="1" applyBorder="1" applyAlignment="1">
      <alignment horizontal="left" vertical="center"/>
    </xf>
    <xf numFmtId="191" fontId="177" fillId="8" borderId="0" xfId="4" applyNumberFormat="1" applyFont="1" applyFill="1" applyBorder="1"/>
    <xf numFmtId="0" fontId="174" fillId="8" borderId="0" xfId="4" applyNumberFormat="1" applyFont="1" applyFill="1" applyBorder="1"/>
    <xf numFmtId="177" fontId="175" fillId="2" borderId="14" xfId="0" applyNumberFormat="1" applyFont="1" applyFill="1" applyBorder="1"/>
    <xf numFmtId="0" fontId="0" fillId="0" borderId="0" xfId="0"/>
    <xf numFmtId="0" fontId="0" fillId="0" borderId="0" xfId="0"/>
    <xf numFmtId="0" fontId="21" fillId="11" borderId="47" xfId="0" applyFont="1" applyFill="1" applyBorder="1" applyAlignment="1">
      <alignment horizontal="center" textRotation="90"/>
    </xf>
    <xf numFmtId="0" fontId="21" fillId="11" borderId="29" xfId="0" applyFont="1" applyFill="1" applyBorder="1" applyAlignment="1">
      <alignment horizontal="left" textRotation="90"/>
    </xf>
    <xf numFmtId="0" fontId="96" fillId="63" borderId="29" xfId="0" applyFont="1" applyFill="1" applyBorder="1" applyAlignment="1">
      <alignment horizontal="center" vertical="center"/>
    </xf>
    <xf numFmtId="0" fontId="14" fillId="18" borderId="47" xfId="0" applyNumberFormat="1" applyFont="1" applyFill="1" applyBorder="1" applyAlignment="1">
      <alignment vertical="center" wrapText="1"/>
    </xf>
    <xf numFmtId="0" fontId="14" fillId="18" borderId="29" xfId="0" applyNumberFormat="1" applyFont="1" applyFill="1" applyBorder="1" applyAlignment="1">
      <alignment vertical="center" wrapText="1"/>
    </xf>
    <xf numFmtId="0" fontId="14" fillId="18" borderId="29" xfId="0" applyNumberFormat="1" applyFont="1" applyFill="1" applyBorder="1" applyAlignment="1">
      <alignment horizontal="center" vertical="center" wrapText="1"/>
    </xf>
    <xf numFmtId="0" fontId="172" fillId="64" borderId="29" xfId="0" applyFont="1" applyFill="1" applyBorder="1" applyAlignment="1">
      <alignment horizontal="center" vertical="center" wrapText="1"/>
    </xf>
    <xf numFmtId="0" fontId="0" fillId="8" borderId="47" xfId="0" applyNumberFormat="1" applyFont="1" applyFill="1" applyBorder="1" applyAlignment="1">
      <alignment horizontal="center" vertical="center"/>
    </xf>
    <xf numFmtId="0" fontId="96" fillId="0" borderId="0" xfId="0" applyFont="1" applyFill="1" applyBorder="1" applyAlignment="1">
      <alignment horizontal="center" vertical="center"/>
    </xf>
    <xf numFmtId="0" fontId="0" fillId="23" borderId="0" xfId="0" applyFont="1" applyFill="1" applyBorder="1" applyAlignment="1">
      <alignment horizontal="right"/>
    </xf>
    <xf numFmtId="9" fontId="0" fillId="23" borderId="0" xfId="0" applyNumberFormat="1" applyFont="1" applyFill="1" applyBorder="1" applyAlignment="1">
      <alignment horizontal="right"/>
    </xf>
    <xf numFmtId="9" fontId="0" fillId="23" borderId="0" xfId="0" applyNumberFormat="1" applyFont="1" applyFill="1" applyAlignment="1">
      <alignment horizontal="right"/>
    </xf>
    <xf numFmtId="0" fontId="29" fillId="23" borderId="0" xfId="6" applyNumberFormat="1" applyFont="1" applyFill="1"/>
    <xf numFmtId="9" fontId="0" fillId="23" borderId="0" xfId="2" applyNumberFormat="1" applyFont="1" applyFill="1" applyBorder="1" applyAlignment="1">
      <alignment horizontal="right"/>
    </xf>
    <xf numFmtId="0" fontId="29" fillId="23" borderId="0" xfId="6" applyFont="1" applyFill="1"/>
    <xf numFmtId="0" fontId="0" fillId="8" borderId="86" xfId="0" applyNumberFormat="1" applyFill="1" applyBorder="1" applyAlignment="1">
      <alignment horizontal="center" vertical="center"/>
    </xf>
    <xf numFmtId="0" fontId="14" fillId="18" borderId="86" xfId="0" applyNumberFormat="1" applyFont="1" applyFill="1" applyBorder="1" applyAlignment="1">
      <alignment vertical="center" wrapText="1"/>
    </xf>
    <xf numFmtId="0" fontId="0" fillId="8" borderId="86" xfId="0" applyNumberFormat="1" applyFont="1" applyFill="1" applyBorder="1" applyAlignment="1">
      <alignment horizontal="center" vertical="center"/>
    </xf>
    <xf numFmtId="0" fontId="13" fillId="2" borderId="36" xfId="0" applyFont="1" applyFill="1" applyBorder="1" applyAlignment="1">
      <alignment vertical="center"/>
    </xf>
    <xf numFmtId="0" fontId="103" fillId="0" borderId="0" xfId="0" applyFont="1" applyBorder="1" applyAlignment="1">
      <alignment horizontal="center" vertical="center"/>
    </xf>
    <xf numFmtId="0" fontId="103" fillId="0" borderId="0" xfId="0" applyFont="1" applyFill="1" applyBorder="1" applyAlignment="1">
      <alignment horizontal="center" vertical="center"/>
    </xf>
    <xf numFmtId="0" fontId="0" fillId="0" borderId="0" xfId="0"/>
    <xf numFmtId="199" fontId="0" fillId="0" borderId="0" xfId="1" applyNumberFormat="1" applyFont="1"/>
    <xf numFmtId="213" fontId="0" fillId="6" borderId="0" xfId="1" applyNumberFormat="1" applyFont="1" applyFill="1" applyBorder="1" applyAlignment="1">
      <alignment horizontal="right" vertical="center"/>
    </xf>
    <xf numFmtId="0" fontId="0" fillId="6" borderId="21" xfId="0" applyNumberFormat="1" applyFill="1" applyBorder="1" applyAlignment="1">
      <alignment horizontal="right" vertical="center"/>
    </xf>
    <xf numFmtId="9" fontId="115" fillId="6" borderId="21" xfId="1" applyNumberFormat="1" applyFont="1" applyFill="1" applyBorder="1" applyAlignment="1">
      <alignment vertical="center"/>
    </xf>
    <xf numFmtId="199" fontId="29" fillId="6" borderId="21" xfId="1" applyFont="1" applyFill="1" applyBorder="1" applyAlignment="1">
      <alignment horizontal="right" vertical="center"/>
    </xf>
    <xf numFmtId="9" fontId="29" fillId="6" borderId="22" xfId="1" applyNumberFormat="1" applyFont="1" applyFill="1" applyBorder="1" applyAlignment="1">
      <alignment horizontal="right" vertical="center"/>
    </xf>
    <xf numFmtId="9" fontId="29" fillId="6" borderId="21" xfId="1" applyNumberFormat="1" applyFont="1" applyFill="1" applyBorder="1" applyAlignment="1">
      <alignment horizontal="right" vertical="center"/>
    </xf>
    <xf numFmtId="9" fontId="29" fillId="6" borderId="21" xfId="1" applyNumberFormat="1" applyFont="1" applyFill="1" applyBorder="1" applyAlignment="1">
      <alignment vertical="center"/>
    </xf>
    <xf numFmtId="9" fontId="29" fillId="6" borderId="0" xfId="1" applyNumberFormat="1" applyFont="1" applyFill="1" applyBorder="1" applyAlignment="1">
      <alignment horizontal="right" vertical="center"/>
    </xf>
    <xf numFmtId="9" fontId="29" fillId="6" borderId="0" xfId="1" applyNumberFormat="1" applyFont="1" applyFill="1" applyBorder="1" applyAlignment="1">
      <alignment vertical="center"/>
    </xf>
    <xf numFmtId="191" fontId="121" fillId="6" borderId="0" xfId="2" applyNumberFormat="1" applyFont="1" applyFill="1" applyBorder="1" applyAlignment="1">
      <alignment horizontal="right" vertical="center"/>
    </xf>
    <xf numFmtId="199" fontId="121" fillId="6" borderId="0" xfId="1" applyFont="1" applyFill="1" applyBorder="1"/>
    <xf numFmtId="192" fontId="121" fillId="6" borderId="1" xfId="2" applyNumberFormat="1" applyFont="1" applyFill="1" applyBorder="1" applyAlignment="1">
      <alignment horizontal="right" vertical="center"/>
    </xf>
    <xf numFmtId="0" fontId="0" fillId="6" borderId="5" xfId="0" applyNumberFormat="1" applyFill="1" applyBorder="1" applyAlignment="1">
      <alignment horizontal="right" vertical="center"/>
    </xf>
    <xf numFmtId="192" fontId="121" fillId="6" borderId="100" xfId="2" applyNumberFormat="1" applyFont="1" applyFill="1" applyBorder="1" applyAlignment="1">
      <alignment horizontal="right" vertical="center"/>
    </xf>
    <xf numFmtId="2" fontId="10" fillId="6" borderId="8" xfId="2" applyNumberFormat="1" applyFont="1" applyFill="1" applyBorder="1" applyAlignment="1">
      <alignment horizontal="right"/>
    </xf>
    <xf numFmtId="0" fontId="119" fillId="0" borderId="0" xfId="0" applyFont="1" applyAlignment="1">
      <alignment horizontal="left" vertical="center" wrapText="1"/>
    </xf>
    <xf numFmtId="0" fontId="128" fillId="19" borderId="0" xfId="0" applyFont="1" applyFill="1" applyAlignment="1">
      <alignment horizontal="center" vertical="center"/>
    </xf>
    <xf numFmtId="0" fontId="13" fillId="0" borderId="0" xfId="0" applyFont="1" applyAlignment="1">
      <alignment horizontal="left" vertical="center" wrapText="1"/>
    </xf>
    <xf numFmtId="0" fontId="13" fillId="0" borderId="47" xfId="0" applyFont="1" applyBorder="1" applyAlignment="1">
      <alignment horizontal="left" vertical="center" wrapText="1"/>
    </xf>
    <xf numFmtId="177" fontId="21"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1" fontId="0" fillId="0" borderId="0" xfId="1" applyNumberFormat="1" applyFont="1" applyFill="1" applyBorder="1" applyAlignment="1">
      <alignment horizontal="center" vertical="center"/>
    </xf>
    <xf numFmtId="0" fontId="0" fillId="0" borderId="0" xfId="0" applyAlignment="1">
      <alignment horizontal="center"/>
    </xf>
    <xf numFmtId="0" fontId="21" fillId="6" borderId="0" xfId="0" applyFont="1" applyFill="1" applyBorder="1" applyAlignment="1">
      <alignment horizontal="center"/>
    </xf>
    <xf numFmtId="192" fontId="121" fillId="6" borderId="28" xfId="2" applyNumberFormat="1" applyFont="1" applyFill="1" applyBorder="1" applyAlignment="1">
      <alignment horizontal="center" vertical="center"/>
    </xf>
    <xf numFmtId="192" fontId="121" fillId="6" borderId="14" xfId="2" applyNumberFormat="1" applyFont="1" applyFill="1" applyBorder="1" applyAlignment="1">
      <alignment horizontal="center" vertical="center"/>
    </xf>
    <xf numFmtId="0" fontId="39" fillId="4" borderId="0" xfId="0" applyFont="1" applyFill="1" applyBorder="1" applyAlignment="1">
      <alignment horizontal="right"/>
    </xf>
    <xf numFmtId="0" fontId="41" fillId="4" borderId="4" xfId="0" applyFont="1" applyFill="1" applyBorder="1" applyAlignment="1">
      <alignment horizontal="center"/>
    </xf>
    <xf numFmtId="0" fontId="39" fillId="4" borderId="7" xfId="0" applyFont="1" applyFill="1" applyBorder="1" applyAlignment="1">
      <alignment horizontal="right"/>
    </xf>
    <xf numFmtId="0" fontId="37" fillId="4" borderId="1" xfId="0" applyFont="1" applyFill="1" applyBorder="1" applyAlignment="1">
      <alignment horizontal="center"/>
    </xf>
    <xf numFmtId="0" fontId="37" fillId="4" borderId="7" xfId="0" applyFont="1" applyFill="1" applyBorder="1" applyAlignment="1">
      <alignment horizontal="center"/>
    </xf>
    <xf numFmtId="0" fontId="41" fillId="4" borderId="0" xfId="0" applyFont="1" applyFill="1" applyBorder="1" applyAlignment="1">
      <alignment horizontal="right"/>
    </xf>
    <xf numFmtId="0" fontId="39" fillId="4" borderId="0" xfId="0" applyFont="1" applyFill="1" applyBorder="1" applyAlignment="1">
      <alignment horizontal="center" vertical="center"/>
    </xf>
    <xf numFmtId="0" fontId="32" fillId="4" borderId="0" xfId="0" applyFont="1" applyFill="1" applyAlignment="1">
      <alignment horizontal="center"/>
    </xf>
    <xf numFmtId="0" fontId="73" fillId="4" borderId="0" xfId="0" applyFont="1" applyFill="1" applyAlignment="1">
      <alignment horizontal="center"/>
    </xf>
  </cellXfs>
  <cellStyles count="905">
    <cellStyle name="20% - Accent1" xfId="230" builtinId="30"/>
    <cellStyle name="20% - Accent1 2" xfId="454"/>
    <cellStyle name="20% - Accent1 3" xfId="832"/>
    <cellStyle name="20% - Accent1 4" xfId="836"/>
    <cellStyle name="20% - Accent1 5" xfId="850"/>
    <cellStyle name="20% - Accent2" xfId="813" builtinId="34" customBuiltin="1"/>
    <cellStyle name="20% - Accent2 2" xfId="838"/>
    <cellStyle name="20% - Accent2 3" xfId="852"/>
    <cellStyle name="20% - Accent3" xfId="817" builtinId="38" customBuiltin="1"/>
    <cellStyle name="20% - Accent3 2" xfId="840"/>
    <cellStyle name="20% - Accent3 3" xfId="854"/>
    <cellStyle name="20% - Accent4" xfId="821" builtinId="42" customBuiltin="1"/>
    <cellStyle name="20% - Accent4 2" xfId="842"/>
    <cellStyle name="20% - Accent4 3" xfId="856"/>
    <cellStyle name="20% - Accent5" xfId="825" builtinId="46" customBuiltin="1"/>
    <cellStyle name="20% - Accent5 2" xfId="844"/>
    <cellStyle name="20% - Accent5 3" xfId="858"/>
    <cellStyle name="20% - Accent6" xfId="8" builtinId="50"/>
    <cellStyle name="20% - Accent6 2" xfId="234"/>
    <cellStyle name="20% - Accent6 3" xfId="790"/>
    <cellStyle name="20% - Accent6 4" xfId="793"/>
    <cellStyle name="20% - Accent6 5" xfId="833"/>
    <cellStyle name="20% - Accent6 6" xfId="846"/>
    <cellStyle name="20% - Accent6 7" xfId="860"/>
    <cellStyle name="40% - Accent1" xfId="810" builtinId="31" customBuiltin="1"/>
    <cellStyle name="40% - Accent1 2" xfId="837"/>
    <cellStyle name="40% - Accent1 3" xfId="851"/>
    <cellStyle name="40% - Accent2" xfId="814" builtinId="35" customBuiltin="1"/>
    <cellStyle name="40% - Accent2 2" xfId="839"/>
    <cellStyle name="40% - Accent2 3" xfId="853"/>
    <cellStyle name="40% - Accent3" xfId="818" builtinId="39" customBuiltin="1"/>
    <cellStyle name="40% - Accent3 2" xfId="841"/>
    <cellStyle name="40% - Accent3 3" xfId="855"/>
    <cellStyle name="40% - Accent4" xfId="822" builtinId="43" customBuiltin="1"/>
    <cellStyle name="40% - Accent4 2" xfId="843"/>
    <cellStyle name="40% - Accent4 3" xfId="857"/>
    <cellStyle name="40% - Accent5" xfId="826" builtinId="47" customBuiltin="1"/>
    <cellStyle name="40% - Accent5 2" xfId="845"/>
    <cellStyle name="40% - Accent5 3" xfId="859"/>
    <cellStyle name="40% - Accent6" xfId="828" builtinId="51" customBuiltin="1"/>
    <cellStyle name="40% - Accent6 2" xfId="847"/>
    <cellStyle name="40% - Accent6 3" xfId="861"/>
    <cellStyle name="60% - Accent1" xfId="811" builtinId="32" customBuiltin="1"/>
    <cellStyle name="60% - Accent2" xfId="815" builtinId="36" customBuiltin="1"/>
    <cellStyle name="60% - Accent3" xfId="819" builtinId="40" customBuiltin="1"/>
    <cellStyle name="60% - Accent4" xfId="823" builtinId="44" customBuiltin="1"/>
    <cellStyle name="60% - Accent5" xfId="827" builtinId="48" customBuiltin="1"/>
    <cellStyle name="60% - Accent6" xfId="829" builtinId="52" customBuiltin="1"/>
    <cellStyle name="Accent1" xfId="809" builtinId="29" customBuiltin="1"/>
    <cellStyle name="Accent2" xfId="812" builtinId="33" customBuiltin="1"/>
    <cellStyle name="Accent3" xfId="816" builtinId="37" customBuiltin="1"/>
    <cellStyle name="Accent4" xfId="820" builtinId="41" customBuiltin="1"/>
    <cellStyle name="Accent5" xfId="824" builtinId="45" customBuiltin="1"/>
    <cellStyle name="Accent6" xfId="794" builtinId="49" customBuiltin="1"/>
    <cellStyle name="Bad" xfId="800" builtinId="27" customBuiltin="1"/>
    <cellStyle name="Calculation" xfId="803" builtinId="22" customBuiltin="1"/>
    <cellStyle name="Check Cell" xfId="805" builtinId="23" customBuiltin="1"/>
    <cellStyle name="Comma" xfId="2" builtinId="3" customBuiltin="1"/>
    <cellStyle name="Comma 2" xfId="457"/>
    <cellStyle name="Comma 3" xfId="904"/>
    <cellStyle name="Excel Built-in Normal" xfId="229"/>
    <cellStyle name="Explanatory Text" xfId="807" builtinId="53" customBuilti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78" builtinId="9" hidden="1"/>
    <cellStyle name="Followed Hyperlink" xfId="674" builtinId="9" hidden="1"/>
    <cellStyle name="Followed Hyperlink" xfId="670" builtinId="9" hidden="1"/>
    <cellStyle name="Followed Hyperlink" xfId="666" builtinId="9" hidden="1"/>
    <cellStyle name="Followed Hyperlink" xfId="662" builtinId="9" hidden="1"/>
    <cellStyle name="Followed Hyperlink" xfId="658" builtinId="9" hidden="1"/>
    <cellStyle name="Followed Hyperlink" xfId="654" builtinId="9" hidden="1"/>
    <cellStyle name="Followed Hyperlink" xfId="650" builtinId="9" hidden="1"/>
    <cellStyle name="Followed Hyperlink" xfId="646" builtinId="9" hidden="1"/>
    <cellStyle name="Followed Hyperlink" xfId="642" builtinId="9" hidden="1"/>
    <cellStyle name="Followed Hyperlink" xfId="638" builtinId="9" hidden="1"/>
    <cellStyle name="Followed Hyperlink" xfId="634" builtinId="9" hidden="1"/>
    <cellStyle name="Followed Hyperlink" xfId="630" builtinId="9" hidden="1"/>
    <cellStyle name="Followed Hyperlink" xfId="626" builtinId="9" hidden="1"/>
    <cellStyle name="Followed Hyperlink" xfId="622" builtinId="9" hidden="1"/>
    <cellStyle name="Followed Hyperlink" xfId="618" builtinId="9" hidden="1"/>
    <cellStyle name="Followed Hyperlink" xfId="614" builtinId="9" hidden="1"/>
    <cellStyle name="Followed Hyperlink" xfId="610" builtinId="9" hidden="1"/>
    <cellStyle name="Followed Hyperlink" xfId="606" builtinId="9" hidden="1"/>
    <cellStyle name="Followed Hyperlink" xfId="602" builtinId="9" hidden="1"/>
    <cellStyle name="Followed Hyperlink" xfId="598" builtinId="9" hidden="1"/>
    <cellStyle name="Followed Hyperlink" xfId="594" builtinId="9" hidden="1"/>
    <cellStyle name="Followed Hyperlink" xfId="590" builtinId="9" hidden="1"/>
    <cellStyle name="Followed Hyperlink" xfId="586" builtinId="9" hidden="1"/>
    <cellStyle name="Followed Hyperlink" xfId="582" builtinId="9" hidden="1"/>
    <cellStyle name="Followed Hyperlink" xfId="578" builtinId="9" hidden="1"/>
    <cellStyle name="Followed Hyperlink" xfId="574" builtinId="9" hidden="1"/>
    <cellStyle name="Followed Hyperlink" xfId="570" builtinId="9" hidden="1"/>
    <cellStyle name="Followed Hyperlink" xfId="566" builtinId="9" hidden="1"/>
    <cellStyle name="Followed Hyperlink" xfId="562" builtinId="9" hidden="1"/>
    <cellStyle name="Followed Hyperlink" xfId="558" builtinId="9" hidden="1"/>
    <cellStyle name="Followed Hyperlink" xfId="554" builtinId="9" hidden="1"/>
    <cellStyle name="Followed Hyperlink" xfId="550" builtinId="9" hidden="1"/>
    <cellStyle name="Followed Hyperlink" xfId="546" builtinId="9" hidden="1"/>
    <cellStyle name="Followed Hyperlink" xfId="542" builtinId="9" hidden="1"/>
    <cellStyle name="Followed Hyperlink" xfId="538" builtinId="9" hidden="1"/>
    <cellStyle name="Followed Hyperlink" xfId="534" builtinId="9" hidden="1"/>
    <cellStyle name="Followed Hyperlink" xfId="530" builtinId="9" hidden="1"/>
    <cellStyle name="Followed Hyperlink" xfId="526" builtinId="9" hidden="1"/>
    <cellStyle name="Followed Hyperlink" xfId="522" builtinId="9" hidden="1"/>
    <cellStyle name="Followed Hyperlink" xfId="518" builtinId="9" hidden="1"/>
    <cellStyle name="Followed Hyperlink" xfId="514" builtinId="9" hidden="1"/>
    <cellStyle name="Followed Hyperlink" xfId="510" builtinId="9" hidden="1"/>
    <cellStyle name="Followed Hyperlink" xfId="506" builtinId="9" hidden="1"/>
    <cellStyle name="Followed Hyperlink" xfId="502" builtinId="9" hidden="1"/>
    <cellStyle name="Followed Hyperlink" xfId="498" builtinId="9" hidden="1"/>
    <cellStyle name="Followed Hyperlink" xfId="494" builtinId="9" hidden="1"/>
    <cellStyle name="Followed Hyperlink" xfId="490" builtinId="9" hidden="1"/>
    <cellStyle name="Followed Hyperlink" xfId="486" builtinId="9" hidden="1"/>
    <cellStyle name="Followed Hyperlink" xfId="482" builtinId="9" hidden="1"/>
    <cellStyle name="Followed Hyperlink" xfId="478" builtinId="9" hidden="1"/>
    <cellStyle name="Followed Hyperlink" xfId="474" builtinId="9" hidden="1"/>
    <cellStyle name="Followed Hyperlink" xfId="470" builtinId="9" hidden="1"/>
    <cellStyle name="Followed Hyperlink" xfId="466" builtinId="9" hidden="1"/>
    <cellStyle name="Followed Hyperlink" xfId="462" builtinId="9" hidden="1"/>
    <cellStyle name="Followed Hyperlink" xfId="680" builtinId="9" hidden="1"/>
    <cellStyle name="Followed Hyperlink" xfId="233" builtinId="9" hidden="1"/>
    <cellStyle name="Followed Hyperlink" xfId="681"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Good" xfId="789" builtinId="26" customBuiltin="1"/>
    <cellStyle name="Heading 1" xfId="796" builtinId="16" customBuiltin="1"/>
    <cellStyle name="Heading 2" xfId="797" builtinId="17" customBuiltin="1"/>
    <cellStyle name="Heading 3" xfId="798" builtinId="18" customBuiltin="1"/>
    <cellStyle name="Heading 4" xfId="799" builtinId="19" customBuilti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31" builtinId="8"/>
    <cellStyle name="Hyperlink 10" xfId="250" hidden="1"/>
    <cellStyle name="Hyperlink 10" xfId="648"/>
    <cellStyle name="Hyperlink 100" xfId="430" hidden="1"/>
    <cellStyle name="Hyperlink 100" xfId="764"/>
    <cellStyle name="Hyperlink 101" xfId="432" hidden="1"/>
    <cellStyle name="Hyperlink 101" xfId="766"/>
    <cellStyle name="Hyperlink 102" xfId="434" hidden="1"/>
    <cellStyle name="Hyperlink 102" xfId="768"/>
    <cellStyle name="Hyperlink 103" xfId="436" hidden="1"/>
    <cellStyle name="Hyperlink 103" xfId="770"/>
    <cellStyle name="Hyperlink 104" xfId="438" hidden="1"/>
    <cellStyle name="Hyperlink 104" xfId="772"/>
    <cellStyle name="Hyperlink 105" xfId="440" hidden="1"/>
    <cellStyle name="Hyperlink 105" xfId="774"/>
    <cellStyle name="Hyperlink 106" xfId="442" hidden="1"/>
    <cellStyle name="Hyperlink 106" xfId="776"/>
    <cellStyle name="Hyperlink 107" xfId="444" hidden="1"/>
    <cellStyle name="Hyperlink 107" xfId="778"/>
    <cellStyle name="Hyperlink 108" xfId="446" hidden="1"/>
    <cellStyle name="Hyperlink 108" xfId="780"/>
    <cellStyle name="Hyperlink 109" xfId="448" hidden="1"/>
    <cellStyle name="Hyperlink 109" xfId="782"/>
    <cellStyle name="Hyperlink 11" xfId="252" hidden="1"/>
    <cellStyle name="Hyperlink 11" xfId="644"/>
    <cellStyle name="Hyperlink 110" xfId="450" hidden="1"/>
    <cellStyle name="Hyperlink 110" xfId="784"/>
    <cellStyle name="Hyperlink 111" xfId="452" hidden="1"/>
    <cellStyle name="Hyperlink 111" xfId="786"/>
    <cellStyle name="Hyperlink 12" xfId="254" hidden="1"/>
    <cellStyle name="Hyperlink 12" xfId="640"/>
    <cellStyle name="Hyperlink 13" xfId="256" hidden="1"/>
    <cellStyle name="Hyperlink 13" xfId="636"/>
    <cellStyle name="Hyperlink 14" xfId="258" hidden="1"/>
    <cellStyle name="Hyperlink 14" xfId="632"/>
    <cellStyle name="Hyperlink 15" xfId="260" hidden="1"/>
    <cellStyle name="Hyperlink 15" xfId="628"/>
    <cellStyle name="Hyperlink 16" xfId="262" hidden="1"/>
    <cellStyle name="Hyperlink 16" xfId="624"/>
    <cellStyle name="Hyperlink 17" xfId="264" hidden="1"/>
    <cellStyle name="Hyperlink 17" xfId="620"/>
    <cellStyle name="Hyperlink 18" xfId="266" hidden="1"/>
    <cellStyle name="Hyperlink 18" xfId="616"/>
    <cellStyle name="Hyperlink 19" xfId="268" hidden="1"/>
    <cellStyle name="Hyperlink 19" xfId="612"/>
    <cellStyle name="Hyperlink 2" xfId="232" hidden="1"/>
    <cellStyle name="Hyperlink 2" xfId="455" hidden="1"/>
    <cellStyle name="Hyperlink 2" xfId="682" hidden="1"/>
    <cellStyle name="Hyperlink 2" xfId="788"/>
    <cellStyle name="Hyperlink 20" xfId="270" hidden="1"/>
    <cellStyle name="Hyperlink 20" xfId="608"/>
    <cellStyle name="Hyperlink 21" xfId="272" hidden="1"/>
    <cellStyle name="Hyperlink 21" xfId="604"/>
    <cellStyle name="Hyperlink 22" xfId="274" hidden="1"/>
    <cellStyle name="Hyperlink 22" xfId="600"/>
    <cellStyle name="Hyperlink 23" xfId="276" hidden="1"/>
    <cellStyle name="Hyperlink 23" xfId="596"/>
    <cellStyle name="Hyperlink 24" xfId="278" hidden="1"/>
    <cellStyle name="Hyperlink 24" xfId="592"/>
    <cellStyle name="Hyperlink 25" xfId="280" hidden="1"/>
    <cellStyle name="Hyperlink 25" xfId="588"/>
    <cellStyle name="Hyperlink 26" xfId="282" hidden="1"/>
    <cellStyle name="Hyperlink 26" xfId="584"/>
    <cellStyle name="Hyperlink 27" xfId="284" hidden="1"/>
    <cellStyle name="Hyperlink 27" xfId="580"/>
    <cellStyle name="Hyperlink 28" xfId="286" hidden="1"/>
    <cellStyle name="Hyperlink 28" xfId="576"/>
    <cellStyle name="Hyperlink 29" xfId="288" hidden="1"/>
    <cellStyle name="Hyperlink 29" xfId="572"/>
    <cellStyle name="Hyperlink 3" xfId="236" hidden="1"/>
    <cellStyle name="Hyperlink 3" xfId="676"/>
    <cellStyle name="Hyperlink 30" xfId="290" hidden="1"/>
    <cellStyle name="Hyperlink 30" xfId="568"/>
    <cellStyle name="Hyperlink 31" xfId="292" hidden="1"/>
    <cellStyle name="Hyperlink 31" xfId="564"/>
    <cellStyle name="Hyperlink 32" xfId="294" hidden="1"/>
    <cellStyle name="Hyperlink 32" xfId="560"/>
    <cellStyle name="Hyperlink 33" xfId="296" hidden="1"/>
    <cellStyle name="Hyperlink 33" xfId="556"/>
    <cellStyle name="Hyperlink 34" xfId="298" hidden="1"/>
    <cellStyle name="Hyperlink 34" xfId="552"/>
    <cellStyle name="Hyperlink 35" xfId="300" hidden="1"/>
    <cellStyle name="Hyperlink 35" xfId="548"/>
    <cellStyle name="Hyperlink 36" xfId="302" hidden="1"/>
    <cellStyle name="Hyperlink 36" xfId="544"/>
    <cellStyle name="Hyperlink 37" xfId="304" hidden="1"/>
    <cellStyle name="Hyperlink 37" xfId="540"/>
    <cellStyle name="Hyperlink 38" xfId="306" hidden="1"/>
    <cellStyle name="Hyperlink 38" xfId="536"/>
    <cellStyle name="Hyperlink 39" xfId="308" hidden="1"/>
    <cellStyle name="Hyperlink 39" xfId="532"/>
    <cellStyle name="Hyperlink 4" xfId="238" hidden="1"/>
    <cellStyle name="Hyperlink 4" xfId="672"/>
    <cellStyle name="Hyperlink 40" xfId="310" hidden="1"/>
    <cellStyle name="Hyperlink 40" xfId="528"/>
    <cellStyle name="Hyperlink 41" xfId="312" hidden="1"/>
    <cellStyle name="Hyperlink 41" xfId="524"/>
    <cellStyle name="Hyperlink 42" xfId="314" hidden="1"/>
    <cellStyle name="Hyperlink 42" xfId="520"/>
    <cellStyle name="Hyperlink 43" xfId="316" hidden="1"/>
    <cellStyle name="Hyperlink 43" xfId="516"/>
    <cellStyle name="Hyperlink 44" xfId="318" hidden="1"/>
    <cellStyle name="Hyperlink 44" xfId="512"/>
    <cellStyle name="Hyperlink 45" xfId="320" hidden="1"/>
    <cellStyle name="Hyperlink 45" xfId="508"/>
    <cellStyle name="Hyperlink 46" xfId="322" hidden="1"/>
    <cellStyle name="Hyperlink 46" xfId="504"/>
    <cellStyle name="Hyperlink 47" xfId="324" hidden="1"/>
    <cellStyle name="Hyperlink 47" xfId="500"/>
    <cellStyle name="Hyperlink 48" xfId="326" hidden="1"/>
    <cellStyle name="Hyperlink 48" xfId="496"/>
    <cellStyle name="Hyperlink 49" xfId="328" hidden="1"/>
    <cellStyle name="Hyperlink 49" xfId="492"/>
    <cellStyle name="Hyperlink 5" xfId="240" hidden="1"/>
    <cellStyle name="Hyperlink 5" xfId="668"/>
    <cellStyle name="Hyperlink 50" xfId="330" hidden="1"/>
    <cellStyle name="Hyperlink 50" xfId="488"/>
    <cellStyle name="Hyperlink 51" xfId="332" hidden="1"/>
    <cellStyle name="Hyperlink 51" xfId="484"/>
    <cellStyle name="Hyperlink 52" xfId="334" hidden="1"/>
    <cellStyle name="Hyperlink 52" xfId="480"/>
    <cellStyle name="Hyperlink 53" xfId="336" hidden="1"/>
    <cellStyle name="Hyperlink 53" xfId="476"/>
    <cellStyle name="Hyperlink 54" xfId="338" hidden="1"/>
    <cellStyle name="Hyperlink 54" xfId="472"/>
    <cellStyle name="Hyperlink 55" xfId="340" hidden="1"/>
    <cellStyle name="Hyperlink 55" xfId="468"/>
    <cellStyle name="Hyperlink 56" xfId="342" hidden="1"/>
    <cellStyle name="Hyperlink 56" xfId="464"/>
    <cellStyle name="Hyperlink 57" xfId="344" hidden="1"/>
    <cellStyle name="Hyperlink 57" xfId="460"/>
    <cellStyle name="Hyperlink 58" xfId="346" hidden="1"/>
    <cellStyle name="Hyperlink 58" xfId="683"/>
    <cellStyle name="Hyperlink 59" xfId="348" hidden="1"/>
    <cellStyle name="Hyperlink 59" xfId="459"/>
    <cellStyle name="Hyperlink 6" xfId="242" hidden="1"/>
    <cellStyle name="Hyperlink 6" xfId="664"/>
    <cellStyle name="Hyperlink 60" xfId="350" hidden="1"/>
    <cellStyle name="Hyperlink 60" xfId="684"/>
    <cellStyle name="Hyperlink 61" xfId="352" hidden="1"/>
    <cellStyle name="Hyperlink 61" xfId="686"/>
    <cellStyle name="Hyperlink 62" xfId="354" hidden="1"/>
    <cellStyle name="Hyperlink 62" xfId="688"/>
    <cellStyle name="Hyperlink 63" xfId="356" hidden="1"/>
    <cellStyle name="Hyperlink 63" xfId="690"/>
    <cellStyle name="Hyperlink 64" xfId="358" hidden="1"/>
    <cellStyle name="Hyperlink 64" xfId="692"/>
    <cellStyle name="Hyperlink 65" xfId="360" hidden="1"/>
    <cellStyle name="Hyperlink 65" xfId="694"/>
    <cellStyle name="Hyperlink 66" xfId="362" hidden="1"/>
    <cellStyle name="Hyperlink 66" xfId="696"/>
    <cellStyle name="Hyperlink 67" xfId="364" hidden="1"/>
    <cellStyle name="Hyperlink 67" xfId="698"/>
    <cellStyle name="Hyperlink 68" xfId="366" hidden="1"/>
    <cellStyle name="Hyperlink 68" xfId="700"/>
    <cellStyle name="Hyperlink 69" xfId="368" hidden="1"/>
    <cellStyle name="Hyperlink 69" xfId="702"/>
    <cellStyle name="Hyperlink 7" xfId="244" hidden="1"/>
    <cellStyle name="Hyperlink 7" xfId="660"/>
    <cellStyle name="Hyperlink 70" xfId="370" hidden="1"/>
    <cellStyle name="Hyperlink 70" xfId="704"/>
    <cellStyle name="Hyperlink 71" xfId="372" hidden="1"/>
    <cellStyle name="Hyperlink 71" xfId="706"/>
    <cellStyle name="Hyperlink 72" xfId="374" hidden="1"/>
    <cellStyle name="Hyperlink 72" xfId="708"/>
    <cellStyle name="Hyperlink 73" xfId="376" hidden="1"/>
    <cellStyle name="Hyperlink 73" xfId="710"/>
    <cellStyle name="Hyperlink 74" xfId="378" hidden="1"/>
    <cellStyle name="Hyperlink 74" xfId="712"/>
    <cellStyle name="Hyperlink 75" xfId="380" hidden="1"/>
    <cellStyle name="Hyperlink 75" xfId="714"/>
    <cellStyle name="Hyperlink 76" xfId="382" hidden="1"/>
    <cellStyle name="Hyperlink 76" xfId="716"/>
    <cellStyle name="Hyperlink 77" xfId="384" hidden="1"/>
    <cellStyle name="Hyperlink 77" xfId="718"/>
    <cellStyle name="Hyperlink 78" xfId="386" hidden="1"/>
    <cellStyle name="Hyperlink 78" xfId="720"/>
    <cellStyle name="Hyperlink 79" xfId="388" hidden="1"/>
    <cellStyle name="Hyperlink 79" xfId="722"/>
    <cellStyle name="Hyperlink 8" xfId="246" hidden="1"/>
    <cellStyle name="Hyperlink 8" xfId="656"/>
    <cellStyle name="Hyperlink 80" xfId="390" hidden="1"/>
    <cellStyle name="Hyperlink 80" xfId="724"/>
    <cellStyle name="Hyperlink 81" xfId="392" hidden="1"/>
    <cellStyle name="Hyperlink 81" xfId="726"/>
    <cellStyle name="Hyperlink 82" xfId="394" hidden="1"/>
    <cellStyle name="Hyperlink 82" xfId="728"/>
    <cellStyle name="Hyperlink 83" xfId="396" hidden="1"/>
    <cellStyle name="Hyperlink 83" xfId="730"/>
    <cellStyle name="Hyperlink 84" xfId="398" hidden="1"/>
    <cellStyle name="Hyperlink 84" xfId="732"/>
    <cellStyle name="Hyperlink 85" xfId="400" hidden="1"/>
    <cellStyle name="Hyperlink 85" xfId="734"/>
    <cellStyle name="Hyperlink 86" xfId="402" hidden="1"/>
    <cellStyle name="Hyperlink 86" xfId="736"/>
    <cellStyle name="Hyperlink 87" xfId="404" hidden="1"/>
    <cellStyle name="Hyperlink 87" xfId="738"/>
    <cellStyle name="Hyperlink 88" xfId="406" hidden="1"/>
    <cellStyle name="Hyperlink 88" xfId="740"/>
    <cellStyle name="Hyperlink 89" xfId="408" hidden="1"/>
    <cellStyle name="Hyperlink 89" xfId="742"/>
    <cellStyle name="Hyperlink 9" xfId="248" hidden="1"/>
    <cellStyle name="Hyperlink 9" xfId="652"/>
    <cellStyle name="Hyperlink 90" xfId="410" hidden="1"/>
    <cellStyle name="Hyperlink 90" xfId="744"/>
    <cellStyle name="Hyperlink 91" xfId="412" hidden="1"/>
    <cellStyle name="Hyperlink 91" xfId="746"/>
    <cellStyle name="Hyperlink 92" xfId="414" hidden="1"/>
    <cellStyle name="Hyperlink 92" xfId="748"/>
    <cellStyle name="Hyperlink 93" xfId="416" hidden="1"/>
    <cellStyle name="Hyperlink 93" xfId="750"/>
    <cellStyle name="Hyperlink 94" xfId="418" hidden="1"/>
    <cellStyle name="Hyperlink 94" xfId="752"/>
    <cellStyle name="Hyperlink 95" xfId="420" hidden="1"/>
    <cellStyle name="Hyperlink 95" xfId="754"/>
    <cellStyle name="Hyperlink 96" xfId="422" hidden="1"/>
    <cellStyle name="Hyperlink 96" xfId="756"/>
    <cellStyle name="Hyperlink 97" xfId="424" hidden="1"/>
    <cellStyle name="Hyperlink 97" xfId="758"/>
    <cellStyle name="Hyperlink 98" xfId="426" hidden="1"/>
    <cellStyle name="Hyperlink 98" xfId="760"/>
    <cellStyle name="Hyperlink 99" xfId="428" hidden="1"/>
    <cellStyle name="Hyperlink 99" xfId="762"/>
    <cellStyle name="Input" xfId="3" builtinId="20" customBuiltin="1"/>
    <cellStyle name="Linked Cell" xfId="804" builtinId="24" customBuiltin="1"/>
    <cellStyle name="Neutral" xfId="801" builtinId="28" customBuiltin="1"/>
    <cellStyle name="Normal" xfId="0" builtinId="0" customBuiltin="1"/>
    <cellStyle name="Normal 2" xfId="6"/>
    <cellStyle name="Normal 2 2" xfId="458"/>
    <cellStyle name="Normal 2 2 2" xfId="792"/>
    <cellStyle name="Normal 3" xfId="456"/>
    <cellStyle name="Normal 3 2" xfId="791"/>
    <cellStyle name="Normal 4" xfId="830"/>
    <cellStyle name="Normal 5" xfId="834"/>
    <cellStyle name="Normal 6" xfId="848"/>
    <cellStyle name="Normal 7" xfId="862"/>
    <cellStyle name="Note 2" xfId="831"/>
    <cellStyle name="Note 3" xfId="835"/>
    <cellStyle name="Note 4" xfId="849"/>
    <cellStyle name="ofwhich" xfId="4"/>
    <cellStyle name="Output" xfId="802" builtinId="21" customBuiltin="1"/>
    <cellStyle name="Percent" xfId="1" builtinId="5" customBuiltin="1"/>
    <cellStyle name="Percent 2" xfId="7"/>
    <cellStyle name="Table_HeaderRow" xfId="5"/>
    <cellStyle name="Title" xfId="795" builtinId="15" customBuiltin="1"/>
    <cellStyle name="Total" xfId="808" builtinId="25" customBuiltin="1"/>
    <cellStyle name="Warning Text" xfId="806" builtinId="11" customBuiltin="1"/>
  </cellStyles>
  <dxfs count="1597">
    <dxf>
      <font>
        <b val="0"/>
        <i/>
        <condense val="0"/>
        <extend val="0"/>
      </font>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5" tint="0.59999389629810485"/>
        </patternFill>
      </fill>
      <alignment horizontal="general" vertical="center" textRotation="0" wrapText="0" relativeIndent="0" justifyLastLine="0" shrinkToFit="0" readingOrder="0"/>
      <border diagonalUp="0" diagonalDown="0">
        <left style="thin">
          <color theme="5" tint="0.59996337778862885"/>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dxf>
    <dxf>
      <border outline="0">
        <top style="thin">
          <color theme="1"/>
        </top>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border outline="0">
        <bottom style="thin">
          <color theme="0" tint="-0.34998626667073579"/>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bottom/>
      </border>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dxf>
    <dxf>
      <border outline="0">
        <top style="thin">
          <color theme="1" tint="4.9989318521683403E-2"/>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rgb="FF0D0D0D"/>
        </top>
        <bottom style="thin">
          <color rgb="FF0D0D0D"/>
        </bottom>
      </border>
    </dxf>
    <dxf>
      <font>
        <b val="0"/>
        <i val="0"/>
        <strike val="0"/>
        <condense val="0"/>
        <extend val="0"/>
        <outline val="0"/>
        <shadow val="0"/>
        <u val="none"/>
        <vertAlign val="baseline"/>
        <sz val="10"/>
        <color rgb="FF000000"/>
        <name val="Cambria"/>
        <scheme val="none"/>
      </font>
      <fill>
        <patternFill patternType="solid">
          <fgColor rgb="FF000000"/>
          <bgColor rgb="FFE5E0EC"/>
        </patternFill>
      </fill>
      <alignment horizontal="general" vertical="center" textRotation="0" wrapText="0" relativeIndent="0" justifyLastLine="0" shrinkToFit="0" readingOrder="0"/>
    </dxf>
    <dxf>
      <border outline="0">
        <bottom style="thin">
          <color rgb="FFA5A5A5"/>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5" tint="0.59999389629810485"/>
        </patternFill>
      </fill>
      <alignment horizontal="general" vertical="center" textRotation="0" wrapText="0" relativeIndent="0" justifyLastLine="0" shrinkToFit="0" readingOrder="0"/>
      <border diagonalUp="0" diagonalDown="0">
        <left style="thin">
          <color theme="5" tint="0.59996337778862885"/>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dxf>
    <dxf>
      <border outline="0">
        <top style="thin">
          <color theme="1"/>
        </top>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border outline="0">
        <bottom style="thin">
          <color theme="0" tint="-0.34998626667073579"/>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bottom/>
      </border>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dxf>
    <dxf>
      <border outline="0">
        <top style="thin">
          <color theme="1" tint="4.9989318521683403E-2"/>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numFmt numFmtId="170" formatCode="#,##0.0"/>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5" tint="0.59999389629810485"/>
        </patternFill>
      </fill>
      <alignment horizontal="general" vertical="center" textRotation="0" wrapText="0" relativeIndent="0" justifyLastLine="0" shrinkToFit="0" readingOrder="0"/>
      <border diagonalUp="0" diagonalDown="0" outline="0">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5" tint="0.59999389629810485"/>
        </patternFill>
      </fill>
      <alignment horizontal="general" vertical="center" textRotation="0" wrapText="0" relativeIndent="0" justifyLastLine="0" shrinkToFit="0" readingOrder="0"/>
      <border diagonalUp="0" diagonalDown="0" outline="0"/>
    </dxf>
    <dxf>
      <border outline="0">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bottom/>
      </border>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0" formatCode="General"/>
      <fill>
        <patternFill patternType="solid">
          <fgColor indexed="64"/>
          <bgColor theme="9" tint="0.79998168889431442"/>
        </patternFill>
      </fill>
      <alignment horizontal="general" vertical="center" textRotation="0" wrapText="0" relativeIndent="0" justifyLastLine="0" shrinkToFit="0" readingOrder="0"/>
    </dxf>
    <dxf>
      <font>
        <strike val="0"/>
        <outline val="0"/>
        <shadow val="0"/>
        <u val="none"/>
        <vertAlign val="baseline"/>
        <sz val="10"/>
        <color auto="1"/>
        <name val="Cambria"/>
        <scheme val="minor"/>
      </font>
      <fill>
        <patternFill patternType="solid">
          <fgColor indexed="64"/>
          <bgColor theme="9" tint="0.79998168889431442"/>
        </patternFill>
      </fill>
    </dxf>
    <dxf>
      <font>
        <b/>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0" formatCode="General"/>
      <fill>
        <patternFill patternType="solid">
          <fgColor indexed="64"/>
          <bgColor theme="9" tint="0.79998168889431442"/>
        </patternFill>
      </fill>
      <alignment horizontal="general" vertical="center" textRotation="0" wrapText="0" relativeIndent="0" justifyLastLine="0" shrinkToFit="0" readingOrder="0"/>
    </dxf>
    <dxf>
      <font>
        <strike val="0"/>
        <outline val="0"/>
        <shadow val="0"/>
        <u val="none"/>
        <vertAlign val="baseline"/>
        <sz val="10"/>
        <color auto="1"/>
        <name val="Cambria"/>
        <scheme val="minor"/>
      </font>
      <fill>
        <patternFill patternType="solid">
          <fgColor indexed="64"/>
          <bgColor theme="9" tint="0.79998168889431442"/>
        </patternFill>
      </fill>
    </dxf>
    <dxf>
      <font>
        <b/>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0" formatCode="General"/>
      <fill>
        <patternFill patternType="solid">
          <fgColor indexed="64"/>
          <bgColor theme="9" tint="0.79998168889431442"/>
        </patternFill>
      </fill>
      <alignment horizontal="general" vertical="center" textRotation="0" wrapText="0" relativeIndent="0" justifyLastLine="0" shrinkToFit="0" readingOrder="0"/>
    </dxf>
    <dxf>
      <font>
        <strike val="0"/>
        <outline val="0"/>
        <shadow val="0"/>
        <u val="none"/>
        <vertAlign val="baseline"/>
        <sz val="10"/>
        <color auto="1"/>
        <name val="Cambria"/>
        <scheme val="minor"/>
      </font>
      <fill>
        <patternFill patternType="solid">
          <fgColor indexed="64"/>
          <bgColor theme="9" tint="0.79998168889431442"/>
        </patternFill>
      </fill>
    </dxf>
    <dxf>
      <font>
        <b/>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strike val="0"/>
        <outline val="0"/>
        <shadow val="0"/>
        <u val="none"/>
        <vertAlign val="baseline"/>
        <sz val="10"/>
        <color auto="1"/>
        <name val="Cambria"/>
        <scheme val="minor"/>
      </font>
      <fill>
        <patternFill patternType="solid">
          <fgColor indexed="64"/>
          <bgColor theme="9" tint="0.79998168889431442"/>
        </patternFill>
      </fill>
    </dxf>
    <dxf>
      <font>
        <strike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0" formatCode="General"/>
      <fill>
        <patternFill patternType="solid">
          <fgColor indexed="64"/>
          <bgColor theme="9" tint="0.79998168889431442"/>
        </patternFill>
      </fill>
      <alignment horizontal="general" vertical="center" textRotation="0" wrapText="0" relativeIndent="0" justifyLastLine="0" shrinkToFit="0" readingOrder="0"/>
    </dxf>
    <dxf>
      <font>
        <strike val="0"/>
        <outline val="0"/>
        <shadow val="0"/>
        <u val="none"/>
        <vertAlign val="baseline"/>
        <sz val="10"/>
        <color auto="1"/>
        <name val="Cambria"/>
        <scheme val="minor"/>
      </font>
      <fill>
        <patternFill patternType="solid">
          <fgColor indexed="64"/>
          <bgColor theme="9" tint="0.79998168889431442"/>
        </patternFill>
      </fill>
    </dxf>
    <dxf>
      <font>
        <b/>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6" tint="0.79998168889431442"/>
        </patternFill>
      </fill>
      <alignment horizontal="general" vertical="center" textRotation="0" wrapText="0" indent="0" justifyLastLine="0" shrinkToFit="0" readingOrder="0"/>
      <border diagonalUp="0" diagonalDown="0" outline="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dxf>
    <dxf>
      <border outline="0">
        <top style="thin">
          <color theme="1" tint="4.9989318521683403E-2"/>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0" formatCode="General"/>
      <fill>
        <patternFill patternType="solid">
          <fgColor indexed="64"/>
          <bgColor theme="9" tint="0.79998168889431442"/>
        </patternFill>
      </fill>
      <alignment horizontal="general" vertical="center" textRotation="0" wrapText="0" relativeIndent="0" justifyLastLine="0" shrinkToFit="0" readingOrder="0"/>
    </dxf>
    <dxf>
      <border outline="0">
        <top style="thin">
          <color theme="1" tint="4.9989318521683403E-2"/>
        </top>
      </border>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auto="1"/>
        <name val="Calibri"/>
        <scheme val="major"/>
      </font>
      <numFmt numFmtId="0" formatCode="General"/>
      <fill>
        <patternFill patternType="solid">
          <fgColor indexed="64"/>
          <bgColor theme="9" tint="0.79998168889431442"/>
        </patternFill>
      </fill>
      <alignment horizontal="right"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0" formatCode="General"/>
      <fill>
        <patternFill patternType="solid">
          <fgColor indexed="64"/>
          <bgColor theme="9" tint="0.79998168889431442"/>
        </patternFill>
      </fill>
      <alignment horizontal="general" vertical="center" textRotation="0" wrapText="0" relativeIndent="0" justifyLastLine="0" shrinkToFit="0" readingOrder="0"/>
    </dxf>
    <dxf>
      <border outline="0">
        <top style="thin">
          <color theme="1" tint="4.9989318521683403E-2"/>
        </top>
      </border>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auto="1"/>
        <name val="Calibri"/>
        <scheme val="major"/>
      </font>
      <numFmt numFmtId="0" formatCode="General"/>
      <fill>
        <patternFill patternType="solid">
          <fgColor indexed="64"/>
          <bgColor theme="9" tint="0.79998168889431442"/>
        </patternFill>
      </fill>
      <alignment horizontal="right"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0" formatCode="General"/>
      <fill>
        <patternFill patternType="solid">
          <fgColor indexed="64"/>
          <bgColor theme="9" tint="0.79998168889431442"/>
        </patternFill>
      </fill>
      <alignment horizontal="general" vertical="center" textRotation="0" wrapText="0" relativeIndent="0" justifyLastLine="0" shrinkToFit="0" readingOrder="0"/>
    </dxf>
    <dxf>
      <border outline="0">
        <top style="thin">
          <color theme="1" tint="4.9989318521683403E-2"/>
        </top>
      </border>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auto="1"/>
        <name val="Calibri"/>
        <scheme val="major"/>
      </font>
      <numFmt numFmtId="0" formatCode="General"/>
      <fill>
        <patternFill patternType="solid">
          <fgColor indexed="64"/>
          <bgColor theme="9" tint="0.79998168889431442"/>
        </patternFill>
      </fill>
      <alignment horizontal="right"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7" formatCode="#,##0.000_);\(#,##0.000\);&quot;-&quot;_);@"/>
      <fill>
        <patternFill patternType="solid">
          <fgColor indexed="64"/>
          <bgColor theme="9"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dxf>
    <dxf>
      <font>
        <b val="0"/>
        <i val="0"/>
        <strike val="0"/>
        <condense val="0"/>
        <extend val="0"/>
        <outline val="0"/>
        <shadow val="0"/>
        <u val="none"/>
        <vertAlign val="baseline"/>
        <sz val="10"/>
        <color auto="1"/>
        <name val="Cambria"/>
        <scheme val="minor"/>
      </font>
      <numFmt numFmtId="0" formatCode="General"/>
      <fill>
        <patternFill patternType="solid">
          <fgColor indexed="64"/>
          <bgColor theme="9" tint="0.79998168889431442"/>
        </patternFill>
      </fill>
      <alignment horizontal="general" vertical="center" textRotation="0" wrapText="0" relativeIndent="0" justifyLastLine="0" shrinkToFit="0" readingOrder="0"/>
    </dxf>
    <dxf>
      <border outline="0">
        <top style="thin">
          <color theme="1" tint="4.9989318521683403E-2"/>
        </top>
      </border>
    </dxf>
    <dxf>
      <font>
        <b val="0"/>
        <i val="0"/>
        <strike val="0"/>
        <condense val="0"/>
        <extend val="0"/>
        <outline val="0"/>
        <shadow val="0"/>
        <u val="none"/>
        <vertAlign val="baseline"/>
        <sz val="10"/>
        <color auto="1"/>
        <name val="Cambria"/>
        <scheme val="minor"/>
      </font>
      <fill>
        <patternFill patternType="solid">
          <fgColor indexed="64"/>
          <bgColor theme="9"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auto="1"/>
        <name val="Calibri"/>
        <scheme val="major"/>
      </font>
      <numFmt numFmtId="0" formatCode="General"/>
      <fill>
        <patternFill patternType="solid">
          <fgColor indexed="64"/>
          <bgColor theme="9" tint="0.79998168889431442"/>
        </patternFill>
      </fill>
      <alignment horizontal="right" vertical="center" textRotation="0" wrapText="0" relativeIndent="0" justifyLastLine="0" shrinkToFit="0" readingOrder="0"/>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strike val="0"/>
        <outline val="0"/>
        <shadow val="0"/>
        <u val="none"/>
        <vertAlign val="baseline"/>
        <sz val="10"/>
        <color auto="1"/>
        <name val="Cambria"/>
        <scheme val="minor"/>
      </font>
      <numFmt numFmtId="0" formatCode="General"/>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right style="thin">
          <color theme="5" tint="0.59996337778862885"/>
        </right>
        <top style="thin">
          <color theme="5" tint="0.59996337778862885"/>
        </top>
        <bottom/>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left/>
        <right style="thin">
          <color theme="5" tint="0.59996337778862885"/>
        </right>
        <top style="thin">
          <color theme="5" tint="0.59996337778862885"/>
        </top>
        <bottom style="thin">
          <color theme="5" tint="0.59996337778862885"/>
        </bottom>
      </border>
    </dxf>
    <dxf>
      <border>
        <top style="thin">
          <color theme="5" tint="0.59996337778862885"/>
        </top>
        <vertical/>
        <horizontal/>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dxf>
    <dxf>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dxf>
    <dxf>
      <border>
        <bottom style="thin">
          <color theme="5" tint="0.59996337778862885"/>
        </bottom>
        <vertical/>
        <horizontal/>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strike val="0"/>
        <outline val="0"/>
        <shadow val="0"/>
        <u val="none"/>
        <vertAlign val="baseline"/>
        <sz val="10"/>
        <color auto="1"/>
        <name val="Cambria"/>
        <scheme val="minor"/>
      </font>
      <numFmt numFmtId="0" formatCode="General"/>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right style="thin">
          <color theme="5" tint="0.59996337778862885"/>
        </right>
        <top style="thin">
          <color theme="5" tint="0.59996337778862885"/>
        </top>
        <bottom/>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left/>
        <right style="thin">
          <color theme="5" tint="0.59996337778862885"/>
        </right>
        <top style="thin">
          <color theme="5" tint="0.59996337778862885"/>
        </top>
        <bottom style="thin">
          <color theme="5" tint="0.59996337778862885"/>
        </bottom>
      </border>
    </dxf>
    <dxf>
      <border>
        <top style="thin">
          <color theme="5" tint="0.59996337778862885"/>
        </top>
        <vertical/>
        <horizontal/>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dxf>
    <dxf>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dxf>
    <dxf>
      <border>
        <bottom style="thin">
          <color theme="5" tint="0.59996337778862885"/>
        </bottom>
        <vertical/>
        <horizontal/>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strike val="0"/>
        <outline val="0"/>
        <shadow val="0"/>
        <u val="none"/>
        <vertAlign val="baseline"/>
        <sz val="10"/>
        <color auto="1"/>
        <name val="Cambria"/>
        <scheme val="minor"/>
      </font>
      <numFmt numFmtId="0" formatCode="General"/>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style="thin">
          <color theme="5" tint="0.59996337778862885"/>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right style="thin">
          <color theme="5" tint="0.59996337778862885"/>
        </right>
        <top style="thin">
          <color theme="5" tint="0.59996337778862885"/>
        </top>
        <bottom/>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left/>
        <right style="thin">
          <color theme="5" tint="0.59996337778862885"/>
        </right>
        <top style="thin">
          <color theme="5" tint="0.59996337778862885"/>
        </top>
        <bottom style="thin">
          <color theme="5" tint="0.59996337778862885"/>
        </bottom>
      </border>
    </dxf>
    <dxf>
      <border>
        <top style="thin">
          <color theme="5" tint="0.59996337778862885"/>
        </top>
        <vertical/>
        <horizontal/>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dxf>
    <dxf>
      <border diagonalUp="0" diagonalDown="0">
        <left style="thin">
          <color theme="5" tint="0.59996337778862885"/>
        </left>
        <right style="thin">
          <color theme="5" tint="0.59996337778862885"/>
        </right>
        <top style="thin">
          <color theme="5" tint="0.59996337778862885"/>
        </top>
        <bottom style="thin">
          <color theme="5" tint="0.59996337778862885"/>
        </bottom>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dxf>
    <dxf>
      <border>
        <bottom style="thin">
          <color theme="5" tint="0.59996337778862885"/>
        </bottom>
        <vertical/>
        <horizontal/>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numFmt numFmtId="191" formatCode="#,##0.0_);\(#,##0.0\);&quot;-&quot;_);@"/>
      <fill>
        <patternFill patternType="solid">
          <fgColor indexed="64"/>
          <bgColor theme="5" tint="0.59999389629810485"/>
        </patternFill>
      </fill>
      <border diagonalUp="0" diagonalDown="0">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style="thin">
          <color theme="5" tint="0.59996337778862885"/>
        </top>
        <bottom/>
      </border>
    </dxf>
    <dxf>
      <font>
        <b val="0"/>
        <i val="0"/>
        <strike val="0"/>
        <condense val="0"/>
        <extend val="0"/>
        <outline val="0"/>
        <shadow val="0"/>
        <u val="none"/>
        <vertAlign val="baseline"/>
        <sz val="10"/>
        <color auto="1"/>
        <name val="Cambria"/>
        <scheme val="minor"/>
      </font>
      <fill>
        <patternFill patternType="solid">
          <fgColor indexed="64"/>
          <bgColor theme="5" tint="0.59999389629810485"/>
        </patternFill>
      </fill>
      <border diagonalUp="0" diagonalDown="0" outline="0">
        <left/>
        <right style="thin">
          <color theme="5" tint="0.59996337778862885"/>
        </right>
        <top style="thin">
          <color theme="5" tint="0.59996337778862885"/>
        </top>
        <bottom/>
      </border>
    </dxf>
    <dxf>
      <border>
        <top style="thin">
          <color theme="5" tint="0.59996337778862885"/>
        </top>
        <vertical/>
        <horizontal/>
      </border>
    </dxf>
    <dxf>
      <font>
        <strike val="0"/>
        <outline val="0"/>
        <shadow val="0"/>
        <u val="none"/>
        <vertAlign val="baseline"/>
        <sz val="10"/>
        <color auto="1"/>
        <name val="Cambria"/>
        <scheme val="minor"/>
      </font>
      <fill>
        <patternFill patternType="none">
          <fgColor indexed="64"/>
          <bgColor theme="5" tint="0.59999389629810485"/>
        </patternFill>
      </fill>
    </dxf>
    <dxf>
      <border diagonalUp="0" diagonalDown="0">
        <left style="thin">
          <color theme="5" tint="0.59996337778862885"/>
        </left>
        <right style="thin">
          <color theme="5" tint="0.59996337778862885"/>
        </right>
        <top style="thin">
          <color theme="5" tint="0.59996337778862885"/>
        </top>
        <bottom style="thin">
          <color theme="5" tint="0.59996337778862885"/>
        </bottom>
      </border>
    </dxf>
    <dxf>
      <fill>
        <patternFill patternType="solid">
          <fgColor indexed="64"/>
          <bgColor theme="5" tint="0.59999389629810485"/>
        </patternFill>
      </fill>
      <border diagonalUp="0" diagonalDown="0" outline="0"/>
    </dxf>
    <dxf>
      <border>
        <bottom style="thin">
          <color theme="5" tint="0.59996337778862885"/>
        </bottom>
        <vertical/>
        <horizontal/>
      </border>
    </dxf>
    <dxf>
      <font>
        <strike val="0"/>
        <outline val="0"/>
        <shadow val="0"/>
        <u val="none"/>
        <vertAlign val="baseline"/>
        <sz val="10"/>
        <color auto="1"/>
        <name val="Cambria"/>
        <scheme val="minor"/>
      </font>
      <fill>
        <patternFill patternType="solid">
          <fgColor indexed="64"/>
          <bgColor theme="5" tint="0.59999389629810485"/>
        </patternFill>
      </fill>
      <border diagonalUp="0" diagonalDown="0" outline="0">
        <left style="thin">
          <color theme="5" tint="0.59996337778862885"/>
        </left>
        <right style="thin">
          <color theme="5" tint="0.59996337778862885"/>
        </right>
        <top/>
        <bottom/>
      </border>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dxf>
    <dxf>
      <border outline="0">
        <top style="thin">
          <color theme="1" tint="4.9989318521683403E-2"/>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dxf>
    <dxf>
      <border outline="0">
        <top style="thin">
          <color theme="1" tint="4.9989318521683403E-2"/>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2" formatCode="#,##0_);\(#,##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fill>
        <patternFill patternType="solid">
          <fgColor indexed="64"/>
          <bgColor theme="3" tint="0.79998168889431442"/>
        </patternFill>
      </fill>
      <alignment horizontal="general" vertical="center" textRotation="0" wrapText="0" relativeIndent="0" justifyLastLine="0" shrinkToFit="0" readingOrder="0"/>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3" tint="0.79998168889431442"/>
        </patternFill>
      </fill>
      <alignment horizontal="general" vertical="center" textRotation="0" wrapText="0" relativeIndent="0" justifyLastLine="0" shrinkToFit="0" readingOrder="0"/>
      <border diagonalUp="0" diagonalDown="0" outline="0">
        <left/>
        <right/>
        <top style="thin">
          <color auto="1"/>
        </top>
        <bottom style="thin">
          <color auto="1"/>
        </bottom>
      </border>
    </dxf>
    <dxf>
      <fill>
        <patternFill patternType="solid">
          <fgColor indexed="64"/>
          <bgColor theme="3" tint="0.79998168889431442"/>
        </patternFill>
      </fill>
    </dxf>
    <dxf>
      <border outline="0">
        <top style="thin">
          <color theme="1" tint="4.9989318521683403E-2"/>
        </top>
        <bottom style="thin">
          <color auto="1"/>
        </bottom>
      </border>
    </dxf>
    <dxf>
      <font>
        <b val="0"/>
        <i val="0"/>
        <strike val="0"/>
        <condense val="0"/>
        <extend val="0"/>
        <outline val="0"/>
        <shadow val="0"/>
        <u val="none"/>
        <vertAlign val="baseline"/>
        <sz val="10"/>
        <color theme="1"/>
        <name val="Cambria"/>
        <scheme val="minor"/>
      </font>
      <fill>
        <patternFill patternType="solid">
          <fgColor indexed="64"/>
          <bgColor theme="3"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3"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numFmt numFmtId="0" formatCode="General"/>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7" tint="0.79998168889431442"/>
        </patternFill>
      </fill>
      <alignment horizontal="general" vertical="center" textRotation="0" wrapText="0" relativeIndent="0" justifyLastLine="0" shrinkToFit="0" readingOrder="0"/>
      <border diagonalUp="0" diagonalDown="0">
        <left/>
        <right/>
        <top style="thin">
          <color auto="1"/>
        </top>
        <bottom style="thin">
          <color auto="1"/>
        </bottom>
      </border>
    </dxf>
    <dxf>
      <border outline="0">
        <top style="thin">
          <color theme="1" tint="4.9989318521683403E-2"/>
        </top>
        <bottom style="thin">
          <color theme="1" tint="4.9989318521683403E-2"/>
        </bottom>
      </border>
    </dxf>
    <dxf>
      <font>
        <b val="0"/>
        <i val="0"/>
        <strike val="0"/>
        <condense val="0"/>
        <extend val="0"/>
        <outline val="0"/>
        <shadow val="0"/>
        <u val="none"/>
        <vertAlign val="baseline"/>
        <sz val="10"/>
        <color theme="1"/>
        <name val="Cambria"/>
        <scheme val="minor"/>
      </font>
      <fill>
        <patternFill patternType="solid">
          <fgColor indexed="64"/>
          <bgColor theme="7" tint="0.79998168889431442"/>
        </patternFill>
      </fill>
      <alignment horizontal="general" vertical="center" textRotation="0" wrapText="0" relativeIndent="0" justifyLastLine="0" shrinkToFit="0" readingOrder="0"/>
    </dxf>
    <dxf>
      <border outline="0">
        <bottom style="thin">
          <color theme="0" tint="-0.34998626667073579"/>
        </bottom>
      </border>
    </dxf>
    <dxf>
      <font>
        <b/>
        <i val="0"/>
        <strike val="0"/>
        <condense val="0"/>
        <extend val="0"/>
        <outline val="0"/>
        <shadow val="0"/>
        <u val="none"/>
        <vertAlign val="baseline"/>
        <sz val="10"/>
        <color theme="1"/>
        <name val="Calibri"/>
        <scheme val="major"/>
      </font>
      <fill>
        <patternFill patternType="solid">
          <fgColor indexed="64"/>
          <bgColor theme="7"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Cambria"/>
        <scheme val="minor"/>
      </font>
      <fill>
        <patternFill patternType="solid">
          <fgColor indexed="64"/>
          <bgColor theme="6" tint="0.79998168889431442"/>
        </patternFill>
      </fill>
      <alignment horizontal="general"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numFmt numFmtId="191" formatCode="#,##0.0_);\(#,##0.0\);&quot;-&quot;_);@"/>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indexed="64"/>
          <bgColor theme="6" tint="0.79998168889431442"/>
        </patternFill>
      </fill>
      <alignment horizontal="general" vertical="center" textRotation="0" wrapText="0" relativeIndent="0" justifyLastLine="0" shrinkToFit="0" readingOrder="0"/>
      <border diagonalUp="0" diagonalDown="0" outline="0">
        <left/>
        <right/>
        <top/>
        <bottom/>
      </border>
    </dxf>
    <dxf>
      <fill>
        <patternFill patternType="solid">
          <fgColor indexed="64"/>
          <bgColor theme="6" tint="0.79998168889431442"/>
        </patternFill>
      </fill>
      <alignment horizontal="general" vertical="center" textRotation="0" wrapText="0" indent="0" justifyLastLine="0" shrinkToFit="0" readingOrder="0"/>
      <border diagonalUp="0" diagonalDown="0">
        <left/>
        <right/>
        <top style="thin">
          <color auto="1"/>
        </top>
        <bottom style="thin">
          <color auto="1"/>
        </bottom>
      </border>
    </dxf>
    <dxf>
      <fill>
        <patternFill patternType="solid">
          <fgColor rgb="FF000000"/>
          <bgColor rgb="FFEAF1DD"/>
        </patternFill>
      </fill>
      <alignment horizontal="general" vertical="center" textRotation="0" wrapText="0" indent="0" justifyLastLine="0" shrinkToFit="0" readingOrder="0"/>
    </dxf>
    <dxf>
      <font>
        <strike val="0"/>
        <outline val="0"/>
        <shadow val="0"/>
        <u val="none"/>
        <vertAlign val="baseline"/>
        <sz val="10"/>
        <color theme="1"/>
        <name val="Calibri"/>
        <scheme val="major"/>
      </font>
      <fill>
        <patternFill patternType="solid">
          <fgColor indexed="64"/>
          <bgColor theme="6" tint="0.79998168889431442"/>
        </patternFill>
      </fill>
      <alignment horizontal="general" vertical="center" textRotation="0" wrapText="0" indent="0" justifyLastLine="0" shrinkToFit="0" readingOrder="0"/>
    </dxf>
    <dxf>
      <font>
        <b/>
        <i val="0"/>
      </font>
    </dxf>
    <dxf>
      <alignment horizontal="left" vertical="center" textRotation="0" wrapText="0" relativeIndent="0" justifyLastLine="0" shrinkToFit="0" readingOrder="0"/>
    </dxf>
    <dxf>
      <alignment horizontal="left" vertical="center" textRotation="0" wrapText="0" relativeIndent="0" justifyLastLine="0" shrinkToFit="0" readingOrder="0"/>
    </dxf>
    <dxf>
      <alignment horizontal="left" vertical="center" textRotation="0" wrapText="0" relativeIndent="0" justifyLastLine="0" shrinkToFit="0" readingOrder="0"/>
    </dxf>
    <dxf>
      <alignment horizontal="left" vertical="center" textRotation="0" wrapText="0" relativeIndent="0" justifyLastLine="0" shrinkToFit="0" readingOrder="0"/>
    </dxf>
    <dxf>
      <alignment horizontal="left" vertical="center" textRotation="0" wrapText="0" relativeIndent="0" justifyLastLine="0" shrinkToFit="0" readingOrder="0"/>
    </dxf>
    <dxf>
      <font>
        <b val="0"/>
        <i val="0"/>
        <strike val="0"/>
        <condense val="0"/>
        <extend val="0"/>
        <outline val="0"/>
        <shadow val="0"/>
        <u val="none"/>
        <vertAlign val="baseline"/>
        <sz val="10"/>
        <color theme="1"/>
        <name val="Cambria"/>
        <scheme val="minor"/>
      </font>
      <fill>
        <patternFill patternType="solid">
          <fgColor theme="5" tint="0.59999389629810485"/>
          <bgColor theme="3" tint="0.79998168889431442"/>
        </patternFill>
      </fill>
      <alignment horizontal="left" vertical="center" textRotation="0" wrapText="1" relativeIndent="0" justifyLastLine="0" shrinkToFit="0" readingOrder="0"/>
    </dxf>
    <dxf>
      <fill>
        <patternFill patternType="solid">
          <fgColor theme="5" tint="0.59999389629810485"/>
          <bgColor theme="3" tint="0.79998168889431442"/>
        </patternFill>
      </fill>
      <alignment horizontal="general" vertical="center" textRotation="0" wrapText="0" relativeIndent="0" justifyLastLine="0" shrinkToFit="0" readingOrder="0"/>
      <border diagonalUp="0" diagonalDown="0">
        <left/>
        <right style="thin">
          <color theme="0"/>
        </right>
        <top/>
        <bottom/>
        <vertical/>
        <horizontal/>
      </border>
    </dxf>
    <dxf>
      <fill>
        <patternFill patternType="solid">
          <fgColor theme="5" tint="0.59999389629810485"/>
          <bgColor theme="3" tint="0.79998168889431442"/>
        </patternFill>
      </fill>
      <border diagonalUp="0" diagonalDown="0">
        <left/>
        <right style="thin">
          <color theme="0"/>
        </right>
        <top/>
        <bottom/>
        <vertical/>
        <horizontal/>
      </border>
    </dxf>
    <dxf>
      <border outline="0">
        <left style="thin">
          <color theme="0"/>
        </left>
        <bottom style="thin">
          <color theme="0"/>
        </bottom>
      </border>
    </dxf>
    <dxf>
      <border outline="0">
        <bottom style="thick">
          <color theme="0"/>
        </bottom>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alignment horizontal="left" vertical="center" textRotation="0" wrapText="1" relativeIndent="0" justifyLastLine="0" shrinkToFit="0" readingOrder="0"/>
    </dxf>
    <dxf>
      <font>
        <b val="0"/>
        <i val="0"/>
        <strike val="0"/>
        <condense val="0"/>
        <extend val="0"/>
        <outline val="0"/>
        <shadow val="0"/>
        <u val="none"/>
        <vertAlign val="baseline"/>
        <sz val="10"/>
        <color theme="1"/>
        <name val="Cambria"/>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dxf>
    <dxf>
      <font>
        <b val="0"/>
        <i val="0"/>
        <strike val="0"/>
        <condense val="0"/>
        <extend val="0"/>
        <outline val="0"/>
        <shadow val="0"/>
        <u val="none"/>
        <vertAlign val="baseline"/>
        <sz val="10"/>
        <color theme="1"/>
        <name val="Cambria"/>
        <scheme val="minor"/>
      </font>
    </dxf>
    <dxf>
      <font>
        <b val="0"/>
        <i val="0"/>
        <strike val="0"/>
        <condense val="0"/>
        <extend val="0"/>
        <outline val="0"/>
        <shadow val="0"/>
        <u val="none"/>
        <vertAlign val="baseline"/>
        <sz val="10"/>
        <color theme="1"/>
        <name val="Cambria"/>
        <scheme val="minor"/>
      </font>
    </dxf>
    <dxf>
      <font>
        <b val="0"/>
        <i val="0"/>
        <strike val="0"/>
        <condense val="0"/>
        <extend val="0"/>
        <outline val="0"/>
        <shadow val="0"/>
        <u val="none"/>
        <vertAlign val="baseline"/>
        <sz val="10"/>
        <color theme="1"/>
        <name val="Cambria"/>
        <scheme val="minor"/>
      </font>
    </dxf>
    <dxf>
      <font>
        <b val="0"/>
        <strike val="0"/>
        <outline val="0"/>
        <shadow val="0"/>
        <u val="none"/>
        <vertAlign val="baseline"/>
        <sz val="11"/>
        <color theme="1"/>
        <name val="Calibri"/>
        <scheme val="major"/>
      </font>
      <alignment horizontal="general" vertical="center" textRotation="0" wrapText="0" relative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relativeIndent="0" justifyLastLine="0" shrinkToFit="0" readingOrder="0"/>
    </dxf>
    <dxf>
      <numFmt numFmtId="0" formatCode="General"/>
      <alignment horizontal="general" vertical="center" textRotation="0" wrapText="0" relativeIndent="0" justifyLastLine="0" shrinkToFit="0" readingOrder="0"/>
    </dxf>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1" indent="0" justifyLastLine="0" shrinkToFit="0" readingOrder="0"/>
    </dxf>
    <dxf>
      <numFmt numFmtId="171" formatCode="0.000"/>
    </dxf>
    <dxf>
      <numFmt numFmtId="171" formatCode="0.000"/>
    </dxf>
    <dxf>
      <numFmt numFmtId="171" formatCode="0.000"/>
    </dxf>
    <dxf>
      <numFmt numFmtId="171" formatCode="0.000"/>
    </dxf>
    <dxf>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5" formatCode="0.00E+00"/>
      <alignment horizontal="general" vertical="center" textRotation="0" wrapText="0" relative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relativeIndent="0" justifyLastLine="0" shrinkToFit="0" readingOrder="0"/>
      <border diagonalUp="0" diagonalDown="0" outline="0">
        <left/>
        <right/>
        <top/>
        <bottom/>
      </border>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2" formatCode="#,##0_);\(#,##0\);&quot;-&quot;_);@"/>
      <alignment horizontal="general" vertical="center" textRotation="0" wrapText="0" relativeIndent="0" justifyLastLine="0" shrinkToFit="0" readingOrder="0"/>
      <border diagonalUp="0" diagonalDown="0" outline="0">
        <left/>
        <right/>
        <top/>
        <bottom/>
      </border>
    </dxf>
    <dxf>
      <numFmt numFmtId="192" formatCode="#,##0_);\(#,##0\);&quot;-&quot;_);@"/>
      <alignment horizontal="general" vertical="center" textRotation="0" wrapText="0" indent="0" justifyLastLine="0" shrinkToFit="0" readingOrder="0"/>
    </dxf>
    <dxf>
      <alignment horizontal="general" vertical="center" textRotation="0" wrapText="0" relativeIndent="0" justifyLastLine="0" shrinkToFit="0" readingOrder="0"/>
      <border diagonalUp="0" diagonalDown="0" outline="0">
        <left/>
        <right/>
        <top/>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2" formatCode="#,##0_);\(#,##0\);&quot;-&quot;_);@"/>
      <alignment horizontal="general" vertical="center" textRotation="0" wrapText="0" relativeIndent="0" justifyLastLine="0" shrinkToFit="0" readingOrder="0"/>
      <border diagonalUp="0" diagonalDown="0" outline="0">
        <left/>
        <right/>
        <top/>
        <bottom/>
      </border>
    </dxf>
    <dxf>
      <numFmt numFmtId="192" formatCode="#,##0_);\(#,##0\);&quot;-&quot;_);@"/>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192" formatCode="#,##0_);\(#,##0\);&quot;-&quot;_);@"/>
      <alignment horizontal="general" vertical="center" textRotation="0" wrapText="0" relativeIndent="0" justifyLastLine="0" shrinkToFit="0" readingOrder="0"/>
      <border diagonalUp="0" diagonalDown="0" outline="0">
        <left/>
        <right/>
        <top/>
        <bottom/>
      </border>
    </dxf>
    <dxf>
      <numFmt numFmtId="192" formatCode="#,##0_);\(#,##0\);&quot;-&quot;_);@"/>
      <alignment horizontal="general" vertical="center" textRotation="0" wrapText="0" indent="0" justifyLastLine="0" shrinkToFit="0" readingOrder="0"/>
    </dxf>
    <dxf>
      <alignment horizontal="general" vertical="center" textRotation="0" wrapText="0" relativeIndent="0" justifyLastLine="0" shrinkToFit="0" readingOrder="0"/>
      <border diagonalUp="0" diagonalDown="0" outline="0">
        <left/>
        <right/>
        <top/>
        <bottom/>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bgColor rgb="FFC00000"/>
        </patternFill>
      </fill>
    </dxf>
    <dxf>
      <font>
        <color theme="0"/>
      </font>
      <fill>
        <patternFill>
          <bgColor rgb="FFC00000"/>
        </patternFill>
      </fill>
    </dxf>
    <dxf>
      <fill>
        <patternFill>
          <bgColor rgb="FFFFFF00"/>
        </patternFill>
      </fill>
    </dxf>
    <dxf>
      <fill>
        <patternFill>
          <bgColor rgb="FFFFC000"/>
        </patternFill>
      </fill>
    </dxf>
    <dxf>
      <fill>
        <patternFill>
          <bgColor rgb="FF92D050"/>
        </patternFill>
      </fill>
    </dxf>
    <dxf>
      <font>
        <color theme="0"/>
      </font>
      <fill>
        <patternFill>
          <bgColor rgb="FFC00000"/>
        </patternFill>
      </fill>
    </dxf>
    <dxf>
      <fill>
        <patternFill>
          <bgColor rgb="FFFFFF00"/>
        </patternFill>
      </fill>
    </dxf>
    <dxf>
      <fill>
        <patternFill>
          <bgColor rgb="FFFFC000"/>
        </patternFill>
      </fill>
    </dxf>
    <dxf>
      <fill>
        <patternFill>
          <bgColor rgb="FF92D050"/>
        </patternFill>
      </fill>
    </dxf>
    <dxf>
      <font>
        <color theme="0"/>
      </font>
      <fill>
        <patternFill>
          <bgColor rgb="FFC00000"/>
        </patternFill>
      </fill>
    </dxf>
    <dxf>
      <fill>
        <patternFill>
          <bgColor rgb="FFFFFF00"/>
        </patternFill>
      </fill>
    </dxf>
    <dxf>
      <fill>
        <patternFill>
          <bgColor rgb="FFFFC000"/>
        </patternFill>
      </fill>
    </dxf>
    <dxf>
      <fill>
        <patternFill>
          <bgColor rgb="FF92D050"/>
        </patternFill>
      </fill>
    </dxf>
    <dxf>
      <font>
        <color theme="0"/>
      </font>
      <fill>
        <patternFill>
          <bgColor rgb="FFC00000"/>
        </patternFill>
      </fill>
    </dxf>
    <dxf>
      <fill>
        <patternFill>
          <bgColor rgb="FFFFFF00"/>
        </patternFill>
      </fill>
    </dxf>
    <dxf>
      <fill>
        <patternFill>
          <bgColor rgb="FFFFC000"/>
        </patternFill>
      </fill>
    </dxf>
    <dxf>
      <fill>
        <patternFill>
          <bgColor rgb="FF92D050"/>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1" defaultTableStyle="TableStyleMedium2" defaultPivotStyle="PivotStyleLight16">
    <tableStyle name="EnergyCalcTables" pivot="0" count="4">
      <tableStyleElement type="wholeTable" dxfId="1596"/>
      <tableStyleElement type="headerRow" dxfId="1595"/>
      <tableStyleElement type="totalRow" dxfId="1594"/>
      <tableStyleElement type="secondRowStripe" dxfId="1593"/>
    </tableStyle>
  </tableStyles>
  <colors>
    <mruColors>
      <color rgb="FFFFFFFF"/>
      <color rgb="FFE9EFF7"/>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externalLink" Target="externalLinks/externalLink1.xml"/><Relationship Id="rId24" Type="http://schemas.openxmlformats.org/officeDocument/2006/relationships/externalLink" Target="externalLinks/externalLink2.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lang="en-US"/>
            </a:pPr>
            <a:r>
              <a:rPr lang="en-GB"/>
              <a:t>Demand</a:t>
            </a:r>
          </a:p>
        </c:rich>
      </c:tx>
      <c:layout>
        <c:manualLayout>
          <c:xMode val="edge"/>
          <c:yMode val="edge"/>
          <c:x val="0.297526101555078"/>
          <c:y val="0.020382168331032"/>
        </c:manualLayout>
      </c:layout>
      <c:overlay val="0"/>
    </c:title>
    <c:autoTitleDeleted val="0"/>
    <c:plotArea>
      <c:layout>
        <c:manualLayout>
          <c:layoutTarget val="inner"/>
          <c:xMode val="edge"/>
          <c:yMode val="edge"/>
          <c:x val="0.126269476729738"/>
          <c:y val="0.123391816889359"/>
          <c:w val="0.602543223852047"/>
          <c:h val="0.781358640435945"/>
        </c:manualLayout>
      </c:layout>
      <c:areaChart>
        <c:grouping val="stacked"/>
        <c:varyColors val="0"/>
        <c:ser>
          <c:idx val="0"/>
          <c:order val="0"/>
          <c:tx>
            <c:strRef>
              <c:f>'Intermediate output'!$D$7</c:f>
              <c:strCache>
                <c:ptCount val="1"/>
                <c:pt idx="0">
                  <c:v>Road transport</c:v>
                </c:pt>
              </c:strCache>
            </c:strRef>
          </c:tx>
          <c:cat>
            <c:numRef>
              <c:f>'Intermediate output'!$AY$4:$BH$4</c:f>
              <c:numCache>
                <c:formatCode>General</c:formatCode>
                <c:ptCount val="10"/>
                <c:pt idx="0">
                  <c:v>2007.0</c:v>
                </c:pt>
              </c:numCache>
            </c:numRef>
          </c:cat>
          <c:val>
            <c:numRef>
              <c:f>'Intermediate output'!$AY$7:$BH$7</c:f>
              <c:numCache>
                <c:formatCode>#,##0.0_);\(#,##0.0\);"-"_);@</c:formatCode>
                <c:ptCount val="10"/>
                <c:pt idx="0">
                  <c:v>490.8540497784791</c:v>
                </c:pt>
              </c:numCache>
            </c:numRef>
          </c:val>
        </c:ser>
        <c:ser>
          <c:idx val="1"/>
          <c:order val="1"/>
          <c:tx>
            <c:strRef>
              <c:f>'Intermediate output'!$D$8</c:f>
              <c:strCache>
                <c:ptCount val="1"/>
                <c:pt idx="0">
                  <c:v>Rail transport</c:v>
                </c:pt>
              </c:strCache>
            </c:strRef>
          </c:tx>
          <c:cat>
            <c:numRef>
              <c:f>'Intermediate output'!$AY$4:$BH$4</c:f>
              <c:numCache>
                <c:formatCode>General</c:formatCode>
                <c:ptCount val="10"/>
                <c:pt idx="0">
                  <c:v>2007.0</c:v>
                </c:pt>
              </c:numCache>
            </c:numRef>
          </c:cat>
          <c:val>
            <c:numRef>
              <c:f>'Intermediate output'!$AY$8:$BH$8</c:f>
              <c:numCache>
                <c:formatCode>#,##0.0_);\(#,##0.0\);"-"_);@</c:formatCode>
                <c:ptCount val="10"/>
                <c:pt idx="0">
                  <c:v>15.85244680302565</c:v>
                </c:pt>
              </c:numCache>
            </c:numRef>
          </c:val>
        </c:ser>
        <c:ser>
          <c:idx val="2"/>
          <c:order val="2"/>
          <c:tx>
            <c:strRef>
              <c:f>'Intermediate output'!$D$9</c:f>
              <c:strCache>
                <c:ptCount val="1"/>
                <c:pt idx="0">
                  <c:v>Domestic aviation</c:v>
                </c:pt>
              </c:strCache>
            </c:strRef>
          </c:tx>
          <c:cat>
            <c:numRef>
              <c:f>'Intermediate output'!$AY$4:$BH$4</c:f>
              <c:numCache>
                <c:formatCode>General</c:formatCode>
                <c:ptCount val="10"/>
                <c:pt idx="0">
                  <c:v>2007.0</c:v>
                </c:pt>
              </c:numCache>
            </c:numRef>
          </c:cat>
          <c:val>
            <c:numRef>
              <c:f>'Intermediate output'!$AY$9:$BH$9</c:f>
              <c:numCache>
                <c:formatCode>#,##0.0_);\(#,##0.0\);"-"_);@</c:formatCode>
                <c:ptCount val="10"/>
                <c:pt idx="0">
                  <c:v>9.01983460870955</c:v>
                </c:pt>
              </c:numCache>
            </c:numRef>
          </c:val>
        </c:ser>
        <c:ser>
          <c:idx val="3"/>
          <c:order val="3"/>
          <c:tx>
            <c:strRef>
              <c:f>'Intermediate output'!$D$10</c:f>
              <c:strCache>
                <c:ptCount val="1"/>
                <c:pt idx="0">
                  <c:v>National navigation</c:v>
                </c:pt>
              </c:strCache>
            </c:strRef>
          </c:tx>
          <c:cat>
            <c:numRef>
              <c:f>'Intermediate output'!$AY$4:$BH$4</c:f>
              <c:numCache>
                <c:formatCode>General</c:formatCode>
                <c:ptCount val="10"/>
                <c:pt idx="0">
                  <c:v>2007.0</c:v>
                </c:pt>
              </c:numCache>
            </c:numRef>
          </c:cat>
          <c:val>
            <c:numRef>
              <c:f>'Intermediate output'!$AY$10:$BH$10</c:f>
              <c:numCache>
                <c:formatCode>#,##0.0_);\(#,##0.0\);"-"_);@</c:formatCode>
                <c:ptCount val="10"/>
                <c:pt idx="0">
                  <c:v>18.81734</c:v>
                </c:pt>
              </c:numCache>
            </c:numRef>
          </c:val>
        </c:ser>
        <c:ser>
          <c:idx val="4"/>
          <c:order val="4"/>
          <c:tx>
            <c:strRef>
              <c:f>'Intermediate output'!$D$11</c:f>
              <c:strCache>
                <c:ptCount val="1"/>
                <c:pt idx="0">
                  <c:v>International aviation</c:v>
                </c:pt>
              </c:strCache>
            </c:strRef>
          </c:tx>
          <c:cat>
            <c:numRef>
              <c:f>'Intermediate output'!$AY$4:$BH$4</c:f>
              <c:numCache>
                <c:formatCode>General</c:formatCode>
                <c:ptCount val="10"/>
                <c:pt idx="0">
                  <c:v>2007.0</c:v>
                </c:pt>
              </c:numCache>
            </c:numRef>
          </c:cat>
          <c:val>
            <c:numRef>
              <c:f>'Intermediate output'!$AY$11:$BH$11</c:f>
              <c:numCache>
                <c:formatCode>#,##0.0_);\(#,##0.0\);"-"_);@</c:formatCode>
                <c:ptCount val="10"/>
                <c:pt idx="0">
                  <c:v>152.8</c:v>
                </c:pt>
              </c:numCache>
            </c:numRef>
          </c:val>
        </c:ser>
        <c:ser>
          <c:idx val="5"/>
          <c:order val="5"/>
          <c:tx>
            <c:strRef>
              <c:f>'Intermediate output'!$D$12</c:f>
              <c:strCache>
                <c:ptCount val="1"/>
                <c:pt idx="0">
                  <c:v>International shipping</c:v>
                </c:pt>
              </c:strCache>
            </c:strRef>
          </c:tx>
          <c:cat>
            <c:numRef>
              <c:f>'Intermediate output'!$AY$4:$BH$4</c:f>
              <c:numCache>
                <c:formatCode>General</c:formatCode>
                <c:ptCount val="10"/>
                <c:pt idx="0">
                  <c:v>2007.0</c:v>
                </c:pt>
              </c:numCache>
            </c:numRef>
          </c:cat>
          <c:val>
            <c:numRef>
              <c:f>'Intermediate output'!$AY$12:$BH$12</c:f>
              <c:numCache>
                <c:formatCode>#,##0.0_);\(#,##0.0\);"-"_);@</c:formatCode>
                <c:ptCount val="10"/>
                <c:pt idx="0">
                  <c:v>54.1581570872572</c:v>
                </c:pt>
              </c:numCache>
            </c:numRef>
          </c:val>
        </c:ser>
        <c:ser>
          <c:idx val="7"/>
          <c:order val="6"/>
          <c:tx>
            <c:strRef>
              <c:f>'Intermediate output'!$D$14</c:f>
              <c:strCache>
                <c:ptCount val="1"/>
                <c:pt idx="0">
                  <c:v>Industry</c:v>
                </c:pt>
              </c:strCache>
            </c:strRef>
          </c:tx>
          <c:spPr>
            <a:solidFill>
              <a:schemeClr val="bg1">
                <a:lumMod val="50000"/>
              </a:schemeClr>
            </a:solidFill>
          </c:spPr>
          <c:cat>
            <c:numRef>
              <c:f>'Intermediate output'!$AY$4:$BH$4</c:f>
              <c:numCache>
                <c:formatCode>General</c:formatCode>
                <c:ptCount val="10"/>
                <c:pt idx="0">
                  <c:v>2007.0</c:v>
                </c:pt>
              </c:numCache>
            </c:numRef>
          </c:cat>
          <c:val>
            <c:numRef>
              <c:f>'Intermediate output'!$AY$14:$BH$14</c:f>
              <c:numCache>
                <c:formatCode>#,##0.0_);\(#,##0.0\);"-"_);@</c:formatCode>
                <c:ptCount val="10"/>
                <c:pt idx="0">
                  <c:v>0.0</c:v>
                </c:pt>
              </c:numCache>
            </c:numRef>
          </c:val>
        </c:ser>
        <c:ser>
          <c:idx val="8"/>
          <c:order val="7"/>
          <c:tx>
            <c:strRef>
              <c:f>'Intermediate output'!$D$15</c:f>
              <c:strCache>
                <c:ptCount val="1"/>
                <c:pt idx="0">
                  <c:v>Heating &amp; cooling</c:v>
                </c:pt>
              </c:strCache>
            </c:strRef>
          </c:tx>
          <c:spPr>
            <a:solidFill>
              <a:schemeClr val="accent6"/>
            </a:solidFill>
          </c:spPr>
          <c:cat>
            <c:numRef>
              <c:f>'Intermediate output'!$AY$4:$BH$4</c:f>
              <c:numCache>
                <c:formatCode>General</c:formatCode>
                <c:ptCount val="10"/>
                <c:pt idx="0">
                  <c:v>2007.0</c:v>
                </c:pt>
              </c:numCache>
            </c:numRef>
          </c:cat>
          <c:val>
            <c:numRef>
              <c:f>'Intermediate output'!$AY$15:$BH$15</c:f>
              <c:numCache>
                <c:formatCode>#,##0.0_);\(#,##0.0\);"-"_);@</c:formatCode>
                <c:ptCount val="10"/>
                <c:pt idx="0">
                  <c:v>0.0</c:v>
                </c:pt>
              </c:numCache>
            </c:numRef>
          </c:val>
        </c:ser>
        <c:ser>
          <c:idx val="9"/>
          <c:order val="8"/>
          <c:tx>
            <c:strRef>
              <c:f>'Intermediate output'!$D$16</c:f>
              <c:strCache>
                <c:ptCount val="1"/>
                <c:pt idx="0">
                  <c:v>Lighting &amp; appliances</c:v>
                </c:pt>
              </c:strCache>
            </c:strRef>
          </c:tx>
          <c:cat>
            <c:numRef>
              <c:f>'Intermediate output'!$AY$4:$BH$4</c:f>
              <c:numCache>
                <c:formatCode>General</c:formatCode>
                <c:ptCount val="10"/>
                <c:pt idx="0">
                  <c:v>2007.0</c:v>
                </c:pt>
              </c:numCache>
            </c:numRef>
          </c:cat>
          <c:val>
            <c:numRef>
              <c:f>'Intermediate output'!$AY$16:$BH$16</c:f>
              <c:numCache>
                <c:formatCode>#,##0.0_);\(#,##0.0\);"-"_);@</c:formatCode>
                <c:ptCount val="10"/>
                <c:pt idx="0">
                  <c:v>0.0</c:v>
                </c:pt>
              </c:numCache>
            </c:numRef>
          </c:val>
        </c:ser>
        <c:ser>
          <c:idx val="11"/>
          <c:order val="9"/>
          <c:tx>
            <c:strRef>
              <c:f>'Intermediate output'!$D$20</c:f>
              <c:strCache>
                <c:ptCount val="1"/>
              </c:strCache>
            </c:strRef>
          </c:tx>
          <c:spPr>
            <a:noFill/>
            <a:ln>
              <a:noFill/>
            </a:ln>
          </c:spPr>
          <c:val>
            <c:numRef>
              <c:f>'Intermediate output'!$AY$20:$BH$20</c:f>
              <c:numCache>
                <c:formatCode>#,##0.0_);\(#,##0.0\);"-"_);@</c:formatCode>
                <c:ptCount val="10"/>
              </c:numCache>
            </c:numRef>
          </c:val>
        </c:ser>
        <c:dLbls>
          <c:showLegendKey val="0"/>
          <c:showVal val="0"/>
          <c:showCatName val="0"/>
          <c:showSerName val="0"/>
          <c:showPercent val="0"/>
          <c:showBubbleSize val="0"/>
        </c:dLbls>
        <c:axId val="2103864424"/>
        <c:axId val="2103861368"/>
      </c:areaChart>
      <c:catAx>
        <c:axId val="2103864424"/>
        <c:scaling>
          <c:orientation val="minMax"/>
        </c:scaling>
        <c:delete val="0"/>
        <c:axPos val="b"/>
        <c:numFmt formatCode="General" sourceLinked="1"/>
        <c:majorTickMark val="out"/>
        <c:minorTickMark val="none"/>
        <c:tickLblPos val="nextTo"/>
        <c:txPr>
          <a:bodyPr/>
          <a:lstStyle/>
          <a:p>
            <a:pPr>
              <a:defRPr lang="en-US" sz="1200"/>
            </a:pPr>
            <a:endParaRPr lang="en-US"/>
          </a:p>
        </c:txPr>
        <c:crossAx val="2103861368"/>
        <c:crosses val="autoZero"/>
        <c:auto val="1"/>
        <c:lblAlgn val="ctr"/>
        <c:lblOffset val="100"/>
        <c:noMultiLvlLbl val="0"/>
      </c:catAx>
      <c:valAx>
        <c:axId val="2103861368"/>
        <c:scaling>
          <c:orientation val="minMax"/>
        </c:scaling>
        <c:delete val="0"/>
        <c:axPos val="l"/>
        <c:majorGridlines>
          <c:spPr>
            <a:ln>
              <a:solidFill>
                <a:schemeClr val="accent1">
                  <a:lumMod val="20000"/>
                  <a:lumOff val="80000"/>
                </a:schemeClr>
              </a:solidFill>
            </a:ln>
          </c:spPr>
        </c:majorGridlines>
        <c:title>
          <c:tx>
            <c:strRef>
              <c:f>'Intermediate output'!$D$4</c:f>
              <c:strCache>
                <c:ptCount val="1"/>
                <c:pt idx="0">
                  <c:v>TWh / year</c:v>
                </c:pt>
              </c:strCache>
            </c:strRef>
          </c:tx>
          <c:overlay val="0"/>
          <c:txPr>
            <a:bodyPr rot="-5400000" vert="horz"/>
            <a:lstStyle/>
            <a:p>
              <a:pPr>
                <a:defRPr lang="en-US" sz="1200"/>
              </a:pPr>
              <a:endParaRPr lang="en-US"/>
            </a:p>
          </c:txPr>
        </c:title>
        <c:numFmt formatCode="#,##0" sourceLinked="0"/>
        <c:majorTickMark val="out"/>
        <c:minorTickMark val="none"/>
        <c:tickLblPos val="nextTo"/>
        <c:spPr>
          <a:ln>
            <a:noFill/>
          </a:ln>
        </c:spPr>
        <c:txPr>
          <a:bodyPr/>
          <a:lstStyle/>
          <a:p>
            <a:pPr>
              <a:defRPr lang="en-US" sz="1200"/>
            </a:pPr>
            <a:endParaRPr lang="en-US"/>
          </a:p>
        </c:txPr>
        <c:crossAx val="2103864424"/>
        <c:crosses val="autoZero"/>
        <c:crossBetween val="midCat"/>
      </c:valAx>
      <c:spPr>
        <a:noFill/>
      </c:spPr>
    </c:plotArea>
    <c:legend>
      <c:legendPos val="r"/>
      <c:legendEntry>
        <c:idx val="0"/>
        <c:delete val="1"/>
      </c:legendEntry>
      <c:layout>
        <c:manualLayout>
          <c:xMode val="edge"/>
          <c:yMode val="edge"/>
          <c:x val="0.767007860612423"/>
          <c:y val="0.0830073962088082"/>
          <c:w val="0.227245545737359"/>
          <c:h val="0.841593738337447"/>
        </c:manualLayout>
      </c:layout>
      <c:overlay val="0"/>
      <c:txPr>
        <a:bodyPr/>
        <a:lstStyle/>
        <a:p>
          <a:pPr>
            <a:defRPr lang="en-US" sz="1200"/>
          </a:pPr>
          <a:endParaRPr lang="en-US"/>
        </a:p>
      </c:txPr>
    </c:legend>
    <c:plotVisOnly val="1"/>
    <c:dispBlanksAs val="zero"/>
    <c:showDLblsOverMax val="0"/>
  </c:chart>
  <c:spPr>
    <a:noFill/>
    <a:ln>
      <a:noFill/>
    </a:ln>
  </c:spPr>
  <c:txPr>
    <a:bodyPr/>
    <a:lstStyle/>
    <a:p>
      <a:pPr>
        <a:defRPr>
          <a:latin typeface="+mj-lt"/>
        </a:defRPr>
      </a:pPr>
      <a:endParaRPr lang="en-US"/>
    </a:p>
  </c:txPr>
  <c:printSettings>
    <c:headerFooter/>
    <c:pageMargins b="0.750000000000017" l="0.700000000000003" r="0.700000000000003" t="0.750000000000017"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lang="en-US"/>
            </a:pPr>
            <a:r>
              <a:rPr lang="en-GB"/>
              <a:t>Primary supply</a:t>
            </a:r>
          </a:p>
        </c:rich>
      </c:tx>
      <c:layout>
        <c:manualLayout>
          <c:xMode val="edge"/>
          <c:yMode val="edge"/>
          <c:x val="0.283848836775702"/>
          <c:y val="0.0405513992795788"/>
        </c:manualLayout>
      </c:layout>
      <c:overlay val="0"/>
    </c:title>
    <c:autoTitleDeleted val="0"/>
    <c:plotArea>
      <c:layout>
        <c:manualLayout>
          <c:layoutTarget val="inner"/>
          <c:xMode val="edge"/>
          <c:yMode val="edge"/>
          <c:x val="0.115145103248964"/>
          <c:y val="0.142938648603397"/>
          <c:w val="0.615028124877673"/>
          <c:h val="0.746722937856858"/>
        </c:manualLayout>
      </c:layout>
      <c:areaChart>
        <c:grouping val="stacked"/>
        <c:varyColors val="0"/>
        <c:ser>
          <c:idx val="6"/>
          <c:order val="0"/>
          <c:tx>
            <c:strRef>
              <c:f>'Intermediate output'!$D$31</c:f>
              <c:strCache>
                <c:ptCount val="1"/>
              </c:strCache>
            </c:strRef>
          </c:tx>
          <c:spPr>
            <a:solidFill>
              <a:schemeClr val="accent1">
                <a:lumMod val="60000"/>
                <a:lumOff val="40000"/>
              </a:schemeClr>
            </a:solidFill>
            <a:effectLst/>
          </c:spPr>
          <c:cat>
            <c:numRef>
              <c:f>'Intermediate output'!$AY$4:$BH$4</c:f>
              <c:numCache>
                <c:formatCode>General</c:formatCode>
                <c:ptCount val="10"/>
                <c:pt idx="0">
                  <c:v>2007.0</c:v>
                </c:pt>
              </c:numCache>
            </c:numRef>
          </c:cat>
          <c:val>
            <c:numRef>
              <c:f>'Intermediate output'!$AY$31:$BH$31</c:f>
              <c:numCache>
                <c:formatCode>#,##0.0_);\(#,##0.0\);"-"_);@</c:formatCode>
                <c:ptCount val="10"/>
              </c:numCache>
            </c:numRef>
          </c:val>
        </c:ser>
        <c:ser>
          <c:idx val="7"/>
          <c:order val="1"/>
          <c:tx>
            <c:strRef>
              <c:f>'Intermediate output'!$D$32</c:f>
              <c:strCache>
                <c:ptCount val="1"/>
              </c:strCache>
            </c:strRef>
          </c:tx>
          <c:cat>
            <c:numRef>
              <c:f>'Intermediate output'!$AY$4:$BH$4</c:f>
              <c:numCache>
                <c:formatCode>General</c:formatCode>
                <c:ptCount val="10"/>
                <c:pt idx="0">
                  <c:v>2007.0</c:v>
                </c:pt>
              </c:numCache>
            </c:numRef>
          </c:cat>
          <c:val>
            <c:numRef>
              <c:f>'Intermediate output'!$AY$32:$BH$32</c:f>
              <c:numCache>
                <c:formatCode>#,##0.0_);\(#,##0.0\);"-"_);@</c:formatCode>
                <c:ptCount val="10"/>
              </c:numCache>
            </c:numRef>
          </c:val>
        </c:ser>
        <c:ser>
          <c:idx val="8"/>
          <c:order val="2"/>
          <c:tx>
            <c:strRef>
              <c:f>'Intermediate output'!$D$36</c:f>
              <c:strCache>
                <c:ptCount val="1"/>
              </c:strCache>
            </c:strRef>
          </c:tx>
          <c:cat>
            <c:numRef>
              <c:f>'Intermediate output'!$AY$4:$BH$4</c:f>
              <c:numCache>
                <c:formatCode>General</c:formatCode>
                <c:ptCount val="10"/>
                <c:pt idx="0">
                  <c:v>2007.0</c:v>
                </c:pt>
              </c:numCache>
            </c:numRef>
          </c:cat>
          <c:val>
            <c:numRef>
              <c:f>'Intermediate output'!$AY$36:$BH$36</c:f>
              <c:numCache>
                <c:formatCode>#,##0.0_);\(#,##0.0\);"-"_);@</c:formatCode>
                <c:ptCount val="10"/>
              </c:numCache>
            </c:numRef>
          </c:val>
        </c:ser>
        <c:ser>
          <c:idx val="9"/>
          <c:order val="3"/>
          <c:tx>
            <c:strRef>
              <c:f>'Intermediate output'!$D$39</c:f>
              <c:strCache>
                <c:ptCount val="1"/>
              </c:strCache>
            </c:strRef>
          </c:tx>
          <c:spPr>
            <a:solidFill>
              <a:schemeClr val="bg2">
                <a:lumMod val="25000"/>
              </a:schemeClr>
            </a:solidFill>
            <a:effectLst/>
          </c:spPr>
          <c:cat>
            <c:numRef>
              <c:f>'Intermediate output'!$AY$4:$BH$4</c:f>
              <c:numCache>
                <c:formatCode>General</c:formatCode>
                <c:ptCount val="10"/>
                <c:pt idx="0">
                  <c:v>2007.0</c:v>
                </c:pt>
              </c:numCache>
            </c:numRef>
          </c:cat>
          <c:val>
            <c:numRef>
              <c:f>'Intermediate output'!$AY$39:$BH$39</c:f>
              <c:numCache>
                <c:formatCode>#,##0.0_);\(#,##0.0\);"-"_);@</c:formatCode>
                <c:ptCount val="10"/>
              </c:numCache>
            </c:numRef>
          </c:val>
        </c:ser>
        <c:ser>
          <c:idx val="10"/>
          <c:order val="4"/>
          <c:tx>
            <c:strRef>
              <c:f>'Intermediate output'!$D$43</c:f>
              <c:strCache>
                <c:ptCount val="1"/>
              </c:strCache>
            </c:strRef>
          </c:tx>
          <c:spPr>
            <a:solidFill>
              <a:schemeClr val="bg2">
                <a:lumMod val="50000"/>
              </a:schemeClr>
            </a:solidFill>
          </c:spPr>
          <c:cat>
            <c:numRef>
              <c:f>'Intermediate output'!$AY$4:$BH$4</c:f>
              <c:numCache>
                <c:formatCode>General</c:formatCode>
                <c:ptCount val="10"/>
                <c:pt idx="0">
                  <c:v>2007.0</c:v>
                </c:pt>
              </c:numCache>
            </c:numRef>
          </c:cat>
          <c:val>
            <c:numRef>
              <c:f>'Intermediate output'!$AY$43:$BH$43</c:f>
              <c:numCache>
                <c:formatCode>#,##0.0_);\(#,##0.0\);"-"_);@</c:formatCode>
                <c:ptCount val="10"/>
              </c:numCache>
            </c:numRef>
          </c:val>
        </c:ser>
        <c:ser>
          <c:idx val="11"/>
          <c:order val="5"/>
          <c:tx>
            <c:strRef>
              <c:f>'Intermediate output'!$D$46</c:f>
              <c:strCache>
                <c:ptCount val="1"/>
              </c:strCache>
            </c:strRef>
          </c:tx>
          <c:spPr>
            <a:solidFill>
              <a:schemeClr val="bg2">
                <a:lumMod val="90000"/>
              </a:schemeClr>
            </a:solidFill>
          </c:spPr>
          <c:val>
            <c:numRef>
              <c:f>'Intermediate output'!$AY$46:$BH$46</c:f>
              <c:numCache>
                <c:formatCode>#,##0.0_);\(#,##0.0\);"-"_);@</c:formatCode>
                <c:ptCount val="10"/>
              </c:numCache>
            </c:numRef>
          </c:val>
        </c:ser>
        <c:ser>
          <c:idx val="12"/>
          <c:order val="6"/>
          <c:tx>
            <c:strRef>
              <c:f>'Intermediate output'!$D$49</c:f>
              <c:strCache>
                <c:ptCount val="1"/>
              </c:strCache>
            </c:strRef>
          </c:tx>
          <c:spPr>
            <a:noFill/>
            <a:ln>
              <a:noFill/>
            </a:ln>
          </c:spPr>
          <c:val>
            <c:numRef>
              <c:f>'Intermediate output'!$AY$49:$BH$49</c:f>
              <c:numCache>
                <c:formatCode>#,##0.0_);\(#,##0.0\);"-"_);@</c:formatCode>
                <c:ptCount val="10"/>
              </c:numCache>
            </c:numRef>
          </c:val>
        </c:ser>
        <c:dLbls>
          <c:showLegendKey val="0"/>
          <c:showVal val="0"/>
          <c:showCatName val="0"/>
          <c:showSerName val="0"/>
          <c:showPercent val="0"/>
          <c:showBubbleSize val="0"/>
        </c:dLbls>
        <c:axId val="2103773896"/>
        <c:axId val="2103770808"/>
      </c:areaChart>
      <c:catAx>
        <c:axId val="2103773896"/>
        <c:scaling>
          <c:orientation val="minMax"/>
        </c:scaling>
        <c:delete val="0"/>
        <c:axPos val="b"/>
        <c:numFmt formatCode="General" sourceLinked="1"/>
        <c:majorTickMark val="out"/>
        <c:minorTickMark val="none"/>
        <c:tickLblPos val="nextTo"/>
        <c:txPr>
          <a:bodyPr/>
          <a:lstStyle/>
          <a:p>
            <a:pPr>
              <a:defRPr lang="en-US" sz="1200"/>
            </a:pPr>
            <a:endParaRPr lang="en-US"/>
          </a:p>
        </c:txPr>
        <c:crossAx val="2103770808"/>
        <c:crosses val="autoZero"/>
        <c:auto val="1"/>
        <c:lblAlgn val="ctr"/>
        <c:lblOffset val="100"/>
        <c:noMultiLvlLbl val="0"/>
      </c:catAx>
      <c:valAx>
        <c:axId val="2103770808"/>
        <c:scaling>
          <c:orientation val="minMax"/>
        </c:scaling>
        <c:delete val="0"/>
        <c:axPos val="l"/>
        <c:majorGridlines>
          <c:spPr>
            <a:ln>
              <a:solidFill>
                <a:schemeClr val="accent1">
                  <a:lumMod val="20000"/>
                  <a:lumOff val="80000"/>
                </a:schemeClr>
              </a:solidFill>
            </a:ln>
          </c:spPr>
        </c:majorGridlines>
        <c:title>
          <c:tx>
            <c:strRef>
              <c:f>'Intermediate output'!$D$4</c:f>
              <c:strCache>
                <c:ptCount val="1"/>
                <c:pt idx="0">
                  <c:v>TWh / year</c:v>
                </c:pt>
              </c:strCache>
            </c:strRef>
          </c:tx>
          <c:overlay val="0"/>
          <c:txPr>
            <a:bodyPr rot="-5400000" vert="horz"/>
            <a:lstStyle/>
            <a:p>
              <a:pPr>
                <a:defRPr lang="en-US" sz="1200"/>
              </a:pPr>
              <a:endParaRPr lang="en-US"/>
            </a:p>
          </c:txPr>
        </c:title>
        <c:numFmt formatCode="#,##0" sourceLinked="0"/>
        <c:majorTickMark val="out"/>
        <c:minorTickMark val="none"/>
        <c:tickLblPos val="nextTo"/>
        <c:spPr>
          <a:ln>
            <a:noFill/>
          </a:ln>
        </c:spPr>
        <c:txPr>
          <a:bodyPr/>
          <a:lstStyle/>
          <a:p>
            <a:pPr>
              <a:defRPr lang="en-US" sz="1200"/>
            </a:pPr>
            <a:endParaRPr lang="en-US"/>
          </a:p>
        </c:txPr>
        <c:crossAx val="2103773896"/>
        <c:crosses val="autoZero"/>
        <c:crossBetween val="midCat"/>
      </c:valAx>
      <c:spPr>
        <a:noFill/>
      </c:spPr>
    </c:plotArea>
    <c:legend>
      <c:legendPos val="r"/>
      <c:legendEntry>
        <c:idx val="0"/>
        <c:delete val="1"/>
      </c:legendEntry>
      <c:layout>
        <c:manualLayout>
          <c:xMode val="edge"/>
          <c:yMode val="edge"/>
          <c:x val="0.748201202277096"/>
          <c:y val="0.102083910593886"/>
          <c:w val="0.251798797722952"/>
          <c:h val="0.771367876604916"/>
        </c:manualLayout>
      </c:layout>
      <c:overlay val="0"/>
      <c:txPr>
        <a:bodyPr/>
        <a:lstStyle/>
        <a:p>
          <a:pPr>
            <a:defRPr lang="en-US" sz="1200"/>
          </a:pPr>
          <a:endParaRPr lang="en-US"/>
        </a:p>
      </c:txPr>
    </c:legend>
    <c:plotVisOnly val="1"/>
    <c:dispBlanksAs val="zero"/>
    <c:showDLblsOverMax val="0"/>
  </c:chart>
  <c:spPr>
    <a:noFill/>
    <a:ln>
      <a:noFill/>
    </a:ln>
  </c:spPr>
  <c:txPr>
    <a:bodyPr/>
    <a:lstStyle/>
    <a:p>
      <a:pPr>
        <a:defRPr>
          <a:latin typeface="+mj-lt"/>
        </a:defRPr>
      </a:pPr>
      <a:endParaRPr lang="en-US"/>
    </a:p>
  </c:txPr>
  <c:printSettings>
    <c:headerFooter/>
    <c:pageMargins b="0.750000000000017" l="0.700000000000003" r="0.700000000000003" t="0.750000000000017"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lang="en-US"/>
            </a:pPr>
            <a:r>
              <a:rPr lang="en-GB"/>
              <a:t>Electricity generation</a:t>
            </a:r>
          </a:p>
        </c:rich>
      </c:tx>
      <c:layout>
        <c:manualLayout>
          <c:xMode val="edge"/>
          <c:yMode val="edge"/>
          <c:x val="0.190569031847236"/>
          <c:y val="0.0237598231827112"/>
        </c:manualLayout>
      </c:layout>
      <c:overlay val="0"/>
    </c:title>
    <c:autoTitleDeleted val="0"/>
    <c:plotArea>
      <c:layout>
        <c:manualLayout>
          <c:layoutTarget val="inner"/>
          <c:xMode val="edge"/>
          <c:yMode val="edge"/>
          <c:x val="0.118608349425654"/>
          <c:y val="0.142938648603397"/>
          <c:w val="0.639338575779898"/>
          <c:h val="0.746722937856858"/>
        </c:manualLayout>
      </c:layout>
      <c:areaChart>
        <c:grouping val="stacked"/>
        <c:varyColors val="0"/>
        <c:ser>
          <c:idx val="6"/>
          <c:order val="0"/>
          <c:tx>
            <c:strRef>
              <c:f>'Intermediate output'!$D$99</c:f>
              <c:strCache>
                <c:ptCount val="1"/>
              </c:strCache>
            </c:strRef>
          </c:tx>
          <c:spPr>
            <a:solidFill>
              <a:schemeClr val="bg1">
                <a:lumMod val="50000"/>
              </a:schemeClr>
            </a:solidFill>
            <a:effectLst/>
          </c:spPr>
          <c:cat>
            <c:numRef>
              <c:f>'Intermediate output'!$AY$4:$BH$4</c:f>
              <c:numCache>
                <c:formatCode>General</c:formatCode>
                <c:ptCount val="10"/>
                <c:pt idx="0">
                  <c:v>2007.0</c:v>
                </c:pt>
              </c:numCache>
            </c:numRef>
          </c:cat>
          <c:val>
            <c:numRef>
              <c:f>'Intermediate output'!$AY$99:$BH$99</c:f>
              <c:numCache>
                <c:formatCode>#,##0.0_);\(#,##0.0\);"-"_);@</c:formatCode>
                <c:ptCount val="10"/>
              </c:numCache>
            </c:numRef>
          </c:val>
        </c:ser>
        <c:ser>
          <c:idx val="7"/>
          <c:order val="1"/>
          <c:tx>
            <c:strRef>
              <c:f>'Intermediate output'!$D$100</c:f>
              <c:strCache>
                <c:ptCount val="1"/>
              </c:strCache>
            </c:strRef>
          </c:tx>
          <c:spPr>
            <a:effectLst/>
          </c:spPr>
          <c:cat>
            <c:numRef>
              <c:f>'Intermediate output'!$AY$4:$BH$4</c:f>
              <c:numCache>
                <c:formatCode>General</c:formatCode>
                <c:ptCount val="10"/>
                <c:pt idx="0">
                  <c:v>2007.0</c:v>
                </c:pt>
              </c:numCache>
            </c:numRef>
          </c:cat>
          <c:val>
            <c:numRef>
              <c:f>'Intermediate output'!$AY$100:$BH$100</c:f>
              <c:numCache>
                <c:formatCode>#,##0.0_);\(#,##0.0\);"-"_);@</c:formatCode>
                <c:ptCount val="10"/>
              </c:numCache>
            </c:numRef>
          </c:val>
        </c:ser>
        <c:ser>
          <c:idx val="8"/>
          <c:order val="2"/>
          <c:tx>
            <c:strRef>
              <c:f>'Intermediate output'!$D$101</c:f>
              <c:strCache>
                <c:ptCount val="1"/>
              </c:strCache>
            </c:strRef>
          </c:tx>
          <c:spPr>
            <a:solidFill>
              <a:schemeClr val="accent4">
                <a:lumMod val="60000"/>
                <a:lumOff val="40000"/>
              </a:schemeClr>
            </a:solidFill>
            <a:effectLst/>
          </c:spPr>
          <c:cat>
            <c:numRef>
              <c:f>'Intermediate output'!$AY$4:$BH$4</c:f>
              <c:numCache>
                <c:formatCode>General</c:formatCode>
                <c:ptCount val="10"/>
                <c:pt idx="0">
                  <c:v>2007.0</c:v>
                </c:pt>
              </c:numCache>
            </c:numRef>
          </c:cat>
          <c:val>
            <c:numRef>
              <c:f>'Intermediate output'!$AY$101:$BH$101</c:f>
              <c:numCache>
                <c:formatCode>#,##0.0_);\(#,##0.0\);"-"_);@</c:formatCode>
                <c:ptCount val="10"/>
              </c:numCache>
            </c:numRef>
          </c:val>
        </c:ser>
        <c:ser>
          <c:idx val="9"/>
          <c:order val="3"/>
          <c:tx>
            <c:strRef>
              <c:f>'Intermediate output'!$D$109</c:f>
              <c:strCache>
                <c:ptCount val="1"/>
              </c:strCache>
            </c:strRef>
          </c:tx>
          <c:spPr>
            <a:solidFill>
              <a:schemeClr val="accent3"/>
            </a:solidFill>
            <a:effectLst/>
          </c:spPr>
          <c:cat>
            <c:numRef>
              <c:f>'Intermediate output'!$AY$4:$BH$4</c:f>
              <c:numCache>
                <c:formatCode>General</c:formatCode>
                <c:ptCount val="10"/>
                <c:pt idx="0">
                  <c:v>2007.0</c:v>
                </c:pt>
              </c:numCache>
            </c:numRef>
          </c:cat>
          <c:val>
            <c:numRef>
              <c:f>'Intermediate output'!$AY$109:$BH$109</c:f>
              <c:numCache>
                <c:formatCode>#,##0.0_);\(#,##0.0\);"-"_);@</c:formatCode>
                <c:ptCount val="10"/>
              </c:numCache>
            </c:numRef>
          </c:val>
        </c:ser>
        <c:ser>
          <c:idx val="12"/>
          <c:order val="6"/>
          <c:tx>
            <c:strRef>
              <c:f>'Intermediate output'!$D$110</c:f>
              <c:strCache>
                <c:ptCount val="1"/>
              </c:strCache>
            </c:strRef>
          </c:tx>
          <c:spPr>
            <a:solidFill>
              <a:schemeClr val="accent6">
                <a:lumMod val="60000"/>
                <a:lumOff val="40000"/>
              </a:schemeClr>
            </a:solidFill>
          </c:spPr>
          <c:val>
            <c:numRef>
              <c:f>'Intermediate output'!$AY$110:$BH$110</c:f>
              <c:numCache>
                <c:formatCode>#,##0.0_);\(#,##0.0\);"-"_);@</c:formatCode>
                <c:ptCount val="10"/>
              </c:numCache>
            </c:numRef>
          </c:val>
        </c:ser>
        <c:dLbls>
          <c:showLegendKey val="0"/>
          <c:showVal val="0"/>
          <c:showCatName val="0"/>
          <c:showSerName val="0"/>
          <c:showPercent val="0"/>
          <c:showBubbleSize val="0"/>
        </c:dLbls>
        <c:axId val="2103708936"/>
        <c:axId val="2103705848"/>
      </c:areaChart>
      <c:lineChart>
        <c:grouping val="standard"/>
        <c:varyColors val="0"/>
        <c:ser>
          <c:idx val="10"/>
          <c:order val="4"/>
          <c:tx>
            <c:v>Domestic demand</c:v>
          </c:tx>
          <c:spPr>
            <a:ln w="57150">
              <a:solidFill>
                <a:srgbClr val="000000">
                  <a:alpha val="50196"/>
                </a:srgbClr>
              </a:solidFill>
            </a:ln>
          </c:spPr>
          <c:marker>
            <c:symbol val="none"/>
          </c:marker>
          <c:cat>
            <c:numRef>
              <c:f>'Intermediate output'!$AY$95:$BH$95</c:f>
              <c:numCache>
                <c:formatCode>General</c:formatCode>
                <c:ptCount val="10"/>
              </c:numCache>
            </c:numRef>
          </c:cat>
          <c:val>
            <c:numRef>
              <c:f>'Intermediate output'!$AY$85:$BH$85</c:f>
              <c:numCache>
                <c:formatCode>#,##0.0_);\(#,##0.0\);"-"_);@</c:formatCode>
                <c:ptCount val="10"/>
              </c:numCache>
            </c:numRef>
          </c:val>
          <c:smooth val="0"/>
        </c:ser>
        <c:ser>
          <c:idx val="11"/>
          <c:order val="5"/>
          <c:tx>
            <c:v>Dummy</c:v>
          </c:tx>
          <c:spPr>
            <a:ln>
              <a:noFill/>
            </a:ln>
          </c:spPr>
          <c:marker>
            <c:symbol val="none"/>
          </c:marker>
          <c:cat>
            <c:numRef>
              <c:f>'Intermediate output'!$AY$95:$BH$95</c:f>
              <c:numCache>
                <c:formatCode>General</c:formatCode>
                <c:ptCount val="10"/>
              </c:numCache>
            </c:numRef>
          </c:cat>
          <c:val>
            <c:numRef>
              <c:f>'Intermediate output'!$AY$86:$BH$86</c:f>
              <c:numCache>
                <c:formatCode>#,##0.0_);\(#,##0.0\);"-"_);@</c:formatCode>
                <c:ptCount val="10"/>
              </c:numCache>
            </c:numRef>
          </c:val>
          <c:smooth val="0"/>
        </c:ser>
        <c:dLbls>
          <c:showLegendKey val="0"/>
          <c:showVal val="0"/>
          <c:showCatName val="0"/>
          <c:showSerName val="0"/>
          <c:showPercent val="0"/>
          <c:showBubbleSize val="0"/>
        </c:dLbls>
        <c:marker val="1"/>
        <c:smooth val="0"/>
        <c:axId val="2103696936"/>
        <c:axId val="2103699832"/>
      </c:lineChart>
      <c:catAx>
        <c:axId val="2103708936"/>
        <c:scaling>
          <c:orientation val="minMax"/>
        </c:scaling>
        <c:delete val="0"/>
        <c:axPos val="b"/>
        <c:numFmt formatCode="General" sourceLinked="1"/>
        <c:majorTickMark val="out"/>
        <c:minorTickMark val="none"/>
        <c:tickLblPos val="nextTo"/>
        <c:txPr>
          <a:bodyPr/>
          <a:lstStyle/>
          <a:p>
            <a:pPr>
              <a:defRPr lang="en-US" sz="1200"/>
            </a:pPr>
            <a:endParaRPr lang="en-US"/>
          </a:p>
        </c:txPr>
        <c:crossAx val="2103705848"/>
        <c:crosses val="autoZero"/>
        <c:auto val="1"/>
        <c:lblAlgn val="ctr"/>
        <c:lblOffset val="100"/>
        <c:noMultiLvlLbl val="0"/>
      </c:catAx>
      <c:valAx>
        <c:axId val="2103705848"/>
        <c:scaling>
          <c:orientation val="minMax"/>
        </c:scaling>
        <c:delete val="0"/>
        <c:axPos val="l"/>
        <c:majorGridlines>
          <c:spPr>
            <a:ln>
              <a:solidFill>
                <a:schemeClr val="accent1">
                  <a:lumMod val="20000"/>
                  <a:lumOff val="80000"/>
                </a:schemeClr>
              </a:solidFill>
            </a:ln>
          </c:spPr>
        </c:majorGridlines>
        <c:title>
          <c:tx>
            <c:strRef>
              <c:f>'Intermediate output'!$D$4</c:f>
              <c:strCache>
                <c:ptCount val="1"/>
                <c:pt idx="0">
                  <c:v>TWh / year</c:v>
                </c:pt>
              </c:strCache>
            </c:strRef>
          </c:tx>
          <c:layout>
            <c:manualLayout>
              <c:xMode val="edge"/>
              <c:yMode val="edge"/>
              <c:x val="0.0"/>
              <c:y val="0.386545961002836"/>
            </c:manualLayout>
          </c:layout>
          <c:overlay val="0"/>
          <c:txPr>
            <a:bodyPr rot="-5400000" vert="horz"/>
            <a:lstStyle/>
            <a:p>
              <a:pPr>
                <a:defRPr lang="en-US" sz="1200"/>
              </a:pPr>
              <a:endParaRPr lang="en-US"/>
            </a:p>
          </c:txPr>
        </c:title>
        <c:numFmt formatCode="#,##0" sourceLinked="0"/>
        <c:majorTickMark val="out"/>
        <c:minorTickMark val="none"/>
        <c:tickLblPos val="nextTo"/>
        <c:spPr>
          <a:ln>
            <a:noFill/>
          </a:ln>
        </c:spPr>
        <c:txPr>
          <a:bodyPr/>
          <a:lstStyle/>
          <a:p>
            <a:pPr>
              <a:defRPr lang="en-US" sz="1200"/>
            </a:pPr>
            <a:endParaRPr lang="en-US"/>
          </a:p>
        </c:txPr>
        <c:crossAx val="2103708936"/>
        <c:crosses val="autoZero"/>
        <c:crossBetween val="midCat"/>
      </c:valAx>
      <c:valAx>
        <c:axId val="2103699832"/>
        <c:scaling>
          <c:orientation val="minMax"/>
        </c:scaling>
        <c:delete val="1"/>
        <c:axPos val="r"/>
        <c:numFmt formatCode="#,##0.0_);\(#,##0.0\);&quot;-&quot;_);@" sourceLinked="1"/>
        <c:majorTickMark val="out"/>
        <c:minorTickMark val="none"/>
        <c:tickLblPos val="none"/>
        <c:crossAx val="2103696936"/>
        <c:crosses val="max"/>
        <c:crossBetween val="between"/>
      </c:valAx>
      <c:catAx>
        <c:axId val="2103696936"/>
        <c:scaling>
          <c:orientation val="minMax"/>
        </c:scaling>
        <c:delete val="1"/>
        <c:axPos val="b"/>
        <c:numFmt formatCode="General" sourceLinked="1"/>
        <c:majorTickMark val="out"/>
        <c:minorTickMark val="none"/>
        <c:tickLblPos val="none"/>
        <c:crossAx val="2103699832"/>
        <c:crosses val="autoZero"/>
        <c:auto val="1"/>
        <c:lblAlgn val="ctr"/>
        <c:lblOffset val="100"/>
        <c:noMultiLvlLbl val="0"/>
      </c:catAx>
      <c:spPr>
        <a:noFill/>
        <a:effectLst/>
      </c:spPr>
    </c:plotArea>
    <c:legend>
      <c:legendPos val="r"/>
      <c:legendEntry>
        <c:idx val="6"/>
        <c:delete val="1"/>
      </c:legendEntry>
      <c:layout>
        <c:manualLayout>
          <c:xMode val="edge"/>
          <c:yMode val="edge"/>
          <c:x val="0.752158758661602"/>
          <c:y val="0.102083910593886"/>
          <c:w val="0.247841220118719"/>
          <c:h val="0.839970897971012"/>
        </c:manualLayout>
      </c:layout>
      <c:overlay val="0"/>
      <c:txPr>
        <a:bodyPr/>
        <a:lstStyle/>
        <a:p>
          <a:pPr>
            <a:defRPr lang="en-US" sz="1200"/>
          </a:pPr>
          <a:endParaRPr lang="en-US"/>
        </a:p>
      </c:txPr>
    </c:legend>
    <c:plotVisOnly val="1"/>
    <c:dispBlanksAs val="zero"/>
    <c:showDLblsOverMax val="0"/>
  </c:chart>
  <c:spPr>
    <a:noFill/>
    <a:ln>
      <a:noFill/>
    </a:ln>
  </c:spPr>
  <c:txPr>
    <a:bodyPr/>
    <a:lstStyle/>
    <a:p>
      <a:pPr>
        <a:defRPr>
          <a:latin typeface="+mj-lt"/>
        </a:defRPr>
      </a:pPr>
      <a:endParaRPr lang="en-US"/>
    </a:p>
  </c:txPr>
  <c:printSettings>
    <c:headerFooter/>
    <c:pageMargins b="0.750000000000017" l="0.700000000000003" r="0.700000000000003" t="0.750000000000017"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lang="en-US"/>
            </a:pPr>
            <a:r>
              <a:rPr lang="en-GB"/>
              <a:t>Emissions (% of base year)</a:t>
            </a:r>
          </a:p>
        </c:rich>
      </c:tx>
      <c:layout>
        <c:manualLayout>
          <c:xMode val="edge"/>
          <c:yMode val="edge"/>
          <c:x val="0.269092923684014"/>
          <c:y val="0.0378176398464807"/>
        </c:manualLayout>
      </c:layout>
      <c:overlay val="0"/>
    </c:title>
    <c:autoTitleDeleted val="0"/>
    <c:plotArea>
      <c:layout>
        <c:manualLayout>
          <c:layoutTarget val="inner"/>
          <c:xMode val="edge"/>
          <c:yMode val="edge"/>
          <c:x val="0.109388716961062"/>
          <c:y val="0.123391752101246"/>
          <c:w val="0.62143330296144"/>
          <c:h val="0.781358640435945"/>
        </c:manualLayout>
      </c:layout>
      <c:areaChart>
        <c:grouping val="stacked"/>
        <c:varyColors val="0"/>
        <c:ser>
          <c:idx val="6"/>
          <c:order val="2"/>
          <c:tx>
            <c:strRef>
              <c:f>'Intermediate output'!$D$141</c:f>
              <c:strCache>
                <c:ptCount val="1"/>
              </c:strCache>
            </c:strRef>
          </c:tx>
          <c:spPr>
            <a:solidFill>
              <a:schemeClr val="bg1">
                <a:lumMod val="75000"/>
              </a:schemeClr>
            </a:solidFill>
            <a:ln>
              <a:noFill/>
            </a:ln>
            <a:effectLst/>
          </c:spPr>
          <c:cat>
            <c:numRef>
              <c:f>'Intermediate output'!$AY$138:$BH$138</c:f>
              <c:numCache>
                <c:formatCode>General</c:formatCode>
                <c:ptCount val="10"/>
              </c:numCache>
            </c:numRef>
          </c:cat>
          <c:val>
            <c:numRef>
              <c:f>'Intermediate output'!$AY$141:$BH$141</c:f>
              <c:numCache>
                <c:formatCode>0%;\ \(0%\);\ \-</c:formatCode>
                <c:ptCount val="10"/>
              </c:numCache>
            </c:numRef>
          </c:val>
        </c:ser>
        <c:ser>
          <c:idx val="7"/>
          <c:order val="3"/>
          <c:tx>
            <c:strRef>
              <c:f>'Intermediate output'!$D$142</c:f>
              <c:strCache>
                <c:ptCount val="1"/>
              </c:strCache>
            </c:strRef>
          </c:tx>
          <c:spPr>
            <a:solidFill>
              <a:schemeClr val="accent4"/>
            </a:solidFill>
            <a:ln>
              <a:noFill/>
            </a:ln>
          </c:spPr>
          <c:cat>
            <c:numRef>
              <c:f>'Intermediate output'!$AY$138:$BH$138</c:f>
              <c:numCache>
                <c:formatCode>General</c:formatCode>
                <c:ptCount val="10"/>
              </c:numCache>
            </c:numRef>
          </c:cat>
          <c:val>
            <c:numRef>
              <c:f>'Intermediate output'!$AY$142:$BH$142</c:f>
              <c:numCache>
                <c:formatCode>0%;\ \(0%\);\ \-</c:formatCode>
                <c:ptCount val="10"/>
              </c:numCache>
            </c:numRef>
          </c:val>
        </c:ser>
        <c:ser>
          <c:idx val="8"/>
          <c:order val="4"/>
          <c:tx>
            <c:strRef>
              <c:f>'Intermediate output'!$D$144</c:f>
              <c:strCache>
                <c:ptCount val="1"/>
              </c:strCache>
            </c:strRef>
          </c:tx>
          <c:spPr>
            <a:solidFill>
              <a:schemeClr val="accent3"/>
            </a:solidFill>
            <a:ln>
              <a:noFill/>
            </a:ln>
          </c:spPr>
          <c:cat>
            <c:numRef>
              <c:f>'Intermediate output'!$AY$138:$BH$138</c:f>
              <c:numCache>
                <c:formatCode>General</c:formatCode>
                <c:ptCount val="10"/>
              </c:numCache>
            </c:numRef>
          </c:cat>
          <c:val>
            <c:numRef>
              <c:f>'Intermediate output'!$AY$144:$BH$144</c:f>
              <c:numCache>
                <c:formatCode>0%;\ \(0%\);\ \-</c:formatCode>
                <c:ptCount val="10"/>
              </c:numCache>
            </c:numRef>
          </c:val>
        </c:ser>
        <c:ser>
          <c:idx val="9"/>
          <c:order val="5"/>
          <c:tx>
            <c:strRef>
              <c:f>'Intermediate output'!$D$145</c:f>
              <c:strCache>
                <c:ptCount val="1"/>
              </c:strCache>
            </c:strRef>
          </c:tx>
          <c:spPr>
            <a:solidFill>
              <a:schemeClr val="accent3">
                <a:lumMod val="50000"/>
              </a:schemeClr>
            </a:solidFill>
            <a:ln>
              <a:noFill/>
            </a:ln>
          </c:spPr>
          <c:cat>
            <c:numRef>
              <c:f>'Intermediate output'!$AY$138:$BH$138</c:f>
              <c:numCache>
                <c:formatCode>General</c:formatCode>
                <c:ptCount val="10"/>
              </c:numCache>
            </c:numRef>
          </c:cat>
          <c:val>
            <c:numRef>
              <c:f>'Intermediate output'!$AY$145:$BH$145</c:f>
              <c:numCache>
                <c:formatCode>0%;\ \(0%\);\ \-</c:formatCode>
                <c:ptCount val="10"/>
              </c:numCache>
            </c:numRef>
          </c:val>
        </c:ser>
        <c:ser>
          <c:idx val="10"/>
          <c:order val="6"/>
          <c:tx>
            <c:strRef>
              <c:f>'Intermediate output'!$D$146</c:f>
              <c:strCache>
                <c:ptCount val="1"/>
              </c:strCache>
            </c:strRef>
          </c:tx>
          <c:spPr>
            <a:solidFill>
              <a:schemeClr val="accent6">
                <a:lumMod val="75000"/>
              </a:schemeClr>
            </a:solidFill>
            <a:ln>
              <a:noFill/>
            </a:ln>
          </c:spPr>
          <c:cat>
            <c:numRef>
              <c:f>'Intermediate output'!$AY$138:$BH$138</c:f>
              <c:numCache>
                <c:formatCode>General</c:formatCode>
                <c:ptCount val="10"/>
              </c:numCache>
            </c:numRef>
          </c:cat>
          <c:val>
            <c:numRef>
              <c:f>'Intermediate output'!$AY$146:$BH$146</c:f>
              <c:numCache>
                <c:formatCode>0%;\ \(0%\);\ \-</c:formatCode>
                <c:ptCount val="10"/>
              </c:numCache>
            </c:numRef>
          </c:val>
        </c:ser>
        <c:ser>
          <c:idx val="12"/>
          <c:order val="7"/>
          <c:tx>
            <c:strRef>
              <c:f>'Intermediate output'!$D$148</c:f>
              <c:strCache>
                <c:ptCount val="1"/>
              </c:strCache>
            </c:strRef>
          </c:tx>
          <c:spPr>
            <a:ln>
              <a:noFill/>
            </a:ln>
          </c:spPr>
          <c:cat>
            <c:numRef>
              <c:f>'Intermediate output'!$AY$138:$BH$138</c:f>
              <c:numCache>
                <c:formatCode>General</c:formatCode>
                <c:ptCount val="10"/>
              </c:numCache>
            </c:numRef>
          </c:cat>
          <c:val>
            <c:numRef>
              <c:f>'Intermediate output'!$AY$148:$BH$148</c:f>
              <c:numCache>
                <c:formatCode>0%;\ \(0%\);\ \-</c:formatCode>
                <c:ptCount val="10"/>
              </c:numCache>
            </c:numRef>
          </c:val>
        </c:ser>
        <c:dLbls>
          <c:showLegendKey val="0"/>
          <c:showVal val="0"/>
          <c:showCatName val="0"/>
          <c:showSerName val="0"/>
          <c:showPercent val="0"/>
          <c:showBubbleSize val="0"/>
        </c:dLbls>
        <c:axId val="2075992776"/>
        <c:axId val="2075995864"/>
      </c:areaChart>
      <c:areaChart>
        <c:grouping val="stacked"/>
        <c:varyColors val="0"/>
        <c:ser>
          <c:idx val="13"/>
          <c:order val="0"/>
          <c:tx>
            <c:strRef>
              <c:f>'Intermediate output'!$D$149</c:f>
              <c:strCache>
                <c:ptCount val="1"/>
              </c:strCache>
            </c:strRef>
          </c:tx>
          <c:spPr>
            <a:ln w="9525">
              <a:noFill/>
            </a:ln>
            <a:effectLst/>
          </c:spPr>
          <c:cat>
            <c:numRef>
              <c:f>'Intermediate output'!$AY$138:$BH$138</c:f>
              <c:numCache>
                <c:formatCode>General</c:formatCode>
                <c:ptCount val="10"/>
              </c:numCache>
            </c:numRef>
          </c:cat>
          <c:val>
            <c:numRef>
              <c:f>'Intermediate output'!$AY$149:$BH$149</c:f>
              <c:numCache>
                <c:formatCode>0%;\ \(0%\);\ \-</c:formatCode>
                <c:ptCount val="10"/>
              </c:numCache>
            </c:numRef>
          </c:val>
        </c:ser>
        <c:ser>
          <c:idx val="11"/>
          <c:order val="1"/>
          <c:tx>
            <c:strRef>
              <c:f>'Intermediate output'!$D$150</c:f>
              <c:strCache>
                <c:ptCount val="1"/>
              </c:strCache>
            </c:strRef>
          </c:tx>
          <c:spPr>
            <a:solidFill>
              <a:schemeClr val="accent2"/>
            </a:solidFill>
            <a:ln w="9525">
              <a:noFill/>
            </a:ln>
            <a:effectLst/>
          </c:spPr>
          <c:cat>
            <c:numRef>
              <c:f>'Intermediate output'!$AY$138:$BH$138</c:f>
              <c:numCache>
                <c:formatCode>General</c:formatCode>
                <c:ptCount val="10"/>
              </c:numCache>
            </c:numRef>
          </c:cat>
          <c:val>
            <c:numRef>
              <c:f>'Intermediate output'!$AY$150:$BH$150</c:f>
              <c:numCache>
                <c:formatCode>0%;\ \(0%\);\ \-</c:formatCode>
                <c:ptCount val="10"/>
              </c:numCache>
            </c:numRef>
          </c:val>
        </c:ser>
        <c:dLbls>
          <c:showLegendKey val="0"/>
          <c:showVal val="0"/>
          <c:showCatName val="0"/>
          <c:showSerName val="0"/>
          <c:showPercent val="0"/>
          <c:showBubbleSize val="0"/>
        </c:dLbls>
        <c:axId val="2076005320"/>
        <c:axId val="2076002424"/>
      </c:areaChart>
      <c:lineChart>
        <c:grouping val="standard"/>
        <c:varyColors val="0"/>
        <c:ser>
          <c:idx val="0"/>
          <c:order val="8"/>
          <c:tx>
            <c:strRef>
              <c:f>'Intermediate output'!$D$151</c:f>
              <c:strCache>
                <c:ptCount val="1"/>
              </c:strCache>
            </c:strRef>
          </c:tx>
          <c:spPr>
            <a:ln w="57150">
              <a:solidFill>
                <a:srgbClr val="000000">
                  <a:alpha val="80000"/>
                </a:srgbClr>
              </a:solidFill>
            </a:ln>
          </c:spPr>
          <c:marker>
            <c:symbol val="none"/>
          </c:marker>
          <c:cat>
            <c:numRef>
              <c:f>'Intermediate output'!$AY$138:$BH$138</c:f>
              <c:numCache>
                <c:formatCode>General</c:formatCode>
                <c:ptCount val="10"/>
              </c:numCache>
            </c:numRef>
          </c:cat>
          <c:val>
            <c:numRef>
              <c:f>'Intermediate output'!$AY$151:$BH$151</c:f>
              <c:numCache>
                <c:formatCode>0%;\ \(0%\);\ \-</c:formatCode>
                <c:ptCount val="10"/>
              </c:numCache>
            </c:numRef>
          </c:val>
          <c:smooth val="0"/>
        </c:ser>
        <c:ser>
          <c:idx val="1"/>
          <c:order val="9"/>
          <c:tx>
            <c:strRef>
              <c:f>'Intermediate output'!$D$206</c:f>
              <c:strCache>
                <c:ptCount val="1"/>
              </c:strCache>
            </c:strRef>
          </c:tx>
          <c:spPr>
            <a:ln w="12700">
              <a:solidFill>
                <a:schemeClr val="bg1"/>
              </a:solidFill>
              <a:prstDash val="dash"/>
            </a:ln>
          </c:spPr>
          <c:marker>
            <c:symbol val="none"/>
          </c:marker>
          <c:cat>
            <c:numRef>
              <c:f>'Intermediate output'!$AY$138:$BH$138</c:f>
              <c:numCache>
                <c:formatCode>General</c:formatCode>
                <c:ptCount val="10"/>
              </c:numCache>
            </c:numRef>
          </c:cat>
          <c:val>
            <c:numRef>
              <c:f>'Intermediate output'!$AY$206:$BH$206</c:f>
              <c:numCache>
                <c:formatCode>0%;\ \(0%\);\ \-</c:formatCode>
                <c:ptCount val="10"/>
              </c:numCache>
            </c:numRef>
          </c:val>
          <c:smooth val="0"/>
        </c:ser>
        <c:ser>
          <c:idx val="2"/>
          <c:order val="10"/>
          <c:tx>
            <c:strRef>
              <c:f>'Intermediate output'!$D$207</c:f>
              <c:strCache>
                <c:ptCount val="1"/>
              </c:strCache>
            </c:strRef>
          </c:tx>
          <c:spPr>
            <a:ln w="12700">
              <a:solidFill>
                <a:schemeClr val="tx1"/>
              </a:solidFill>
            </a:ln>
          </c:spPr>
          <c:marker>
            <c:symbol val="none"/>
          </c:marker>
          <c:cat>
            <c:numRef>
              <c:f>'Intermediate output'!$AY$138:$BH$138</c:f>
              <c:numCache>
                <c:formatCode>General</c:formatCode>
                <c:ptCount val="10"/>
              </c:numCache>
            </c:numRef>
          </c:cat>
          <c:val>
            <c:numRef>
              <c:f>'Intermediate output'!$AY$207:$BH$207</c:f>
              <c:numCache>
                <c:formatCode>0%;\ \(0%\);\ \-</c:formatCode>
                <c:ptCount val="10"/>
              </c:numCache>
            </c:numRef>
          </c:val>
          <c:smooth val="0"/>
        </c:ser>
        <c:dLbls>
          <c:showLegendKey val="0"/>
          <c:showVal val="0"/>
          <c:showCatName val="0"/>
          <c:showSerName val="0"/>
          <c:showPercent val="0"/>
          <c:showBubbleSize val="0"/>
        </c:dLbls>
        <c:marker val="1"/>
        <c:smooth val="0"/>
        <c:axId val="2076005320"/>
        <c:axId val="2076002424"/>
      </c:lineChart>
      <c:catAx>
        <c:axId val="2075992776"/>
        <c:scaling>
          <c:orientation val="minMax"/>
        </c:scaling>
        <c:delete val="0"/>
        <c:axPos val="b"/>
        <c:numFmt formatCode="General" sourceLinked="1"/>
        <c:majorTickMark val="out"/>
        <c:minorTickMark val="none"/>
        <c:tickLblPos val="nextTo"/>
        <c:txPr>
          <a:bodyPr/>
          <a:lstStyle/>
          <a:p>
            <a:pPr>
              <a:defRPr lang="en-US" sz="1200"/>
            </a:pPr>
            <a:endParaRPr lang="en-US"/>
          </a:p>
        </c:txPr>
        <c:crossAx val="2075995864"/>
        <c:crossesAt val="-0.5"/>
        <c:auto val="1"/>
        <c:lblAlgn val="ctr"/>
        <c:lblOffset val="100"/>
        <c:noMultiLvlLbl val="0"/>
      </c:catAx>
      <c:valAx>
        <c:axId val="2075995864"/>
        <c:scaling>
          <c:orientation val="minMax"/>
          <c:max val="1.0"/>
          <c:min val="-0.5"/>
        </c:scaling>
        <c:delete val="0"/>
        <c:axPos val="l"/>
        <c:majorGridlines>
          <c:spPr>
            <a:ln>
              <a:solidFill>
                <a:schemeClr val="accent1">
                  <a:lumMod val="20000"/>
                  <a:lumOff val="80000"/>
                </a:schemeClr>
              </a:solidFill>
            </a:ln>
          </c:spPr>
        </c:majorGridlines>
        <c:title>
          <c:tx>
            <c:rich>
              <a:bodyPr rot="-5400000" vert="horz"/>
              <a:lstStyle/>
              <a:p>
                <a:pPr>
                  <a:defRPr lang="en-US" sz="1200"/>
                </a:pPr>
                <a:r>
                  <a:rPr lang="en-US" sz="1200"/>
                  <a:t>CO</a:t>
                </a:r>
                <a:r>
                  <a:rPr lang="en-US" sz="1200" baseline="-25000"/>
                  <a:t>2</a:t>
                </a:r>
                <a:r>
                  <a:rPr lang="en-US" sz="1200"/>
                  <a:t>e / year (% of 1990)</a:t>
                </a:r>
              </a:p>
            </c:rich>
          </c:tx>
          <c:layout>
            <c:manualLayout>
              <c:xMode val="edge"/>
              <c:yMode val="edge"/>
              <c:x val="0.0"/>
              <c:y val="0.384137580878326"/>
            </c:manualLayout>
          </c:layout>
          <c:overlay val="0"/>
        </c:title>
        <c:numFmt formatCode="0%" sourceLinked="0"/>
        <c:majorTickMark val="out"/>
        <c:minorTickMark val="none"/>
        <c:tickLblPos val="nextTo"/>
        <c:spPr>
          <a:ln>
            <a:noFill/>
          </a:ln>
        </c:spPr>
        <c:txPr>
          <a:bodyPr/>
          <a:lstStyle/>
          <a:p>
            <a:pPr>
              <a:defRPr lang="en-US" sz="1200"/>
            </a:pPr>
            <a:endParaRPr lang="en-US"/>
          </a:p>
        </c:txPr>
        <c:crossAx val="2075992776"/>
        <c:crosses val="autoZero"/>
        <c:crossBetween val="midCat"/>
        <c:majorUnit val="0.25"/>
      </c:valAx>
      <c:valAx>
        <c:axId val="2076002424"/>
        <c:scaling>
          <c:orientation val="minMax"/>
          <c:max val="1.0"/>
          <c:min val="-0.5"/>
        </c:scaling>
        <c:delete val="0"/>
        <c:axPos val="r"/>
        <c:numFmt formatCode="0%;\ \(0%\);\ \-" sourceLinked="1"/>
        <c:majorTickMark val="none"/>
        <c:minorTickMark val="none"/>
        <c:tickLblPos val="none"/>
        <c:spPr>
          <a:ln>
            <a:noFill/>
          </a:ln>
        </c:spPr>
        <c:txPr>
          <a:bodyPr/>
          <a:lstStyle/>
          <a:p>
            <a:pPr>
              <a:defRPr lang="en-US"/>
            </a:pPr>
            <a:endParaRPr lang="en-US"/>
          </a:p>
        </c:txPr>
        <c:crossAx val="2076005320"/>
        <c:crosses val="max"/>
        <c:crossBetween val="between"/>
        <c:majorUnit val="0.25"/>
      </c:valAx>
      <c:catAx>
        <c:axId val="2076005320"/>
        <c:scaling>
          <c:orientation val="minMax"/>
        </c:scaling>
        <c:delete val="1"/>
        <c:axPos val="b"/>
        <c:numFmt formatCode="General" sourceLinked="1"/>
        <c:majorTickMark val="out"/>
        <c:minorTickMark val="none"/>
        <c:tickLblPos val="none"/>
        <c:crossAx val="2076002424"/>
        <c:crosses val="autoZero"/>
        <c:auto val="1"/>
        <c:lblAlgn val="ctr"/>
        <c:lblOffset val="100"/>
        <c:noMultiLvlLbl val="0"/>
      </c:catAx>
      <c:spPr>
        <a:noFill/>
      </c:spPr>
    </c:plotArea>
    <c:legend>
      <c:legendPos val="r"/>
      <c:legendEntry>
        <c:idx val="9"/>
        <c:delete val="1"/>
      </c:legendEntry>
      <c:legendEntry>
        <c:idx val="10"/>
        <c:delete val="1"/>
      </c:legendEntry>
      <c:layout>
        <c:manualLayout>
          <c:xMode val="edge"/>
          <c:yMode val="edge"/>
          <c:x val="0.732499701635301"/>
          <c:y val="0.176577843981022"/>
          <c:w val="0.267500298364727"/>
          <c:h val="0.729408166040614"/>
        </c:manualLayout>
      </c:layout>
      <c:overlay val="0"/>
      <c:txPr>
        <a:bodyPr/>
        <a:lstStyle/>
        <a:p>
          <a:pPr>
            <a:defRPr lang="en-US" sz="1200"/>
          </a:pPr>
          <a:endParaRPr lang="en-US"/>
        </a:p>
      </c:txPr>
    </c:legend>
    <c:plotVisOnly val="1"/>
    <c:dispBlanksAs val="zero"/>
    <c:showDLblsOverMax val="0"/>
  </c:chart>
  <c:spPr>
    <a:noFill/>
    <a:ln>
      <a:noFill/>
    </a:ln>
    <a:effectLst/>
  </c:spPr>
  <c:txPr>
    <a:bodyPr/>
    <a:lstStyle/>
    <a:p>
      <a:pPr>
        <a:defRPr>
          <a:latin typeface="+mj-lt"/>
        </a:defRPr>
      </a:pPr>
      <a:endParaRPr lang="en-US"/>
    </a:p>
  </c:txPr>
  <c:printSettings>
    <c:headerFooter/>
    <c:pageMargins b="0.750000000000017" l="0.700000000000003" r="0.700000000000003" t="0.750000000000017"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29</xdr:col>
      <xdr:colOff>34636</xdr:colOff>
      <xdr:row>24</xdr:row>
      <xdr:rowOff>49950</xdr:rowOff>
    </xdr:from>
    <xdr:to>
      <xdr:col>39</xdr:col>
      <xdr:colOff>519545</xdr:colOff>
      <xdr:row>37</xdr:row>
      <xdr:rowOff>36601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3</xdr:row>
      <xdr:rowOff>0</xdr:rowOff>
    </xdr:from>
    <xdr:to>
      <xdr:col>40</xdr:col>
      <xdr:colOff>0</xdr:colOff>
      <xdr:row>21</xdr:row>
      <xdr:rowOff>158099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69273</xdr:colOff>
      <xdr:row>40</xdr:row>
      <xdr:rowOff>173181</xdr:rowOff>
    </xdr:from>
    <xdr:to>
      <xdr:col>39</xdr:col>
      <xdr:colOff>615830</xdr:colOff>
      <xdr:row>53</xdr:row>
      <xdr:rowOff>173180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242453</xdr:colOff>
      <xdr:row>3</xdr:row>
      <xdr:rowOff>69273</xdr:rowOff>
    </xdr:from>
    <xdr:to>
      <xdr:col>51</xdr:col>
      <xdr:colOff>492847</xdr:colOff>
      <xdr:row>27</xdr:row>
      <xdr:rowOff>51955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42</xdr:col>
      <xdr:colOff>421984</xdr:colOff>
      <xdr:row>15</xdr:row>
      <xdr:rowOff>177991</xdr:rowOff>
    </xdr:from>
    <xdr:ext cx="663771" cy="311496"/>
    <xdr:sp macro="" textlink="">
      <xdr:nvSpPr>
        <xdr:cNvPr id="6" name="TextBox 5"/>
        <xdr:cNvSpPr txBox="1"/>
      </xdr:nvSpPr>
      <xdr:spPr>
        <a:xfrm>
          <a:off x="18848529" y="3936036"/>
          <a:ext cx="663771" cy="3114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GB" sz="1400" b="1">
              <a:solidFill>
                <a:schemeClr val="bg1"/>
              </a:solidFill>
              <a:latin typeface="+mj-lt"/>
            </a:rPr>
            <a:t>Target</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C/Application%20Data/Tower%20Software/Offline%20Records/Offline%20Records%20(M1)/2050%20~%20-%20STRATEGIC%20PATHWAYS%20ANALYSIS%20(TO%202050)(2)/110208%20-%20CCS%20add%20-%20costs%20A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Personal/My%20Documents/offline%20matrix%20stuff/D11%20669823%20%20070311%20March%20Calculator%202011%20-%20COSTS%20copy%20and%20pas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ents"/>
      <sheetName val="Instructions"/>
      <sheetName val="Control"/>
      <sheetName val="Glossary"/>
      <sheetName val="Preferences"/>
      <sheetName val="CHANGELOG"/>
      <sheetName val="Intermediate output"/>
      <sheetName val="Costs"/>
      <sheetName val="Global cost assumptions"/>
      <sheetName val="All vectors"/>
      <sheetName val="Conversions"/>
      <sheetName val="Global assumptions"/>
      <sheetName val="Constants"/>
      <sheetName val="Combustion Emissions Factors"/>
      <sheetName val="{Workstreams}"/>
      <sheetName val="{Modules}"/>
      <sheetName val="{Energy vectors}"/>
      <sheetName val="{Emissions}"/>
      <sheetName val="I.a"/>
      <sheetName val="I.b"/>
      <sheetName val="II.a"/>
      <sheetName val="III.a.1"/>
      <sheetName val="III.a.2"/>
      <sheetName val="III.c"/>
      <sheetName val="III.b"/>
      <sheetName val="III.d"/>
      <sheetName val="IV.a"/>
      <sheetName val="IV.b"/>
      <sheetName val="IV.c"/>
      <sheetName val="V.a"/>
      <sheetName val="V.b"/>
      <sheetName val="VI.a"/>
      <sheetName val="VI.b"/>
      <sheetName val="VI.c"/>
      <sheetName val="VII.a"/>
      <sheetName val="VII.b"/>
      <sheetName val="VII.c"/>
      <sheetName val="VII.c (1 day)"/>
      <sheetName val="VIII.a"/>
      <sheetName val="IX.a"/>
      <sheetName val="IX.c"/>
      <sheetName val="X.a"/>
      <sheetName val="X.b"/>
      <sheetName val="XI.a"/>
      <sheetName val="XII.a"/>
      <sheetName val="XII.b"/>
      <sheetName val="XII.c"/>
      <sheetName val="XII.e"/>
      <sheetName val="XIII.a"/>
      <sheetName val="XIV.a"/>
      <sheetName val="XV.a"/>
      <sheetName val="XV.b"/>
      <sheetName val="XVI.a"/>
      <sheetName val="XVII.a"/>
      <sheetName val="2007 (Actual, frozen)"/>
      <sheetName val="2007 (Consistent)"/>
      <sheetName val="2007"/>
      <sheetName val="2010"/>
      <sheetName val="2015"/>
      <sheetName val="2020"/>
      <sheetName val="2025"/>
      <sheetName val="2030"/>
      <sheetName val="2035"/>
      <sheetName val="2040"/>
      <sheetName val="2045"/>
      <sheetName val="2050"/>
      <sheetName val="DUKES 09 (1.2)"/>
      <sheetName val="DUKES 09 (1.9)"/>
      <sheetName val="DUKES 09 (2.5)"/>
      <sheetName val="DUKES 09 (5.1)"/>
      <sheetName val="DUKES 09 (5.6)"/>
      <sheetName val="DUKES 09 (7.2)"/>
      <sheetName val="DUKES 09 (7.4)"/>
      <sheetName val="DUKES 09 (A.1)"/>
      <sheetName val="DECC Energy Cons. (1.14)"/>
      <sheetName val="DECC Energy Cons. (4.1)"/>
      <sheetName val="110208 - CCS add - costs AG"/>
      <sheetName val="\Application Data\Tower Softwar"/>
      <sheetName val="110208 - CCS add - costs AG.xls"/>
      <sheetName val="\C\Application Data\Tower Soft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trol"/>
      <sheetName val="Preferences"/>
      <sheetName val="Intermediate output"/>
      <sheetName val="IncrementalCost"/>
      <sheetName val="CostPerCapita"/>
      <sheetName val="CostPercentGDP"/>
      <sheetName val="CostAbsolute"/>
      <sheetName val="Air Quality Impacts"/>
      <sheetName val="Conversions"/>
      <sheetName val="Global assumptions"/>
      <sheetName val="Constants"/>
      <sheetName val="Structure of the model"/>
      <sheetName val="I.a"/>
      <sheetName val="I.b"/>
      <sheetName val="II.a"/>
      <sheetName val="III.a.1"/>
      <sheetName val="III.a.2"/>
      <sheetName val="III.b"/>
      <sheetName val="III.c"/>
      <sheetName val="III.d"/>
      <sheetName val="IV.a"/>
      <sheetName val="IV.b"/>
      <sheetName val="IV.c"/>
      <sheetName val="V.a"/>
      <sheetName val="V.b"/>
      <sheetName val="VI.a"/>
      <sheetName val="VI.b"/>
      <sheetName val="VI.c"/>
      <sheetName val="VII.a"/>
      <sheetName val="VII.b"/>
      <sheetName val="VII.c"/>
      <sheetName val="VIII.a"/>
      <sheetName val="IX.a"/>
      <sheetName val="IX.c"/>
      <sheetName val="X.a"/>
      <sheetName val="X.b"/>
      <sheetName val="XI.a"/>
      <sheetName val="XII.a"/>
      <sheetName val="XII.b"/>
      <sheetName val="XII.c"/>
      <sheetName val="XII.e"/>
      <sheetName val="XIV.a"/>
      <sheetName val="XV.a"/>
      <sheetName val="XV.b"/>
      <sheetName val="XVI.a"/>
      <sheetName val="XVI.b"/>
      <sheetName val="XVII.a"/>
      <sheetName val="XVIII.a"/>
      <sheetName val="2007 (Actual, frozen)"/>
      <sheetName val="2007 (Consistent)"/>
      <sheetName val="2007"/>
      <sheetName val="2010"/>
      <sheetName val="2015"/>
      <sheetName val="2020"/>
      <sheetName val="2025"/>
      <sheetName val="2030"/>
      <sheetName val="2035"/>
      <sheetName val="2040"/>
      <sheetName val="2045"/>
      <sheetName val="2050"/>
      <sheetName val="DUKES 09 (1.2)"/>
      <sheetName val="DUKES 09 (1.9)"/>
      <sheetName val="DUKES 09 (2.5)"/>
      <sheetName val="DUKES 09 (5.1)"/>
      <sheetName val="DUKES 09 (5.6)"/>
      <sheetName val="DUKES 09 (7.2)"/>
      <sheetName val="DUKES 09 (7.4)"/>
      <sheetName val="DUKES 09 (A.1)"/>
      <sheetName val="DECC Energy Cons. (1.14)"/>
      <sheetName val="DECC Energy Cons. (4.1)"/>
      <sheetName val="D11 669823  070311 March Calcul"/>
      <sheetName val="\Personal\My Documents\offline "/>
      <sheetName val="\C\Personal\My Documents\offl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Set>
  </externalBook>
</externalLink>
</file>

<file path=xl/tables/table1.xml><?xml version="1.0" encoding="utf-8"?>
<table xmlns="http://schemas.openxmlformats.org/spreadsheetml/2006/main" id="16" name="Global.Assumptions" displayName="Global.Assumptions" ref="B5:G16" totalsRowCount="1" headerRowDxfId="1571" dataDxfId="1570">
  <autoFilter ref="B5:G15"/>
  <tableColumns count="6">
    <tableColumn id="1" name="Year" dataDxfId="1569" totalsRowDxfId="1568"/>
    <tableColumn id="2" name="Population" totalsRowFunction="average" dataDxfId="1567" totalsRowDxfId="1566" dataCellStyle="Comma"/>
    <tableColumn id="3" name="Households" dataDxfId="1565" totalsRowDxfId="1564" dataCellStyle="Comma">
      <calculatedColumnFormula>Global.Assumptions[[#This Row],[Population]]/25751000</calculatedColumnFormula>
    </tableColumn>
    <tableColumn id="4" name="GDP (2005 £m)" dataDxfId="1563" totalsRowDxfId="1562"/>
    <tableColumn id="5" name="GDP (£2010)" dataDxfId="1561" totalsRowDxfId="1560" dataCellStyle="Comma">
      <calculatedColumnFormula>Global.Assumptions[[#This Row],[GDP (2005 £m)]]*MGBP*Price2005</calculatedColumnFormula>
    </tableColumn>
    <tableColumn id="6" name="GDP per Capita (£2010)" dataDxfId="1559" totalsRowDxfId="1558">
      <calculatedColumnFormula>Global.Assumptions[[#This Row],[GDP (£2010)]]/Global.Assumptions[[#This Row],[Population]]</calculatedColumnFormula>
    </tableColumn>
  </tableColumns>
  <tableStyleInfo name="EnergyCalcTables" showFirstColumn="0" showLastColumn="0" showRowStripes="0" showColumnStripes="0"/>
</table>
</file>

<file path=xl/tables/table10.xml><?xml version="1.0" encoding="utf-8"?>
<table xmlns="http://schemas.openxmlformats.org/spreadsheetml/2006/main" id="30" name="AirQualityVectors" displayName="AirQualityVectors" ref="X21:Z25" totalsRowShown="0" headerRowDxfId="1511" dataDxfId="1510">
  <autoFilter ref="X21:Z25"/>
  <tableColumns count="3">
    <tableColumn id="1" name="Code" dataDxfId="1509"/>
    <tableColumn id="2" name="Description" dataDxfId="1508"/>
    <tableColumn id="3" name="Comments" dataDxfId="1507"/>
  </tableColumns>
  <tableStyleInfo name="TableStyleMedium9" showFirstColumn="0" showLastColumn="0" showRowStripes="1" showColumnStripes="0"/>
</table>
</file>

<file path=xl/tables/table11.xml><?xml version="1.0" encoding="utf-8"?>
<table xmlns="http://schemas.openxmlformats.org/spreadsheetml/2006/main" id="67" name="XII.a.Outputs" displayName="XII.a.Outputs" ref="C746:O753" totalsRowCount="1" headerRowDxfId="1505" dataDxfId="1504">
  <autoFilter ref="C746:O752"/>
  <tableColumns count="13">
    <tableColumn id="1" name="Vector" totalsRowLabel="Total" dataDxfId="1503" totalsRowDxfId="1502"/>
    <tableColumn id="2" name="Name" dataDxfId="1501" totalsRowDxfId="1500">
      <calculatedColumnFormula>INDEX([2]!Vectors[Description], MATCH(XII.a.Outputs[Vector], [2]!Vectors[Code], 0))</calculatedColumnFormula>
    </tableColumn>
    <tableColumn id="3" name="Notes" dataDxfId="1499" totalsRowDxfId="1498"/>
    <tableColumn id="4" name="2007" totalsRowFunction="sum" dataDxfId="1497" totalsRowDxfId="1496" dataCellStyle="Comma"/>
    <tableColumn id="5" name="2010" totalsRowFunction="sum" dataDxfId="1495" totalsRowDxfId="1494" dataCellStyle="Comma"/>
    <tableColumn id="6" name="2015" totalsRowFunction="sum" dataDxfId="1493" totalsRowDxfId="1492" dataCellStyle="Comma"/>
    <tableColumn id="7" name="2020" totalsRowFunction="sum" dataDxfId="1491" totalsRowDxfId="1490" dataCellStyle="Comma"/>
    <tableColumn id="8" name="2025" totalsRowFunction="sum" dataDxfId="1489" totalsRowDxfId="1488" dataCellStyle="Comma"/>
    <tableColumn id="9" name="2030" totalsRowFunction="sum" dataDxfId="1487" totalsRowDxfId="1486" dataCellStyle="Comma"/>
    <tableColumn id="10" name="2035" totalsRowFunction="sum" dataDxfId="1485" totalsRowDxfId="1484" dataCellStyle="Comma"/>
    <tableColumn id="11" name="2040" totalsRowFunction="sum" dataDxfId="1483" totalsRowDxfId="1482" dataCellStyle="Comma"/>
    <tableColumn id="12" name="2045" totalsRowFunction="sum" dataDxfId="1481" totalsRowDxfId="1480" dataCellStyle="Comma"/>
    <tableColumn id="13" name="2050" totalsRowFunction="sum" dataDxfId="1479" totalsRowDxfId="1478" dataCellStyle="Comma"/>
  </tableColumns>
  <tableStyleInfo name="EnergyCalcTables" showFirstColumn="0" showLastColumn="0" showRowStripes="1" showColumnStripes="0"/>
</table>
</file>

<file path=xl/tables/table12.xml><?xml version="1.0" encoding="utf-8"?>
<table xmlns="http://schemas.openxmlformats.org/spreadsheetml/2006/main" id="170" name="XII.a.Emissions" displayName="XII.a.Emissions" ref="C787:O791" totalsRowCount="1" headerRowDxfId="1477" dataDxfId="1475" headerRowBorderDxfId="1476" tableBorderDxfId="1474" dataCellStyle="Comma">
  <autoFilter ref="C787:O790"/>
  <tableColumns count="13">
    <tableColumn id="1" name="GHG" totalsRowLabel="Total" dataDxfId="1473" totalsRowDxfId="1472"/>
    <tableColumn id="2" name="IPCC Sector" dataDxfId="1471" totalsRowDxfId="1470"/>
    <tableColumn id="3" name="Notes" dataDxfId="1469" totalsRowDxfId="1468">
      <calculatedColumnFormula>INDEX(IPCC[Sector_description], MATCH(XII.a.Emissions[IPCC Sector], IPCC[Sector_code], 0))</calculatedColumnFormula>
    </tableColumn>
    <tableColumn id="4" name="2007" totalsRowFunction="sum" dataDxfId="1467" totalsRowDxfId="1466" dataCellStyle="Comma">
      <calculatedColumnFormula>F738</calculatedColumnFormula>
    </tableColumn>
    <tableColumn id="5" name="2010" totalsRowFunction="sum" dataDxfId="1465" totalsRowDxfId="1464" dataCellStyle="Comma"/>
    <tableColumn id="6" name="2015" totalsRowFunction="sum" dataDxfId="1463" totalsRowDxfId="1462" dataCellStyle="Comma"/>
    <tableColumn id="7" name="2020" totalsRowFunction="sum" dataDxfId="1461" totalsRowDxfId="1460" dataCellStyle="Comma"/>
    <tableColumn id="8" name="2025" totalsRowFunction="sum" dataDxfId="1459" totalsRowDxfId="1458" dataCellStyle="Comma"/>
    <tableColumn id="9" name="2030" totalsRowFunction="sum" dataDxfId="1457" totalsRowDxfId="1456" dataCellStyle="Comma"/>
    <tableColumn id="10" name="2035" totalsRowFunction="sum" dataDxfId="1455" totalsRowDxfId="1454" dataCellStyle="Comma"/>
    <tableColumn id="11" name="2040" totalsRowFunction="sum" dataDxfId="1453" totalsRowDxfId="1452" dataCellStyle="Comma"/>
    <tableColumn id="12" name="2045" totalsRowFunction="sum" dataDxfId="1451" totalsRowDxfId="1450" dataCellStyle="Comma"/>
    <tableColumn id="13" name="2050" totalsRowFunction="sum" dataDxfId="1449" totalsRowDxfId="1448" dataCellStyle="Comma"/>
  </tableColumns>
  <tableStyleInfo name="EnergyCalcTables" showFirstColumn="0" showLastColumn="0" showRowStripes="1" showColumnStripes="0"/>
</table>
</file>

<file path=xl/tables/table13.xml><?xml version="1.0" encoding="utf-8"?>
<table xmlns="http://schemas.openxmlformats.org/spreadsheetml/2006/main" id="180" name="XII.a.info" displayName="XII.a.info" ref="C832:O834" totalsRowShown="0" headerRowDxfId="1447" dataDxfId="1445" totalsRowDxfId="1443" headerRowBorderDxfId="1446" tableBorderDxfId="1444" dataCellStyle="Comma">
  <autoFilter ref="C832:O834"/>
  <tableColumns count="13">
    <tableColumn id="1" name="Vector" dataDxfId="1442" totalsRowDxfId="1441"/>
    <tableColumn id="2" name="Information type" dataDxfId="1440" totalsRowDxfId="1439">
      <calculatedColumnFormula>INDEX([2]!Vectors[Description], MATCH(XII.a.info[Vector], [2]!Vectors[Code], 0))</calculatedColumnFormula>
    </tableColumn>
    <tableColumn id="3" name="Notes" dataDxfId="1438" totalsRowDxfId="1437">
      <calculatedColumnFormula>INDEX([2]!Vectors[Comment], MATCH(XII.a.info[Information type], [2]!Vectors[Description], 0))</calculatedColumnFormula>
    </tableColumn>
    <tableColumn id="4" name="2007" dataDxfId="1436" totalsRowDxfId="1435" dataCellStyle="Comma">
      <calculatedColumnFormula>F734</calculatedColumnFormula>
    </tableColumn>
    <tableColumn id="5" name="2010" dataDxfId="1434" totalsRowDxfId="1433" dataCellStyle="Comma"/>
    <tableColumn id="6" name="2015" dataDxfId="1432" totalsRowDxfId="1431" dataCellStyle="Comma"/>
    <tableColumn id="7" name="2020" dataDxfId="1430" totalsRowDxfId="1429" dataCellStyle="Comma"/>
    <tableColumn id="8" name="2025" dataDxfId="1428" totalsRowDxfId="1427" dataCellStyle="Comma"/>
    <tableColumn id="9" name="2030" dataDxfId="1426" totalsRowDxfId="1425" dataCellStyle="Comma"/>
    <tableColumn id="10" name="2035" dataDxfId="1424" totalsRowDxfId="1423" dataCellStyle="Comma"/>
    <tableColumn id="11" name="2040" dataDxfId="1422" totalsRowDxfId="1421" dataCellStyle="Comma"/>
    <tableColumn id="12" name="2045" dataDxfId="1420" totalsRowDxfId="1419" dataCellStyle="Comma"/>
    <tableColumn id="13" name="2050" dataDxfId="1418" totalsRowDxfId="1417" dataCellStyle="Comma"/>
  </tableColumns>
  <tableStyleInfo name="EnergyCalcTables" showFirstColumn="0" showLastColumn="0" showRowStripes="1" showColumnStripes="0"/>
</table>
</file>

<file path=xl/tables/table14.xml><?xml version="1.0" encoding="utf-8"?>
<table xmlns="http://schemas.openxmlformats.org/spreadsheetml/2006/main" id="183" name="XII.a.Road.Outputs" displayName="XII.a.Road.Outputs" ref="C757:O762" totalsRowCount="1" headerRowDxfId="1416" dataDxfId="1415">
  <autoFilter ref="C757:O761"/>
  <tableColumns count="13">
    <tableColumn id="1" name="Vector" totalsRowLabel="Total" dataDxfId="1414" totalsRowDxfId="1413"/>
    <tableColumn id="2" name="Name" dataDxfId="1412" totalsRowDxfId="1411">
      <calculatedColumnFormula>INDEX(Vectors[Description], MATCH(XII.a.Road.Outputs[Vector], Vectors[Code], 0))</calculatedColumnFormula>
    </tableColumn>
    <tableColumn id="3" name="Notes" dataDxfId="1410" totalsRowDxfId="1409"/>
    <tableColumn id="4" name="2007" totalsRowFunction="sum" dataDxfId="1408" totalsRowDxfId="1407" dataCellStyle="Comma"/>
    <tableColumn id="5" name="2010" totalsRowFunction="sum" dataDxfId="1406" totalsRowDxfId="1405" dataCellStyle="Comma"/>
    <tableColumn id="6" name="2015" totalsRowFunction="sum" dataDxfId="1404" totalsRowDxfId="1403" dataCellStyle="Comma"/>
    <tableColumn id="7" name="2020" totalsRowFunction="sum" dataDxfId="1402" totalsRowDxfId="1401" dataCellStyle="Comma"/>
    <tableColumn id="8" name="2025" totalsRowFunction="sum" dataDxfId="1400" totalsRowDxfId="1399" dataCellStyle="Comma"/>
    <tableColumn id="9" name="2030" totalsRowFunction="sum" dataDxfId="1398" totalsRowDxfId="1397" dataCellStyle="Comma"/>
    <tableColumn id="10" name="2035" totalsRowFunction="sum" dataDxfId="1396" totalsRowDxfId="1395" dataCellStyle="Comma"/>
    <tableColumn id="11" name="2040" totalsRowFunction="sum" dataDxfId="1394" totalsRowDxfId="1393" dataCellStyle="Comma"/>
    <tableColumn id="12" name="2045" totalsRowFunction="sum" dataDxfId="1392" totalsRowDxfId="1391" dataCellStyle="Comma"/>
    <tableColumn id="13" name="2050" totalsRowFunction="sum" dataDxfId="1390" totalsRowDxfId="1389" dataCellStyle="Comma"/>
  </tableColumns>
  <tableStyleInfo name="EnergyCalcTables" showFirstColumn="0" showLastColumn="0" showRowStripes="1" showColumnStripes="0"/>
</table>
</file>

<file path=xl/tables/table15.xml><?xml version="1.0" encoding="utf-8"?>
<table xmlns="http://schemas.openxmlformats.org/spreadsheetml/2006/main" id="191" name="XII.a.Rail.Outputs" displayName="XII.a.Rail.Outputs" ref="C766:O771" totalsRowCount="1" headerRowDxfId="1388" dataDxfId="1387">
  <autoFilter ref="C766:O770"/>
  <tableColumns count="13">
    <tableColumn id="1" name="Vector" totalsRowLabel="Total" dataDxfId="1386" totalsRowDxfId="1385"/>
    <tableColumn id="2" name="Name" dataDxfId="1384" totalsRowDxfId="1383">
      <calculatedColumnFormula>INDEX(Vectors[Description], MATCH(XII.a.Rail.Outputs[Vector], Vectors[Code], 0))</calculatedColumnFormula>
    </tableColumn>
    <tableColumn id="3" name="Notes" dataDxfId="1382" totalsRowDxfId="1381"/>
    <tableColumn id="4" name="2007" totalsRowFunction="sum" dataDxfId="1380" totalsRowDxfId="1379" dataCellStyle="Comma"/>
    <tableColumn id="5" name="2010" totalsRowFunction="sum" dataDxfId="1378" totalsRowDxfId="1377" dataCellStyle="Comma"/>
    <tableColumn id="6" name="2015" totalsRowFunction="sum" dataDxfId="1376" totalsRowDxfId="1375" dataCellStyle="Comma"/>
    <tableColumn id="7" name="2020" totalsRowFunction="sum" dataDxfId="1374" totalsRowDxfId="1373" dataCellStyle="Comma"/>
    <tableColumn id="8" name="2025" totalsRowFunction="sum" dataDxfId="1372" totalsRowDxfId="1371" dataCellStyle="Comma"/>
    <tableColumn id="9" name="2030" totalsRowFunction="sum" dataDxfId="1370" totalsRowDxfId="1369" dataCellStyle="Comma"/>
    <tableColumn id="10" name="2035" totalsRowFunction="sum" dataDxfId="1368" totalsRowDxfId="1367" dataCellStyle="Comma"/>
    <tableColumn id="11" name="2040" totalsRowFunction="sum" dataDxfId="1366" totalsRowDxfId="1365" dataCellStyle="Comma"/>
    <tableColumn id="12" name="2045" totalsRowFunction="sum" dataDxfId="1364" totalsRowDxfId="1363" dataCellStyle="Comma"/>
    <tableColumn id="13" name="2050" totalsRowFunction="sum" dataDxfId="1362" totalsRowDxfId="1361" dataCellStyle="Comma"/>
  </tableColumns>
  <tableStyleInfo name="EnergyCalcTables" showFirstColumn="0" showLastColumn="0" showRowStripes="1" showColumnStripes="0"/>
</table>
</file>

<file path=xl/tables/table16.xml><?xml version="1.0" encoding="utf-8"?>
<table xmlns="http://schemas.openxmlformats.org/spreadsheetml/2006/main" id="194" name="XII.a.Aviation.Outputs" displayName="XII.a.Aviation.Outputs" ref="C775:O780" totalsRowCount="1" headerRowDxfId="1360" dataDxfId="1359">
  <autoFilter ref="C775:O779"/>
  <tableColumns count="13">
    <tableColumn id="1" name="Vector" totalsRowLabel="Total" dataDxfId="1358" totalsRowDxfId="1357"/>
    <tableColumn id="2" name="Name" dataDxfId="1356" totalsRowDxfId="1355">
      <calculatedColumnFormula>INDEX(Vectors[Description], MATCH(XII.a.Aviation.Outputs[Vector], Vectors[Code], 0))</calculatedColumnFormula>
    </tableColumn>
    <tableColumn id="3" name="Notes" dataDxfId="1354" totalsRowDxfId="1353"/>
    <tableColumn id="4" name="2007" totalsRowFunction="sum" dataDxfId="1352" totalsRowDxfId="1351" dataCellStyle="Comma"/>
    <tableColumn id="5" name="2010" totalsRowFunction="sum" dataDxfId="1350" totalsRowDxfId="1349" dataCellStyle="Comma"/>
    <tableColumn id="6" name="2015" totalsRowFunction="sum" dataDxfId="1348" totalsRowDxfId="1347" dataCellStyle="Comma"/>
    <tableColumn id="7" name="2020" totalsRowFunction="sum" dataDxfId="1346" totalsRowDxfId="1345" dataCellStyle="Comma"/>
    <tableColumn id="8" name="2025" totalsRowFunction="sum" dataDxfId="1344" totalsRowDxfId="1343" dataCellStyle="Comma"/>
    <tableColumn id="9" name="2030" totalsRowFunction="sum" dataDxfId="1342" totalsRowDxfId="1341" dataCellStyle="Comma"/>
    <tableColumn id="10" name="2035" totalsRowFunction="sum" dataDxfId="1340" totalsRowDxfId="1339" dataCellStyle="Comma"/>
    <tableColumn id="11" name="2040" totalsRowFunction="sum" dataDxfId="1338" totalsRowDxfId="1337" dataCellStyle="Comma"/>
    <tableColumn id="12" name="2045" totalsRowFunction="sum" dataDxfId="1336" totalsRowDxfId="1335" dataCellStyle="Comma"/>
    <tableColumn id="13" name="2050" totalsRowFunction="sum" dataDxfId="1334" totalsRowDxfId="1333" dataCellStyle="Comma"/>
  </tableColumns>
  <tableStyleInfo name="EnergyCalcTables" showFirstColumn="0" showLastColumn="0" showRowStripes="1" showColumnStripes="0"/>
</table>
</file>

<file path=xl/tables/table17.xml><?xml version="1.0" encoding="utf-8"?>
<table xmlns="http://schemas.openxmlformats.org/spreadsheetml/2006/main" id="197" name="XII.a.road.Emissions" displayName="XII.a.road.Emissions" ref="C795:O799" totalsRowCount="1" headerRowDxfId="1332" dataDxfId="1330" headerRowBorderDxfId="1331" tableBorderDxfId="1329" dataCellStyle="Comma">
  <autoFilter ref="C795:O798"/>
  <tableColumns count="13">
    <tableColumn id="1" name="GHG" totalsRowLabel="Total" dataDxfId="1328" totalsRowDxfId="1327"/>
    <tableColumn id="2" name="IPCC Sector" dataDxfId="1326" totalsRowDxfId="1325"/>
    <tableColumn id="3" name="Notes" dataDxfId="1324" totalsRowDxfId="1323">
      <calculatedColumnFormula>INDEX(IPCC[Sector_description], MATCH(XII.a.road.Emissions[IPCC Sector], IPCC[Sector_code], 0))</calculatedColumnFormula>
    </tableColumn>
    <tableColumn id="4" name="2007" totalsRowFunction="sum" dataDxfId="1322" totalsRowDxfId="1321" dataCellStyle="Comma">
      <calculatedColumnFormula>F788*(F$759/F$750)</calculatedColumnFormula>
    </tableColumn>
    <tableColumn id="5" name="2010" totalsRowFunction="sum" dataDxfId="1320" totalsRowDxfId="1319" dataCellStyle="Comma">
      <calculatedColumnFormula>G$788*(G759/G750)</calculatedColumnFormula>
    </tableColumn>
    <tableColumn id="6" name="2015" totalsRowFunction="sum" dataDxfId="1318" totalsRowDxfId="1317" dataCellStyle="Comma">
      <calculatedColumnFormula>H$788*(H759/H750)</calculatedColumnFormula>
    </tableColumn>
    <tableColumn id="7" name="2020" totalsRowFunction="sum" dataDxfId="1316" totalsRowDxfId="1315" dataCellStyle="Comma">
      <calculatedColumnFormula>I$788*(I759/I750)</calculatedColumnFormula>
    </tableColumn>
    <tableColumn id="8" name="2025" totalsRowFunction="sum" dataDxfId="1314" totalsRowDxfId="1313" dataCellStyle="Comma">
      <calculatedColumnFormula>J$788*(J759/J750)</calculatedColumnFormula>
    </tableColumn>
    <tableColumn id="9" name="2030" totalsRowFunction="sum" dataDxfId="1312" totalsRowDxfId="1311" dataCellStyle="Comma">
      <calculatedColumnFormula>K$788*(K759/K750)</calculatedColumnFormula>
    </tableColumn>
    <tableColumn id="10" name="2035" totalsRowFunction="sum" dataDxfId="1310" totalsRowDxfId="1309" dataCellStyle="Comma">
      <calculatedColumnFormula>L$788*(L759/L750)</calculatedColumnFormula>
    </tableColumn>
    <tableColumn id="11" name="2040" totalsRowFunction="sum" dataDxfId="1308" totalsRowDxfId="1307" dataCellStyle="Comma">
      <calculatedColumnFormula>M$788*(M759/M750)</calculatedColumnFormula>
    </tableColumn>
    <tableColumn id="12" name="2045" totalsRowFunction="sum" dataDxfId="1306" totalsRowDxfId="1305" dataCellStyle="Comma">
      <calculatedColumnFormula>N$788*(N759/N750)</calculatedColumnFormula>
    </tableColumn>
    <tableColumn id="13" name="2050" totalsRowFunction="sum" dataDxfId="1304" totalsRowDxfId="1303" dataCellStyle="Comma">
      <calculatedColumnFormula>O$788*(O759/O750)</calculatedColumnFormula>
    </tableColumn>
  </tableColumns>
  <tableStyleInfo name="EnergyCalcTables" showFirstColumn="0" showLastColumn="0" showRowStripes="1" showColumnStripes="0"/>
</table>
</file>

<file path=xl/tables/table18.xml><?xml version="1.0" encoding="utf-8"?>
<table xmlns="http://schemas.openxmlformats.org/spreadsheetml/2006/main" id="203" name="XII.a.Rail.Emissions" displayName="XII.a.Rail.Emissions" ref="C803:O807" totalsRowCount="1" headerRowDxfId="1302" dataDxfId="1300" headerRowBorderDxfId="1301" tableBorderDxfId="1299" dataCellStyle="Comma">
  <autoFilter ref="C803:O806"/>
  <tableColumns count="13">
    <tableColumn id="1" name="GHG" totalsRowLabel="Total" dataDxfId="1298" totalsRowDxfId="1297"/>
    <tableColumn id="2" name="IPCC Sector" dataDxfId="1296" totalsRowDxfId="1295"/>
    <tableColumn id="3" name="Notes" dataDxfId="1294" totalsRowDxfId="1293">
      <calculatedColumnFormula>INDEX(IPCC[Sector_description], MATCH(XII.a.Rail.Emissions[IPCC Sector], IPCC[Sector_code], 0))</calculatedColumnFormula>
    </tableColumn>
    <tableColumn id="4" name="2007" totalsRowFunction="sum" dataDxfId="1292" totalsRowDxfId="1291" dataCellStyle="Comma">
      <calculatedColumnFormula>F788*(F$768/F$750)</calculatedColumnFormula>
    </tableColumn>
    <tableColumn id="5" name="2010" totalsRowFunction="sum" dataDxfId="1290" totalsRowDxfId="1289" dataCellStyle="Comma">
      <calculatedColumnFormula>G788*(G$768/G$750)</calculatedColumnFormula>
    </tableColumn>
    <tableColumn id="6" name="2015" totalsRowFunction="sum" dataDxfId="1288" totalsRowDxfId="1287" dataCellStyle="Comma">
      <calculatedColumnFormula>H788*(H$768/H$750)</calculatedColumnFormula>
    </tableColumn>
    <tableColumn id="7" name="2020" totalsRowFunction="sum" dataDxfId="1286" totalsRowDxfId="1285" dataCellStyle="Comma">
      <calculatedColumnFormula>I788*(I$768/I$750)</calculatedColumnFormula>
    </tableColumn>
    <tableColumn id="8" name="2025" totalsRowFunction="sum" dataDxfId="1284" totalsRowDxfId="1283" dataCellStyle="Comma">
      <calculatedColumnFormula>J788*(J$768/J$750)</calculatedColumnFormula>
    </tableColumn>
    <tableColumn id="9" name="2030" totalsRowFunction="sum" dataDxfId="1282" totalsRowDxfId="1281" dataCellStyle="Comma">
      <calculatedColumnFormula>K788*(K$768/K$750)</calculatedColumnFormula>
    </tableColumn>
    <tableColumn id="10" name="2035" totalsRowFunction="sum" dataDxfId="1280" totalsRowDxfId="1279" dataCellStyle="Comma">
      <calculatedColumnFormula>L788*(L$768/L$750)</calculatedColumnFormula>
    </tableColumn>
    <tableColumn id="11" name="2040" totalsRowFunction="sum" dataDxfId="1278" totalsRowDxfId="1277" dataCellStyle="Comma">
      <calculatedColumnFormula>M788*(M$768/M$750)</calculatedColumnFormula>
    </tableColumn>
    <tableColumn id="12" name="2045" totalsRowFunction="sum" dataDxfId="1276" totalsRowDxfId="1275" dataCellStyle="Comma">
      <calculatedColumnFormula>N788*(N$768/N$750)</calculatedColumnFormula>
    </tableColumn>
    <tableColumn id="13" name="2050" totalsRowFunction="sum" dataDxfId="1274" totalsRowDxfId="1273" dataCellStyle="Comma">
      <calculatedColumnFormula>O788*(O$768/O$750)</calculatedColumnFormula>
    </tableColumn>
  </tableColumns>
  <tableStyleInfo name="EnergyCalcTables" showFirstColumn="0" showLastColumn="0" showRowStripes="1" showColumnStripes="0"/>
</table>
</file>

<file path=xl/tables/table19.xml><?xml version="1.0" encoding="utf-8"?>
<table xmlns="http://schemas.openxmlformats.org/spreadsheetml/2006/main" id="206" name="XII.a.Aviation.Emissions" displayName="XII.a.Aviation.Emissions" ref="C811:O815" totalsRowCount="1" headerRowDxfId="1272" dataDxfId="1270" headerRowBorderDxfId="1271" tableBorderDxfId="1269" dataCellStyle="Comma">
  <autoFilter ref="C811:O814"/>
  <tableColumns count="13">
    <tableColumn id="1" name="GHG" totalsRowLabel="Total" dataDxfId="1268" totalsRowDxfId="1267"/>
    <tableColumn id="2" name="IPCC Sector" dataDxfId="1266" totalsRowDxfId="1265"/>
    <tableColumn id="3" name="Notes" dataDxfId="1264" totalsRowDxfId="1263">
      <calculatedColumnFormula>INDEX(IPCC[Sector_description], MATCH(XII.a.Aviation.Emissions[IPCC Sector], IPCC[Sector_code], 0))</calculatedColumnFormula>
    </tableColumn>
    <tableColumn id="4" name="2007" totalsRowFunction="sum" dataDxfId="1262" totalsRowDxfId="1261" dataCellStyle="Comma">
      <calculatedColumnFormula>F788*(F$777/F$750)</calculatedColumnFormula>
    </tableColumn>
    <tableColumn id="5" name="2010" totalsRowFunction="sum" dataDxfId="1260" totalsRowDxfId="1259" dataCellStyle="Comma">
      <calculatedColumnFormula>G788*(G$777/G$750)</calculatedColumnFormula>
    </tableColumn>
    <tableColumn id="6" name="2015" totalsRowFunction="sum" dataDxfId="1258" totalsRowDxfId="1257" dataCellStyle="Comma">
      <calculatedColumnFormula>H788*(H$777/H$750)</calculatedColumnFormula>
    </tableColumn>
    <tableColumn id="7" name="2020" totalsRowFunction="sum" dataDxfId="1256" totalsRowDxfId="1255" dataCellStyle="Comma">
      <calculatedColumnFormula>I788*(I$777/I$750)</calculatedColumnFormula>
    </tableColumn>
    <tableColumn id="8" name="2025" totalsRowFunction="sum" dataDxfId="1254" totalsRowDxfId="1253" dataCellStyle="Comma">
      <calculatedColumnFormula>J788*(J$777/J$750)</calculatedColumnFormula>
    </tableColumn>
    <tableColumn id="9" name="2030" totalsRowFunction="sum" dataDxfId="1252" totalsRowDxfId="1251" dataCellStyle="Comma">
      <calculatedColumnFormula>K788*(K$777/K$750)</calculatedColumnFormula>
    </tableColumn>
    <tableColumn id="10" name="2035" totalsRowFunction="sum" dataDxfId="1250" totalsRowDxfId="1249" dataCellStyle="Comma">
      <calculatedColumnFormula>L788*(L$777/L$750)</calculatedColumnFormula>
    </tableColumn>
    <tableColumn id="11" name="2040" totalsRowFunction="sum" dataDxfId="1248" totalsRowDxfId="1247" dataCellStyle="Comma">
      <calculatedColumnFormula>M788*(M$777/M$750)</calculatedColumnFormula>
    </tableColumn>
    <tableColumn id="12" name="2045" totalsRowFunction="sum" dataDxfId="1246" totalsRowDxfId="1245" dataCellStyle="Comma">
      <calculatedColumnFormula>N788*(N$777/N$750)</calculatedColumnFormula>
    </tableColumn>
    <tableColumn id="13" name="2050" totalsRowFunction="sum" dataDxfId="1244" totalsRowDxfId="1243" dataCellStyle="Comma">
      <calculatedColumnFormula>O788*(O$777/O$750)</calculatedColumnFormula>
    </tableColumn>
  </tableColumns>
  <tableStyleInfo name="EnergyCalcTables" showFirstColumn="0" showLastColumn="0" showRowStripes="1" showColumnStripes="0"/>
</table>
</file>

<file path=xl/tables/table2.xml><?xml version="1.0" encoding="utf-8"?>
<table xmlns="http://schemas.openxmlformats.org/spreadsheetml/2006/main" id="33" name="EF" displayName="EF" ref="B45:H91" totalsRowShown="0" headerRowDxfId="1557" dataDxfId="1556">
  <autoFilter ref="B45:H91"/>
  <tableColumns count="7">
    <tableColumn id="1" name="Vector" dataDxfId="1555"/>
    <tableColumn id="6" name="Description" dataDxfId="1554">
      <calculatedColumnFormula>INDEX(Vectors[Description], MATCH(EF[Vector], Vectors[Code], 0))</calculatedColumnFormula>
    </tableColumn>
    <tableColumn id="2" name="CO2" dataDxfId="1553" dataCellStyle="Comma"/>
    <tableColumn id="3" name="CH4" dataDxfId="1552" dataCellStyle="Comma"/>
    <tableColumn id="4" name="N2O" dataDxfId="1551" dataCellStyle="Comma"/>
    <tableColumn id="7" name="CO2e" dataDxfId="1550" dataCellStyle="Comma">
      <calculatedColumnFormula>SUM(EF[[#This Row],[CO2]:[N2O]])</calculatedColumnFormula>
    </tableColumn>
    <tableColumn id="5" name="Comments" dataDxfId="1549"/>
  </tableColumns>
  <tableStyleInfo name="TableStyleMedium12" showFirstColumn="0" showLastColumn="0" showRowStripes="1" showColumnStripes="0"/>
</table>
</file>

<file path=xl/tables/table20.xml><?xml version="1.0" encoding="utf-8"?>
<table xmlns="http://schemas.openxmlformats.org/spreadsheetml/2006/main" id="207" name="XII.a.ICE.Costs" displayName="XII.a.ICE.Costs" ref="C842:O848" headerRowDxfId="1242" dataDxfId="1240" headerRowBorderDxfId="1241" tableBorderDxfId="1239" dataCellStyle="Comma">
  <autoFilter ref="C842:O848"/>
  <tableColumns count="13">
    <tableColumn id="1" name="Vector" totalsRowLabel="Total" dataDxfId="1238" totalsRowDxfId="1237"/>
    <tableColumn id="2" name="Name" dataDxfId="1236" totalsRowDxfId="1235">
      <calculatedColumnFormula>INDEX(CostVectors[Description], MATCH(C843,CostVectors[Code], 0))</calculatedColumnFormula>
    </tableColumn>
    <tableColumn id="3" name="Notes" dataDxfId="1234" totalsRowDxfId="1233"/>
    <tableColumn id="4" name="2007" dataDxfId="1232" totalsRowDxfId="1231" dataCellStyle="Comma"/>
    <tableColumn id="5" name="2010" totalsRowFunction="custom" dataDxfId="1230" totalsRowDxfId="1229" dataCellStyle="Comma">
      <totalsRowFormula>SUM(XII.a.ICE.Costs[2010])</totalsRowFormula>
    </tableColumn>
    <tableColumn id="6" name="2015" totalsRowFunction="custom" dataDxfId="1228" totalsRowDxfId="1227" dataCellStyle="Comma">
      <totalsRowFormula>SUM(XII.a.ICE.Costs[2015])</totalsRowFormula>
    </tableColumn>
    <tableColumn id="7" name="2020" totalsRowFunction="sum" dataDxfId="1226" totalsRowDxfId="1225" dataCellStyle="Comma"/>
    <tableColumn id="8" name="2025" totalsRowFunction="sum" dataDxfId="1224" totalsRowDxfId="1223" dataCellStyle="Comma"/>
    <tableColumn id="9" name="2030" totalsRowFunction="sum" dataDxfId="1222" totalsRowDxfId="1221" dataCellStyle="Comma"/>
    <tableColumn id="10" name="2035" totalsRowFunction="sum" dataDxfId="1220" totalsRowDxfId="1219" dataCellStyle="Comma"/>
    <tableColumn id="11" name="2040" totalsRowFunction="sum" dataDxfId="1218" totalsRowDxfId="1217" dataCellStyle="Comma"/>
    <tableColumn id="12" name="2045" totalsRowFunction="sum" dataDxfId="1216" totalsRowDxfId="1215" dataCellStyle="Comma"/>
    <tableColumn id="13" name="2050" totalsRowFunction="sum" dataDxfId="1214" totalsRowDxfId="1213" dataCellStyle="Comma"/>
  </tableColumns>
  <tableStyleInfo name="EnergyCalcTables" showFirstColumn="0" showLastColumn="0" showRowStripes="1" showColumnStripes="0"/>
</table>
</file>

<file path=xl/tables/table21.xml><?xml version="1.0" encoding="utf-8"?>
<table xmlns="http://schemas.openxmlformats.org/spreadsheetml/2006/main" id="213" name="XII.a.Car.EV.Info" displayName="XII.a.Car.EV.Info" ref="C827:O828" totalsRowShown="0" headerRowDxfId="1212" dataDxfId="1210" totalsRowDxfId="1208" headerRowBorderDxfId="1211" tableBorderDxfId="1209" dataCellStyle="Comma">
  <autoFilter ref="C827:O828"/>
  <tableColumns count="13">
    <tableColumn id="1" name="Vector" dataDxfId="1207" totalsRowDxfId="1206"/>
    <tableColumn id="2" name="Information type" dataDxfId="1205" totalsRowDxfId="1204">
      <calculatedColumnFormula>INDEX(Vectors[Description], MATCH(XII.a.Car.EV.Info[Vector], Vectors[Code], 0))</calculatedColumnFormula>
    </tableColumn>
    <tableColumn id="3" name="Notes" dataDxfId="1203" totalsRowDxfId="1202">
      <calculatedColumnFormula>Preferences.PowerUnits</calculatedColumnFormula>
    </tableColumn>
    <tableColumn id="4" name="2007" dataDxfId="1201" totalsRowDxfId="1200" dataCellStyle="Comma">
      <calculatedColumnFormula>F704*Conversion.to.average.power</calculatedColumnFormula>
    </tableColumn>
    <tableColumn id="5" name="2010" dataDxfId="1199" totalsRowDxfId="1198" dataCellStyle="Comma">
      <calculatedColumnFormula>G704*Conversion.to.average.power</calculatedColumnFormula>
    </tableColumn>
    <tableColumn id="6" name="2015" dataDxfId="1197" totalsRowDxfId="1196" dataCellStyle="Comma">
      <calculatedColumnFormula>H704*Conversion.to.average.power</calculatedColumnFormula>
    </tableColumn>
    <tableColumn id="7" name="2020" dataDxfId="1195" totalsRowDxfId="1194" dataCellStyle="Comma">
      <calculatedColumnFormula>I704*Conversion.to.average.power</calculatedColumnFormula>
    </tableColumn>
    <tableColumn id="8" name="2025" dataDxfId="1193" totalsRowDxfId="1192" dataCellStyle="Comma">
      <calculatedColumnFormula>J704*Conversion.to.average.power</calculatedColumnFormula>
    </tableColumn>
    <tableColumn id="9" name="2030" dataDxfId="1191" totalsRowDxfId="1190" dataCellStyle="Comma">
      <calculatedColumnFormula>K704*Conversion.to.average.power</calculatedColumnFormula>
    </tableColumn>
    <tableColumn id="10" name="2035" dataDxfId="1189" totalsRowDxfId="1188" dataCellStyle="Comma">
      <calculatedColumnFormula>L704*Conversion.to.average.power</calculatedColumnFormula>
    </tableColumn>
    <tableColumn id="11" name="2040" dataDxfId="1187" totalsRowDxfId="1186" dataCellStyle="Comma">
      <calculatedColumnFormula>M704*Conversion.to.average.power</calculatedColumnFormula>
    </tableColumn>
    <tableColumn id="12" name="2045" dataDxfId="1185" totalsRowDxfId="1184" dataCellStyle="Comma">
      <calculatedColumnFormula>N704*Conversion.to.average.power</calculatedColumnFormula>
    </tableColumn>
    <tableColumn id="13" name="2050" dataDxfId="1183" totalsRowDxfId="1182" dataCellStyle="Comma">
      <calculatedColumnFormula>O704*Conversion.to.average.power</calculatedColumnFormula>
    </tableColumn>
  </tableColumns>
  <tableStyleInfo name="EnergyCalcTables" showFirstColumn="0" showLastColumn="0" showRowStripes="1" showColumnStripes="0"/>
</table>
</file>

<file path=xl/tables/table22.xml><?xml version="1.0" encoding="utf-8"?>
<table xmlns="http://schemas.openxmlformats.org/spreadsheetml/2006/main" id="214" name="XII.a.Car.PHEV.Info" displayName="XII.a.Car.PHEV.Info" ref="C822:O823" totalsRowShown="0" headerRowDxfId="1181" dataDxfId="1179" totalsRowDxfId="1177" headerRowBorderDxfId="1180" tableBorderDxfId="1178" dataCellStyle="Comma">
  <autoFilter ref="C822:O823"/>
  <tableColumns count="13">
    <tableColumn id="1" name="Vector" dataDxfId="1176" totalsRowDxfId="1175"/>
    <tableColumn id="2" name="Information type" dataDxfId="1174" totalsRowDxfId="1173">
      <calculatedColumnFormula>INDEX(Vectors[Description], MATCH(XII.a.Car.PHEV.Info[Vector], Vectors[Code], 0))</calculatedColumnFormula>
    </tableColumn>
    <tableColumn id="3" name="Notes" dataDxfId="1172" totalsRowDxfId="1171">
      <calculatedColumnFormula>Preferences.PowerUnits</calculatedColumnFormula>
    </tableColumn>
    <tableColumn id="4" name="2007" dataDxfId="1170" totalsRowDxfId="1169" dataCellStyle="Comma">
      <calculatedColumnFormula>F703*Conversion.to.average.power</calculatedColumnFormula>
    </tableColumn>
    <tableColumn id="5" name="2010" dataDxfId="1168" totalsRowDxfId="1167" dataCellStyle="Comma">
      <calculatedColumnFormula>G703*Conversion.to.average.power</calculatedColumnFormula>
    </tableColumn>
    <tableColumn id="6" name="2015" dataDxfId="1166" totalsRowDxfId="1165" dataCellStyle="Comma">
      <calculatedColumnFormula>H703*Conversion.to.average.power</calculatedColumnFormula>
    </tableColumn>
    <tableColumn id="7" name="2020" dataDxfId="1164" totalsRowDxfId="1163" dataCellStyle="Comma">
      <calculatedColumnFormula>I703*Conversion.to.average.power</calculatedColumnFormula>
    </tableColumn>
    <tableColumn id="8" name="2025" dataDxfId="1162" totalsRowDxfId="1161" dataCellStyle="Comma">
      <calculatedColumnFormula>J703*Conversion.to.average.power</calculatedColumnFormula>
    </tableColumn>
    <tableColumn id="9" name="2030" dataDxfId="1160" totalsRowDxfId="1159" dataCellStyle="Comma">
      <calculatedColumnFormula>K703*Conversion.to.average.power</calculatedColumnFormula>
    </tableColumn>
    <tableColumn id="10" name="2035" dataDxfId="1158" totalsRowDxfId="1157" dataCellStyle="Comma">
      <calculatedColumnFormula>L703*Conversion.to.average.power</calculatedColumnFormula>
    </tableColumn>
    <tableColumn id="11" name="2040" dataDxfId="1156" totalsRowDxfId="1155" dataCellStyle="Comma">
      <calculatedColumnFormula>M703*Conversion.to.average.power</calculatedColumnFormula>
    </tableColumn>
    <tableColumn id="12" name="2045" dataDxfId="1154" totalsRowDxfId="1153" dataCellStyle="Comma">
      <calculatedColumnFormula>N703*Conversion.to.average.power</calculatedColumnFormula>
    </tableColumn>
    <tableColumn id="13" name="2050" dataDxfId="1152" totalsRowDxfId="1151" dataCellStyle="Comma">
      <calculatedColumnFormula>O703*Conversion.to.average.power</calculatedColumnFormula>
    </tableColumn>
  </tableColumns>
  <tableStyleInfo name="EnergyCalcTables" showFirstColumn="0" showLastColumn="0" showRowStripes="1" showColumnStripes="0"/>
</table>
</file>

<file path=xl/tables/table23.xml><?xml version="1.0" encoding="utf-8"?>
<table xmlns="http://schemas.openxmlformats.org/spreadsheetml/2006/main" id="215" name="XII.a.HEV.Costs" displayName="XII.a.HEV.Costs" ref="C852:O858" headerRowDxfId="1150" dataDxfId="1148" headerRowBorderDxfId="1149" tableBorderDxfId="1147" dataCellStyle="Comma">
  <autoFilter ref="C852:O858"/>
  <tableColumns count="13">
    <tableColumn id="1" name="Vector" totalsRowLabel="Total" dataDxfId="1146" totalsRowDxfId="1145"/>
    <tableColumn id="2" name="Name" dataDxfId="1144" totalsRowDxfId="1143">
      <calculatedColumnFormula>INDEX(CostVectors[Description], MATCH(C853,CostVectors[Code], 0))</calculatedColumnFormula>
    </tableColumn>
    <tableColumn id="3" name="Notes" dataDxfId="1142" totalsRowDxfId="1141"/>
    <tableColumn id="4" name="2007" dataDxfId="1140" totalsRowDxfId="1139" dataCellStyle="Comma"/>
    <tableColumn id="5" name="2010" totalsRowFunction="custom" dataDxfId="1138" totalsRowDxfId="1137" dataCellStyle="Comma">
      <totalsRowFormula>SUM(XII.a.HEV.Costs[2010])</totalsRowFormula>
    </tableColumn>
    <tableColumn id="6" name="2015" totalsRowFunction="custom" dataDxfId="1136" totalsRowDxfId="1135" dataCellStyle="Comma">
      <totalsRowFormula>SUM(XII.a.HEV.Costs[2015])</totalsRowFormula>
    </tableColumn>
    <tableColumn id="7" name="2020" totalsRowFunction="sum" dataDxfId="1134" totalsRowDxfId="1133" dataCellStyle="Comma"/>
    <tableColumn id="8" name="2025" totalsRowFunction="sum" dataDxfId="1132" totalsRowDxfId="1131" dataCellStyle="Comma"/>
    <tableColumn id="9" name="2030" totalsRowFunction="sum" dataDxfId="1130" totalsRowDxfId="1129" dataCellStyle="Comma"/>
    <tableColumn id="10" name="2035" totalsRowFunction="sum" dataDxfId="1128" totalsRowDxfId="1127" dataCellStyle="Comma"/>
    <tableColumn id="11" name="2040" totalsRowFunction="sum" dataDxfId="1126" totalsRowDxfId="1125" dataCellStyle="Comma"/>
    <tableColumn id="12" name="2045" totalsRowFunction="sum" dataDxfId="1124" totalsRowDxfId="1123" dataCellStyle="Comma"/>
    <tableColumn id="13" name="2050" totalsRowFunction="sum" dataDxfId="1122" totalsRowDxfId="1121" dataCellStyle="Comma"/>
  </tableColumns>
  <tableStyleInfo name="EnergyCalcTables" showFirstColumn="0" showLastColumn="0" showRowStripes="1" showColumnStripes="0"/>
</table>
</file>

<file path=xl/tables/table24.xml><?xml version="1.0" encoding="utf-8"?>
<table xmlns="http://schemas.openxmlformats.org/spreadsheetml/2006/main" id="216" name="XII.a.EV.Costs" displayName="XII.a.EV.Costs" ref="C862:O868" headerRowDxfId="1120" dataDxfId="1118" headerRowBorderDxfId="1119" tableBorderDxfId="1117" dataCellStyle="Comma">
  <autoFilter ref="C862:O868"/>
  <tableColumns count="13">
    <tableColumn id="1" name="Vector" totalsRowLabel="Total" dataDxfId="1116" totalsRowDxfId="1115"/>
    <tableColumn id="2" name="Name" dataDxfId="1114" totalsRowDxfId="1113">
      <calculatedColumnFormula>INDEX(CostVectors[Description], MATCH(C863,CostVectors[Code], 0))</calculatedColumnFormula>
    </tableColumn>
    <tableColumn id="3" name="Notes" dataDxfId="1112" totalsRowDxfId="1111"/>
    <tableColumn id="4" name="2007" dataDxfId="1110" totalsRowDxfId="1109" dataCellStyle="Comma"/>
    <tableColumn id="5" name="2010" totalsRowFunction="custom" dataDxfId="1108" totalsRowDxfId="1107" dataCellStyle="Comma">
      <totalsRowFormula>SUM(XII.a.EV.Costs[2010])</totalsRowFormula>
    </tableColumn>
    <tableColumn id="6" name="2015" totalsRowFunction="custom" dataDxfId="1106" totalsRowDxfId="1105" dataCellStyle="Comma">
      <totalsRowFormula>SUM(XII.a.EV.Costs[2015])</totalsRowFormula>
    </tableColumn>
    <tableColumn id="7" name="2020" totalsRowFunction="sum" dataDxfId="1104" totalsRowDxfId="1103" dataCellStyle="Comma"/>
    <tableColumn id="8" name="2025" totalsRowFunction="sum" dataDxfId="1102" totalsRowDxfId="1101" dataCellStyle="Comma"/>
    <tableColumn id="9" name="2030" totalsRowFunction="sum" dataDxfId="1100" totalsRowDxfId="1099" dataCellStyle="Comma"/>
    <tableColumn id="10" name="2035" totalsRowFunction="sum" dataDxfId="1098" totalsRowDxfId="1097" dataCellStyle="Comma"/>
    <tableColumn id="11" name="2040" totalsRowFunction="sum" dataDxfId="1096" totalsRowDxfId="1095" dataCellStyle="Comma"/>
    <tableColumn id="12" name="2045" totalsRowFunction="sum" dataDxfId="1094" totalsRowDxfId="1093" dataCellStyle="Comma"/>
    <tableColumn id="13" name="2050" totalsRowFunction="sum" dataDxfId="1092" totalsRowDxfId="1091" dataCellStyle="Comma"/>
  </tableColumns>
  <tableStyleInfo name="EnergyCalcTables" showFirstColumn="0" showLastColumn="0" showRowStripes="1" showColumnStripes="0"/>
</table>
</file>

<file path=xl/tables/table25.xml><?xml version="1.0" encoding="utf-8"?>
<table xmlns="http://schemas.openxmlformats.org/spreadsheetml/2006/main" id="217" name="XII.a.FCV.Costs" displayName="XII.a.FCV.Costs" ref="C872:O878" headerRowDxfId="1090" dataDxfId="1088" headerRowBorderDxfId="1089" tableBorderDxfId="1087" dataCellStyle="Comma">
  <autoFilter ref="C872:O878"/>
  <tableColumns count="13">
    <tableColumn id="1" name="Vector" totalsRowLabel="Total" dataDxfId="1086" totalsRowDxfId="1085"/>
    <tableColumn id="2" name="Name" dataDxfId="1084" totalsRowDxfId="1083">
      <calculatedColumnFormula>INDEX(CostVectors[Description], MATCH(C873,CostVectors[Code], 0))</calculatedColumnFormula>
    </tableColumn>
    <tableColumn id="3" name="Notes" dataDxfId="1082" totalsRowDxfId="1081"/>
    <tableColumn id="4" name="2007" dataDxfId="1080" totalsRowDxfId="1079" dataCellStyle="Comma"/>
    <tableColumn id="5" name="2010" totalsRowFunction="custom" dataDxfId="1078" totalsRowDxfId="1077" dataCellStyle="Comma">
      <totalsRowFormula>SUM(XII.a.FCV.Costs[2010])</totalsRowFormula>
    </tableColumn>
    <tableColumn id="6" name="2015" totalsRowFunction="custom" dataDxfId="1076" totalsRowDxfId="1075" dataCellStyle="Comma">
      <totalsRowFormula>SUM(XII.a.FCV.Costs[2015])</totalsRowFormula>
    </tableColumn>
    <tableColumn id="7" name="2020" totalsRowFunction="sum" dataDxfId="1074" totalsRowDxfId="1073" dataCellStyle="Comma"/>
    <tableColumn id="8" name="2025" totalsRowFunction="sum" dataDxfId="1072" totalsRowDxfId="1071" dataCellStyle="Comma"/>
    <tableColumn id="9" name="2030" totalsRowFunction="sum" dataDxfId="1070" totalsRowDxfId="1069" dataCellStyle="Comma"/>
    <tableColumn id="10" name="2035" totalsRowFunction="sum" dataDxfId="1068" totalsRowDxfId="1067" dataCellStyle="Comma"/>
    <tableColumn id="11" name="2040" totalsRowFunction="sum" dataDxfId="1066" totalsRowDxfId="1065" dataCellStyle="Comma"/>
    <tableColumn id="12" name="2045" totalsRowFunction="sum" dataDxfId="1064" totalsRowDxfId="1063" dataCellStyle="Comma"/>
    <tableColumn id="13" name="2050" totalsRowFunction="sum" dataDxfId="1062" totalsRowDxfId="1061" dataCellStyle="Comma"/>
  </tableColumns>
  <tableStyleInfo name="EnergyCalcTables" showFirstColumn="0" showLastColumn="0" showRowStripes="1" showColumnStripes="0"/>
</table>
</file>

<file path=xl/tables/table26.xml><?xml version="1.0" encoding="utf-8"?>
<table xmlns="http://schemas.openxmlformats.org/spreadsheetml/2006/main" id="218" name="XII.a.Bike.Costs" displayName="XII.a.Bike.Costs" ref="C882:O888" headerRowDxfId="1060" dataDxfId="1058" headerRowBorderDxfId="1059" tableBorderDxfId="1057" dataCellStyle="Comma">
  <autoFilter ref="C882:O888"/>
  <tableColumns count="13">
    <tableColumn id="1" name="Vector" totalsRowLabel="Total" dataDxfId="1056" totalsRowDxfId="1055"/>
    <tableColumn id="2" name="Name" dataDxfId="1054" totalsRowDxfId="1053">
      <calculatedColumnFormula>INDEX(CostVectors[Description], MATCH(C883,CostVectors[Code], 0))</calculatedColumnFormula>
    </tableColumn>
    <tableColumn id="3" name="Notes" dataDxfId="1052" totalsRowDxfId="1051"/>
    <tableColumn id="4" name="2007" dataDxfId="1050" totalsRowDxfId="1049" dataCellStyle="Comma"/>
    <tableColumn id="5" name="2010" totalsRowFunction="custom" dataDxfId="1048" totalsRowDxfId="1047" dataCellStyle="Comma">
      <totalsRowFormula>SUM(XII.a.Bike.Costs[2010])</totalsRowFormula>
    </tableColumn>
    <tableColumn id="6" name="2015" totalsRowFunction="custom" dataDxfId="1046" totalsRowDxfId="1045" dataCellStyle="Comma">
      <totalsRowFormula>SUM(XII.a.Bike.Costs[2015])</totalsRowFormula>
    </tableColumn>
    <tableColumn id="7" name="2020" totalsRowFunction="sum" dataDxfId="1044" totalsRowDxfId="1043" dataCellStyle="Comma"/>
    <tableColumn id="8" name="2025" totalsRowFunction="sum" dataDxfId="1042" totalsRowDxfId="1041" dataCellStyle="Comma"/>
    <tableColumn id="9" name="2030" totalsRowFunction="sum" dataDxfId="1040" totalsRowDxfId="1039" dataCellStyle="Comma"/>
    <tableColumn id="10" name="2035" totalsRowFunction="sum" dataDxfId="1038" totalsRowDxfId="1037" dataCellStyle="Comma"/>
    <tableColumn id="11" name="2040" totalsRowFunction="sum" dataDxfId="1036" totalsRowDxfId="1035" dataCellStyle="Comma"/>
    <tableColumn id="12" name="2045" totalsRowFunction="sum" dataDxfId="1034" totalsRowDxfId="1033" dataCellStyle="Comma"/>
    <tableColumn id="13" name="2050" totalsRowFunction="sum" dataDxfId="1032" totalsRowDxfId="1031" dataCellStyle="Comma"/>
  </tableColumns>
  <tableStyleInfo name="EnergyCalcTables" showFirstColumn="0" showLastColumn="0" showRowStripes="1" showColumnStripes="0"/>
</table>
</file>

<file path=xl/tables/table27.xml><?xml version="1.0" encoding="utf-8"?>
<table xmlns="http://schemas.openxmlformats.org/spreadsheetml/2006/main" id="236" name="XII.a.Rail.Costs" displayName="XII.a.Rail.Costs" ref="C892:O898" headerRowDxfId="1030" dataDxfId="1028" headerRowBorderDxfId="1029" tableBorderDxfId="1027" dataCellStyle="Comma">
  <autoFilter ref="C892:O898"/>
  <tableColumns count="13">
    <tableColumn id="1" name="Vector" totalsRowLabel="Total" dataDxfId="1026" totalsRowDxfId="1025"/>
    <tableColumn id="2" name="Name" dataDxfId="1024" totalsRowDxfId="1023">
      <calculatedColumnFormula>INDEX(CostVectors[Description], MATCH(C893,CostVectors[Code], 0))</calculatedColumnFormula>
    </tableColumn>
    <tableColumn id="3" name="Notes" dataDxfId="1022" totalsRowDxfId="1021"/>
    <tableColumn id="4" name="2007" dataDxfId="1020" totalsRowDxfId="1019" dataCellStyle="Comma"/>
    <tableColumn id="5" name="2010" totalsRowFunction="custom" dataDxfId="1018" totalsRowDxfId="1017" dataCellStyle="Comma">
      <totalsRowFormula>SUM(XII.a.Rail.Costs[2010])</totalsRowFormula>
    </tableColumn>
    <tableColumn id="6" name="2015" totalsRowFunction="custom" dataDxfId="1016" totalsRowDxfId="1015" dataCellStyle="Comma">
      <totalsRowFormula>SUM(XII.a.Rail.Costs[2015])</totalsRowFormula>
    </tableColumn>
    <tableColumn id="7" name="2020" totalsRowFunction="sum" dataDxfId="1014" totalsRowDxfId="1013" dataCellStyle="Comma"/>
    <tableColumn id="8" name="2025" totalsRowFunction="sum" dataDxfId="1012" totalsRowDxfId="1011" dataCellStyle="Comma"/>
    <tableColumn id="9" name="2030" totalsRowFunction="sum" dataDxfId="1010" totalsRowDxfId="1009" dataCellStyle="Comma"/>
    <tableColumn id="10" name="2035" totalsRowFunction="sum" dataDxfId="1008" totalsRowDxfId="1007" dataCellStyle="Comma"/>
    <tableColumn id="11" name="2040" totalsRowFunction="sum" dataDxfId="1006" totalsRowDxfId="1005" dataCellStyle="Comma"/>
    <tableColumn id="12" name="2045" totalsRowFunction="sum" dataDxfId="1004" totalsRowDxfId="1003" dataCellStyle="Comma"/>
    <tableColumn id="13" name="2050" totalsRowFunction="sum" dataDxfId="1002" totalsRowDxfId="1001" dataCellStyle="Comma"/>
  </tableColumns>
  <tableStyleInfo name="EnergyCalcTables" showFirstColumn="0" showLastColumn="0" showRowStripes="1" showColumnStripes="0"/>
</table>
</file>

<file path=xl/tables/table28.xml><?xml version="1.0" encoding="utf-8"?>
<table xmlns="http://schemas.openxmlformats.org/spreadsheetml/2006/main" id="238" name="XII.a.Air.Costs" displayName="XII.a.Air.Costs" ref="C902:O908" headerRowDxfId="1000" dataDxfId="998" headerRowBorderDxfId="999" tableBorderDxfId="997" dataCellStyle="Comma">
  <autoFilter ref="C902:O908"/>
  <tableColumns count="13">
    <tableColumn id="1" name="Vector" totalsRowLabel="Total" dataDxfId="996" totalsRowDxfId="995"/>
    <tableColumn id="2" name="Name" dataDxfId="994" totalsRowDxfId="993">
      <calculatedColumnFormula>INDEX(CostVectors[Description], MATCH(C903,CostVectors[Code], 0))</calculatedColumnFormula>
    </tableColumn>
    <tableColumn id="3" name="Notes" dataDxfId="992" totalsRowDxfId="991"/>
    <tableColumn id="4" name="2007" dataDxfId="990" totalsRowDxfId="989" dataCellStyle="Comma"/>
    <tableColumn id="5" name="2010" totalsRowFunction="custom" dataDxfId="988" totalsRowDxfId="987" dataCellStyle="Comma">
      <totalsRowFormula>SUM(XII.a.Air.Costs[2010])</totalsRowFormula>
    </tableColumn>
    <tableColumn id="6" name="2015" totalsRowFunction="custom" dataDxfId="986" totalsRowDxfId="985" dataCellStyle="Comma">
      <totalsRowFormula>SUM(XII.a.Air.Costs[2015])</totalsRowFormula>
    </tableColumn>
    <tableColumn id="7" name="2020" totalsRowFunction="sum" dataDxfId="984" totalsRowDxfId="983" dataCellStyle="Comma"/>
    <tableColumn id="8" name="2025" totalsRowFunction="sum" dataDxfId="982" totalsRowDxfId="981" dataCellStyle="Comma"/>
    <tableColumn id="9" name="2030" totalsRowFunction="sum" dataDxfId="980" totalsRowDxfId="979" dataCellStyle="Comma"/>
    <tableColumn id="10" name="2035" totalsRowFunction="sum" dataDxfId="978" totalsRowDxfId="977" dataCellStyle="Comma"/>
    <tableColumn id="11" name="2040" totalsRowFunction="sum" dataDxfId="976" totalsRowDxfId="975" dataCellStyle="Comma"/>
    <tableColumn id="12" name="2045" totalsRowFunction="sum" dataDxfId="974" totalsRowDxfId="973" dataCellStyle="Comma"/>
    <tableColumn id="13" name="2050" totalsRowFunction="sum" dataDxfId="972" totalsRowDxfId="971" dataCellStyle="Comma"/>
  </tableColumns>
  <tableStyleInfo name="EnergyCalcTables" showFirstColumn="0" showLastColumn="0" showRowStripes="1" showColumnStripes="0"/>
</table>
</file>

<file path=xl/tables/table29.xml><?xml version="1.0" encoding="utf-8"?>
<table xmlns="http://schemas.openxmlformats.org/spreadsheetml/2006/main" id="239" name="XII.a.AQ.Total" displayName="XII.a.AQ.Total" ref="C915:O919" headerRowDxfId="970" dataDxfId="968" totalsRowDxfId="966" headerRowBorderDxfId="969" tableBorderDxfId="967" totalsRowBorderDxfId="965">
  <autoFilter ref="C915:O919"/>
  <tableColumns count="13">
    <tableColumn id="1" name="Vector" totalsRowLabel="Total" totalsRowDxfId="964">
      <calculatedColumnFormula>INDEX(AirQualityVectors[Code],MATCH(D916,AirQualityVectors[Description],0))</calculatedColumnFormula>
    </tableColumn>
    <tableColumn id="2" name="Name" totalsRowDxfId="963"/>
    <tableColumn id="3" name="IPCC Sector" totalsRowDxfId="962"/>
    <tableColumn id="4" name="2007" dataDxfId="961" totalsRowDxfId="960"/>
    <tableColumn id="5" name="2010" dataDxfId="959" totalsRowDxfId="958"/>
    <tableColumn id="6" name="2015" dataDxfId="957" totalsRowDxfId="956"/>
    <tableColumn id="7" name="2020" dataDxfId="955" totalsRowDxfId="954"/>
    <tableColumn id="8" name="2025" dataDxfId="953" totalsRowDxfId="952"/>
    <tableColumn id="9" name="2030" dataDxfId="951" totalsRowDxfId="950"/>
    <tableColumn id="10" name="2035" dataDxfId="949" totalsRowDxfId="948"/>
    <tableColumn id="11" name="2040" dataDxfId="947" totalsRowDxfId="946"/>
    <tableColumn id="12" name="2045" dataDxfId="945" totalsRowDxfId="944"/>
    <tableColumn id="13" name="2050" dataDxfId="943" totalsRowDxfId="942"/>
  </tableColumns>
  <tableStyleInfo name="TableStyleMedium9" showFirstColumn="0" showLastColumn="0" showRowStripes="1" showColumnStripes="0"/>
</table>
</file>

<file path=xl/tables/table3.xml><?xml version="1.0" encoding="utf-8"?>
<table xmlns="http://schemas.openxmlformats.org/spreadsheetml/2006/main" id="22" name="Constants.BM_AQ_Emis" displayName="Constants.BM_AQ_Emis" ref="E34:I37" totalsRowShown="0">
  <autoFilter ref="E34:I37"/>
  <tableColumns count="5">
    <tableColumn id="1" name="Fueltype"/>
    <tableColumn id="2" name="PM10" dataDxfId="1548"/>
    <tableColumn id="3" name="NOX" dataDxfId="1547"/>
    <tableColumn id="4" name="SO2" dataDxfId="1546"/>
    <tableColumn id="5" name="NMVOC" dataDxfId="1545"/>
  </tableColumns>
  <tableStyleInfo name="TableStyleMedium9" showFirstColumn="0" showLastColumn="0" showRowStripes="1" showColumnStripes="0"/>
</table>
</file>

<file path=xl/tables/table30.xml><?xml version="1.0" encoding="utf-8"?>
<table xmlns="http://schemas.openxmlformats.org/spreadsheetml/2006/main" id="241" name="XII.a.Road.AQ" displayName="XII.a.Road.AQ" ref="C924:O928" headerRowDxfId="941" dataDxfId="939" totalsRowDxfId="937" headerRowBorderDxfId="940" tableBorderDxfId="938" totalsRowBorderDxfId="936">
  <autoFilter ref="C924:O928"/>
  <tableColumns count="13">
    <tableColumn id="1" name="Vector" totalsRowLabel="Total" dataDxfId="935" totalsRowDxfId="934">
      <calculatedColumnFormula>INDEX(AirQualityVectors[Code],MATCH(D925,AirQualityVectors[Description],0))</calculatedColumnFormula>
    </tableColumn>
    <tableColumn id="2" name="Name" dataDxfId="933" totalsRowDxfId="932"/>
    <tableColumn id="3" name="IPCC Sector" dataDxfId="931" totalsRowDxfId="930"/>
    <tableColumn id="4" name="2007" dataDxfId="929" totalsRowDxfId="928"/>
    <tableColumn id="5" name="2010" dataDxfId="927" totalsRowDxfId="926"/>
    <tableColumn id="6" name="2015" dataDxfId="925" totalsRowDxfId="924"/>
    <tableColumn id="7" name="2020" dataDxfId="923" totalsRowDxfId="922"/>
    <tableColumn id="8" name="2025" dataDxfId="921" totalsRowDxfId="920"/>
    <tableColumn id="9" name="2030" dataDxfId="919" totalsRowDxfId="918"/>
    <tableColumn id="10" name="2035" dataDxfId="917" totalsRowDxfId="916"/>
    <tableColumn id="11" name="2040" dataDxfId="915" totalsRowDxfId="914"/>
    <tableColumn id="12" name="2045" dataDxfId="913" totalsRowDxfId="912"/>
    <tableColumn id="13" name="2050" totalsRowFunction="sum" dataDxfId="911" totalsRowDxfId="910"/>
  </tableColumns>
  <tableStyleInfo name="TableStyleMedium9" showFirstColumn="0" showLastColumn="0" showRowStripes="1" showColumnStripes="0"/>
</table>
</file>

<file path=xl/tables/table31.xml><?xml version="1.0" encoding="utf-8"?>
<table xmlns="http://schemas.openxmlformats.org/spreadsheetml/2006/main" id="245" name="XII.a.Rail.AQ" displayName="XII.a.Rail.AQ" ref="C933:O937" headerRowDxfId="909" dataDxfId="907" totalsRowDxfId="905" headerRowBorderDxfId="908" tableBorderDxfId="906" totalsRowBorderDxfId="904">
  <autoFilter ref="C933:O937"/>
  <tableColumns count="13">
    <tableColumn id="1" name="Vector" totalsRowLabel="Total" dataDxfId="903" totalsRowDxfId="902">
      <calculatedColumnFormula>INDEX(AirQualityVectors[Code],MATCH(D934,AirQualityVectors[Description],0))</calculatedColumnFormula>
    </tableColumn>
    <tableColumn id="2" name="Name" dataDxfId="901" totalsRowDxfId="900"/>
    <tableColumn id="3" name="IPCC Sector" dataDxfId="899" totalsRowDxfId="898"/>
    <tableColumn id="4" name="2007" dataDxfId="897" totalsRowDxfId="896"/>
    <tableColumn id="5" name="2010" dataDxfId="895" totalsRowDxfId="894"/>
    <tableColumn id="6" name="2015" dataDxfId="893" totalsRowDxfId="892"/>
    <tableColumn id="7" name="2020" dataDxfId="891" totalsRowDxfId="890"/>
    <tableColumn id="8" name="2025" dataDxfId="889" totalsRowDxfId="888"/>
    <tableColumn id="9" name="2030" dataDxfId="887" totalsRowDxfId="886"/>
    <tableColumn id="10" name="2035" dataDxfId="885" totalsRowDxfId="884"/>
    <tableColumn id="11" name="2040" dataDxfId="883" totalsRowDxfId="882"/>
    <tableColumn id="12" name="2045" dataDxfId="881" totalsRowDxfId="880"/>
    <tableColumn id="13" name="2050" totalsRowFunction="sum" dataDxfId="879" totalsRowDxfId="878"/>
  </tableColumns>
  <tableStyleInfo name="TableStyleMedium9" showFirstColumn="0" showLastColumn="0" showRowStripes="1" showColumnStripes="0"/>
</table>
</file>

<file path=xl/tables/table32.xml><?xml version="1.0" encoding="utf-8"?>
<table xmlns="http://schemas.openxmlformats.org/spreadsheetml/2006/main" id="246" name="XII.a.Aviation.AQ" displayName="XII.a.Aviation.AQ" ref="C942:O946" headerRowDxfId="877" dataDxfId="875" totalsRowDxfId="873" headerRowBorderDxfId="876" tableBorderDxfId="874" totalsRowBorderDxfId="872">
  <autoFilter ref="C942:O946"/>
  <tableColumns count="13">
    <tableColumn id="1" name="Vector" totalsRowLabel="Total" dataDxfId="871" totalsRowDxfId="870">
      <calculatedColumnFormula>INDEX(AirQualityVectors[Code],MATCH(D943,AirQualityVectors[Description],0))</calculatedColumnFormula>
    </tableColumn>
    <tableColumn id="2" name="Name" dataDxfId="869" totalsRowDxfId="868"/>
    <tableColumn id="3" name="IPCC Sector" dataDxfId="867" totalsRowDxfId="866"/>
    <tableColumn id="4" name="2007" dataDxfId="865" totalsRowDxfId="864"/>
    <tableColumn id="5" name="2010" dataDxfId="863" totalsRowDxfId="862"/>
    <tableColumn id="6" name="2015" dataDxfId="861" totalsRowDxfId="860"/>
    <tableColumn id="7" name="2020" dataDxfId="859" totalsRowDxfId="858"/>
    <tableColumn id="8" name="2025" dataDxfId="857" totalsRowDxfId="856"/>
    <tableColumn id="9" name="2030" dataDxfId="855" totalsRowDxfId="854"/>
    <tableColumn id="10" name="2035" dataDxfId="853" totalsRowDxfId="852"/>
    <tableColumn id="11" name="2040" dataDxfId="851" totalsRowDxfId="850"/>
    <tableColumn id="12" name="2045" dataDxfId="849" totalsRowDxfId="848"/>
    <tableColumn id="13" name="2050" totalsRowFunction="sum" dataDxfId="847" totalsRowDxfId="846"/>
  </tableColumns>
  <tableStyleInfo name="TableStyleMedium9" showFirstColumn="0" showLastColumn="0" showRowStripes="1" showColumnStripes="0"/>
</table>
</file>

<file path=xl/tables/table33.xml><?xml version="1.0" encoding="utf-8"?>
<table xmlns="http://schemas.openxmlformats.org/spreadsheetml/2006/main" id="35" name="EF.XII.a.PM10" displayName="EF.XII.a.PM10" ref="C177:O188" totalsRowShown="0" headerRowDxfId="845" dataDxfId="843" headerRowBorderDxfId="844" tableBorderDxfId="842" dataCellStyle="Comma">
  <autoFilter ref="C177:O188"/>
  <tableColumns count="13">
    <tableColumn id="1" name="Code" dataDxfId="841"/>
    <tableColumn id="2" name="Mode" dataDxfId="840"/>
    <tableColumn id="3" name="Technology" dataDxfId="839"/>
    <tableColumn id="4" name="2007" dataDxfId="838" dataCellStyle="Comma">
      <calculatedColumnFormula>G178</calculatedColumnFormula>
    </tableColumn>
    <tableColumn id="5" name="2010" dataDxfId="837" dataCellStyle="Comma"/>
    <tableColumn id="6" name="2015" dataDxfId="836" dataCellStyle="Comma"/>
    <tableColumn id="7" name="2020" dataDxfId="835" dataCellStyle="Comma"/>
    <tableColumn id="8" name="2025" dataDxfId="834" dataCellStyle="Comma"/>
    <tableColumn id="9" name="2030" dataDxfId="833" dataCellStyle="Comma"/>
    <tableColumn id="10" name="2035" dataDxfId="832" dataCellStyle="Comma"/>
    <tableColumn id="11" name="2040" dataDxfId="831" dataCellStyle="Comma"/>
    <tableColumn id="12" name="2045" dataDxfId="830" dataCellStyle="Comma"/>
    <tableColumn id="13" name="2050" dataDxfId="829" dataCellStyle="Comma"/>
  </tableColumns>
  <tableStyleInfo name="TableStyleMedium9" showFirstColumn="0" showLastColumn="0" showRowStripes="1" showColumnStripes="0"/>
</table>
</file>

<file path=xl/tables/table34.xml><?xml version="1.0" encoding="utf-8"?>
<table xmlns="http://schemas.openxmlformats.org/spreadsheetml/2006/main" id="108" name="EF.XII.a.NOX" displayName="EF.XII.a.NOX" ref="C192:O203" totalsRowShown="0" headerRowDxfId="828" dataDxfId="826" headerRowBorderDxfId="827" tableBorderDxfId="825" dataCellStyle="Comma">
  <autoFilter ref="C192:O203"/>
  <tableColumns count="13">
    <tableColumn id="1" name="Code" dataDxfId="824"/>
    <tableColumn id="2" name="Mode" dataDxfId="823"/>
    <tableColumn id="3" name="Technology" dataDxfId="822"/>
    <tableColumn id="4" name="2007" dataDxfId="821" dataCellStyle="Comma">
      <calculatedColumnFormula>G193</calculatedColumnFormula>
    </tableColumn>
    <tableColumn id="5" name="2010" dataDxfId="820" dataCellStyle="Comma"/>
    <tableColumn id="6" name="2015" dataDxfId="819" dataCellStyle="Comma"/>
    <tableColumn id="7" name="2020" dataDxfId="818" dataCellStyle="Comma"/>
    <tableColumn id="8" name="2025" dataDxfId="817" dataCellStyle="Comma"/>
    <tableColumn id="9" name="2030" dataDxfId="816" dataCellStyle="Comma"/>
    <tableColumn id="10" name="2035" dataDxfId="815" dataCellStyle="Comma"/>
    <tableColumn id="11" name="2040" dataDxfId="814" dataCellStyle="Comma"/>
    <tableColumn id="12" name="2045" dataDxfId="813" dataCellStyle="Comma"/>
    <tableColumn id="13" name="2050" dataDxfId="812" dataCellStyle="Comma"/>
  </tableColumns>
  <tableStyleInfo name="TableStyleMedium9" showFirstColumn="0" showLastColumn="0" showRowStripes="1" showColumnStripes="0"/>
</table>
</file>

<file path=xl/tables/table35.xml><?xml version="1.0" encoding="utf-8"?>
<table xmlns="http://schemas.openxmlformats.org/spreadsheetml/2006/main" id="113" name="EF.XII.a.SO2" displayName="EF.XII.a.SO2" ref="C207:O218" totalsRowShown="0" headerRowDxfId="811" dataDxfId="809" headerRowBorderDxfId="810" tableBorderDxfId="808" dataCellStyle="Comma">
  <autoFilter ref="C207:O218"/>
  <tableColumns count="13">
    <tableColumn id="1" name="Code" dataDxfId="807"/>
    <tableColumn id="2" name="Mode" dataDxfId="806"/>
    <tableColumn id="3" name="Technology" dataDxfId="805"/>
    <tableColumn id="4" name="2007" dataDxfId="804" dataCellStyle="Comma">
      <calculatedColumnFormula>G208</calculatedColumnFormula>
    </tableColumn>
    <tableColumn id="5" name="2010" dataDxfId="803" dataCellStyle="Comma"/>
    <tableColumn id="6" name="2015" dataDxfId="802" dataCellStyle="Comma"/>
    <tableColumn id="7" name="2020" dataDxfId="801" dataCellStyle="Comma"/>
    <tableColumn id="8" name="2025" dataDxfId="800" dataCellStyle="Comma"/>
    <tableColumn id="9" name="2030" dataDxfId="799" dataCellStyle="Comma"/>
    <tableColumn id="10" name="2035" dataDxfId="798" dataCellStyle="Comma"/>
    <tableColumn id="11" name="2040" dataDxfId="797" dataCellStyle="Comma"/>
    <tableColumn id="12" name="2045" dataDxfId="796" dataCellStyle="Comma"/>
    <tableColumn id="13" name="2050" dataDxfId="795" dataCellStyle="Comma"/>
  </tableColumns>
  <tableStyleInfo name="TableStyleMedium9" showFirstColumn="0" showLastColumn="0" showRowStripes="1" showColumnStripes="0"/>
</table>
</file>

<file path=xl/tables/table36.xml><?xml version="1.0" encoding="utf-8"?>
<table xmlns="http://schemas.openxmlformats.org/spreadsheetml/2006/main" id="116" name="EF.XII.a.NMVOC" displayName="EF.XII.a.NMVOC" ref="C222:O233" totalsRowShown="0" headerRowDxfId="794" dataDxfId="792" headerRowBorderDxfId="793" tableBorderDxfId="791" dataCellStyle="Comma">
  <autoFilter ref="C222:O233"/>
  <tableColumns count="13">
    <tableColumn id="1" name="Code" dataDxfId="790"/>
    <tableColumn id="2" name="Mode" dataDxfId="789"/>
    <tableColumn id="3" name="Technology" dataDxfId="788"/>
    <tableColumn id="4" name="2007" dataDxfId="787" dataCellStyle="Comma">
      <calculatedColumnFormula>G223</calculatedColumnFormula>
    </tableColumn>
    <tableColumn id="5" name="2010" dataDxfId="786" dataCellStyle="Comma"/>
    <tableColumn id="6" name="2015" dataDxfId="785" dataCellStyle="Comma"/>
    <tableColumn id="7" name="2020" dataDxfId="784" dataCellStyle="Comma"/>
    <tableColumn id="8" name="2025" dataDxfId="783" dataCellStyle="Comma"/>
    <tableColumn id="9" name="2030" dataDxfId="782" dataCellStyle="Comma"/>
    <tableColumn id="10" name="2035" dataDxfId="781" dataCellStyle="Comma"/>
    <tableColumn id="11" name="2040" dataDxfId="780" dataCellStyle="Comma"/>
    <tableColumn id="12" name="2045" dataDxfId="779" dataCellStyle="Comma"/>
    <tableColumn id="13" name="2050" dataDxfId="778" dataCellStyle="Comma"/>
  </tableColumns>
  <tableStyleInfo name="TableStyleMedium9" showFirstColumn="0" showLastColumn="0" showRowStripes="1" showColumnStripes="0"/>
</table>
</file>

<file path=xl/tables/table37.xml><?xml version="1.0" encoding="utf-8"?>
<table xmlns="http://schemas.openxmlformats.org/spreadsheetml/2006/main" id="23" name="XII.b.Outputs" displayName="XII.b.Outputs" ref="C347:O353" totalsRowCount="1" headerRowDxfId="777" dataDxfId="776">
  <autoFilter ref="C347:O352"/>
  <tableColumns count="13">
    <tableColumn id="1" name="Vector" totalsRowLabel="Total" dataDxfId="775" totalsRowDxfId="774"/>
    <tableColumn id="2" name="Name" dataDxfId="773" totalsRowDxfId="772">
      <calculatedColumnFormula>INDEX(Vectors[Description], MATCH(XII.b.Outputs[Vector], Vectors[Code], 0))</calculatedColumnFormula>
    </tableColumn>
    <tableColumn id="3" name="Notes" dataDxfId="771" totalsRowDxfId="770"/>
    <tableColumn id="4" name="2007" totalsRowFunction="sum" dataDxfId="769" totalsRowDxfId="768" dataCellStyle="Comma"/>
    <tableColumn id="5" name="2010" totalsRowFunction="sum" dataDxfId="767" totalsRowDxfId="766" dataCellStyle="Comma"/>
    <tableColumn id="6" name="2015" totalsRowFunction="sum" dataDxfId="765" totalsRowDxfId="764" dataCellStyle="Comma"/>
    <tableColumn id="7" name="2020" totalsRowFunction="sum" dataDxfId="763" totalsRowDxfId="762" dataCellStyle="Comma"/>
    <tableColumn id="8" name="2025" totalsRowFunction="sum" dataDxfId="761" totalsRowDxfId="760" dataCellStyle="Comma"/>
    <tableColumn id="9" name="2030" totalsRowFunction="sum" dataDxfId="759" totalsRowDxfId="758" dataCellStyle="Comma"/>
    <tableColumn id="10" name="2035" totalsRowFunction="sum" dataDxfId="757" totalsRowDxfId="756" dataCellStyle="Comma"/>
    <tableColumn id="11" name="2040" totalsRowFunction="sum" dataDxfId="755" totalsRowDxfId="754" dataCellStyle="Comma"/>
    <tableColumn id="12" name="2045" totalsRowFunction="sum" dataDxfId="753" totalsRowDxfId="752" dataCellStyle="Comma"/>
    <tableColumn id="13" name="2050" totalsRowFunction="sum" dataDxfId="751" totalsRowDxfId="750" dataCellStyle="Comma"/>
  </tableColumns>
  <tableStyleInfo name="EnergyCalcTables" showFirstColumn="0" showLastColumn="0" showRowStripes="1" showColumnStripes="0"/>
</table>
</file>

<file path=xl/tables/table38.xml><?xml version="1.0" encoding="utf-8"?>
<table xmlns="http://schemas.openxmlformats.org/spreadsheetml/2006/main" id="37" name="XII.b.Emissions" displayName="XII.b.Emissions" ref="C384:O388" totalsRowCount="1" headerRowDxfId="749" dataDxfId="747" headerRowBorderDxfId="748" tableBorderDxfId="746" dataCellStyle="Comma">
  <autoFilter ref="C384:O387"/>
  <tableColumns count="13">
    <tableColumn id="1" name="GHG" totalsRowLabel="Total" dataDxfId="745" totalsRowDxfId="744"/>
    <tableColumn id="2" name="IPCC Sector" dataDxfId="743" totalsRowDxfId="742"/>
    <tableColumn id="3" name="Notes" dataDxfId="741" totalsRowDxfId="740"/>
    <tableColumn id="4" name="2007" totalsRowFunction="sum" dataDxfId="739" totalsRowDxfId="738" dataCellStyle="Comma">
      <calculatedColumnFormula>F236</calculatedColumnFormula>
    </tableColumn>
    <tableColumn id="5" name="2010" totalsRowFunction="sum" dataDxfId="737" totalsRowDxfId="736" dataCellStyle="Comma">
      <calculatedColumnFormula>G236</calculatedColumnFormula>
    </tableColumn>
    <tableColumn id="6" name="2015" totalsRowFunction="sum" dataDxfId="735" totalsRowDxfId="734" dataCellStyle="Comma">
      <calculatedColumnFormula>H236</calculatedColumnFormula>
    </tableColumn>
    <tableColumn id="7" name="2020" totalsRowFunction="sum" dataDxfId="733" totalsRowDxfId="732" dataCellStyle="Comma">
      <calculatedColumnFormula>I236</calculatedColumnFormula>
    </tableColumn>
    <tableColumn id="8" name="2025" totalsRowFunction="sum" dataDxfId="731" totalsRowDxfId="730" dataCellStyle="Comma">
      <calculatedColumnFormula>J236</calculatedColumnFormula>
    </tableColumn>
    <tableColumn id="9" name="2030" totalsRowFunction="sum" dataDxfId="729" totalsRowDxfId="728" dataCellStyle="Comma">
      <calculatedColumnFormula>K236</calculatedColumnFormula>
    </tableColumn>
    <tableColumn id="10" name="2035" totalsRowFunction="sum" dataDxfId="727" totalsRowDxfId="726" dataCellStyle="Comma">
      <calculatedColumnFormula>L236</calculatedColumnFormula>
    </tableColumn>
    <tableColumn id="11" name="2040" totalsRowFunction="sum" dataDxfId="725" totalsRowDxfId="724" dataCellStyle="Comma">
      <calculatedColumnFormula>M236</calculatedColumnFormula>
    </tableColumn>
    <tableColumn id="12" name="2045" totalsRowFunction="sum" dataDxfId="723" totalsRowDxfId="722" dataCellStyle="Comma">
      <calculatedColumnFormula>N236</calculatedColumnFormula>
    </tableColumn>
    <tableColumn id="13" name="2050" totalsRowFunction="sum" dataDxfId="721" totalsRowDxfId="720" dataCellStyle="Comma">
      <calculatedColumnFormula>O236</calculatedColumnFormula>
    </tableColumn>
  </tableColumns>
  <tableStyleInfo name="EnergyCalcTables" showFirstColumn="0" showLastColumn="0" showRowStripes="1" showColumnStripes="0"/>
</table>
</file>

<file path=xl/tables/table39.xml><?xml version="1.0" encoding="utf-8"?>
<table xmlns="http://schemas.openxmlformats.org/spreadsheetml/2006/main" id="109" name="II.b.info" displayName="II.b.info" ref="C420:O423" totalsRowShown="0" headerRowDxfId="719" dataDxfId="717" totalsRowDxfId="715" headerRowBorderDxfId="718" tableBorderDxfId="716" dataCellStyle="Comma">
  <autoFilter ref="C420:O423"/>
  <tableColumns count="13">
    <tableColumn id="1" name="Vector" dataDxfId="714" totalsRowDxfId="713"/>
    <tableColumn id="2" name="Information type" dataDxfId="712" totalsRowDxfId="711">
      <calculatedColumnFormula>INDEX(Vectors[Description], MATCH(II.b.info[Vector], Vectors[Code], 0))</calculatedColumnFormula>
    </tableColumn>
    <tableColumn id="3" name="Notes" dataDxfId="710" totalsRowDxfId="709">
      <calculatedColumnFormula>INDEX(Vectors[Comment], MATCH(II.b.info[Information type], Vectors[Description], 0))</calculatedColumnFormula>
    </tableColumn>
    <tableColumn id="4" name="2007" dataDxfId="708" totalsRowDxfId="707" dataCellStyle="Comma">
      <calculatedColumnFormula>F228</calculatedColumnFormula>
    </tableColumn>
    <tableColumn id="5" name="2010" dataDxfId="706" totalsRowDxfId="705" dataCellStyle="Comma"/>
    <tableColumn id="6" name="2015" dataDxfId="704" totalsRowDxfId="703" dataCellStyle="Comma"/>
    <tableColumn id="7" name="2020" dataDxfId="702" totalsRowDxfId="701" dataCellStyle="Comma"/>
    <tableColumn id="8" name="2025" dataDxfId="700" totalsRowDxfId="699" dataCellStyle="Comma"/>
    <tableColumn id="9" name="2030" dataDxfId="698" totalsRowDxfId="697" dataCellStyle="Comma"/>
    <tableColumn id="10" name="2035" dataDxfId="696" totalsRowDxfId="695" dataCellStyle="Comma"/>
    <tableColumn id="11" name="2040" dataDxfId="694" totalsRowDxfId="693" dataCellStyle="Comma"/>
    <tableColumn id="12" name="2045" dataDxfId="692" totalsRowDxfId="691" dataCellStyle="Comma"/>
    <tableColumn id="13" name="2050" dataDxfId="690" totalsRowDxfId="689" dataCellStyle="Comma"/>
  </tableColumns>
  <tableStyleInfo name="EnergyCalcTables" showFirstColumn="0" showLastColumn="0" showRowStripes="1" showColumnStripes="0"/>
</table>
</file>

<file path=xl/tables/table4.xml><?xml version="1.0" encoding="utf-8"?>
<table xmlns="http://schemas.openxmlformats.org/spreadsheetml/2006/main" id="2" name="Workstreams" displayName="Workstreams" ref="B6:C24" totalsRowShown="0" headerRowDxfId="1544" dataDxfId="1543">
  <autoFilter ref="B6:C24"/>
  <tableColumns count="2">
    <tableColumn id="1" name="Code" dataDxfId="1542"/>
    <tableColumn id="2" name="Workstream" dataDxfId="1541"/>
  </tableColumns>
  <tableStyleInfo name="TableStyleMedium9" showFirstColumn="0" showLastColumn="0" showRowStripes="1" showColumnStripes="0"/>
</table>
</file>

<file path=xl/tables/table40.xml><?xml version="1.0" encoding="utf-8"?>
<table xmlns="http://schemas.openxmlformats.org/spreadsheetml/2006/main" id="131" name="XII.b.road.Outputs" displayName="XII.b.road.Outputs" ref="C357:O361" totalsRowCount="1" headerRowDxfId="688" dataDxfId="687">
  <autoFilter ref="C357:O360"/>
  <tableColumns count="13">
    <tableColumn id="1" name="Vector" totalsRowLabel="Total" dataDxfId="686" totalsRowDxfId="685"/>
    <tableColumn id="2" name="Name" dataDxfId="684" totalsRowDxfId="683">
      <calculatedColumnFormula>INDEX(Vectors[Description], MATCH(XII.b.road.Outputs[Vector], Vectors[Code], 0))</calculatedColumnFormula>
    </tableColumn>
    <tableColumn id="3" name="Notes" dataDxfId="682" totalsRowDxfId="681"/>
    <tableColumn id="4" name="2007" totalsRowFunction="sum" dataDxfId="680" totalsRowDxfId="679" dataCellStyle="Comma"/>
    <tableColumn id="5" name="2010" totalsRowFunction="sum" dataDxfId="678" totalsRowDxfId="677" dataCellStyle="Comma"/>
    <tableColumn id="6" name="2015" totalsRowFunction="sum" dataDxfId="676" totalsRowDxfId="675" dataCellStyle="Comma"/>
    <tableColumn id="7" name="2020" totalsRowFunction="sum" dataDxfId="674" totalsRowDxfId="673" dataCellStyle="Comma"/>
    <tableColumn id="8" name="2025" totalsRowFunction="sum" dataDxfId="672" totalsRowDxfId="671" dataCellStyle="Comma"/>
    <tableColumn id="9" name="2030" totalsRowFunction="sum" dataDxfId="670" totalsRowDxfId="669" dataCellStyle="Comma"/>
    <tableColumn id="10" name="2035" totalsRowFunction="sum" dataDxfId="668" totalsRowDxfId="667" dataCellStyle="Comma"/>
    <tableColumn id="11" name="2040" totalsRowFunction="sum" dataDxfId="666" totalsRowDxfId="665" dataCellStyle="Comma"/>
    <tableColumn id="12" name="2045" totalsRowFunction="sum" dataDxfId="664" totalsRowDxfId="663" dataCellStyle="Comma"/>
    <tableColumn id="13" name="2050" totalsRowFunction="sum" dataDxfId="662" totalsRowDxfId="661" dataCellStyle="Comma"/>
  </tableColumns>
  <tableStyleInfo name="EnergyCalcTables" showFirstColumn="0" showLastColumn="0" showRowStripes="1" showColumnStripes="0"/>
</table>
</file>

<file path=xl/tables/table41.xml><?xml version="1.0" encoding="utf-8"?>
<table xmlns="http://schemas.openxmlformats.org/spreadsheetml/2006/main" id="132" name="XII.b.Rail.Outputs" displayName="XII.b.Rail.Outputs" ref="C365:O369" totalsRowCount="1" headerRowDxfId="660" dataDxfId="659">
  <autoFilter ref="C365:O368"/>
  <tableColumns count="13">
    <tableColumn id="1" name="Vector" totalsRowLabel="Total" dataDxfId="658" totalsRowDxfId="657"/>
    <tableColumn id="2" name="Name" dataDxfId="656" totalsRowDxfId="655">
      <calculatedColumnFormula>INDEX(Vectors[Description], MATCH(XII.b.Rail.Outputs[Vector], Vectors[Code], 0))</calculatedColumnFormula>
    </tableColumn>
    <tableColumn id="3" name="Notes" dataDxfId="654" totalsRowDxfId="653"/>
    <tableColumn id="4" name="2007" totalsRowFunction="sum" dataDxfId="652" totalsRowDxfId="651" dataCellStyle="Comma"/>
    <tableColumn id="5" name="2010" totalsRowFunction="sum" dataDxfId="650" totalsRowDxfId="649" dataCellStyle="Comma"/>
    <tableColumn id="6" name="2015" totalsRowFunction="sum" dataDxfId="648" totalsRowDxfId="647" dataCellStyle="Comma"/>
    <tableColumn id="7" name="2020" totalsRowFunction="sum" dataDxfId="646" totalsRowDxfId="645" dataCellStyle="Comma"/>
    <tableColumn id="8" name="2025" totalsRowFunction="sum" dataDxfId="644" totalsRowDxfId="643" dataCellStyle="Comma"/>
    <tableColumn id="9" name="2030" totalsRowFunction="sum" dataDxfId="642" totalsRowDxfId="641" dataCellStyle="Comma"/>
    <tableColumn id="10" name="2035" totalsRowFunction="sum" dataDxfId="640" totalsRowDxfId="639" dataCellStyle="Comma"/>
    <tableColumn id="11" name="2040" totalsRowFunction="sum" dataDxfId="638" totalsRowDxfId="637" dataCellStyle="Comma"/>
    <tableColumn id="12" name="2045" totalsRowFunction="sum" dataDxfId="636" totalsRowDxfId="635" dataCellStyle="Comma"/>
    <tableColumn id="13" name="2050" totalsRowFunction="sum" dataDxfId="634" totalsRowDxfId="633" dataCellStyle="Comma"/>
  </tableColumns>
  <tableStyleInfo name="EnergyCalcTables" showFirstColumn="0" showLastColumn="0" showRowStripes="1" showColumnStripes="0"/>
</table>
</file>

<file path=xl/tables/table42.xml><?xml version="1.0" encoding="utf-8"?>
<table xmlns="http://schemas.openxmlformats.org/spreadsheetml/2006/main" id="133" name="XII.b.nationalnavigation.Outputs" displayName="XII.b.nationalnavigation.Outputs" ref="C373:O376" totalsRowCount="1" headerRowDxfId="632" dataDxfId="631">
  <autoFilter ref="C373:O375"/>
  <tableColumns count="13">
    <tableColumn id="1" name="Vector" totalsRowLabel="Total" dataDxfId="630" totalsRowDxfId="629"/>
    <tableColumn id="2" name="Name" dataDxfId="628" totalsRowDxfId="627">
      <calculatedColumnFormula>INDEX(Vectors[Description], MATCH(XII.b.nationalnavigation.Outputs[Vector], Vectors[Code], 0))</calculatedColumnFormula>
    </tableColumn>
    <tableColumn id="3" name="Notes" dataDxfId="626" totalsRowDxfId="625"/>
    <tableColumn id="4" name="2007" totalsRowFunction="sum" dataDxfId="624" totalsRowDxfId="623" dataCellStyle="Comma"/>
    <tableColumn id="5" name="2010" totalsRowFunction="sum" dataDxfId="622" totalsRowDxfId="621" dataCellStyle="Comma"/>
    <tableColumn id="6" name="2015" totalsRowFunction="sum" dataDxfId="620" totalsRowDxfId="619" dataCellStyle="Comma"/>
    <tableColumn id="7" name="2020" totalsRowFunction="sum" dataDxfId="618" totalsRowDxfId="617" dataCellStyle="Comma"/>
    <tableColumn id="8" name="2025" totalsRowFunction="sum" dataDxfId="616" totalsRowDxfId="615" dataCellStyle="Comma"/>
    <tableColumn id="9" name="2030" totalsRowFunction="sum" dataDxfId="614" totalsRowDxfId="613" dataCellStyle="Comma"/>
    <tableColumn id="10" name="2035" totalsRowFunction="sum" dataDxfId="612" totalsRowDxfId="611" dataCellStyle="Comma"/>
    <tableColumn id="11" name="2040" totalsRowFunction="sum" dataDxfId="610" totalsRowDxfId="609" dataCellStyle="Comma"/>
    <tableColumn id="12" name="2045" totalsRowFunction="sum" dataDxfId="608" totalsRowDxfId="607" dataCellStyle="Comma"/>
    <tableColumn id="13" name="2050" totalsRowFunction="sum" dataDxfId="606" totalsRowDxfId="605" dataCellStyle="Comma"/>
  </tableColumns>
  <tableStyleInfo name="EnergyCalcTables" showFirstColumn="0" showLastColumn="0" showRowStripes="1" showColumnStripes="0"/>
</table>
</file>

<file path=xl/tables/table43.xml><?xml version="1.0" encoding="utf-8"?>
<table xmlns="http://schemas.openxmlformats.org/spreadsheetml/2006/main" id="134" name="XII.b.Road.Emissions" displayName="XII.b.Road.Emissions" ref="C392:O396" totalsRowCount="1" headerRowDxfId="604" dataDxfId="602" headerRowBorderDxfId="603" tableBorderDxfId="601" dataCellStyle="Comma">
  <autoFilter ref="C392:O395"/>
  <tableColumns count="13">
    <tableColumn id="1" name="GHG" totalsRowLabel="Total" dataDxfId="600" totalsRowDxfId="599"/>
    <tableColumn id="2" name="IPCC Sector" dataDxfId="598" totalsRowDxfId="597"/>
    <tableColumn id="3" name="Notes" dataDxfId="596" totalsRowDxfId="595">
      <calculatedColumnFormula>INDEX(IPCC[Sector_description], MATCH(XII.b.Road.Emissions[IPCC Sector], IPCC[Sector_code], 0))</calculatedColumnFormula>
    </tableColumn>
    <tableColumn id="4" name="2007" totalsRowFunction="sum" dataDxfId="594" totalsRowDxfId="593" dataCellStyle="Comma">
      <calculatedColumnFormula>(F236*(F$223/(F$216+F$223+F$231)))</calculatedColumnFormula>
    </tableColumn>
    <tableColumn id="5" name="2010" totalsRowFunction="sum" dataDxfId="592" totalsRowDxfId="591" dataCellStyle="Comma">
      <calculatedColumnFormula>(G236*(G$223/(G$216+G$223+G$231)))</calculatedColumnFormula>
    </tableColumn>
    <tableColumn id="6" name="2015" totalsRowFunction="sum" dataDxfId="590" totalsRowDxfId="589" dataCellStyle="Comma">
      <calculatedColumnFormula>(H236*(H$223/(H$216+H$223+H$231)))</calculatedColumnFormula>
    </tableColumn>
    <tableColumn id="7" name="2020" totalsRowFunction="sum" dataDxfId="588" totalsRowDxfId="587" dataCellStyle="Comma">
      <calculatedColumnFormula>(I236*(I$223/(I$216+I$223+I$231)))</calculatedColumnFormula>
    </tableColumn>
    <tableColumn id="8" name="2025" totalsRowFunction="sum" dataDxfId="586" totalsRowDxfId="585" dataCellStyle="Comma">
      <calculatedColumnFormula>(J236*(J$223/(J$216+J$223+J$231)))</calculatedColumnFormula>
    </tableColumn>
    <tableColumn id="9" name="2030" totalsRowFunction="sum" dataDxfId="584" totalsRowDxfId="583" dataCellStyle="Comma">
      <calculatedColumnFormula>(K236*(K$223/(K$216+K$223+K$231)))</calculatedColumnFormula>
    </tableColumn>
    <tableColumn id="10" name="2035" totalsRowFunction="sum" dataDxfId="582" totalsRowDxfId="581" dataCellStyle="Comma">
      <calculatedColumnFormula>(L236*(L$223/(L$216+L$223+L$231)))</calculatedColumnFormula>
    </tableColumn>
    <tableColumn id="11" name="2040" totalsRowFunction="sum" dataDxfId="580" totalsRowDxfId="579" dataCellStyle="Comma">
      <calculatedColumnFormula>(M236*(M$223/(M$216+M$223+M$231)))</calculatedColumnFormula>
    </tableColumn>
    <tableColumn id="12" name="2045" totalsRowFunction="sum" dataDxfId="578" totalsRowDxfId="577" dataCellStyle="Comma">
      <calculatedColumnFormula>(N236*(N$223/(N$216+N$223+N$231)))</calculatedColumnFormula>
    </tableColumn>
    <tableColumn id="13" name="2050" totalsRowFunction="sum" dataDxfId="576" totalsRowDxfId="575" dataCellStyle="Comma">
      <calculatedColumnFormula>(O236*(O$223/(O$216+O$223+O$231)))</calculatedColumnFormula>
    </tableColumn>
  </tableColumns>
  <tableStyleInfo name="EnergyCalcTables" showFirstColumn="0" showLastColumn="0" showRowStripes="1" showColumnStripes="0"/>
</table>
</file>

<file path=xl/tables/table44.xml><?xml version="1.0" encoding="utf-8"?>
<table xmlns="http://schemas.openxmlformats.org/spreadsheetml/2006/main" id="135" name="XII.b.Rail.Emissions" displayName="XII.b.Rail.Emissions" ref="C400:O404" totalsRowCount="1" headerRowDxfId="574" dataDxfId="572" headerRowBorderDxfId="573" tableBorderDxfId="571" dataCellStyle="Comma">
  <autoFilter ref="C400:O403"/>
  <tableColumns count="13">
    <tableColumn id="1" name="GHG" totalsRowLabel="Total" dataDxfId="570" totalsRowDxfId="569"/>
    <tableColumn id="2" name="IPCC Sector" dataDxfId="568" totalsRowDxfId="567"/>
    <tableColumn id="3" name="Notes" dataDxfId="566" totalsRowDxfId="565">
      <calculatedColumnFormula>INDEX(IPCC[Sector_description], MATCH(XII.b.Rail.Emissions[IPCC Sector], IPCC[Sector_code], 0))</calculatedColumnFormula>
    </tableColumn>
    <tableColumn id="4" name="2007" totalsRowFunction="sum" dataDxfId="564" totalsRowDxfId="563" dataCellStyle="Comma">
      <calculatedColumnFormula>(F236*(F$216/(F$216+F$223+F$231)))</calculatedColumnFormula>
    </tableColumn>
    <tableColumn id="5" name="2010" totalsRowFunction="sum" dataDxfId="562" totalsRowDxfId="561" dataCellStyle="Comma">
      <calculatedColumnFormula>(G236*(G$216/(G$216+G$223+G$231)))</calculatedColumnFormula>
    </tableColumn>
    <tableColumn id="6" name="2015" totalsRowFunction="sum" dataDxfId="560" totalsRowDxfId="559" dataCellStyle="Comma">
      <calculatedColumnFormula>(H236*(H$216/(H$216+H$223+H$231)))</calculatedColumnFormula>
    </tableColumn>
    <tableColumn id="7" name="2020" totalsRowFunction="sum" dataDxfId="558" totalsRowDxfId="557" dataCellStyle="Comma">
      <calculatedColumnFormula>(I236*(I$216/(I$216+I$223+I$231)))</calculatedColumnFormula>
    </tableColumn>
    <tableColumn id="8" name="2025" totalsRowFunction="sum" dataDxfId="556" totalsRowDxfId="555" dataCellStyle="Comma">
      <calculatedColumnFormula>(J236*(J$216/(J$216+J$223+J$231)))</calculatedColumnFormula>
    </tableColumn>
    <tableColumn id="9" name="2030" totalsRowFunction="sum" dataDxfId="554" totalsRowDxfId="553" dataCellStyle="Comma">
      <calculatedColumnFormula>(K236*(K$216/(K$216+K$223+K$231)))</calculatedColumnFormula>
    </tableColumn>
    <tableColumn id="10" name="2035" totalsRowFunction="sum" dataDxfId="552" totalsRowDxfId="551" dataCellStyle="Comma">
      <calculatedColumnFormula>(L236*(L$216/(L$216+L$223+L$231)))</calculatedColumnFormula>
    </tableColumn>
    <tableColumn id="11" name="2040" totalsRowFunction="sum" dataDxfId="550" totalsRowDxfId="549" dataCellStyle="Comma">
      <calculatedColumnFormula>(M236*(M$216/(M$216+M$223+M$231)))</calculatedColumnFormula>
    </tableColumn>
    <tableColumn id="12" name="2045" totalsRowFunction="sum" dataDxfId="548" totalsRowDxfId="547" dataCellStyle="Comma">
      <calculatedColumnFormula>(N236*(N$216/(N$216+N$223+N$231)))</calculatedColumnFormula>
    </tableColumn>
    <tableColumn id="13" name="2050" totalsRowFunction="sum" dataDxfId="546" totalsRowDxfId="545" dataCellStyle="Comma">
      <calculatedColumnFormula>(O236*(O$216/(O$216+O$223+O$231)))</calculatedColumnFormula>
    </tableColumn>
  </tableColumns>
  <tableStyleInfo name="EnergyCalcTables" showFirstColumn="0" showLastColumn="0" showRowStripes="1" showColumnStripes="0"/>
</table>
</file>

<file path=xl/tables/table45.xml><?xml version="1.0" encoding="utf-8"?>
<table xmlns="http://schemas.openxmlformats.org/spreadsheetml/2006/main" id="136" name="XII.b.NationalNavigation.Emissions" displayName="XII.b.NationalNavigation.Emissions" ref="C408:O412" totalsRowCount="1" headerRowDxfId="544" dataDxfId="542" headerRowBorderDxfId="543" tableBorderDxfId="541" dataCellStyle="Comma">
  <autoFilter ref="C408:O411"/>
  <tableColumns count="13">
    <tableColumn id="1" name="GHG" totalsRowLabel="Total" dataDxfId="540" totalsRowDxfId="539"/>
    <tableColumn id="2" name="IPCC Sector" dataDxfId="538" totalsRowDxfId="537"/>
    <tableColumn id="3" name="Notes" dataDxfId="536" totalsRowDxfId="535">
      <calculatedColumnFormula>INDEX(IPCC[Sector_description], MATCH(XII.b.NationalNavigation.Emissions[IPCC Sector], IPCC[Sector_code], 0))</calculatedColumnFormula>
    </tableColumn>
    <tableColumn id="4" name="2007" totalsRowFunction="sum" dataDxfId="534" totalsRowDxfId="533" dataCellStyle="Comma">
      <calculatedColumnFormula>(F236*(F$231/(F$216+F$223+F$231)))</calculatedColumnFormula>
    </tableColumn>
    <tableColumn id="5" name="2010" totalsRowFunction="sum" dataDxfId="532" totalsRowDxfId="531" dataCellStyle="Comma">
      <calculatedColumnFormula>(G236*(G$231/(G$216+G$223+G$231)))</calculatedColumnFormula>
    </tableColumn>
    <tableColumn id="6" name="2015" totalsRowFunction="sum" dataDxfId="530" totalsRowDxfId="529" dataCellStyle="Comma">
      <calculatedColumnFormula>(H236*(H$231/(H$216+H$223+H$231)))</calculatedColumnFormula>
    </tableColumn>
    <tableColumn id="7" name="2020" totalsRowFunction="sum" dataDxfId="528" totalsRowDxfId="527" dataCellStyle="Comma">
      <calculatedColumnFormula>(I236*(I$231/(I$216+I$223+I$231)))</calculatedColumnFormula>
    </tableColumn>
    <tableColumn id="8" name="2025" totalsRowFunction="sum" dataDxfId="526" totalsRowDxfId="525" dataCellStyle="Comma">
      <calculatedColumnFormula>(J236*(J$231/(J$216+J$223+J$231)))</calculatedColumnFormula>
    </tableColumn>
    <tableColumn id="9" name="2030" totalsRowFunction="sum" dataDxfId="524" totalsRowDxfId="523" dataCellStyle="Comma">
      <calculatedColumnFormula>(K236*(K$231/(K$216+K$223+K$231)))</calculatedColumnFormula>
    </tableColumn>
    <tableColumn id="10" name="2035" totalsRowFunction="sum" dataDxfId="522" totalsRowDxfId="521" dataCellStyle="Comma">
      <calculatedColumnFormula>(L236*(L$231/(L$216+L$223+L$231)))</calculatedColumnFormula>
    </tableColumn>
    <tableColumn id="11" name="2040" totalsRowFunction="sum" dataDxfId="520" totalsRowDxfId="519" dataCellStyle="Comma">
      <calculatedColumnFormula>(M236*(M$231/(M$216+M$223+M$231)))</calculatedColumnFormula>
    </tableColumn>
    <tableColumn id="12" name="2045" totalsRowFunction="sum" dataDxfId="518" totalsRowDxfId="517" dataCellStyle="Comma">
      <calculatedColumnFormula>(N236*(N$231/(N$216+N$223+N$231)))</calculatedColumnFormula>
    </tableColumn>
    <tableColumn id="13" name="2050" totalsRowFunction="sum" dataDxfId="516" totalsRowDxfId="515" dataCellStyle="Comma">
      <calculatedColumnFormula>(O236*(O$231/(O$216+O$223+O$231)))</calculatedColumnFormula>
    </tableColumn>
  </tableColumns>
  <tableStyleInfo name="EnergyCalcTables" showFirstColumn="0" showLastColumn="0" showRowStripes="1" showColumnStripes="0"/>
</table>
</file>

<file path=xl/tables/table46.xml><?xml version="1.0" encoding="utf-8"?>
<table xmlns="http://schemas.openxmlformats.org/spreadsheetml/2006/main" id="152" name="XII.b.Costs" displayName="XII.b.Costs" ref="C431:O437" headerRowDxfId="514" dataDxfId="512" headerRowBorderDxfId="513" tableBorderDxfId="511" dataCellStyle="Comma">
  <autoFilter ref="C431:O437"/>
  <tableColumns count="13">
    <tableColumn id="1" name="Vector" totalsRowLabel="Total" dataDxfId="510" totalsRowDxfId="509"/>
    <tableColumn id="2" name="Name" dataDxfId="508" totalsRowDxfId="507">
      <calculatedColumnFormula>INDEX([1]!CostVectors[Description], MATCH(C432, [1]!CostVectors[Code], 0))</calculatedColumnFormula>
    </tableColumn>
    <tableColumn id="3" name="Notes" dataDxfId="506" totalsRowDxfId="505"/>
    <tableColumn id="4" name="2007" dataDxfId="504" totalsRowDxfId="503" dataCellStyle="Comma">
      <calculatedColumnFormula>SUM(#REF!)</calculatedColumnFormula>
    </tableColumn>
    <tableColumn id="5" name="2010" totalsRowFunction="custom" dataDxfId="502" totalsRowDxfId="501" dataCellStyle="Comma">
      <totalsRowFormula>SUM(XII.b.Costs[2010])</totalsRowFormula>
    </tableColumn>
    <tableColumn id="6" name="2015" totalsRowFunction="custom" dataDxfId="500" totalsRowDxfId="499" dataCellStyle="Comma">
      <totalsRowFormula>SUM(XII.b.Costs[2015])</totalsRowFormula>
    </tableColumn>
    <tableColumn id="7" name="2020" totalsRowFunction="sum" dataDxfId="498" totalsRowDxfId="497" dataCellStyle="Comma"/>
    <tableColumn id="8" name="2025" totalsRowFunction="sum" dataDxfId="496" totalsRowDxfId="495" dataCellStyle="Comma"/>
    <tableColumn id="9" name="2030" totalsRowFunction="sum" dataDxfId="494" totalsRowDxfId="493" dataCellStyle="Comma"/>
    <tableColumn id="10" name="2035" totalsRowFunction="sum" dataDxfId="492" totalsRowDxfId="491" dataCellStyle="Comma"/>
    <tableColumn id="11" name="2040" totalsRowFunction="sum" dataDxfId="490" totalsRowDxfId="489" dataCellStyle="Comma"/>
    <tableColumn id="12" name="2045" totalsRowFunction="sum" dataDxfId="488" totalsRowDxfId="487" dataCellStyle="Comma"/>
    <tableColumn id="13" name="2050" totalsRowFunction="sum" dataDxfId="486" totalsRowDxfId="485" dataCellStyle="Comma"/>
  </tableColumns>
  <tableStyleInfo name="EnergyCalcTables" showFirstColumn="0" showLastColumn="0" showRowStripes="1" showColumnStripes="0"/>
</table>
</file>

<file path=xl/tables/table47.xml><?xml version="1.0" encoding="utf-8"?>
<table xmlns="http://schemas.openxmlformats.org/spreadsheetml/2006/main" id="227" name="EF.XII.b.PM10" displayName="EF.XII.b.PM10" ref="C106:O111" totalsRowShown="0" headerRowDxfId="484" dataDxfId="483">
  <autoFilter ref="C106:O111"/>
  <tableColumns count="13">
    <tableColumn id="1" name="Code" dataDxfId="482"/>
    <tableColumn id="2" name="Mode" dataDxfId="481"/>
    <tableColumn id="3" name="Technology" dataDxfId="480"/>
    <tableColumn id="4" name="2007" dataDxfId="479" dataCellStyle="Comma">
      <calculatedColumnFormula>EF.XII.b.PM10[[#This Row],[2010]]</calculatedColumnFormula>
    </tableColumn>
    <tableColumn id="5" name="2010" dataDxfId="478" dataCellStyle="Comma"/>
    <tableColumn id="6" name="2015" dataDxfId="477" dataCellStyle="Comma"/>
    <tableColumn id="7" name="2020" dataDxfId="476" dataCellStyle="Comma"/>
    <tableColumn id="8" name="2025" dataDxfId="475" dataCellStyle="Comma"/>
    <tableColumn id="9" name="2030" dataDxfId="474" dataCellStyle="Comma"/>
    <tableColumn id="10" name="2035" dataDxfId="473" dataCellStyle="Comma"/>
    <tableColumn id="11" name="2040" dataDxfId="472" dataCellStyle="Comma"/>
    <tableColumn id="12" name="2045" dataDxfId="471" dataCellStyle="Comma"/>
    <tableColumn id="13" name="2050" dataDxfId="470" dataCellStyle="Comma"/>
  </tableColumns>
  <tableStyleInfo name="TableStyleMedium9" showFirstColumn="0" showLastColumn="0" showRowStripes="1" showColumnStripes="0"/>
</table>
</file>

<file path=xl/tables/table48.xml><?xml version="1.0" encoding="utf-8"?>
<table xmlns="http://schemas.openxmlformats.org/spreadsheetml/2006/main" id="228" name="EF.XII.b.NOX" displayName="EF.XII.b.NOX" ref="C115:O120" totalsRowShown="0" headerRowDxfId="469" dataDxfId="468">
  <autoFilter ref="C115:O120"/>
  <tableColumns count="13">
    <tableColumn id="1" name="Code" dataDxfId="467"/>
    <tableColumn id="2" name="Mode" dataDxfId="466"/>
    <tableColumn id="3" name="Technology" dataDxfId="465"/>
    <tableColumn id="4" name="2007" dataDxfId="464" dataCellStyle="Comma">
      <calculatedColumnFormula>EF.XII.b.NOX[[#This Row],[2010]]</calculatedColumnFormula>
    </tableColumn>
    <tableColumn id="5" name="2010" dataDxfId="463" dataCellStyle="Comma"/>
    <tableColumn id="6" name="2015" dataDxfId="462" dataCellStyle="Comma"/>
    <tableColumn id="7" name="2020" dataDxfId="461" dataCellStyle="Comma"/>
    <tableColumn id="8" name="2025" dataDxfId="460" dataCellStyle="Comma"/>
    <tableColumn id="9" name="2030" dataDxfId="459" dataCellStyle="Comma"/>
    <tableColumn id="10" name="2035" dataDxfId="458" dataCellStyle="Comma"/>
    <tableColumn id="11" name="2040" dataDxfId="457" dataCellStyle="Comma"/>
    <tableColumn id="12" name="2045" dataDxfId="456" dataCellStyle="Comma"/>
    <tableColumn id="13" name="2050" dataDxfId="455" dataCellStyle="Comma"/>
  </tableColumns>
  <tableStyleInfo name="TableStyleMedium9" showFirstColumn="0" showLastColumn="0" showRowStripes="1" showColumnStripes="0"/>
</table>
</file>

<file path=xl/tables/table49.xml><?xml version="1.0" encoding="utf-8"?>
<table xmlns="http://schemas.openxmlformats.org/spreadsheetml/2006/main" id="229" name="EF.XII.b.SO2" displayName="EF.XII.b.SO2" ref="C124:O129" totalsRowShown="0" headerRowDxfId="454" dataDxfId="453">
  <autoFilter ref="C124:O129"/>
  <tableColumns count="13">
    <tableColumn id="1" name="Code" dataDxfId="452"/>
    <tableColumn id="2" name="Mode" dataDxfId="451"/>
    <tableColumn id="3" name="Technology" dataDxfId="450"/>
    <tableColumn id="4" name="2007" dataDxfId="449" dataCellStyle="Comma">
      <calculatedColumnFormula>EF.XII.b.SO2[[#This Row],[2010]]</calculatedColumnFormula>
    </tableColumn>
    <tableColumn id="5" name="2010" dataDxfId="448" dataCellStyle="Comma"/>
    <tableColumn id="6" name="2015" dataDxfId="447" dataCellStyle="Comma"/>
    <tableColumn id="7" name="2020" dataDxfId="446" dataCellStyle="Comma"/>
    <tableColumn id="8" name="2025" dataDxfId="445" dataCellStyle="Comma"/>
    <tableColumn id="9" name="2030" dataDxfId="444" dataCellStyle="Comma"/>
    <tableColumn id="10" name="2035" dataDxfId="443" dataCellStyle="Comma"/>
    <tableColumn id="11" name="2040" dataDxfId="442" dataCellStyle="Comma"/>
    <tableColumn id="12" name="2045" dataDxfId="441" dataCellStyle="Comma"/>
    <tableColumn id="13" name="2050" dataDxfId="440" dataCellStyle="Comma"/>
  </tableColumns>
  <tableStyleInfo name="TableStyleMedium9" showFirstColumn="0" showLastColumn="0" showRowStripes="1" showColumnStripes="0"/>
</table>
</file>

<file path=xl/tables/table5.xml><?xml version="1.0" encoding="utf-8"?>
<table xmlns="http://schemas.openxmlformats.org/spreadsheetml/2006/main" id="5" name="Modules" displayName="Modules" ref="F6:J54" totalsRowShown="0" headerRowDxfId="1540" dataDxfId="1539">
  <autoFilter ref="F6:J54"/>
  <sortState ref="J5:Q20">
    <sortCondition ref="J3:J19"/>
  </sortState>
  <tableColumns count="5">
    <tableColumn id="1" name="Code" dataDxfId="1538"/>
    <tableColumn id="2" name="Module" dataDxfId="1537"/>
    <tableColumn id="7" name="WS Code" dataDxfId="1536">
      <calculatedColumnFormula>LEFT(Modules[Code], FIND(".", Modules[Code])-1)</calculatedColumnFormula>
    </tableColumn>
    <tableColumn id="6" name="Workstream" dataDxfId="1535">
      <calculatedColumnFormula>INDEX(Workstreams[Workstream], MATCH(Modules[WS Code], Workstreams[Code], 0))</calculatedColumnFormula>
    </tableColumn>
    <tableColumn id="3" name="Comments" dataDxfId="1534"/>
  </tableColumns>
  <tableStyleInfo name="TableStyleMedium9" showFirstColumn="0" showLastColumn="0" showRowStripes="1" showColumnStripes="0"/>
</table>
</file>

<file path=xl/tables/table50.xml><?xml version="1.0" encoding="utf-8"?>
<table xmlns="http://schemas.openxmlformats.org/spreadsheetml/2006/main" id="230" name="EF.XII.b.NMVOC" displayName="EF.XII.b.NMVOC" ref="C133:O138" totalsRowShown="0" headerRowDxfId="439" dataDxfId="438">
  <autoFilter ref="C133:O138"/>
  <tableColumns count="13">
    <tableColumn id="1" name="Code" dataDxfId="437"/>
    <tableColumn id="2" name="Mode" dataDxfId="436"/>
    <tableColumn id="3" name="Technology" dataDxfId="435"/>
    <tableColumn id="4" name="2007" dataDxfId="434" dataCellStyle="Comma">
      <calculatedColumnFormula>EF.XII.b.NMVOC[[#This Row],[2010]]</calculatedColumnFormula>
    </tableColumn>
    <tableColumn id="5" name="2010" dataDxfId="433" dataCellStyle="Comma"/>
    <tableColumn id="6" name="2015" dataDxfId="432" dataCellStyle="Comma"/>
    <tableColumn id="7" name="2020" dataDxfId="431" dataCellStyle="Comma"/>
    <tableColumn id="8" name="2025" dataDxfId="430" dataCellStyle="Comma"/>
    <tableColumn id="9" name="2030" dataDxfId="429" dataCellStyle="Comma"/>
    <tableColumn id="10" name="2035" dataDxfId="428" dataCellStyle="Comma"/>
    <tableColumn id="11" name="2040" dataDxfId="427" dataCellStyle="Comma"/>
    <tableColumn id="12" name="2045" dataDxfId="426" dataCellStyle="Comma"/>
    <tableColumn id="13" name="2050" dataDxfId="425" dataCellStyle="Comma"/>
  </tableColumns>
  <tableStyleInfo name="TableStyleMedium9" showFirstColumn="0" showLastColumn="0" showRowStripes="1" showColumnStripes="0"/>
</table>
</file>

<file path=xl/tables/table51.xml><?xml version="1.0" encoding="utf-8"?>
<table xmlns="http://schemas.openxmlformats.org/spreadsheetml/2006/main" id="231" name="XII.b.Total.AQ" displayName="XII.b.Total.AQ" ref="C451:O456" totalsRowCount="1" headerRowDxfId="424" dataDxfId="422" totalsRowDxfId="420" headerRowBorderDxfId="423" tableBorderDxfId="421" dataCellStyle="Comma">
  <autoFilter ref="C451:O455"/>
  <tableColumns count="13">
    <tableColumn id="1" name="Vector" totalsRowLabel="Total" dataDxfId="419" totalsRowDxfId="418"/>
    <tableColumn id="2" name="Name" dataDxfId="417" totalsRowDxfId="416">
      <calculatedColumnFormula>INDEX(AirQualityVectors[Description],MATCH(C452,AirQualityVectors[Code],0))</calculatedColumnFormula>
    </tableColumn>
    <tableColumn id="3" name="IPCC" dataDxfId="415" totalsRowDxfId="414"/>
    <tableColumn id="4" name="2007" totalsRowFunction="sum" dataDxfId="413" totalsRowDxfId="412" dataCellStyle="Comma"/>
    <tableColumn id="5" name="2010" totalsRowFunction="sum" dataDxfId="411" totalsRowDxfId="410" dataCellStyle="Comma"/>
    <tableColumn id="6" name="2015" totalsRowFunction="sum" dataDxfId="409" totalsRowDxfId="408" dataCellStyle="Comma"/>
    <tableColumn id="7" name="2020" totalsRowFunction="sum" dataDxfId="407" totalsRowDxfId="406" dataCellStyle="Comma"/>
    <tableColumn id="8" name="2025" totalsRowFunction="sum" dataDxfId="405" totalsRowDxfId="404" dataCellStyle="Comma"/>
    <tableColumn id="9" name="2030" totalsRowFunction="sum" dataDxfId="403" totalsRowDxfId="402" dataCellStyle="Comma"/>
    <tableColumn id="10" name="2035" totalsRowFunction="sum" dataDxfId="401" totalsRowDxfId="400" dataCellStyle="Comma"/>
    <tableColumn id="11" name="2040" totalsRowFunction="sum" dataDxfId="399" totalsRowDxfId="398" dataCellStyle="Comma"/>
    <tableColumn id="12" name="2045" totalsRowFunction="sum" dataDxfId="397" totalsRowDxfId="396" dataCellStyle="Comma"/>
    <tableColumn id="13" name="2050" totalsRowFunction="sum" dataDxfId="395" totalsRowDxfId="394" dataCellStyle="Comma"/>
  </tableColumns>
  <tableStyleInfo name="EnergyCalcTables" showFirstColumn="0" showLastColumn="0" showRowStripes="1" showColumnStripes="0"/>
</table>
</file>

<file path=xl/tables/table52.xml><?xml version="1.0" encoding="utf-8"?>
<table xmlns="http://schemas.openxmlformats.org/spreadsheetml/2006/main" id="232" name="XII.b.Road.AQ" displayName="XII.b.Road.AQ" ref="C460:O465" totalsRowCount="1" headerRowDxfId="393" dataDxfId="391" totalsRowDxfId="389" headerRowBorderDxfId="392" tableBorderDxfId="390" dataCellStyle="Comma">
  <autoFilter ref="C460:O464"/>
  <tableColumns count="13">
    <tableColumn id="1" name="Vector" totalsRowLabel="Total" dataDxfId="388" totalsRowDxfId="387"/>
    <tableColumn id="2" name="Name" dataDxfId="386" totalsRowDxfId="385">
      <calculatedColumnFormula>INDEX(AirQualityVectors[Description],MATCH(C461,AirQualityVectors[Code],0))</calculatedColumnFormula>
    </tableColumn>
    <tableColumn id="3" name="IPCC" dataDxfId="384" totalsRowDxfId="383"/>
    <tableColumn id="4" name="2007" totalsRowFunction="sum" dataDxfId="382" totalsRowDxfId="381" dataCellStyle="Comma"/>
    <tableColumn id="5" name="2010" totalsRowFunction="sum" dataDxfId="380" totalsRowDxfId="379" dataCellStyle="Comma"/>
    <tableColumn id="6" name="2015" totalsRowFunction="sum" dataDxfId="378" totalsRowDxfId="377" dataCellStyle="Comma"/>
    <tableColumn id="7" name="2020" totalsRowFunction="sum" dataDxfId="376" totalsRowDxfId="375" dataCellStyle="Comma"/>
    <tableColumn id="8" name="2025" totalsRowFunction="sum" dataDxfId="374" totalsRowDxfId="373" dataCellStyle="Comma"/>
    <tableColumn id="9" name="2030" totalsRowFunction="sum" dataDxfId="372" totalsRowDxfId="371" dataCellStyle="Comma"/>
    <tableColumn id="10" name="2035" totalsRowFunction="sum" dataDxfId="370" totalsRowDxfId="369" dataCellStyle="Comma"/>
    <tableColumn id="11" name="2040" totalsRowFunction="sum" dataDxfId="368" totalsRowDxfId="367" dataCellStyle="Comma"/>
    <tableColumn id="12" name="2045" totalsRowFunction="sum" dataDxfId="366" totalsRowDxfId="365" dataCellStyle="Comma"/>
    <tableColumn id="13" name="2050" totalsRowFunction="sum" dataDxfId="364" totalsRowDxfId="363" dataCellStyle="Comma"/>
  </tableColumns>
  <tableStyleInfo name="EnergyCalcTables" showFirstColumn="0" showLastColumn="0" showRowStripes="1" showColumnStripes="0"/>
</table>
</file>

<file path=xl/tables/table53.xml><?xml version="1.0" encoding="utf-8"?>
<table xmlns="http://schemas.openxmlformats.org/spreadsheetml/2006/main" id="233" name="XII.b.Rail.AQ" displayName="XII.b.Rail.AQ" ref="C469:O474" totalsRowCount="1" headerRowDxfId="362" dataDxfId="360" totalsRowDxfId="358" headerRowBorderDxfId="361" tableBorderDxfId="359" dataCellStyle="Comma">
  <autoFilter ref="C469:O473"/>
  <tableColumns count="13">
    <tableColumn id="1" name="Vector" totalsRowLabel="Total" dataDxfId="357" totalsRowDxfId="356"/>
    <tableColumn id="2" name="Name" dataDxfId="355" totalsRowDxfId="354">
      <calculatedColumnFormula>INDEX(AirQualityVectors[Description],MATCH(C470,AirQualityVectors[Code],0))</calculatedColumnFormula>
    </tableColumn>
    <tableColumn id="3" name="IPCC" dataDxfId="353" totalsRowDxfId="352"/>
    <tableColumn id="4" name="2007" totalsRowFunction="sum" dataDxfId="351" totalsRowDxfId="350" dataCellStyle="Comma"/>
    <tableColumn id="5" name="2010" totalsRowFunction="sum" dataDxfId="349" totalsRowDxfId="348" dataCellStyle="Comma"/>
    <tableColumn id="6" name="2015" totalsRowFunction="sum" dataDxfId="347" totalsRowDxfId="346" dataCellStyle="Comma"/>
    <tableColumn id="7" name="2020" totalsRowFunction="sum" dataDxfId="345" totalsRowDxfId="344" dataCellStyle="Comma"/>
    <tableColumn id="8" name="2025" totalsRowFunction="sum" dataDxfId="343" totalsRowDxfId="342" dataCellStyle="Comma"/>
    <tableColumn id="9" name="2030" totalsRowFunction="sum" dataDxfId="341" totalsRowDxfId="340" dataCellStyle="Comma"/>
    <tableColumn id="10" name="2035" totalsRowFunction="sum" dataDxfId="339" totalsRowDxfId="338" dataCellStyle="Comma"/>
    <tableColumn id="11" name="2040" totalsRowFunction="sum" dataDxfId="337" totalsRowDxfId="336" dataCellStyle="Comma"/>
    <tableColumn id="12" name="2045" totalsRowFunction="sum" dataDxfId="335" totalsRowDxfId="334" dataCellStyle="Comma"/>
    <tableColumn id="13" name="2050" totalsRowFunction="sum" dataDxfId="333" totalsRowDxfId="332" dataCellStyle="Comma"/>
  </tableColumns>
  <tableStyleInfo name="EnergyCalcTables" showFirstColumn="0" showLastColumn="0" showRowStripes="1" showColumnStripes="0"/>
</table>
</file>

<file path=xl/tables/table54.xml><?xml version="1.0" encoding="utf-8"?>
<table xmlns="http://schemas.openxmlformats.org/spreadsheetml/2006/main" id="234" name="XII.b.NationalNavigation.AQ" displayName="XII.b.NationalNavigation.AQ" ref="C478:O483" totalsRowCount="1" headerRowDxfId="331" dataDxfId="329" totalsRowDxfId="327" headerRowBorderDxfId="330" tableBorderDxfId="328" dataCellStyle="Comma">
  <autoFilter ref="C478:O482"/>
  <tableColumns count="13">
    <tableColumn id="1" name="Vector" totalsRowLabel="Total" dataDxfId="326" totalsRowDxfId="325"/>
    <tableColumn id="2" name="Name" dataDxfId="324" totalsRowDxfId="323">
      <calculatedColumnFormula>INDEX(AirQualityVectors[Description],MATCH(C479,AirQualityVectors[Code],0))</calculatedColumnFormula>
    </tableColumn>
    <tableColumn id="3" name="IPCC" dataDxfId="322" totalsRowDxfId="321"/>
    <tableColumn id="4" name="2007" totalsRowFunction="sum" dataDxfId="320" totalsRowDxfId="319" dataCellStyle="Comma"/>
    <tableColumn id="5" name="2010" totalsRowFunction="sum" dataDxfId="318" totalsRowDxfId="317" dataCellStyle="Comma"/>
    <tableColumn id="6" name="2015" totalsRowFunction="sum" dataDxfId="316" totalsRowDxfId="315" dataCellStyle="Comma"/>
    <tableColumn id="7" name="2020" totalsRowFunction="sum" dataDxfId="314" totalsRowDxfId="313" dataCellStyle="Comma"/>
    <tableColumn id="8" name="2025" totalsRowFunction="sum" dataDxfId="312" totalsRowDxfId="311" dataCellStyle="Comma"/>
    <tableColumn id="9" name="2030" totalsRowFunction="sum" dataDxfId="310" totalsRowDxfId="309" dataCellStyle="Comma"/>
    <tableColumn id="10" name="2035" totalsRowFunction="sum" dataDxfId="308" totalsRowDxfId="307" dataCellStyle="Comma"/>
    <tableColumn id="11" name="2040" totalsRowFunction="sum" dataDxfId="306" totalsRowDxfId="305" dataCellStyle="Comma"/>
    <tableColumn id="12" name="2045" totalsRowFunction="sum" dataDxfId="304" totalsRowDxfId="303" dataCellStyle="Comma"/>
    <tableColumn id="13" name="2050" totalsRowFunction="sum" dataDxfId="302" totalsRowDxfId="301" dataCellStyle="Comma"/>
  </tableColumns>
  <tableStyleInfo name="EnergyCalcTables" showFirstColumn="0" showLastColumn="0" showRowStripes="1" showColumnStripes="0"/>
</table>
</file>

<file path=xl/tables/table55.xml><?xml version="1.0" encoding="utf-8"?>
<table xmlns="http://schemas.openxmlformats.org/spreadsheetml/2006/main" id="24" name="XII.c.Outputs" displayName="XII.c.Outputs" ref="C104:O107" totalsRowCount="1" headerRowDxfId="300" dataDxfId="299">
  <autoFilter ref="C104:O106"/>
  <tableColumns count="13">
    <tableColumn id="1" name="Vector" totalsRowLabel="Total" dataDxfId="298" totalsRowDxfId="297"/>
    <tableColumn id="2" name="Name" dataDxfId="296" totalsRowDxfId="295">
      <calculatedColumnFormula>INDEX(Vectors[Description], MATCH(XII.c.Outputs[Vector], Vectors[Code], 0))</calculatedColumnFormula>
    </tableColumn>
    <tableColumn id="3" name="Notes" dataDxfId="294" totalsRowDxfId="293"/>
    <tableColumn id="4" name="2007" totalsRowFunction="sum" dataDxfId="292" totalsRowDxfId="291" dataCellStyle="Comma"/>
    <tableColumn id="5" name="2010" totalsRowFunction="sum" dataDxfId="290" totalsRowDxfId="289" dataCellStyle="Comma"/>
    <tableColumn id="6" name="2015" totalsRowFunction="sum" dataDxfId="288" totalsRowDxfId="287" dataCellStyle="Comma"/>
    <tableColumn id="7" name="2020" totalsRowFunction="sum" dataDxfId="286" totalsRowDxfId="285" dataCellStyle="Comma"/>
    <tableColumn id="8" name="2025" totalsRowFunction="sum" dataDxfId="284" totalsRowDxfId="283" dataCellStyle="Comma"/>
    <tableColumn id="9" name="2030" totalsRowFunction="sum" dataDxfId="282" totalsRowDxfId="281" dataCellStyle="Comma"/>
    <tableColumn id="10" name="2035" totalsRowFunction="sum" dataDxfId="280" totalsRowDxfId="279" dataCellStyle="Comma"/>
    <tableColumn id="11" name="2040" totalsRowFunction="sum" dataDxfId="278" totalsRowDxfId="277" dataCellStyle="Comma"/>
    <tableColumn id="12" name="2045" totalsRowFunction="sum" dataDxfId="276" totalsRowDxfId="275" dataCellStyle="Comma"/>
    <tableColumn id="13" name="2050" totalsRowFunction="sum" dataDxfId="274" totalsRowDxfId="273" dataCellStyle="Comma"/>
  </tableColumns>
  <tableStyleInfo name="EnergyCalcTables" showFirstColumn="0" showLastColumn="0" showRowStripes="1" showColumnStripes="0"/>
</table>
</file>

<file path=xl/tables/table56.xml><?xml version="1.0" encoding="utf-8"?>
<table xmlns="http://schemas.openxmlformats.org/spreadsheetml/2006/main" id="39" name="XII.c.Emissions" displayName="XII.c.Emissions" ref="C114:O118" totalsRowCount="1" headerRowDxfId="272" dataDxfId="270" headerRowBorderDxfId="271" tableBorderDxfId="269" dataCellStyle="Comma">
  <autoFilter ref="C114:O117"/>
  <tableColumns count="13">
    <tableColumn id="1" name="GHG" totalsRowLabel="Total" dataDxfId="268" totalsRowDxfId="267"/>
    <tableColumn id="2" name="IPCC Sector" dataDxfId="266" totalsRowDxfId="265"/>
    <tableColumn id="3" name="Notes" dataDxfId="264" totalsRowDxfId="263"/>
    <tableColumn id="4" name="2007" totalsRowFunction="sum" dataDxfId="262" totalsRowDxfId="261" dataCellStyle="Comma"/>
    <tableColumn id="5" name="2010" totalsRowFunction="sum" dataDxfId="260" totalsRowDxfId="259" dataCellStyle="Comma"/>
    <tableColumn id="6" name="2015" totalsRowFunction="sum" dataDxfId="258" totalsRowDxfId="257" dataCellStyle="Comma"/>
    <tableColumn id="7" name="2020" totalsRowFunction="sum" dataDxfId="256" totalsRowDxfId="255" dataCellStyle="Comma"/>
    <tableColumn id="8" name="2025" totalsRowFunction="sum" dataDxfId="254" totalsRowDxfId="253" dataCellStyle="Comma"/>
    <tableColumn id="9" name="2030" totalsRowFunction="sum" dataDxfId="252" totalsRowDxfId="251" dataCellStyle="Comma"/>
    <tableColumn id="10" name="2035" totalsRowFunction="sum" dataDxfId="250" totalsRowDxfId="249" dataCellStyle="Comma"/>
    <tableColumn id="11" name="2040" totalsRowFunction="sum" dataDxfId="248" totalsRowDxfId="247" dataCellStyle="Comma"/>
    <tableColumn id="12" name="2045" totalsRowFunction="sum" dataDxfId="246" totalsRowDxfId="245" dataCellStyle="Comma"/>
    <tableColumn id="13" name="2050" totalsRowFunction="sum" dataDxfId="244" totalsRowDxfId="243" dataCellStyle="Comma"/>
  </tableColumns>
  <tableStyleInfo name="EnergyCalcTables" showFirstColumn="0" showLastColumn="0" showRowStripes="1" showColumnStripes="0"/>
</table>
</file>

<file path=xl/tables/table57.xml><?xml version="1.0" encoding="utf-8"?>
<table xmlns="http://schemas.openxmlformats.org/spreadsheetml/2006/main" id="110" name="XII.c.info" displayName="XII.c.info" ref="C126:O128" totalsRowShown="0" headerRowDxfId="242" dataDxfId="240" totalsRowDxfId="238" headerRowBorderDxfId="241" tableBorderDxfId="239" dataCellStyle="Comma">
  <autoFilter ref="C126:O128"/>
  <tableColumns count="13">
    <tableColumn id="1" name="Vector" dataDxfId="237" totalsRowDxfId="236"/>
    <tableColumn id="2" name="Information type" dataDxfId="235" totalsRowDxfId="234">
      <calculatedColumnFormula>INDEX(Vectors[Description], MATCH(XII.c.info[Vector], Vectors[Code], 0))</calculatedColumnFormula>
    </tableColumn>
    <tableColumn id="3" name="Notes" dataDxfId="233" totalsRowDxfId="232">
      <calculatedColumnFormula>INDEX(Vectors[Comment], MATCH(XII.c.info[Information type], Vectors[Description], 0))</calculatedColumnFormula>
    </tableColumn>
    <tableColumn id="4" name="2007" dataDxfId="231" totalsRowDxfId="230" dataCellStyle="Comma"/>
    <tableColumn id="5" name="2010" dataDxfId="229" totalsRowDxfId="228" dataCellStyle="Comma"/>
    <tableColumn id="6" name="2015" dataDxfId="227" totalsRowDxfId="226" dataCellStyle="Comma"/>
    <tableColumn id="7" name="2020" dataDxfId="225" totalsRowDxfId="224" dataCellStyle="Comma"/>
    <tableColumn id="8" name="2025" dataDxfId="223" totalsRowDxfId="222" dataCellStyle="Comma"/>
    <tableColumn id="9" name="2030" dataDxfId="221" totalsRowDxfId="220" dataCellStyle="Comma"/>
    <tableColumn id="10" name="2035" dataDxfId="219" totalsRowDxfId="218" dataCellStyle="Comma"/>
    <tableColumn id="11" name="2040" dataDxfId="217" totalsRowDxfId="216" dataCellStyle="Comma"/>
    <tableColumn id="12" name="2045" dataDxfId="215" totalsRowDxfId="214" dataCellStyle="Comma"/>
    <tableColumn id="13" name="2050" dataDxfId="213" totalsRowDxfId="212" dataCellStyle="Comma"/>
  </tableColumns>
  <tableStyleInfo name="EnergyCalcTables" showFirstColumn="0" showLastColumn="0" showRowStripes="1" showColumnStripes="0"/>
</table>
</file>

<file path=xl/tables/table58.xml><?xml version="1.0" encoding="utf-8"?>
<table xmlns="http://schemas.openxmlformats.org/spreadsheetml/2006/main" id="153" name="XII.c.Costs" displayName="XII.c.Costs" ref="C136:O139" headerRowDxfId="211" dataDxfId="209" headerRowBorderDxfId="210" tableBorderDxfId="208" dataCellStyle="Comma">
  <autoFilter ref="C136:O139"/>
  <tableColumns count="13">
    <tableColumn id="1" name="Vector" totalsRowLabel="Total" dataDxfId="207" totalsRowDxfId="206"/>
    <tableColumn id="2" name="Name" dataDxfId="205" totalsRowDxfId="204">
      <calculatedColumnFormula>INDEX([1]!CostVectors[Description], MATCH(C137, [1]!CostVectors[Code], 0))</calculatedColumnFormula>
    </tableColumn>
    <tableColumn id="3" name="Notes" dataDxfId="203" totalsRowDxfId="202"/>
    <tableColumn id="4" name="2007" dataDxfId="201" totalsRowDxfId="200" dataCellStyle="Comma">
      <calculatedColumnFormula>F96</calculatedColumnFormula>
    </tableColumn>
    <tableColumn id="5" name="2010" totalsRowFunction="custom" dataDxfId="199" totalsRowDxfId="198" dataCellStyle="Comma">
      <calculatedColumnFormula>G96</calculatedColumnFormula>
      <totalsRowFormula>SUM(XII.c.Costs[2010])</totalsRowFormula>
    </tableColumn>
    <tableColumn id="6" name="2015" totalsRowFunction="custom" dataDxfId="197" totalsRowDxfId="196" dataCellStyle="Comma">
      <calculatedColumnFormula>H96</calculatedColumnFormula>
      <totalsRowFormula>SUM(XII.c.Costs[2015])</totalsRowFormula>
    </tableColumn>
    <tableColumn id="7" name="2020" totalsRowFunction="sum" dataDxfId="195" totalsRowDxfId="194" dataCellStyle="Comma">
      <calculatedColumnFormula>I96</calculatedColumnFormula>
    </tableColumn>
    <tableColumn id="8" name="2025" totalsRowFunction="sum" dataDxfId="193" totalsRowDxfId="192" dataCellStyle="Comma">
      <calculatedColumnFormula>J96</calculatedColumnFormula>
    </tableColumn>
    <tableColumn id="9" name="2030" totalsRowFunction="sum" dataDxfId="191" totalsRowDxfId="190" dataCellStyle="Comma">
      <calculatedColumnFormula>K96</calculatedColumnFormula>
    </tableColumn>
    <tableColumn id="10" name="2035" totalsRowFunction="sum" dataDxfId="189" totalsRowDxfId="188" dataCellStyle="Comma">
      <calculatedColumnFormula>L96</calculatedColumnFormula>
    </tableColumn>
    <tableColumn id="11" name="2040" totalsRowFunction="sum" dataDxfId="187" totalsRowDxfId="186" dataCellStyle="Comma">
      <calculatedColumnFormula>M96</calculatedColumnFormula>
    </tableColumn>
    <tableColumn id="12" name="2045" totalsRowFunction="sum" dataDxfId="185" totalsRowDxfId="184" dataCellStyle="Comma">
      <calculatedColumnFormula>N96</calculatedColumnFormula>
    </tableColumn>
    <tableColumn id="13" name="2050" totalsRowFunction="sum" dataDxfId="183" totalsRowDxfId="182" dataCellStyle="Comma">
      <calculatedColumnFormula>O96</calculatedColumnFormula>
    </tableColumn>
  </tableColumns>
  <tableStyleInfo name="EnergyCalcTables" showFirstColumn="0" showLastColumn="0" showRowStripes="1" showColumnStripes="0"/>
</table>
</file>

<file path=xl/tables/table59.xml><?xml version="1.0" encoding="utf-8"?>
<table xmlns="http://schemas.openxmlformats.org/spreadsheetml/2006/main" id="235" name="XII.c.AQ" displayName="XII.c.AQ" ref="C146:O151" totalsRowCount="1" headerRowDxfId="181" dataDxfId="179" totalsRowDxfId="177" headerRowBorderDxfId="180" tableBorderDxfId="178" dataCellStyle="Comma">
  <autoFilter ref="C146:O150"/>
  <tableColumns count="13">
    <tableColumn id="1" name="Vector" totalsRowLabel="Total" dataDxfId="176" totalsRowDxfId="175"/>
    <tableColumn id="2" name="Name" dataDxfId="174" totalsRowDxfId="173">
      <calculatedColumnFormula>INDEX(AirQualityVectors[Description],MATCH(C147,AirQualityVectors[Code],0))</calculatedColumnFormula>
    </tableColumn>
    <tableColumn id="3" name="IPCC" dataDxfId="172" totalsRowDxfId="171"/>
    <tableColumn id="4" name="2007" totalsRowFunction="sum" dataDxfId="170" totalsRowDxfId="169" dataCellStyle="Comma"/>
    <tableColumn id="5" name="2010" totalsRowFunction="sum" dataDxfId="168" totalsRowDxfId="167" dataCellStyle="Comma"/>
    <tableColumn id="6" name="2015" totalsRowFunction="sum" dataDxfId="166" totalsRowDxfId="165" dataCellStyle="Comma"/>
    <tableColumn id="7" name="2020" totalsRowFunction="sum" dataDxfId="164" totalsRowDxfId="163" dataCellStyle="Comma"/>
    <tableColumn id="8" name="2025" totalsRowFunction="sum" dataDxfId="162" totalsRowDxfId="161" dataCellStyle="Comma"/>
    <tableColumn id="9" name="2030" totalsRowFunction="sum" dataDxfId="160" totalsRowDxfId="159" dataCellStyle="Comma"/>
    <tableColumn id="10" name="2035" totalsRowFunction="sum" dataDxfId="158" totalsRowDxfId="157" dataCellStyle="Comma"/>
    <tableColumn id="11" name="2040" totalsRowFunction="sum" dataDxfId="156" totalsRowDxfId="155" dataCellStyle="Comma"/>
    <tableColumn id="12" name="2045" totalsRowFunction="sum" dataDxfId="154" totalsRowDxfId="153" dataCellStyle="Comma"/>
    <tableColumn id="13" name="2050" totalsRowFunction="sum" dataDxfId="152" totalsRowDxfId="151" dataCellStyle="Comma"/>
  </tableColumns>
  <tableStyleInfo name="EnergyCalcTables" showFirstColumn="0" showLastColumn="0" showRowStripes="1" showColumnStripes="0"/>
</table>
</file>

<file path=xl/tables/table6.xml><?xml version="1.0" encoding="utf-8"?>
<table xmlns="http://schemas.openxmlformats.org/spreadsheetml/2006/main" id="1" name="Vectors" displayName="Vectors" ref="M6:Q68" totalsRowShown="0" headerRowDxfId="1533" dataDxfId="1532">
  <autoFilter ref="M6:Q68"/>
  <tableColumns count="5">
    <tableColumn id="1" name="Category" dataDxfId="1531"/>
    <tableColumn id="2" name="Subcategory" dataDxfId="1530"/>
    <tableColumn id="3" name="Code" dataDxfId="1529"/>
    <tableColumn id="4" name="Description" dataDxfId="1528"/>
    <tableColumn id="5" name="Comment" dataDxfId="1527"/>
  </tableColumns>
  <tableStyleInfo name="TableStyleMedium10" showFirstColumn="0" showLastColumn="0" showRowStripes="1" showColumnStripes="0"/>
</table>
</file>

<file path=xl/tables/table60.xml><?xml version="1.0" encoding="utf-8"?>
<table xmlns="http://schemas.openxmlformats.org/spreadsheetml/2006/main" id="20" name="XII.e.Outputs" displayName="XII.e.Outputs" ref="C93:O96" totalsRowCount="1" headerRowDxfId="150" dataDxfId="149">
  <autoFilter ref="C93:O95"/>
  <tableColumns count="13">
    <tableColumn id="1" name="Vector" totalsRowLabel="Total" dataDxfId="148" totalsRowDxfId="147"/>
    <tableColumn id="2" name="Name" dataDxfId="146" totalsRowDxfId="145">
      <calculatedColumnFormula>INDEX(Vectors[Description], MATCH(XII.e.Outputs[Vector], Vectors[Code], 0))</calculatedColumnFormula>
    </tableColumn>
    <tableColumn id="3" name="Notes" dataDxfId="144" totalsRowDxfId="143"/>
    <tableColumn id="4" name="2007" totalsRowFunction="sum" dataDxfId="142" totalsRowDxfId="141" dataCellStyle="Comma"/>
    <tableColumn id="5" name="2010" totalsRowFunction="sum" dataDxfId="140" totalsRowDxfId="139" dataCellStyle="Comma"/>
    <tableColumn id="6" name="2015" totalsRowFunction="sum" dataDxfId="138" totalsRowDxfId="137" dataCellStyle="Comma"/>
    <tableColumn id="7" name="2020" totalsRowFunction="sum" dataDxfId="136" totalsRowDxfId="135" dataCellStyle="Comma"/>
    <tableColumn id="8" name="2025" totalsRowFunction="sum" dataDxfId="134" totalsRowDxfId="133" dataCellStyle="Comma"/>
    <tableColumn id="9" name="2030" totalsRowFunction="sum" dataDxfId="132" totalsRowDxfId="131" dataCellStyle="Comma"/>
    <tableColumn id="10" name="2035" totalsRowFunction="sum" dataDxfId="130" totalsRowDxfId="129" dataCellStyle="Comma"/>
    <tableColumn id="11" name="2040" totalsRowFunction="sum" dataDxfId="128" totalsRowDxfId="127" dataCellStyle="Comma"/>
    <tableColumn id="12" name="2045" totalsRowFunction="sum" dataDxfId="126" totalsRowDxfId="125" dataCellStyle="Comma"/>
    <tableColumn id="13" name="2050" totalsRowFunction="sum" dataDxfId="124" totalsRowDxfId="123" dataCellStyle="Comma"/>
  </tableColumns>
  <tableStyleInfo name="EnergyCalcTables" showFirstColumn="0" showLastColumn="0" showRowStripes="1" showColumnStripes="0"/>
</table>
</file>

<file path=xl/tables/table61.xml><?xml version="1.0" encoding="utf-8"?>
<table xmlns="http://schemas.openxmlformats.org/spreadsheetml/2006/main" id="41" name="XII.e.Emissions" displayName="XII.e.Emissions" ref="C103:O107" totalsRowCount="1" headerRowDxfId="122" dataDxfId="120" headerRowBorderDxfId="121" tableBorderDxfId="119" dataCellStyle="Comma">
  <autoFilter ref="C103:O106"/>
  <tableColumns count="13">
    <tableColumn id="1" name="GHG" totalsRowLabel="Total" dataDxfId="118" totalsRowDxfId="117"/>
    <tableColumn id="2" name="IPCC Sector" dataDxfId="116" totalsRowDxfId="115"/>
    <tableColumn id="3" name="Notes" dataDxfId="114" totalsRowDxfId="113">
      <calculatedColumnFormula>INDEX(IPCC[Sector_description], MATCH(XII.e.Emissions[IPCC Sector], IPCC[Sector_code], 0))</calculatedColumnFormula>
    </tableColumn>
    <tableColumn id="4" name="2007" totalsRowFunction="sum" dataDxfId="112" totalsRowDxfId="111" dataCellStyle="Comma"/>
    <tableColumn id="5" name="2010" totalsRowFunction="sum" dataDxfId="110" totalsRowDxfId="109" dataCellStyle="Comma"/>
    <tableColumn id="6" name="2015" totalsRowFunction="sum" dataDxfId="108" totalsRowDxfId="107" dataCellStyle="Comma"/>
    <tableColumn id="7" name="2020" totalsRowFunction="sum" dataDxfId="106" totalsRowDxfId="105" dataCellStyle="Comma"/>
    <tableColumn id="8" name="2025" totalsRowFunction="sum" dataDxfId="104" totalsRowDxfId="103" dataCellStyle="Comma"/>
    <tableColumn id="9" name="2030" totalsRowFunction="sum" dataDxfId="102" totalsRowDxfId="101" dataCellStyle="Comma"/>
    <tableColumn id="10" name="2035" totalsRowFunction="sum" dataDxfId="100" totalsRowDxfId="99" dataCellStyle="Comma"/>
    <tableColumn id="11" name="2040" totalsRowFunction="sum" dataDxfId="98" totalsRowDxfId="97" dataCellStyle="Comma"/>
    <tableColumn id="12" name="2045" totalsRowFunction="sum" dataDxfId="96" totalsRowDxfId="95" dataCellStyle="Comma"/>
    <tableColumn id="13" name="2050" totalsRowFunction="sum" dataDxfId="94" totalsRowDxfId="93" dataCellStyle="Comma"/>
  </tableColumns>
  <tableStyleInfo name="EnergyCalcTables" showFirstColumn="0" showLastColumn="0" showRowStripes="1" showColumnStripes="0"/>
</table>
</file>

<file path=xl/tables/table62.xml><?xml version="1.0" encoding="utf-8"?>
<table xmlns="http://schemas.openxmlformats.org/spreadsheetml/2006/main" id="111" name="XII.e.info" displayName="XII.e.info" ref="C115:O117" totalsRowShown="0" headerRowDxfId="92" dataDxfId="90" totalsRowDxfId="88" headerRowBorderDxfId="91" tableBorderDxfId="89" dataCellStyle="Comma">
  <autoFilter ref="C115:O117"/>
  <tableColumns count="13">
    <tableColumn id="1" name="Vector" dataDxfId="87" totalsRowDxfId="86"/>
    <tableColumn id="2" name="Information type" dataDxfId="85" totalsRowDxfId="84">
      <calculatedColumnFormula>INDEX(Vectors[Description], MATCH(XII.e.info[Vector], Vectors[Code], 0))</calculatedColumnFormula>
    </tableColumn>
    <tableColumn id="3" name="Notes" dataDxfId="83" totalsRowDxfId="82">
      <calculatedColumnFormula>INDEX(Vectors[Comment], MATCH(XII.e.info[Information type], Vectors[Description], 0))</calculatedColumnFormula>
    </tableColumn>
    <tableColumn id="4" name="2007" dataDxfId="81" totalsRowDxfId="80" dataCellStyle="Comma"/>
    <tableColumn id="5" name="2010" dataDxfId="79" totalsRowDxfId="78" dataCellStyle="Comma"/>
    <tableColumn id="6" name="2015" dataDxfId="77" totalsRowDxfId="76" dataCellStyle="Comma"/>
    <tableColumn id="7" name="2020" dataDxfId="75" totalsRowDxfId="74" dataCellStyle="Comma"/>
    <tableColumn id="8" name="2025" dataDxfId="73" totalsRowDxfId="72" dataCellStyle="Comma"/>
    <tableColumn id="9" name="2030" dataDxfId="71" totalsRowDxfId="70" dataCellStyle="Comma"/>
    <tableColumn id="10" name="2035" dataDxfId="69" totalsRowDxfId="68" dataCellStyle="Comma"/>
    <tableColumn id="11" name="2040" dataDxfId="67" totalsRowDxfId="66" dataCellStyle="Comma"/>
    <tableColumn id="12" name="2045" dataDxfId="65" totalsRowDxfId="64" dataCellStyle="Comma"/>
    <tableColumn id="13" name="2050" dataDxfId="63" totalsRowDxfId="62" dataCellStyle="Comma"/>
  </tableColumns>
  <tableStyleInfo name="EnergyCalcTables" showFirstColumn="0" showLastColumn="0" showRowStripes="1" showColumnStripes="0"/>
</table>
</file>

<file path=xl/tables/table63.xml><?xml version="1.0" encoding="utf-8"?>
<table xmlns="http://schemas.openxmlformats.org/spreadsheetml/2006/main" id="154" name="XII.e.Costs" displayName="XII.e.Costs" ref="C125:O134" headerRowDxfId="61" dataDxfId="59" headerRowBorderDxfId="60" tableBorderDxfId="58" dataCellStyle="Comma">
  <autoFilter ref="C125:O134"/>
  <tableColumns count="13">
    <tableColumn id="1" name="Vector" totalsRowLabel="Total" dataDxfId="57" totalsRowDxfId="56"/>
    <tableColumn id="2" name="Name" dataDxfId="55" totalsRowDxfId="54">
      <calculatedColumnFormula>INDEX([1]!CostVectors[Description], MATCH(C126, [1]!CostVectors[Code], 0))</calculatedColumnFormula>
    </tableColumn>
    <tableColumn id="3" name="Notes" dataDxfId="53" totalsRowDxfId="52"/>
    <tableColumn id="4" name="2007" dataDxfId="51" totalsRowDxfId="50" dataCellStyle="Comma"/>
    <tableColumn id="5" name="2010" totalsRowFunction="custom" dataDxfId="49" totalsRowDxfId="48" dataCellStyle="Comma">
      <totalsRowFormula>SUM(XII.e.Costs[2010])</totalsRowFormula>
    </tableColumn>
    <tableColumn id="6" name="2015" totalsRowFunction="custom" dataDxfId="47" totalsRowDxfId="46" dataCellStyle="Comma">
      <totalsRowFormula>SUM(XII.e.Costs[2015])</totalsRowFormula>
    </tableColumn>
    <tableColumn id="7" name="2020" totalsRowFunction="sum" dataDxfId="45" totalsRowDxfId="44" dataCellStyle="Comma"/>
    <tableColumn id="8" name="2025" totalsRowFunction="sum" dataDxfId="43" totalsRowDxfId="42" dataCellStyle="Comma"/>
    <tableColumn id="9" name="2030" totalsRowFunction="sum" dataDxfId="41" totalsRowDxfId="40" dataCellStyle="Comma"/>
    <tableColumn id="10" name="2035" totalsRowFunction="sum" dataDxfId="39" totalsRowDxfId="38" dataCellStyle="Comma"/>
    <tableColumn id="11" name="2040" totalsRowFunction="sum" dataDxfId="37" totalsRowDxfId="36" dataCellStyle="Comma"/>
    <tableColumn id="12" name="2045" totalsRowFunction="sum" dataDxfId="35" totalsRowDxfId="34" dataCellStyle="Comma"/>
    <tableColumn id="13" name="2050" totalsRowFunction="sum" dataDxfId="33" totalsRowDxfId="32" dataCellStyle="Comma"/>
  </tableColumns>
  <tableStyleInfo name="EnergyCalcTables" showFirstColumn="0" showLastColumn="0" showRowStripes="1" showColumnStripes="0"/>
</table>
</file>

<file path=xl/tables/table64.xml><?xml version="1.0" encoding="utf-8"?>
<table xmlns="http://schemas.openxmlformats.org/spreadsheetml/2006/main" id="237" name="XII.e.AQ" displayName="XII.e.AQ" ref="C141:O146" totalsRowCount="1" headerRowDxfId="31" dataDxfId="29" totalsRowDxfId="27" headerRowBorderDxfId="30" tableBorderDxfId="28" dataCellStyle="Comma">
  <autoFilter ref="C141:O145"/>
  <tableColumns count="13">
    <tableColumn id="1" name="Vector" totalsRowLabel="Total" dataDxfId="26" totalsRowDxfId="25"/>
    <tableColumn id="2" name="Name" dataDxfId="24" totalsRowDxfId="23">
      <calculatedColumnFormula>INDEX(AirQualityVectors[Description],MATCH(C142,AirQualityVectors[Code],0))</calculatedColumnFormula>
    </tableColumn>
    <tableColumn id="3" name="IPCC" dataDxfId="22" totalsRowDxfId="21"/>
    <tableColumn id="4" name="2007" totalsRowFunction="sum" dataDxfId="20" totalsRowDxfId="19" dataCellStyle="Comma">
      <calculatedColumnFormula>F30*F$68</calculatedColumnFormula>
    </tableColumn>
    <tableColumn id="5" name="2010" totalsRowFunction="sum" dataDxfId="18" totalsRowDxfId="17" dataCellStyle="Comma"/>
    <tableColumn id="6" name="2015" totalsRowFunction="sum" dataDxfId="16" totalsRowDxfId="15" dataCellStyle="Comma"/>
    <tableColumn id="7" name="2020" totalsRowFunction="sum" dataDxfId="14" totalsRowDxfId="13" dataCellStyle="Comma"/>
    <tableColumn id="8" name="2025" totalsRowFunction="sum" dataDxfId="12" totalsRowDxfId="11" dataCellStyle="Comma"/>
    <tableColumn id="9" name="2030" totalsRowFunction="sum" dataDxfId="10" totalsRowDxfId="9" dataCellStyle="Comma"/>
    <tableColumn id="10" name="2035" totalsRowFunction="sum" dataDxfId="8" totalsRowDxfId="7" dataCellStyle="Comma"/>
    <tableColumn id="11" name="2040" totalsRowFunction="sum" dataDxfId="6" totalsRowDxfId="5" dataCellStyle="Comma"/>
    <tableColumn id="12" name="2045" totalsRowFunction="sum" dataDxfId="4" totalsRowDxfId="3" dataCellStyle="Comma"/>
    <tableColumn id="13" name="2050" totalsRowFunction="sum" dataDxfId="2" totalsRowDxfId="1" dataCellStyle="Comma"/>
  </tableColumns>
  <tableStyleInfo name="EnergyCalcTables" showFirstColumn="0" showLastColumn="0" showRowStripes="1" showColumnStripes="0"/>
</table>
</file>

<file path=xl/tables/table7.xml><?xml version="1.0" encoding="utf-8"?>
<table xmlns="http://schemas.openxmlformats.org/spreadsheetml/2006/main" id="31" name="IPCC" displayName="IPCC" ref="T6:V17" totalsRowShown="0" headerRowDxfId="1526" dataDxfId="1525">
  <autoFilter ref="T6:V17"/>
  <tableColumns count="3">
    <tableColumn id="1" name="Sector_code" dataDxfId="1524"/>
    <tableColumn id="2" name="Sector_description" dataDxfId="1523"/>
    <tableColumn id="3" name="Comment" dataDxfId="1522"/>
  </tableColumns>
  <tableStyleInfo name="TableStyleMedium11" showFirstColumn="0" showLastColumn="0" showRowStripes="1" showColumnStripes="0"/>
</table>
</file>

<file path=xl/tables/table8.xml><?xml version="1.0" encoding="utf-8"?>
<table xmlns="http://schemas.openxmlformats.org/spreadsheetml/2006/main" id="32" name="GHG" displayName="GHG" ref="T22:V26" totalsRowShown="0" headerRowDxfId="1521" dataDxfId="1520">
  <autoFilter ref="T22:V26"/>
  <tableColumns count="3">
    <tableColumn id="1" name="GHG_code" dataDxfId="1519"/>
    <tableColumn id="2" name="GHG_description" dataDxfId="1518"/>
    <tableColumn id="3" name="Comment" dataDxfId="1517"/>
  </tableColumns>
  <tableStyleInfo name="TableStyleMedium11" showFirstColumn="0" showLastColumn="0" showRowStripes="1" showColumnStripes="0"/>
</table>
</file>

<file path=xl/tables/table9.xml><?xml version="1.0" encoding="utf-8"?>
<table xmlns="http://schemas.openxmlformats.org/spreadsheetml/2006/main" id="96" name="CostVectors" displayName="CostVectors" ref="X6:Z17" totalsRowShown="0" headerRowBorderDxfId="1516" tableBorderDxfId="1515">
  <autoFilter ref="X6:Z17"/>
  <sortState ref="AS9:AU14">
    <sortCondition ref="AS4:AS10"/>
  </sortState>
  <tableColumns count="3">
    <tableColumn id="1" name="Code" dataDxfId="1514"/>
    <tableColumn id="2" name="Description" dataDxfId="1513"/>
    <tableColumn id="3" name="Comment" dataDxfId="1512"/>
  </tableColumns>
  <tableStyleInfo name="EnergyCalcTables"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
      <a:majorFont>
        <a:latin typeface="Calibri"/>
        <a:ea typeface=""/>
        <a:cs typeface=""/>
        <a:font script="Jpan" typeface="HGｺﾞｼｯｸM"/>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Cambria"/>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2050-wiki.greenonblack.com/pages/72"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56.xml"/><Relationship Id="rId4" Type="http://schemas.openxmlformats.org/officeDocument/2006/relationships/table" Target="../tables/table57.xml"/><Relationship Id="rId5" Type="http://schemas.openxmlformats.org/officeDocument/2006/relationships/table" Target="../tables/table58.xml"/><Relationship Id="rId6" Type="http://schemas.openxmlformats.org/officeDocument/2006/relationships/table" Target="../tables/table59.xml"/><Relationship Id="rId1" Type="http://schemas.openxmlformats.org/officeDocument/2006/relationships/hyperlink" Target="http://2050-calculator-tool-wiki.decc.gov.uk/pages/70" TargetMode="External"/><Relationship Id="rId2" Type="http://schemas.openxmlformats.org/officeDocument/2006/relationships/table" Target="../tables/table5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60.xml"/><Relationship Id="rId4" Type="http://schemas.openxmlformats.org/officeDocument/2006/relationships/table" Target="../tables/table61.xml"/><Relationship Id="rId5" Type="http://schemas.openxmlformats.org/officeDocument/2006/relationships/table" Target="../tables/table62.xml"/><Relationship Id="rId6" Type="http://schemas.openxmlformats.org/officeDocument/2006/relationships/table" Target="../tables/table63.xml"/><Relationship Id="rId7" Type="http://schemas.openxmlformats.org/officeDocument/2006/relationships/table" Target="../tables/table64.xml"/><Relationship Id="rId1" Type="http://schemas.openxmlformats.org/officeDocument/2006/relationships/hyperlink" Target="http://2050-calculator-tool-wiki.decc.gov.uk/pages/71" TargetMode="External"/><Relationship Id="rId2"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6" Type="http://schemas.openxmlformats.org/officeDocument/2006/relationships/table" Target="../tables/table9.xml"/><Relationship Id="rId7" Type="http://schemas.openxmlformats.org/officeDocument/2006/relationships/table" Target="../tables/table10.xml"/><Relationship Id="rId1" Type="http://schemas.openxmlformats.org/officeDocument/2006/relationships/table" Target="../tables/table4.xml"/><Relationship Id="rId2" Type="http://schemas.openxmlformats.org/officeDocument/2006/relationships/table" Target="../tables/table5.xml"/></Relationships>
</file>

<file path=xl/worksheets/_rels/sheet8.xml.rels><?xml version="1.0" encoding="UTF-8" standalone="yes"?>
<Relationships xmlns="http://schemas.openxmlformats.org/package/2006/relationships"><Relationship Id="rId9" Type="http://schemas.openxmlformats.org/officeDocument/2006/relationships/table" Target="../tables/table18.xml"/><Relationship Id="rId20" Type="http://schemas.openxmlformats.org/officeDocument/2006/relationships/table" Target="../tables/table29.xml"/><Relationship Id="rId21" Type="http://schemas.openxmlformats.org/officeDocument/2006/relationships/table" Target="../tables/table30.xml"/><Relationship Id="rId22" Type="http://schemas.openxmlformats.org/officeDocument/2006/relationships/table" Target="../tables/table31.xml"/><Relationship Id="rId23" Type="http://schemas.openxmlformats.org/officeDocument/2006/relationships/table" Target="../tables/table32.xml"/><Relationship Id="rId24" Type="http://schemas.openxmlformats.org/officeDocument/2006/relationships/table" Target="../tables/table33.xml"/><Relationship Id="rId25" Type="http://schemas.openxmlformats.org/officeDocument/2006/relationships/table" Target="../tables/table34.xml"/><Relationship Id="rId26" Type="http://schemas.openxmlformats.org/officeDocument/2006/relationships/table" Target="../tables/table35.xml"/><Relationship Id="rId27" Type="http://schemas.openxmlformats.org/officeDocument/2006/relationships/table" Target="../tables/table36.xml"/><Relationship Id="rId10" Type="http://schemas.openxmlformats.org/officeDocument/2006/relationships/table" Target="../tables/table19.xml"/><Relationship Id="rId11" Type="http://schemas.openxmlformats.org/officeDocument/2006/relationships/table" Target="../tables/table20.xml"/><Relationship Id="rId12" Type="http://schemas.openxmlformats.org/officeDocument/2006/relationships/table" Target="../tables/table21.xml"/><Relationship Id="rId13" Type="http://schemas.openxmlformats.org/officeDocument/2006/relationships/table" Target="../tables/table22.xml"/><Relationship Id="rId14" Type="http://schemas.openxmlformats.org/officeDocument/2006/relationships/table" Target="../tables/table23.xml"/><Relationship Id="rId15" Type="http://schemas.openxmlformats.org/officeDocument/2006/relationships/table" Target="../tables/table24.xml"/><Relationship Id="rId16" Type="http://schemas.openxmlformats.org/officeDocument/2006/relationships/table" Target="../tables/table25.xml"/><Relationship Id="rId17" Type="http://schemas.openxmlformats.org/officeDocument/2006/relationships/table" Target="../tables/table26.xml"/><Relationship Id="rId18" Type="http://schemas.openxmlformats.org/officeDocument/2006/relationships/table" Target="../tables/table27.xml"/><Relationship Id="rId19" Type="http://schemas.openxmlformats.org/officeDocument/2006/relationships/table" Target="../tables/table28.xml"/><Relationship Id="rId1" Type="http://schemas.openxmlformats.org/officeDocument/2006/relationships/hyperlink" Target="http://2050-calculator-tool-wiki.decc.gov.uk/pages/63" TargetMode="External"/><Relationship Id="rId2" Type="http://schemas.openxmlformats.org/officeDocument/2006/relationships/table" Target="../tables/table11.xml"/><Relationship Id="rId3" Type="http://schemas.openxmlformats.org/officeDocument/2006/relationships/table" Target="../tables/table12.xml"/><Relationship Id="rId4" Type="http://schemas.openxmlformats.org/officeDocument/2006/relationships/table" Target="../tables/table13.xml"/><Relationship Id="rId5" Type="http://schemas.openxmlformats.org/officeDocument/2006/relationships/table" Target="../tables/table14.xml"/><Relationship Id="rId6" Type="http://schemas.openxmlformats.org/officeDocument/2006/relationships/table" Target="../tables/table15.xml"/><Relationship Id="rId7" Type="http://schemas.openxmlformats.org/officeDocument/2006/relationships/table" Target="../tables/table16.xml"/><Relationship Id="rId8"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11" Type="http://schemas.openxmlformats.org/officeDocument/2006/relationships/table" Target="../tables/table46.xml"/><Relationship Id="rId12" Type="http://schemas.openxmlformats.org/officeDocument/2006/relationships/table" Target="../tables/table47.xml"/><Relationship Id="rId13" Type="http://schemas.openxmlformats.org/officeDocument/2006/relationships/table" Target="../tables/table48.xml"/><Relationship Id="rId14" Type="http://schemas.openxmlformats.org/officeDocument/2006/relationships/table" Target="../tables/table49.xml"/><Relationship Id="rId15" Type="http://schemas.openxmlformats.org/officeDocument/2006/relationships/table" Target="../tables/table50.xml"/><Relationship Id="rId16" Type="http://schemas.openxmlformats.org/officeDocument/2006/relationships/table" Target="../tables/table51.xml"/><Relationship Id="rId17" Type="http://schemas.openxmlformats.org/officeDocument/2006/relationships/table" Target="../tables/table52.xml"/><Relationship Id="rId18" Type="http://schemas.openxmlformats.org/officeDocument/2006/relationships/table" Target="../tables/table53.xml"/><Relationship Id="rId19" Type="http://schemas.openxmlformats.org/officeDocument/2006/relationships/table" Target="../tables/table54.xml"/><Relationship Id="rId1" Type="http://schemas.openxmlformats.org/officeDocument/2006/relationships/hyperlink" Target="http://2050-calculator-tool-wiki.decc.gov.uk/pages/64" TargetMode="External"/><Relationship Id="rId2" Type="http://schemas.openxmlformats.org/officeDocument/2006/relationships/table" Target="../tables/table37.xml"/><Relationship Id="rId3" Type="http://schemas.openxmlformats.org/officeDocument/2006/relationships/table" Target="../tables/table38.xml"/><Relationship Id="rId4" Type="http://schemas.openxmlformats.org/officeDocument/2006/relationships/table" Target="../tables/table39.xml"/><Relationship Id="rId5" Type="http://schemas.openxmlformats.org/officeDocument/2006/relationships/table" Target="../tables/table40.xml"/><Relationship Id="rId6" Type="http://schemas.openxmlformats.org/officeDocument/2006/relationships/table" Target="../tables/table41.xml"/><Relationship Id="rId7" Type="http://schemas.openxmlformats.org/officeDocument/2006/relationships/table" Target="../tables/table42.xml"/><Relationship Id="rId8" Type="http://schemas.openxmlformats.org/officeDocument/2006/relationships/table" Target="../tables/table43.xml"/><Relationship Id="rId9" Type="http://schemas.openxmlformats.org/officeDocument/2006/relationships/table" Target="../tables/table44.xml"/><Relationship Id="rId10" Type="http://schemas.openxmlformats.org/officeDocument/2006/relationships/table" Target="../tables/table4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5" tint="-0.249977111117893"/>
    <pageSetUpPr autoPageBreaks="0"/>
  </sheetPr>
  <dimension ref="A1:BR75"/>
  <sheetViews>
    <sheetView topLeftCell="I1" workbookViewId="0">
      <selection activeCell="M4" sqref="M4"/>
    </sheetView>
  </sheetViews>
  <sheetFormatPr baseColWidth="10" defaultColWidth="8.83203125" defaultRowHeight="13" x14ac:dyDescent="0"/>
  <cols>
    <col min="1" max="1" width="20.1640625" style="1063" customWidth="1"/>
    <col min="2" max="2" width="26.33203125" style="1063" customWidth="1"/>
    <col min="3" max="3" width="5" customWidth="1"/>
    <col min="4" max="4" width="45.33203125" customWidth="1"/>
    <col min="5" max="5" width="5.1640625" style="761" customWidth="1"/>
    <col min="6" max="6" width="4" style="759" customWidth="1"/>
    <col min="7" max="7" width="1.1640625" customWidth="1"/>
    <col min="8" max="11" width="43.83203125" style="117" customWidth="1"/>
    <col min="12" max="12" width="1.1640625" style="1831" customWidth="1"/>
    <col min="13" max="13" width="4.5" style="117" customWidth="1"/>
    <col min="14" max="15" width="4.5" style="1647" customWidth="1"/>
    <col min="16" max="16" width="6.5" style="2039" customWidth="1"/>
    <col min="17" max="17" width="5.5" style="1830" customWidth="1"/>
    <col min="18" max="19" width="4.83203125" style="1830" customWidth="1"/>
    <col min="20" max="20" width="4.6640625" style="2119" customWidth="1"/>
    <col min="21" max="21" width="4.5" style="1830" customWidth="1"/>
    <col min="22" max="22" width="4.6640625" style="2039" customWidth="1"/>
    <col min="23" max="24" width="5.1640625" style="2039" customWidth="1"/>
    <col min="25" max="25" width="4.6640625" style="2039" customWidth="1"/>
    <col min="26" max="26" width="4.83203125" style="2039" customWidth="1"/>
    <col min="27" max="27" width="4.5" style="2039" customWidth="1"/>
    <col min="28" max="28" width="4.5" style="1830" customWidth="1"/>
    <col min="29" max="29" width="1" customWidth="1"/>
    <col min="30" max="30" width="1.83203125" customWidth="1"/>
    <col min="31" max="40" width="9.5" customWidth="1"/>
    <col min="41" max="41" width="0.83203125" style="1666" customWidth="1"/>
    <col min="42" max="42" width="6.83203125" style="1666" customWidth="1"/>
    <col min="43" max="52" width="9.5" customWidth="1"/>
    <col min="53" max="53" width="0.83203125" style="883" customWidth="1"/>
    <col min="54" max="54" width="2.1640625" style="883" customWidth="1"/>
    <col min="55" max="55" width="7.83203125" customWidth="1"/>
    <col min="56" max="59" width="9.5" customWidth="1"/>
    <col min="60" max="60" width="9.6640625" bestFit="1" customWidth="1"/>
    <col min="61" max="63" width="9.6640625" customWidth="1"/>
    <col min="64" max="65" width="2.6640625" customWidth="1"/>
    <col min="66" max="66" width="21" style="1831" customWidth="1"/>
    <col min="67" max="67" width="28.5" style="1642" customWidth="1"/>
    <col min="68" max="68" width="13.6640625" style="1642" customWidth="1"/>
    <col min="69" max="69" width="18.1640625" style="1642" customWidth="1"/>
    <col min="70" max="70" width="43" style="1642" customWidth="1"/>
  </cols>
  <sheetData>
    <row r="1" spans="1:70" ht="31.5" customHeight="1">
      <c r="A1" s="1839" t="s">
        <v>1882</v>
      </c>
      <c r="C1" s="1513"/>
      <c r="E1" s="1513" t="s">
        <v>1884</v>
      </c>
      <c r="J1" s="1839"/>
      <c r="M1" s="1839" t="s">
        <v>1930</v>
      </c>
      <c r="AC1" s="117"/>
      <c r="AD1" s="544"/>
      <c r="AF1" s="1514"/>
    </row>
    <row r="2" spans="1:70" ht="32.25" customHeight="1">
      <c r="A2" s="1352" t="s">
        <v>912</v>
      </c>
      <c r="B2" s="1352"/>
      <c r="C2" s="1352"/>
      <c r="D2" s="1351"/>
      <c r="E2" s="1351"/>
      <c r="F2" s="1351"/>
      <c r="G2" s="799"/>
      <c r="H2" s="1353" t="s">
        <v>1747</v>
      </c>
      <c r="I2" s="1353"/>
      <c r="J2" s="1353"/>
      <c r="K2" s="1353"/>
      <c r="L2" s="1728"/>
      <c r="M2" s="1495" t="s">
        <v>1216</v>
      </c>
      <c r="N2" s="1495"/>
      <c r="O2" s="1495"/>
      <c r="P2" s="1496"/>
      <c r="Q2" s="1496"/>
      <c r="R2" s="1496"/>
      <c r="S2" s="1496"/>
      <c r="T2" s="1496"/>
      <c r="U2" s="1496"/>
      <c r="V2" s="1496"/>
      <c r="W2" s="1496"/>
      <c r="X2" s="1496"/>
      <c r="Y2" s="1496"/>
      <c r="Z2" s="1496"/>
      <c r="AA2" s="1496"/>
      <c r="AB2" s="1496"/>
      <c r="AC2" s="799"/>
      <c r="AD2" s="1353" t="s">
        <v>1090</v>
      </c>
      <c r="AE2" s="1354"/>
      <c r="AF2" s="1354"/>
      <c r="AG2" s="1354"/>
      <c r="AH2" s="1354"/>
      <c r="AI2" s="1354"/>
      <c r="AJ2" s="1354"/>
      <c r="AK2" s="1354"/>
      <c r="AL2" s="1354"/>
      <c r="AM2" s="1354"/>
      <c r="AN2" s="1354"/>
      <c r="AP2" s="1354"/>
      <c r="AQ2" s="1354"/>
      <c r="AR2" s="1354"/>
      <c r="AS2" s="1354"/>
      <c r="AT2" s="1354"/>
      <c r="AU2" s="1668" t="s">
        <v>670</v>
      </c>
      <c r="AV2" s="1354"/>
      <c r="AW2" s="1354"/>
      <c r="AX2" s="1354"/>
      <c r="AY2" s="1354"/>
      <c r="AZ2" s="1354"/>
      <c r="BB2" s="2214" t="s">
        <v>1427</v>
      </c>
      <c r="BC2" s="2214"/>
      <c r="BD2" s="2214"/>
      <c r="BE2" s="2214"/>
      <c r="BF2" s="2214"/>
      <c r="BG2" s="2214"/>
      <c r="BH2" s="2214"/>
      <c r="BI2" s="2214"/>
      <c r="BJ2" s="2214"/>
      <c r="BK2" s="2214"/>
      <c r="BL2" s="2214"/>
      <c r="BO2" s="1353" t="s">
        <v>1432</v>
      </c>
      <c r="BP2" s="1353"/>
      <c r="BQ2" s="1353"/>
      <c r="BR2" s="1353"/>
    </row>
    <row r="3" spans="1:70" s="883" customFormat="1" ht="6" customHeight="1" thickBot="1">
      <c r="A3" s="1840"/>
      <c r="B3" s="1840"/>
    </row>
    <row r="4" spans="1:70" s="1848" customFormat="1" ht="188.25" customHeight="1">
      <c r="A4" s="1846" t="s">
        <v>66</v>
      </c>
      <c r="B4" s="1846"/>
      <c r="C4" s="1847"/>
      <c r="D4" s="1847"/>
      <c r="E4" s="1835" t="s">
        <v>1746</v>
      </c>
      <c r="F4" s="1834" t="s">
        <v>1745</v>
      </c>
      <c r="H4" s="1849" t="s">
        <v>1262</v>
      </c>
      <c r="I4" s="1849" t="s">
        <v>1263</v>
      </c>
      <c r="J4" s="1849" t="s">
        <v>1264</v>
      </c>
      <c r="K4" s="1849" t="s">
        <v>1341</v>
      </c>
      <c r="M4" s="2175" t="s">
        <v>1894</v>
      </c>
      <c r="N4" s="1643" t="s">
        <v>1494</v>
      </c>
      <c r="O4" s="1643" t="s">
        <v>1495</v>
      </c>
      <c r="P4" s="1643" t="s">
        <v>1878</v>
      </c>
      <c r="Q4" s="1643" t="s">
        <v>1875</v>
      </c>
      <c r="R4" s="1643" t="s">
        <v>1876</v>
      </c>
      <c r="S4" s="1643" t="s">
        <v>1877</v>
      </c>
      <c r="T4" s="1643" t="s">
        <v>1880</v>
      </c>
      <c r="U4" s="1643" t="s">
        <v>1895</v>
      </c>
      <c r="V4" s="1643" t="s">
        <v>1896</v>
      </c>
      <c r="W4" s="1643" t="s">
        <v>1826</v>
      </c>
      <c r="X4" s="1643" t="s">
        <v>1879</v>
      </c>
      <c r="Y4" s="1643" t="s">
        <v>1825</v>
      </c>
      <c r="Z4" s="2176"/>
      <c r="AA4" s="2176"/>
      <c r="AB4" s="2176"/>
      <c r="AD4" s="1851"/>
      <c r="AE4" s="1851"/>
      <c r="AF4" s="1851"/>
      <c r="AG4" s="1851"/>
      <c r="AH4" s="1851"/>
      <c r="AI4" s="1851"/>
      <c r="AJ4" s="1851"/>
      <c r="AK4" s="1851"/>
      <c r="AL4" s="1851"/>
      <c r="AM4" s="1851"/>
      <c r="AN4" s="1851"/>
      <c r="AP4" s="1851"/>
      <c r="AQ4" s="1851"/>
      <c r="AR4" s="1851"/>
      <c r="AS4" s="1851"/>
      <c r="AT4" s="1851"/>
      <c r="AU4" s="1851"/>
      <c r="AV4" s="1851"/>
      <c r="AW4" s="1851"/>
      <c r="AX4" s="1851"/>
      <c r="AY4" s="1851"/>
      <c r="AZ4" s="1851"/>
      <c r="BA4" s="1852"/>
      <c r="BB4" s="1379"/>
      <c r="BC4" s="1379"/>
      <c r="BD4" s="1851"/>
      <c r="BE4" s="1851"/>
      <c r="BF4" s="1851"/>
      <c r="BG4" s="1851"/>
      <c r="BH4" s="1851"/>
      <c r="BI4" s="1851"/>
      <c r="BJ4" s="1851"/>
      <c r="BK4" s="1851"/>
      <c r="BL4" s="1851"/>
      <c r="BO4" s="1850" t="s">
        <v>1262</v>
      </c>
      <c r="BP4" s="1849" t="s">
        <v>1263</v>
      </c>
      <c r="BQ4" s="1849" t="s">
        <v>1264</v>
      </c>
      <c r="BR4" s="1849" t="s">
        <v>1341</v>
      </c>
    </row>
    <row r="5" spans="1:70" s="117" customFormat="1" ht="26">
      <c r="A5" s="2213" t="s">
        <v>881</v>
      </c>
      <c r="B5" s="2215" t="s">
        <v>1424</v>
      </c>
      <c r="C5" s="760" t="s">
        <v>630</v>
      </c>
      <c r="D5" s="760" t="s">
        <v>527</v>
      </c>
      <c r="E5" s="2190">
        <v>4</v>
      </c>
      <c r="F5" s="1836">
        <v>4</v>
      </c>
      <c r="G5"/>
      <c r="H5" s="1832" t="s">
        <v>1217</v>
      </c>
      <c r="I5" s="1832" t="s">
        <v>1831</v>
      </c>
      <c r="J5" s="1832" t="s">
        <v>1832</v>
      </c>
      <c r="K5" s="1832" t="s">
        <v>1833</v>
      </c>
      <c r="L5" s="1831"/>
      <c r="M5" s="2106">
        <v>1</v>
      </c>
      <c r="N5" s="2105">
        <v>1</v>
      </c>
      <c r="O5" s="2105">
        <v>4</v>
      </c>
      <c r="P5" s="2105">
        <v>1.8</v>
      </c>
      <c r="Q5" s="2105">
        <v>1.4</v>
      </c>
      <c r="R5" s="2105">
        <v>2.7</v>
      </c>
      <c r="S5" s="2105">
        <v>1.5</v>
      </c>
      <c r="T5" s="2105">
        <v>2.6</v>
      </c>
      <c r="U5" s="2177">
        <v>1</v>
      </c>
      <c r="V5" s="2105">
        <v>1</v>
      </c>
      <c r="W5" s="2105">
        <v>2</v>
      </c>
      <c r="X5" s="2105">
        <v>1.7</v>
      </c>
      <c r="Y5" s="2105">
        <v>1.6</v>
      </c>
      <c r="Z5" s="2105"/>
      <c r="AA5" s="2105"/>
      <c r="AB5" s="2105"/>
      <c r="AC5"/>
      <c r="AD5" s="1333"/>
      <c r="AE5" s="1333"/>
      <c r="AF5" s="1333"/>
      <c r="AG5" s="1333"/>
      <c r="AH5" s="1333"/>
      <c r="AI5" s="1333"/>
      <c r="AJ5" s="1333"/>
      <c r="AK5" s="1333"/>
      <c r="AL5" s="1333"/>
      <c r="AM5" s="1334"/>
      <c r="AN5" s="1334"/>
      <c r="AO5" s="1666"/>
      <c r="AP5" s="1334"/>
      <c r="AQ5" s="1334"/>
      <c r="AR5" s="1334"/>
      <c r="AS5" s="1334"/>
      <c r="AT5" s="1334"/>
      <c r="AU5" s="1334"/>
      <c r="AV5" s="1334"/>
      <c r="AW5" s="1334"/>
      <c r="AX5" s="1334"/>
      <c r="AY5" s="1334"/>
      <c r="AZ5" s="1334"/>
      <c r="BA5" s="883"/>
      <c r="BB5" s="1371"/>
      <c r="BC5" s="1681" t="s">
        <v>1197</v>
      </c>
      <c r="BD5" s="1334"/>
      <c r="BE5" s="1334"/>
      <c r="BF5" s="1334"/>
      <c r="BG5" s="1334"/>
      <c r="BH5" s="1334"/>
      <c r="BI5" s="1334"/>
      <c r="BJ5" s="1334"/>
      <c r="BK5" s="1334"/>
      <c r="BL5" s="1334"/>
      <c r="BN5" s="1831"/>
      <c r="BO5" s="1644" t="s">
        <v>1883</v>
      </c>
      <c r="BP5" s="528" t="s">
        <v>1433</v>
      </c>
      <c r="BQ5" s="528" t="s">
        <v>1434</v>
      </c>
      <c r="BR5" s="528" t="s">
        <v>1435</v>
      </c>
    </row>
    <row r="6" spans="1:70" s="1515" customFormat="1" ht="15">
      <c r="A6" s="2213"/>
      <c r="B6" s="2215"/>
      <c r="C6" s="760" t="s">
        <v>665</v>
      </c>
      <c r="D6" s="760" t="s">
        <v>1296</v>
      </c>
      <c r="E6" s="2190"/>
      <c r="F6" s="20"/>
      <c r="G6" s="1831"/>
      <c r="H6" s="1831"/>
      <c r="I6" s="1831"/>
      <c r="J6" s="1831"/>
      <c r="K6" s="1831"/>
      <c r="L6" s="1831"/>
      <c r="M6" s="2106"/>
      <c r="N6" s="2105"/>
      <c r="O6" s="2105"/>
      <c r="P6" s="2105"/>
      <c r="Q6" s="2105"/>
      <c r="R6" s="2105"/>
      <c r="S6" s="2105"/>
      <c r="T6" s="2105"/>
      <c r="U6" s="2177"/>
      <c r="V6" s="2105"/>
      <c r="W6" s="2105"/>
      <c r="X6" s="2105"/>
      <c r="Y6" s="2105"/>
      <c r="Z6" s="2105"/>
      <c r="AA6" s="2105"/>
      <c r="AB6" s="2105"/>
      <c r="AC6" s="1531"/>
      <c r="AD6" s="1333"/>
      <c r="AE6" s="1333"/>
      <c r="AF6" s="1333"/>
      <c r="AG6" s="1333"/>
      <c r="AH6" s="1333"/>
      <c r="AI6" s="1333"/>
      <c r="AJ6" s="1333"/>
      <c r="AK6" s="1333"/>
      <c r="AL6" s="1333"/>
      <c r="AM6" s="1334"/>
      <c r="AN6" s="1334"/>
      <c r="AO6" s="1666"/>
      <c r="AP6" s="1334"/>
      <c r="AQ6" s="1334"/>
      <c r="AR6" s="1334"/>
      <c r="AS6" s="1334"/>
      <c r="AT6" s="1334"/>
      <c r="AU6" s="1334"/>
      <c r="AV6" s="1334"/>
      <c r="AW6" s="1334"/>
      <c r="AX6" s="1334"/>
      <c r="AY6" s="1334"/>
      <c r="AZ6" s="1334"/>
      <c r="BA6" s="883"/>
      <c r="BB6" s="1371"/>
      <c r="BC6" s="1337"/>
      <c r="BD6" s="1334"/>
      <c r="BE6" s="1334"/>
      <c r="BF6" s="1334"/>
      <c r="BG6" s="1334"/>
      <c r="BH6" s="1334"/>
      <c r="BI6" s="1334"/>
      <c r="BJ6" s="1334"/>
      <c r="BK6" s="1334"/>
      <c r="BL6" s="1334"/>
      <c r="BN6" s="1831"/>
      <c r="BO6" s="1483"/>
      <c r="BP6" s="1642"/>
      <c r="BQ6" s="1642"/>
      <c r="BR6" s="1642"/>
    </row>
    <row r="7" spans="1:70" s="1531" customFormat="1" ht="26">
      <c r="A7" s="2213"/>
      <c r="B7" s="2215"/>
      <c r="C7" s="1432"/>
      <c r="D7" s="1433" t="s">
        <v>1496</v>
      </c>
      <c r="E7" s="2190">
        <v>1.6</v>
      </c>
      <c r="F7" s="1837">
        <v>4</v>
      </c>
      <c r="G7"/>
      <c r="H7" s="1832" t="s">
        <v>1201</v>
      </c>
      <c r="I7" s="1832" t="s">
        <v>1265</v>
      </c>
      <c r="J7" s="1832" t="s">
        <v>1266</v>
      </c>
      <c r="K7" s="1832" t="s">
        <v>1342</v>
      </c>
      <c r="L7" s="1831"/>
      <c r="M7" s="2106">
        <v>1</v>
      </c>
      <c r="N7" s="2105">
        <v>1</v>
      </c>
      <c r="O7" s="2105">
        <v>4</v>
      </c>
      <c r="P7" s="2105">
        <v>1.6</v>
      </c>
      <c r="Q7" s="2105">
        <v>1.3</v>
      </c>
      <c r="R7" s="2105">
        <v>1</v>
      </c>
      <c r="S7" s="2105">
        <v>2</v>
      </c>
      <c r="T7" s="2105">
        <v>1</v>
      </c>
      <c r="U7" s="2177">
        <v>1.7</v>
      </c>
      <c r="V7" s="2105">
        <v>1.7</v>
      </c>
      <c r="W7" s="2105">
        <v>2</v>
      </c>
      <c r="X7" s="2105">
        <v>1.7</v>
      </c>
      <c r="Y7" s="2105">
        <v>1.5</v>
      </c>
      <c r="Z7" s="2105"/>
      <c r="AA7" s="2105"/>
      <c r="AB7" s="2105"/>
      <c r="AC7"/>
      <c r="AD7" s="1333"/>
      <c r="AE7" s="1333"/>
      <c r="AF7" s="1333"/>
      <c r="AG7" s="1333"/>
      <c r="AH7" s="1333"/>
      <c r="AI7" s="1333"/>
      <c r="AJ7" s="1333"/>
      <c r="AK7" s="1333"/>
      <c r="AL7" s="1333"/>
      <c r="AM7" s="1334"/>
      <c r="AN7" s="1334"/>
      <c r="AO7" s="1666"/>
      <c r="AP7" s="1334"/>
      <c r="AQ7" s="1334"/>
      <c r="AR7" s="1334"/>
      <c r="AS7" s="1334"/>
      <c r="AT7" s="1334"/>
      <c r="AU7" s="1334"/>
      <c r="AV7" s="1334"/>
      <c r="AW7" s="1334"/>
      <c r="AX7" s="1334"/>
      <c r="AY7" s="1334"/>
      <c r="AZ7" s="1334"/>
      <c r="BA7" s="883"/>
      <c r="BB7" s="1674"/>
      <c r="BC7" s="1347"/>
      <c r="BD7" s="1338"/>
      <c r="BE7" s="1359"/>
      <c r="BF7" s="1359"/>
      <c r="BG7" s="1358"/>
      <c r="BH7" s="1357">
        <v>2007</v>
      </c>
      <c r="BI7" s="1357">
        <v>2020</v>
      </c>
      <c r="BJ7" s="1357">
        <v>2030</v>
      </c>
      <c r="BK7" s="1357">
        <v>2050</v>
      </c>
      <c r="BL7" s="1334"/>
      <c r="BN7" s="1831"/>
      <c r="BO7" s="1644" t="s">
        <v>1436</v>
      </c>
      <c r="BP7" s="528" t="s">
        <v>1437</v>
      </c>
      <c r="BQ7" s="528" t="s">
        <v>1438</v>
      </c>
      <c r="BR7" s="528" t="s">
        <v>1439</v>
      </c>
    </row>
    <row r="8" spans="1:70" s="528" customFormat="1" ht="26">
      <c r="A8" s="2213"/>
      <c r="B8" s="2215"/>
      <c r="C8" s="1432"/>
      <c r="D8" s="1433" t="s">
        <v>1506</v>
      </c>
      <c r="E8" s="2190">
        <v>2</v>
      </c>
      <c r="F8" s="1837" t="s">
        <v>981</v>
      </c>
      <c r="G8" s="1516"/>
      <c r="H8" s="1832" t="s">
        <v>1497</v>
      </c>
      <c r="I8" s="1832" t="s">
        <v>1498</v>
      </c>
      <c r="J8" s="1832" t="s">
        <v>1499</v>
      </c>
      <c r="K8" s="1832" t="s">
        <v>1500</v>
      </c>
      <c r="L8" s="1831"/>
      <c r="M8" s="2106">
        <v>1</v>
      </c>
      <c r="N8" s="2105">
        <v>1</v>
      </c>
      <c r="O8" s="2105">
        <v>4</v>
      </c>
      <c r="P8" s="2105">
        <v>2</v>
      </c>
      <c r="Q8" s="2105">
        <v>3</v>
      </c>
      <c r="R8" s="2105">
        <v>3</v>
      </c>
      <c r="S8" s="2105">
        <v>3</v>
      </c>
      <c r="T8" s="2105">
        <v>1</v>
      </c>
      <c r="U8" s="2177">
        <v>4</v>
      </c>
      <c r="V8" s="2105">
        <v>2</v>
      </c>
      <c r="W8" s="2105">
        <v>2</v>
      </c>
      <c r="X8" s="2105">
        <v>2</v>
      </c>
      <c r="Y8" s="2105">
        <v>2</v>
      </c>
      <c r="Z8" s="2105"/>
      <c r="AA8" s="2105"/>
      <c r="AB8" s="2105"/>
      <c r="AC8" s="1516"/>
      <c r="AD8" s="1333"/>
      <c r="AE8" s="1333"/>
      <c r="AF8" s="1333"/>
      <c r="AG8" s="1333"/>
      <c r="AH8" s="1333"/>
      <c r="AI8" s="1333"/>
      <c r="AJ8" s="1333"/>
      <c r="AK8" s="1333"/>
      <c r="AL8" s="1333"/>
      <c r="AM8" s="1334"/>
      <c r="AN8" s="1334"/>
      <c r="AO8" s="1666"/>
      <c r="AP8" s="1334"/>
      <c r="AQ8" s="1334"/>
      <c r="AR8" s="1334"/>
      <c r="AS8" s="1334"/>
      <c r="AT8" s="1334"/>
      <c r="AU8" s="1334"/>
      <c r="AV8" s="1334"/>
      <c r="AW8" s="1334"/>
      <c r="AX8" s="1334"/>
      <c r="AY8" s="1334"/>
      <c r="AZ8" s="1334"/>
      <c r="BA8" s="883"/>
      <c r="BB8" s="1674"/>
      <c r="BC8" s="1444" t="e">
        <f>#REF!</f>
        <v>#REF!</v>
      </c>
      <c r="BD8" s="1333"/>
      <c r="BE8" s="1333"/>
      <c r="BF8" s="1577" t="s">
        <v>662</v>
      </c>
      <c r="BG8" s="1444"/>
      <c r="BH8" s="1579" t="e">
        <f>#REF!</f>
        <v>#REF!</v>
      </c>
      <c r="BI8" s="1445" t="e">
        <f>#REF!</f>
        <v>#REF!</v>
      </c>
      <c r="BJ8" s="1445" t="e">
        <f>#REF!</f>
        <v>#REF!</v>
      </c>
      <c r="BK8" s="1445" t="e">
        <f>#REF!</f>
        <v>#REF!</v>
      </c>
      <c r="BL8" s="1334"/>
      <c r="BO8" s="1644" t="s">
        <v>1440</v>
      </c>
      <c r="BP8" s="528" t="s">
        <v>1441</v>
      </c>
      <c r="BQ8" s="528" t="s">
        <v>1442</v>
      </c>
      <c r="BR8" s="528" t="s">
        <v>1443</v>
      </c>
    </row>
    <row r="9" spans="1:70" s="528" customFormat="1" ht="26">
      <c r="A9" s="2213"/>
      <c r="B9" s="2215"/>
      <c r="C9" s="760" t="s">
        <v>1017</v>
      </c>
      <c r="D9" s="760" t="s">
        <v>667</v>
      </c>
      <c r="E9" s="2190">
        <v>1.3</v>
      </c>
      <c r="F9" s="1836">
        <v>4</v>
      </c>
      <c r="G9" s="117"/>
      <c r="H9" s="1832" t="s">
        <v>1391</v>
      </c>
      <c r="I9" s="1832" t="s">
        <v>1269</v>
      </c>
      <c r="J9" s="1832" t="s">
        <v>1270</v>
      </c>
      <c r="K9" s="1832" t="s">
        <v>1392</v>
      </c>
      <c r="L9" s="1831"/>
      <c r="M9" s="2106">
        <v>1</v>
      </c>
      <c r="N9" s="2105">
        <v>1</v>
      </c>
      <c r="O9" s="2105">
        <v>4</v>
      </c>
      <c r="P9" s="2105">
        <v>1.3</v>
      </c>
      <c r="Q9" s="2105">
        <v>1.9</v>
      </c>
      <c r="R9" s="2105">
        <v>1.2</v>
      </c>
      <c r="S9" s="2105">
        <v>1.3</v>
      </c>
      <c r="T9" s="2105">
        <v>1</v>
      </c>
      <c r="U9" s="2177">
        <v>2.2999999999999998</v>
      </c>
      <c r="V9" s="2105">
        <v>2.5</v>
      </c>
      <c r="W9" s="2105">
        <v>2</v>
      </c>
      <c r="X9" s="2105">
        <v>1.6</v>
      </c>
      <c r="Y9" s="2105">
        <v>2.4</v>
      </c>
      <c r="Z9" s="2105"/>
      <c r="AA9" s="2105"/>
      <c r="AB9" s="2105"/>
      <c r="AC9" s="117"/>
      <c r="AD9" s="1333"/>
      <c r="AE9" s="1333"/>
      <c r="AF9" s="1333"/>
      <c r="AG9" s="1333"/>
      <c r="AH9" s="1333"/>
      <c r="AI9" s="1333"/>
      <c r="AJ9" s="1333"/>
      <c r="AK9" s="1333"/>
      <c r="AL9" s="1333"/>
      <c r="AM9" s="1334"/>
      <c r="AN9" s="1334"/>
      <c r="AO9" s="1666"/>
      <c r="AP9" s="1334"/>
      <c r="AQ9" s="1334"/>
      <c r="AR9" s="1334"/>
      <c r="AS9" s="1334"/>
      <c r="AT9" s="1334"/>
      <c r="AU9" s="1334"/>
      <c r="AV9" s="1334"/>
      <c r="AW9" s="1334"/>
      <c r="AX9" s="1334"/>
      <c r="AY9" s="1334"/>
      <c r="AZ9" s="1334"/>
      <c r="BA9" s="883"/>
      <c r="BB9" s="1674"/>
      <c r="BC9" s="1444" t="e">
        <f>#REF!</f>
        <v>#REF!</v>
      </c>
      <c r="BD9" s="1333"/>
      <c r="BE9" s="1333"/>
      <c r="BF9" s="1552" t="e">
        <f>#REF!</f>
        <v>#REF!</v>
      </c>
      <c r="BG9" s="1444"/>
      <c r="BH9" s="1580" t="e">
        <f>#REF!</f>
        <v>#REF!</v>
      </c>
      <c r="BI9" s="1581" t="e">
        <f>#REF!</f>
        <v>#REF!</v>
      </c>
      <c r="BJ9" s="1581" t="e">
        <f>#REF!</f>
        <v>#REF!</v>
      </c>
      <c r="BK9" s="1581" t="e">
        <f>#REF!</f>
        <v>#REF!</v>
      </c>
      <c r="BL9" s="1334"/>
      <c r="BO9" s="1644" t="s">
        <v>1446</v>
      </c>
      <c r="BP9" s="528" t="s">
        <v>1445</v>
      </c>
      <c r="BQ9" s="528" t="s">
        <v>1444</v>
      </c>
      <c r="BR9" s="528" t="s">
        <v>1447</v>
      </c>
    </row>
    <row r="10" spans="1:70" s="528" customFormat="1" ht="26">
      <c r="A10" s="2213"/>
      <c r="B10" s="2215"/>
      <c r="C10" s="760" t="s">
        <v>1016</v>
      </c>
      <c r="D10" s="760" t="s">
        <v>666</v>
      </c>
      <c r="E10" s="2190">
        <v>1.3</v>
      </c>
      <c r="F10" s="1836">
        <v>4</v>
      </c>
      <c r="G10"/>
      <c r="H10" s="1832" t="s">
        <v>1397</v>
      </c>
      <c r="I10" s="1832" t="s">
        <v>1267</v>
      </c>
      <c r="J10" s="1832" t="s">
        <v>1268</v>
      </c>
      <c r="K10" s="1832" t="s">
        <v>1345</v>
      </c>
      <c r="L10" s="1831"/>
      <c r="M10" s="2106">
        <v>1</v>
      </c>
      <c r="N10" s="2105">
        <v>1</v>
      </c>
      <c r="O10" s="2105">
        <v>4</v>
      </c>
      <c r="P10" s="2105">
        <v>1.3</v>
      </c>
      <c r="Q10" s="2105">
        <v>2.7</v>
      </c>
      <c r="R10" s="2105">
        <v>1.4</v>
      </c>
      <c r="S10" s="2105">
        <v>1.5</v>
      </c>
      <c r="T10" s="2105">
        <v>1</v>
      </c>
      <c r="U10" s="2177">
        <v>2.2999999999999998</v>
      </c>
      <c r="V10" s="2105">
        <v>1.3</v>
      </c>
      <c r="W10" s="2105">
        <v>1</v>
      </c>
      <c r="X10" s="2105">
        <v>1.6</v>
      </c>
      <c r="Y10" s="2105">
        <v>1.9</v>
      </c>
      <c r="Z10" s="2105"/>
      <c r="AA10" s="2105"/>
      <c r="AB10" s="2105"/>
      <c r="AC10"/>
      <c r="AD10" s="1333"/>
      <c r="AE10" s="1333"/>
      <c r="AF10" s="1333"/>
      <c r="AG10" s="1333"/>
      <c r="AH10" s="1333"/>
      <c r="AI10" s="1333"/>
      <c r="AJ10" s="1333"/>
      <c r="AK10" s="1333"/>
      <c r="AL10" s="1333"/>
      <c r="AM10" s="1334"/>
      <c r="AN10" s="1334"/>
      <c r="AO10" s="1666"/>
      <c r="AP10" s="1334"/>
      <c r="AQ10" s="1334"/>
      <c r="AR10" s="1334"/>
      <c r="AS10" s="1334"/>
      <c r="AT10" s="1334"/>
      <c r="AU10" s="1334"/>
      <c r="AV10" s="1334"/>
      <c r="AW10" s="1334"/>
      <c r="AX10" s="1334"/>
      <c r="AY10" s="1334"/>
      <c r="AZ10" s="1334"/>
      <c r="BA10" s="883"/>
      <c r="BB10" s="1140"/>
      <c r="BC10" s="1446" t="e">
        <f>#REF!</f>
        <v>#REF!</v>
      </c>
      <c r="BD10" s="1447"/>
      <c r="BE10" s="1447"/>
      <c r="BF10" s="1578" t="e">
        <f>#REF!</f>
        <v>#REF!</v>
      </c>
      <c r="BG10" s="1446"/>
      <c r="BH10" s="1582" t="e">
        <f>#REF!</f>
        <v>#REF!</v>
      </c>
      <c r="BI10" s="1583" t="e">
        <f>#REF!</f>
        <v>#REF!</v>
      </c>
      <c r="BJ10" s="1583" t="e">
        <f>#REF!</f>
        <v>#REF!</v>
      </c>
      <c r="BK10" s="1583" t="e">
        <f>#REF!</f>
        <v>#REF!</v>
      </c>
      <c r="BL10" s="1334"/>
      <c r="BO10" s="1644" t="s">
        <v>1448</v>
      </c>
      <c r="BP10" s="528" t="s">
        <v>1449</v>
      </c>
      <c r="BQ10" s="528" t="s">
        <v>1450</v>
      </c>
      <c r="BR10" s="528" t="s">
        <v>1451</v>
      </c>
    </row>
    <row r="11" spans="1:70" s="528" customFormat="1" ht="15">
      <c r="A11" s="2213"/>
      <c r="B11" s="2215"/>
      <c r="C11" s="1828" t="s">
        <v>1293</v>
      </c>
      <c r="D11" s="760" t="s">
        <v>2</v>
      </c>
      <c r="E11" s="2190">
        <v>2</v>
      </c>
      <c r="F11" s="1836">
        <v>4</v>
      </c>
      <c r="G11"/>
      <c r="H11" s="1832" t="s">
        <v>1734</v>
      </c>
      <c r="I11" s="1832" t="s">
        <v>1736</v>
      </c>
      <c r="J11" s="1832" t="s">
        <v>1737</v>
      </c>
      <c r="K11" s="1832" t="s">
        <v>1738</v>
      </c>
      <c r="L11" s="1831"/>
      <c r="M11" s="2106">
        <v>1</v>
      </c>
      <c r="N11" s="2105">
        <v>1</v>
      </c>
      <c r="O11" s="2105">
        <v>4</v>
      </c>
      <c r="P11" s="2105">
        <v>2</v>
      </c>
      <c r="Q11" s="2105">
        <v>1.6</v>
      </c>
      <c r="R11" s="2105">
        <v>1</v>
      </c>
      <c r="S11" s="2105">
        <v>1</v>
      </c>
      <c r="T11" s="2105">
        <v>1</v>
      </c>
      <c r="U11" s="2177">
        <v>4</v>
      </c>
      <c r="V11" s="2105">
        <v>2.5</v>
      </c>
      <c r="W11" s="2105">
        <v>4</v>
      </c>
      <c r="X11" s="2105">
        <v>1</v>
      </c>
      <c r="Y11" s="2105">
        <v>1</v>
      </c>
      <c r="Z11" s="2105"/>
      <c r="AA11" s="2105"/>
      <c r="AB11" s="2105"/>
      <c r="AC11"/>
      <c r="AD11" s="1333"/>
      <c r="AE11" s="1333"/>
      <c r="AF11" s="1333"/>
      <c r="AG11" s="1333"/>
      <c r="AH11" s="1333"/>
      <c r="AI11" s="1333"/>
      <c r="AJ11" s="1333"/>
      <c r="AK11" s="1333"/>
      <c r="AL11" s="1333"/>
      <c r="AM11" s="1334"/>
      <c r="AN11" s="1334"/>
      <c r="AO11" s="1666"/>
      <c r="AP11" s="1334"/>
      <c r="AQ11" s="1334"/>
      <c r="AR11" s="1334"/>
      <c r="AS11" s="1334"/>
      <c r="AT11" s="1334"/>
      <c r="AU11" s="1334"/>
      <c r="AV11" s="1334"/>
      <c r="AW11" s="1334"/>
      <c r="AX11" s="1334"/>
      <c r="AY11" s="1334"/>
      <c r="AZ11" s="1334"/>
      <c r="BA11" s="883"/>
      <c r="BB11" s="1334"/>
      <c r="BC11" s="1334"/>
      <c r="BD11" s="1334"/>
      <c r="BE11" s="1334"/>
      <c r="BF11" s="1334"/>
      <c r="BG11" s="1334"/>
      <c r="BH11" s="1334"/>
      <c r="BI11" s="1334"/>
      <c r="BJ11" s="1334"/>
      <c r="BK11" s="1334"/>
      <c r="BL11" s="1334"/>
      <c r="BO11" s="528" t="s">
        <v>1734</v>
      </c>
      <c r="BP11" s="528" t="s">
        <v>1736</v>
      </c>
      <c r="BQ11" s="528" t="s">
        <v>1737</v>
      </c>
      <c r="BR11" s="528" t="s">
        <v>1738</v>
      </c>
    </row>
    <row r="12" spans="1:70" s="528" customFormat="1" ht="15">
      <c r="A12" s="2213"/>
      <c r="B12" s="2215"/>
      <c r="C12" s="1828" t="s">
        <v>1294</v>
      </c>
      <c r="D12" s="760" t="s">
        <v>1379</v>
      </c>
      <c r="E12" s="2190">
        <v>2.5</v>
      </c>
      <c r="F12" s="1836">
        <v>4</v>
      </c>
      <c r="G12" s="1827"/>
      <c r="H12" s="1832" t="s">
        <v>1734</v>
      </c>
      <c r="I12" s="1832" t="s">
        <v>1739</v>
      </c>
      <c r="J12" s="1832" t="s">
        <v>1740</v>
      </c>
      <c r="K12" s="1832" t="s">
        <v>1741</v>
      </c>
      <c r="L12" s="1831"/>
      <c r="M12" s="2106">
        <v>1</v>
      </c>
      <c r="N12" s="2105">
        <v>1</v>
      </c>
      <c r="O12" s="2105">
        <v>4</v>
      </c>
      <c r="P12" s="2105">
        <v>2.5</v>
      </c>
      <c r="Q12" s="2105">
        <v>2</v>
      </c>
      <c r="R12" s="2105">
        <v>1</v>
      </c>
      <c r="S12" s="2105">
        <v>1</v>
      </c>
      <c r="T12" s="2105">
        <v>1</v>
      </c>
      <c r="U12" s="2177">
        <v>4</v>
      </c>
      <c r="V12" s="2105">
        <v>2.5</v>
      </c>
      <c r="W12" s="2105">
        <v>4</v>
      </c>
      <c r="X12" s="2105">
        <v>2</v>
      </c>
      <c r="Y12" s="2105">
        <v>1</v>
      </c>
      <c r="Z12" s="2105"/>
      <c r="AA12" s="2105"/>
      <c r="AB12" s="2105"/>
      <c r="AC12" s="1827"/>
      <c r="AD12" s="1333"/>
      <c r="AE12" s="1333"/>
      <c r="AF12" s="1333"/>
      <c r="AG12" s="1333"/>
      <c r="AH12" s="1333"/>
      <c r="AI12" s="1333"/>
      <c r="AJ12" s="1333"/>
      <c r="AK12" s="1333"/>
      <c r="AL12" s="1333"/>
      <c r="AM12" s="1334"/>
      <c r="AN12" s="1334"/>
      <c r="AO12" s="1827"/>
      <c r="AP12" s="1334"/>
      <c r="AQ12" s="1334"/>
      <c r="AR12" s="1334"/>
      <c r="AS12" s="1334"/>
      <c r="AT12" s="1334"/>
      <c r="AU12" s="1334"/>
      <c r="AV12" s="1334"/>
      <c r="AW12" s="1334"/>
      <c r="AX12" s="1334"/>
      <c r="AY12" s="1334"/>
      <c r="AZ12" s="1334"/>
      <c r="BA12" s="883"/>
      <c r="BB12" s="1334"/>
      <c r="BC12" s="1334"/>
      <c r="BD12" s="1334"/>
      <c r="BE12" s="1334"/>
      <c r="BF12" s="1334"/>
      <c r="BG12" s="1334"/>
      <c r="BH12" s="1334"/>
      <c r="BI12" s="1334"/>
      <c r="BJ12" s="1334"/>
      <c r="BK12" s="1334"/>
      <c r="BL12" s="1334"/>
      <c r="BO12" s="528" t="s">
        <v>1734</v>
      </c>
      <c r="BP12" s="528" t="s">
        <v>1739</v>
      </c>
      <c r="BQ12" s="528" t="s">
        <v>1740</v>
      </c>
      <c r="BR12" s="528" t="s">
        <v>1741</v>
      </c>
    </row>
    <row r="13" spans="1:70" s="528" customFormat="1" ht="15">
      <c r="A13" s="2213"/>
      <c r="B13" s="2215"/>
      <c r="C13" s="1829" t="s">
        <v>1295</v>
      </c>
      <c r="D13" s="760" t="s">
        <v>1380</v>
      </c>
      <c r="E13" s="2190">
        <v>2.5</v>
      </c>
      <c r="F13" s="1836">
        <v>4</v>
      </c>
      <c r="G13" s="1827"/>
      <c r="H13" s="1832" t="s">
        <v>1735</v>
      </c>
      <c r="I13" s="1832" t="s">
        <v>1742</v>
      </c>
      <c r="J13" s="1832" t="s">
        <v>1743</v>
      </c>
      <c r="K13" s="1832" t="s">
        <v>1744</v>
      </c>
      <c r="L13" s="1831"/>
      <c r="M13" s="2106">
        <v>1</v>
      </c>
      <c r="N13" s="2105">
        <v>1</v>
      </c>
      <c r="O13" s="2105">
        <v>4</v>
      </c>
      <c r="P13" s="2105">
        <v>2.5</v>
      </c>
      <c r="Q13" s="2105">
        <v>2</v>
      </c>
      <c r="R13" s="2105">
        <v>1</v>
      </c>
      <c r="S13" s="2105">
        <v>1</v>
      </c>
      <c r="T13" s="2105">
        <v>1</v>
      </c>
      <c r="U13" s="2177">
        <v>3</v>
      </c>
      <c r="V13" s="2105">
        <v>2.5</v>
      </c>
      <c r="W13" s="2105">
        <v>4</v>
      </c>
      <c r="X13" s="2105">
        <v>1</v>
      </c>
      <c r="Y13" s="2105">
        <v>2.9</v>
      </c>
      <c r="Z13" s="2105"/>
      <c r="AA13" s="2105"/>
      <c r="AB13" s="2105"/>
      <c r="AC13" s="1827"/>
      <c r="AD13" s="1333"/>
      <c r="AE13" s="1333"/>
      <c r="AF13" s="1333"/>
      <c r="AG13" s="1333"/>
      <c r="AH13" s="1333"/>
      <c r="AI13" s="1333"/>
      <c r="AJ13" s="1333"/>
      <c r="AK13" s="1333"/>
      <c r="AL13" s="1333"/>
      <c r="AM13" s="1334"/>
      <c r="AN13" s="1334"/>
      <c r="AO13" s="1827"/>
      <c r="AP13" s="1334"/>
      <c r="AQ13" s="1334"/>
      <c r="AR13" s="1334"/>
      <c r="AS13" s="1334"/>
      <c r="AT13" s="1334"/>
      <c r="AU13" s="1334"/>
      <c r="AV13" s="1334"/>
      <c r="AW13" s="1334"/>
      <c r="AX13" s="1334"/>
      <c r="AY13" s="1334"/>
      <c r="AZ13" s="1334"/>
      <c r="BA13" s="883"/>
      <c r="BB13" s="1334"/>
      <c r="BC13" s="1334"/>
      <c r="BD13" s="1334"/>
      <c r="BE13" s="1334"/>
      <c r="BF13" s="1334"/>
      <c r="BG13" s="1334"/>
      <c r="BH13" s="1334"/>
      <c r="BI13" s="1334"/>
      <c r="BJ13" s="1334"/>
      <c r="BK13" s="1334"/>
      <c r="BL13" s="1334"/>
      <c r="BO13" s="528" t="s">
        <v>1735</v>
      </c>
      <c r="BP13" s="528" t="s">
        <v>1742</v>
      </c>
      <c r="BQ13" s="528" t="s">
        <v>1743</v>
      </c>
      <c r="BR13" s="528" t="s">
        <v>1744</v>
      </c>
    </row>
    <row r="14" spans="1:70" ht="26">
      <c r="A14" s="2213"/>
      <c r="B14" s="2215"/>
      <c r="C14" s="760" t="s">
        <v>621</v>
      </c>
      <c r="D14" s="760" t="s">
        <v>1363</v>
      </c>
      <c r="E14" s="2190">
        <v>1</v>
      </c>
      <c r="F14" s="1836">
        <v>4</v>
      </c>
      <c r="G14" s="1515"/>
      <c r="H14" s="1832" t="s">
        <v>1393</v>
      </c>
      <c r="I14" s="1832" t="s">
        <v>1394</v>
      </c>
      <c r="J14" s="1832" t="s">
        <v>1395</v>
      </c>
      <c r="K14" s="1832" t="s">
        <v>1396</v>
      </c>
      <c r="M14" s="2106">
        <v>1</v>
      </c>
      <c r="N14" s="2105">
        <v>1</v>
      </c>
      <c r="O14" s="2105">
        <v>4</v>
      </c>
      <c r="P14" s="2105">
        <v>1</v>
      </c>
      <c r="Q14" s="2105">
        <v>1</v>
      </c>
      <c r="R14" s="2105">
        <v>1</v>
      </c>
      <c r="S14" s="2105">
        <v>1</v>
      </c>
      <c r="T14" s="2105">
        <v>1</v>
      </c>
      <c r="U14" s="2177">
        <v>1</v>
      </c>
      <c r="V14" s="2105">
        <v>1</v>
      </c>
      <c r="W14" s="2105">
        <v>1</v>
      </c>
      <c r="X14" s="2105">
        <v>1</v>
      </c>
      <c r="Y14" s="2105">
        <v>1</v>
      </c>
      <c r="Z14" s="2105"/>
      <c r="AA14" s="2105"/>
      <c r="AB14" s="2105"/>
      <c r="AC14" s="528"/>
      <c r="AD14" s="1333"/>
      <c r="AE14" s="1333"/>
      <c r="AF14" s="1333"/>
      <c r="AG14" s="1333"/>
      <c r="AH14" s="1333"/>
      <c r="AI14" s="1333"/>
      <c r="AJ14" s="1333"/>
      <c r="AK14" s="1333"/>
      <c r="AL14" s="1333"/>
      <c r="AM14" s="1334"/>
      <c r="AN14" s="1334"/>
      <c r="AP14" s="1334"/>
      <c r="AQ14" s="1334"/>
      <c r="AR14" s="1334"/>
      <c r="AS14" s="1334"/>
      <c r="AT14" s="1334"/>
      <c r="AU14" s="1334"/>
      <c r="AV14" s="1334"/>
      <c r="AW14" s="1334"/>
      <c r="AX14" s="1334"/>
      <c r="AY14" s="1334"/>
      <c r="AZ14" s="1334"/>
      <c r="BB14" s="1334"/>
      <c r="BC14" s="1494" t="s">
        <v>1530</v>
      </c>
      <c r="BD14" s="1334"/>
      <c r="BE14" s="1334"/>
      <c r="BF14" s="1334"/>
      <c r="BG14" s="1334"/>
      <c r="BH14" s="1334"/>
      <c r="BI14" s="1334"/>
      <c r="BJ14" s="1334"/>
      <c r="BK14" s="1334"/>
      <c r="BL14" s="1334"/>
      <c r="BO14" s="1644" t="s">
        <v>1452</v>
      </c>
      <c r="BP14" s="528" t="s">
        <v>1453</v>
      </c>
      <c r="BQ14" s="528" t="s">
        <v>1454</v>
      </c>
      <c r="BR14" s="528" t="s">
        <v>1455</v>
      </c>
    </row>
    <row r="15" spans="1:70" s="528" customFormat="1" ht="26">
      <c r="A15" s="2213"/>
      <c r="B15" s="2215"/>
      <c r="C15" s="760" t="s">
        <v>727</v>
      </c>
      <c r="D15" s="760" t="s">
        <v>1372</v>
      </c>
      <c r="E15" s="2190">
        <v>1</v>
      </c>
      <c r="F15" s="1836">
        <v>4</v>
      </c>
      <c r="G15"/>
      <c r="H15" s="1832" t="s">
        <v>1219</v>
      </c>
      <c r="I15" s="1832" t="s">
        <v>1276</v>
      </c>
      <c r="J15" s="1832" t="s">
        <v>1277</v>
      </c>
      <c r="K15" s="1832" t="s">
        <v>1343</v>
      </c>
      <c r="L15" s="1831"/>
      <c r="M15" s="2106">
        <v>1</v>
      </c>
      <c r="N15" s="2105">
        <v>1</v>
      </c>
      <c r="O15" s="2105">
        <v>4</v>
      </c>
      <c r="P15" s="2105">
        <v>1</v>
      </c>
      <c r="Q15" s="2105">
        <v>1.2</v>
      </c>
      <c r="R15" s="2105">
        <v>1</v>
      </c>
      <c r="S15" s="2105">
        <v>1</v>
      </c>
      <c r="T15" s="2105">
        <v>1</v>
      </c>
      <c r="U15" s="2177">
        <v>3.2</v>
      </c>
      <c r="V15" s="2105">
        <v>2</v>
      </c>
      <c r="W15" s="2105">
        <v>1</v>
      </c>
      <c r="X15" s="2105">
        <v>1.2</v>
      </c>
      <c r="Y15" s="2105">
        <v>2.7</v>
      </c>
      <c r="Z15" s="2105"/>
      <c r="AA15" s="2105"/>
      <c r="AB15" s="2105"/>
      <c r="AC15"/>
      <c r="AD15" s="1333"/>
      <c r="AE15" s="1333"/>
      <c r="AF15" s="1333"/>
      <c r="AG15" s="1333"/>
      <c r="AH15" s="1333"/>
      <c r="AI15" s="1333"/>
      <c r="AJ15" s="1333"/>
      <c r="AK15" s="1333"/>
      <c r="AL15" s="1333"/>
      <c r="AM15" s="1334"/>
      <c r="AN15" s="1334"/>
      <c r="AO15" s="1666"/>
      <c r="AP15" s="1334"/>
      <c r="AQ15" s="1334"/>
      <c r="AR15" s="1334"/>
      <c r="AS15" s="1334"/>
      <c r="AT15" s="1334"/>
      <c r="AU15" s="1334"/>
      <c r="AV15" s="1334"/>
      <c r="AW15" s="1334"/>
      <c r="AX15" s="1334"/>
      <c r="AY15" s="1334"/>
      <c r="AZ15" s="1334"/>
      <c r="BA15" s="883"/>
      <c r="BB15" s="1334"/>
      <c r="BC15" s="1494" t="s">
        <v>1531</v>
      </c>
      <c r="BD15" s="1334"/>
      <c r="BE15" s="1334"/>
      <c r="BF15" s="1334"/>
      <c r="BG15" s="1334"/>
      <c r="BH15" s="1334"/>
      <c r="BI15" s="1334"/>
      <c r="BJ15" s="1334"/>
      <c r="BK15" s="1334"/>
      <c r="BL15" s="1334"/>
      <c r="BO15" s="1644" t="s">
        <v>1219</v>
      </c>
      <c r="BP15" s="528" t="s">
        <v>1276</v>
      </c>
      <c r="BQ15" s="528" t="s">
        <v>1277</v>
      </c>
      <c r="BR15" s="528" t="s">
        <v>1343</v>
      </c>
    </row>
    <row r="16" spans="1:70" s="528" customFormat="1" ht="26">
      <c r="A16" s="2213"/>
      <c r="B16" s="2215"/>
      <c r="C16" s="760" t="s">
        <v>895</v>
      </c>
      <c r="D16" s="760" t="s">
        <v>1371</v>
      </c>
      <c r="E16" s="2190">
        <v>2</v>
      </c>
      <c r="F16" s="1836">
        <v>4</v>
      </c>
      <c r="G16" s="117"/>
      <c r="H16" s="1832" t="s">
        <v>1278</v>
      </c>
      <c r="I16" s="1832" t="s">
        <v>1279</v>
      </c>
      <c r="J16" s="1832" t="s">
        <v>1280</v>
      </c>
      <c r="K16" s="1832" t="s">
        <v>1359</v>
      </c>
      <c r="L16" s="1831"/>
      <c r="M16" s="2106">
        <v>1</v>
      </c>
      <c r="N16" s="2105">
        <v>1</v>
      </c>
      <c r="O16" s="2105">
        <v>4</v>
      </c>
      <c r="P16" s="2105">
        <v>2</v>
      </c>
      <c r="Q16" s="2105">
        <v>1.8</v>
      </c>
      <c r="R16" s="2105">
        <v>1</v>
      </c>
      <c r="S16" s="2105">
        <v>1</v>
      </c>
      <c r="T16" s="2105">
        <v>1</v>
      </c>
      <c r="U16" s="2177">
        <v>2</v>
      </c>
      <c r="V16" s="2105">
        <v>3</v>
      </c>
      <c r="W16" s="2105">
        <v>3</v>
      </c>
      <c r="X16" s="2105">
        <v>1.9</v>
      </c>
      <c r="Y16" s="2105">
        <v>1.6</v>
      </c>
      <c r="Z16" s="2105"/>
      <c r="AA16" s="2105"/>
      <c r="AB16" s="2105"/>
      <c r="AC16" s="117"/>
      <c r="AD16" s="1333"/>
      <c r="AE16" s="1333"/>
      <c r="AF16" s="1333"/>
      <c r="AG16" s="1333"/>
      <c r="AH16" s="1333"/>
      <c r="AI16" s="1333"/>
      <c r="AJ16" s="1333"/>
      <c r="AK16" s="1333"/>
      <c r="AL16" s="1333"/>
      <c r="AM16" s="1334"/>
      <c r="AN16" s="1334"/>
      <c r="AO16" s="1666"/>
      <c r="AP16" s="1334"/>
      <c r="AQ16" s="1334"/>
      <c r="AR16" s="1334"/>
      <c r="AS16" s="1334"/>
      <c r="AT16" s="1334"/>
      <c r="AU16" s="1334"/>
      <c r="AV16" s="1334"/>
      <c r="AW16" s="1334"/>
      <c r="AX16" s="1334"/>
      <c r="AY16" s="1334"/>
      <c r="AZ16" s="1334"/>
      <c r="BA16" s="883"/>
      <c r="BB16" s="2214" t="s">
        <v>1528</v>
      </c>
      <c r="BC16" s="2214"/>
      <c r="BD16" s="2214"/>
      <c r="BE16" s="2214"/>
      <c r="BF16" s="2214"/>
      <c r="BG16" s="2214"/>
      <c r="BH16" s="2214"/>
      <c r="BI16" s="2214"/>
      <c r="BJ16" s="2214"/>
      <c r="BK16" s="2214"/>
      <c r="BL16" s="2214"/>
      <c r="BO16" s="1644" t="s">
        <v>1278</v>
      </c>
      <c r="BP16" s="528" t="s">
        <v>1279</v>
      </c>
      <c r="BQ16" s="528" t="s">
        <v>1280</v>
      </c>
      <c r="BR16" s="528" t="s">
        <v>1359</v>
      </c>
    </row>
    <row r="17" spans="1:70" s="528" customFormat="1" ht="26">
      <c r="A17" s="2213"/>
      <c r="B17" s="2215"/>
      <c r="C17" s="760" t="s">
        <v>643</v>
      </c>
      <c r="D17" s="760" t="s">
        <v>1364</v>
      </c>
      <c r="E17" s="2190">
        <v>1</v>
      </c>
      <c r="F17" s="1836">
        <v>4</v>
      </c>
      <c r="G17"/>
      <c r="H17" s="1832" t="s">
        <v>1218</v>
      </c>
      <c r="I17" s="1832" t="s">
        <v>1274</v>
      </c>
      <c r="J17" s="1832" t="s">
        <v>1275</v>
      </c>
      <c r="K17" s="1832" t="s">
        <v>1346</v>
      </c>
      <c r="L17" s="1831"/>
      <c r="M17" s="2106">
        <v>1</v>
      </c>
      <c r="N17" s="2105">
        <v>1</v>
      </c>
      <c r="O17" s="2105">
        <v>4</v>
      </c>
      <c r="P17" s="2105">
        <v>1</v>
      </c>
      <c r="Q17" s="2105">
        <v>1</v>
      </c>
      <c r="R17" s="2105">
        <v>1</v>
      </c>
      <c r="S17" s="2105">
        <v>1</v>
      </c>
      <c r="T17" s="2105">
        <v>1</v>
      </c>
      <c r="U17" s="2177">
        <v>3</v>
      </c>
      <c r="V17" s="2105">
        <v>3</v>
      </c>
      <c r="W17" s="2105">
        <v>4</v>
      </c>
      <c r="X17" s="2105">
        <v>1</v>
      </c>
      <c r="Y17" s="2105">
        <v>2.6</v>
      </c>
      <c r="Z17" s="2105"/>
      <c r="AA17" s="2105"/>
      <c r="AB17" s="2105"/>
      <c r="AC17"/>
      <c r="AD17" s="1333"/>
      <c r="AE17" s="1333"/>
      <c r="AF17" s="1333"/>
      <c r="AG17" s="1333"/>
      <c r="AH17" s="1333"/>
      <c r="AI17" s="1333"/>
      <c r="AJ17" s="1333"/>
      <c r="AK17" s="1333"/>
      <c r="AL17" s="1333"/>
      <c r="AM17" s="1334"/>
      <c r="AN17" s="1334"/>
      <c r="AO17" s="1666"/>
      <c r="AP17" s="1334"/>
      <c r="AQ17" s="1334"/>
      <c r="AR17" s="1334"/>
      <c r="AS17" s="1334"/>
      <c r="AT17" s="1334"/>
      <c r="AU17" s="1334"/>
      <c r="AV17" s="1334"/>
      <c r="AW17" s="1334"/>
      <c r="AX17" s="1334"/>
      <c r="AY17" s="1334"/>
      <c r="AZ17" s="1334"/>
      <c r="BA17" s="883"/>
      <c r="BB17" s="2214"/>
      <c r="BC17" s="2214"/>
      <c r="BD17" s="2214"/>
      <c r="BE17" s="2214"/>
      <c r="BF17" s="2214"/>
      <c r="BG17" s="2214"/>
      <c r="BH17" s="2214"/>
      <c r="BI17" s="2214"/>
      <c r="BJ17" s="2214"/>
      <c r="BK17" s="2214"/>
      <c r="BL17" s="2214"/>
      <c r="BO17" s="1644" t="s">
        <v>1218</v>
      </c>
      <c r="BP17" s="528" t="s">
        <v>1274</v>
      </c>
      <c r="BQ17" s="528" t="s">
        <v>1456</v>
      </c>
      <c r="BR17" s="528" t="s">
        <v>1457</v>
      </c>
    </row>
    <row r="18" spans="1:70" s="528" customFormat="1" ht="26">
      <c r="A18" s="2213"/>
      <c r="B18" s="2215"/>
      <c r="C18" s="760" t="s">
        <v>640</v>
      </c>
      <c r="D18" s="760" t="s">
        <v>1507</v>
      </c>
      <c r="E18" s="2190">
        <v>1.5</v>
      </c>
      <c r="F18" s="1836">
        <v>4</v>
      </c>
      <c r="G18"/>
      <c r="H18" s="1832" t="s">
        <v>1271</v>
      </c>
      <c r="I18" s="1832" t="s">
        <v>1272</v>
      </c>
      <c r="J18" s="1832" t="s">
        <v>1273</v>
      </c>
      <c r="K18" s="1832" t="s">
        <v>1347</v>
      </c>
      <c r="L18" s="1831"/>
      <c r="M18" s="2106">
        <v>1</v>
      </c>
      <c r="N18" s="2105">
        <v>1</v>
      </c>
      <c r="O18" s="2105">
        <v>4</v>
      </c>
      <c r="P18" s="2105">
        <v>1.5</v>
      </c>
      <c r="Q18" s="2105">
        <v>2</v>
      </c>
      <c r="R18" s="2105">
        <v>1</v>
      </c>
      <c r="S18" s="2105">
        <v>1</v>
      </c>
      <c r="T18" s="2105">
        <v>1</v>
      </c>
      <c r="U18" s="2177">
        <v>3.4</v>
      </c>
      <c r="V18" s="2105">
        <v>2</v>
      </c>
      <c r="W18" s="2105">
        <v>1</v>
      </c>
      <c r="X18" s="2105">
        <v>1.9</v>
      </c>
      <c r="Y18" s="2105">
        <v>1.9</v>
      </c>
      <c r="Z18" s="2105"/>
      <c r="AA18" s="2105"/>
      <c r="AB18" s="2105"/>
      <c r="AC18"/>
      <c r="AD18" s="1333"/>
      <c r="AE18" s="1333"/>
      <c r="AF18" s="1333"/>
      <c r="AG18" s="1333"/>
      <c r="AH18" s="1333"/>
      <c r="AI18" s="1333"/>
      <c r="AJ18" s="1333"/>
      <c r="AK18" s="1333"/>
      <c r="AL18" s="1333"/>
      <c r="AM18" s="1334"/>
      <c r="AN18" s="1334"/>
      <c r="AO18" s="1666"/>
      <c r="AP18" s="1334"/>
      <c r="AQ18" s="1334"/>
      <c r="AR18" s="1334"/>
      <c r="AS18" s="1334"/>
      <c r="AT18" s="1334"/>
      <c r="AU18" s="1334"/>
      <c r="AV18" s="1334"/>
      <c r="AW18" s="1334"/>
      <c r="AX18" s="1334"/>
      <c r="AY18" s="1334"/>
      <c r="AZ18" s="1334"/>
      <c r="BA18" s="883"/>
      <c r="BB18" s="1671"/>
      <c r="BC18" s="1346"/>
      <c r="BD18" s="1334"/>
      <c r="BE18" s="1334"/>
      <c r="BF18" s="1334"/>
      <c r="BG18" s="1334"/>
      <c r="BH18" s="1334"/>
      <c r="BI18" s="1334"/>
      <c r="BJ18" s="1334"/>
      <c r="BK18" s="1334"/>
      <c r="BL18" s="1334"/>
      <c r="BO18" s="1644" t="s">
        <v>1458</v>
      </c>
      <c r="BP18" s="528" t="s">
        <v>1459</v>
      </c>
      <c r="BQ18" s="528" t="s">
        <v>1460</v>
      </c>
      <c r="BR18" s="528" t="s">
        <v>1461</v>
      </c>
    </row>
    <row r="19" spans="1:70" s="528" customFormat="1" ht="26">
      <c r="A19" s="2213"/>
      <c r="B19" s="2215"/>
      <c r="C19" s="760" t="s">
        <v>990</v>
      </c>
      <c r="D19" s="760" t="s">
        <v>1517</v>
      </c>
      <c r="E19" s="2190">
        <v>1</v>
      </c>
      <c r="F19" s="1836">
        <v>4</v>
      </c>
      <c r="G19" s="117"/>
      <c r="H19" s="1832" t="s">
        <v>1281</v>
      </c>
      <c r="I19" s="1832" t="s">
        <v>1282</v>
      </c>
      <c r="J19" s="1832" t="s">
        <v>1283</v>
      </c>
      <c r="K19" s="1832" t="s">
        <v>1348</v>
      </c>
      <c r="L19" s="1831"/>
      <c r="M19" s="2106">
        <v>1</v>
      </c>
      <c r="N19" s="2105">
        <v>1</v>
      </c>
      <c r="O19" s="2105">
        <v>4</v>
      </c>
      <c r="P19" s="2105">
        <v>1</v>
      </c>
      <c r="Q19" s="2105">
        <v>1</v>
      </c>
      <c r="R19" s="2105">
        <v>1</v>
      </c>
      <c r="S19" s="2105">
        <v>1</v>
      </c>
      <c r="T19" s="2105">
        <v>1</v>
      </c>
      <c r="U19" s="2177">
        <v>1</v>
      </c>
      <c r="V19" s="2105">
        <v>1</v>
      </c>
      <c r="W19" s="2105">
        <v>1</v>
      </c>
      <c r="X19" s="2105">
        <v>1</v>
      </c>
      <c r="Y19" s="2105">
        <v>1</v>
      </c>
      <c r="Z19" s="2105"/>
      <c r="AA19" s="2105"/>
      <c r="AB19" s="2105"/>
      <c r="AC19" s="117"/>
      <c r="AD19" s="1333"/>
      <c r="AE19" s="1333"/>
      <c r="AF19" s="1333"/>
      <c r="AG19" s="1333"/>
      <c r="AH19" s="1333"/>
      <c r="AI19" s="1333"/>
      <c r="AJ19" s="1333"/>
      <c r="AK19" s="1333"/>
      <c r="AL19" s="1333"/>
      <c r="AM19" s="1334"/>
      <c r="AN19" s="1334"/>
      <c r="AO19" s="1666"/>
      <c r="AP19" s="1334"/>
      <c r="AQ19" s="1334"/>
      <c r="AR19" s="1334"/>
      <c r="AS19" s="1334"/>
      <c r="AT19" s="1334"/>
      <c r="AU19" s="1334"/>
      <c r="AV19" s="1334"/>
      <c r="AW19" s="1334"/>
      <c r="AX19" s="1334"/>
      <c r="AY19" s="1334"/>
      <c r="AZ19" s="1334"/>
      <c r="BA19" s="883"/>
      <c r="BB19" s="1671"/>
      <c r="BC19" s="1346" t="s">
        <v>1331</v>
      </c>
      <c r="BD19" s="1334"/>
      <c r="BE19" s="1334"/>
      <c r="BF19" s="1334"/>
      <c r="BG19" s="1334"/>
      <c r="BH19" s="1334"/>
      <c r="BI19" s="1334"/>
      <c r="BJ19" s="1334"/>
      <c r="BK19" s="1334"/>
      <c r="BL19" s="1334"/>
      <c r="BO19" s="1644" t="s">
        <v>1281</v>
      </c>
      <c r="BP19" s="528" t="s">
        <v>1462</v>
      </c>
      <c r="BQ19" s="528" t="s">
        <v>1464</v>
      </c>
      <c r="BR19" s="528" t="s">
        <v>1463</v>
      </c>
    </row>
    <row r="20" spans="1:70" s="528" customFormat="1" ht="26">
      <c r="A20" s="2213"/>
      <c r="B20" s="13" t="s">
        <v>1425</v>
      </c>
      <c r="C20" s="760" t="s">
        <v>632</v>
      </c>
      <c r="D20" s="760" t="s">
        <v>50</v>
      </c>
      <c r="E20" s="2190">
        <v>1.8</v>
      </c>
      <c r="F20" s="1836">
        <v>4</v>
      </c>
      <c r="G20"/>
      <c r="H20" s="1832" t="s">
        <v>1220</v>
      </c>
      <c r="I20" s="1832" t="s">
        <v>1284</v>
      </c>
      <c r="J20" s="1832" t="s">
        <v>1285</v>
      </c>
      <c r="K20" s="1832" t="s">
        <v>1344</v>
      </c>
      <c r="L20" s="1831"/>
      <c r="M20" s="2106">
        <v>1</v>
      </c>
      <c r="N20" s="2105">
        <v>1</v>
      </c>
      <c r="O20" s="2105">
        <v>4</v>
      </c>
      <c r="P20" s="2105">
        <v>1.8</v>
      </c>
      <c r="Q20" s="2105">
        <v>1</v>
      </c>
      <c r="R20" s="2105">
        <v>1</v>
      </c>
      <c r="S20" s="2105">
        <v>1.5</v>
      </c>
      <c r="T20" s="2105">
        <v>1</v>
      </c>
      <c r="U20" s="2177">
        <v>1</v>
      </c>
      <c r="V20" s="2105">
        <v>3</v>
      </c>
      <c r="W20" s="2105">
        <v>1</v>
      </c>
      <c r="X20" s="2105">
        <v>1</v>
      </c>
      <c r="Y20" s="2105">
        <v>1.9</v>
      </c>
      <c r="Z20" s="2105"/>
      <c r="AA20" s="2105"/>
      <c r="AB20" s="2105"/>
      <c r="AC20"/>
      <c r="AD20" s="1333"/>
      <c r="AE20" s="1333"/>
      <c r="AF20" s="1333"/>
      <c r="AG20" s="1333"/>
      <c r="AH20" s="1333"/>
      <c r="AI20" s="1333"/>
      <c r="AJ20" s="1333"/>
      <c r="AK20" s="1333"/>
      <c r="AL20" s="1333"/>
      <c r="AM20" s="1334"/>
      <c r="AN20" s="1334"/>
      <c r="AO20" s="1666"/>
      <c r="AP20" s="1334"/>
      <c r="AQ20" s="1334"/>
      <c r="AR20" s="1334"/>
      <c r="AS20" s="1334"/>
      <c r="AT20" s="1334"/>
      <c r="AU20" s="1334"/>
      <c r="AV20" s="1334"/>
      <c r="AW20" s="1334"/>
      <c r="AX20" s="1334"/>
      <c r="AY20" s="1334"/>
      <c r="AZ20" s="1334"/>
      <c r="BA20" s="883"/>
      <c r="BB20" s="1140"/>
      <c r="BC20" s="1334"/>
      <c r="BD20" s="1334"/>
      <c r="BE20" s="1334"/>
      <c r="BF20" s="1334"/>
      <c r="BG20" s="1334"/>
      <c r="BH20" s="1334"/>
      <c r="BI20" s="1334"/>
      <c r="BJ20" s="1334"/>
      <c r="BK20" s="1334"/>
      <c r="BL20" s="1334"/>
      <c r="BO20" s="1644" t="s">
        <v>1220</v>
      </c>
      <c r="BP20" s="528" t="s">
        <v>1284</v>
      </c>
      <c r="BQ20" s="528" t="s">
        <v>1465</v>
      </c>
      <c r="BR20" s="528" t="s">
        <v>1466</v>
      </c>
    </row>
    <row r="21" spans="1:70" s="528" customFormat="1" ht="15">
      <c r="A21" s="2213" t="s">
        <v>1326</v>
      </c>
      <c r="B21" s="2215" t="s">
        <v>1415</v>
      </c>
      <c r="C21" s="760" t="s">
        <v>692</v>
      </c>
      <c r="D21" s="760" t="s">
        <v>1215</v>
      </c>
      <c r="E21" s="2190"/>
      <c r="F21" s="1836"/>
      <c r="G21"/>
      <c r="H21" s="1833"/>
      <c r="I21" s="1833"/>
      <c r="J21" s="1833"/>
      <c r="K21" s="1833"/>
      <c r="L21" s="1831"/>
      <c r="M21" s="2106"/>
      <c r="N21" s="2105"/>
      <c r="O21" s="2105"/>
      <c r="P21" s="2105"/>
      <c r="Q21" s="2105"/>
      <c r="R21" s="2105"/>
      <c r="S21" s="2105"/>
      <c r="T21" s="2105"/>
      <c r="U21" s="2177"/>
      <c r="V21" s="2105"/>
      <c r="W21" s="2105"/>
      <c r="X21" s="2105"/>
      <c r="Y21" s="2105"/>
      <c r="Z21" s="2105"/>
      <c r="AA21" s="2105"/>
      <c r="AB21" s="2105"/>
      <c r="AC21"/>
      <c r="AD21" s="1333"/>
      <c r="AE21" s="1333"/>
      <c r="AF21" s="1333"/>
      <c r="AG21" s="1333"/>
      <c r="AH21" s="1333"/>
      <c r="AI21" s="1333"/>
      <c r="AJ21" s="1333"/>
      <c r="AK21" s="1333"/>
      <c r="AL21" s="1333"/>
      <c r="AM21" s="1334"/>
      <c r="AN21" s="1334"/>
      <c r="AO21" s="1666"/>
      <c r="AP21" s="1334"/>
      <c r="AQ21" s="1334"/>
      <c r="AR21" s="1334"/>
      <c r="AS21" s="1334"/>
      <c r="AT21" s="1334"/>
      <c r="AU21" s="1334"/>
      <c r="AV21" s="1334"/>
      <c r="AW21" s="1334"/>
      <c r="AX21" s="1334"/>
      <c r="AY21" s="1334"/>
      <c r="AZ21" s="1334"/>
      <c r="BA21" s="883"/>
      <c r="BB21" s="1371"/>
      <c r="BC21" s="1347" t="s">
        <v>603</v>
      </c>
      <c r="BD21" s="1338"/>
      <c r="BE21" s="1359"/>
      <c r="BF21" s="1359"/>
      <c r="BG21" s="1358" t="str">
        <f>Preferences.EnergyUnits &amp; " / year"</f>
        <v>TWh / year</v>
      </c>
      <c r="BH21" s="1357">
        <v>2007</v>
      </c>
      <c r="BI21" s="1357">
        <v>2020</v>
      </c>
      <c r="BJ21" s="1357">
        <v>2030</v>
      </c>
      <c r="BK21" s="1357">
        <v>2050</v>
      </c>
      <c r="BL21" s="1334"/>
      <c r="BO21" s="1644"/>
    </row>
    <row r="22" spans="1:70" s="528" customFormat="1" ht="15">
      <c r="A22" s="2213"/>
      <c r="B22" s="2215"/>
      <c r="C22" s="1433"/>
      <c r="D22" s="1433" t="s">
        <v>1501</v>
      </c>
      <c r="E22" s="2190">
        <v>3</v>
      </c>
      <c r="F22" s="1837">
        <v>4</v>
      </c>
      <c r="G22" s="1532"/>
      <c r="H22" s="1832" t="s">
        <v>1398</v>
      </c>
      <c r="I22" s="1832" t="s">
        <v>1399</v>
      </c>
      <c r="J22" s="1832" t="s">
        <v>1400</v>
      </c>
      <c r="K22" s="1832" t="s">
        <v>1523</v>
      </c>
      <c r="L22" s="1831"/>
      <c r="M22" s="2106">
        <v>1</v>
      </c>
      <c r="N22" s="2105">
        <v>1</v>
      </c>
      <c r="O22" s="2105">
        <v>4</v>
      </c>
      <c r="P22" s="2105">
        <v>3</v>
      </c>
      <c r="Q22" s="2105">
        <v>2</v>
      </c>
      <c r="R22" s="2105">
        <v>4</v>
      </c>
      <c r="S22" s="2105">
        <v>3</v>
      </c>
      <c r="T22" s="2105">
        <v>3</v>
      </c>
      <c r="U22" s="2177">
        <v>2</v>
      </c>
      <c r="V22" s="2105">
        <v>2</v>
      </c>
      <c r="W22" s="2105">
        <v>3</v>
      </c>
      <c r="X22" s="2105">
        <v>3</v>
      </c>
      <c r="Y22" s="2105">
        <v>3</v>
      </c>
      <c r="Z22" s="2105"/>
      <c r="AA22" s="2105"/>
      <c r="AB22" s="2105"/>
      <c r="AC22" s="1532"/>
      <c r="AD22" s="1333"/>
      <c r="AE22" s="1333"/>
      <c r="AF22" s="1333"/>
      <c r="AG22" s="1333"/>
      <c r="AH22" s="1333"/>
      <c r="AI22" s="1333"/>
      <c r="AJ22" s="1333"/>
      <c r="AK22" s="1333"/>
      <c r="AL22" s="1333"/>
      <c r="AM22" s="1334"/>
      <c r="AN22" s="1334"/>
      <c r="AO22" s="1666"/>
      <c r="AP22" s="1334"/>
      <c r="AQ22" s="1334"/>
      <c r="AR22" s="1334"/>
      <c r="AS22" s="1334"/>
      <c r="AT22" s="1334"/>
      <c r="AU22" s="1334"/>
      <c r="AV22" s="1334"/>
      <c r="AW22" s="1334"/>
      <c r="AX22" s="1334"/>
      <c r="AY22" s="1334"/>
      <c r="AZ22" s="1334"/>
      <c r="BA22" s="883"/>
      <c r="BB22" s="1370"/>
      <c r="BC22" s="1339" t="s">
        <v>732</v>
      </c>
      <c r="BD22" s="1337" t="str">
        <f>INDEX(Vectors[Description], MATCH($BC22, Vectors[Code], 0))</f>
        <v>Coal oversupply (imports)</v>
      </c>
      <c r="BE22" s="1334"/>
      <c r="BF22" s="1336"/>
      <c r="BG22" s="1337"/>
      <c r="BH22" s="1336">
        <f t="shared" ref="BH22:BK26" ca="1" si="0">SUMIFS(INDIRECT("'"&amp;BH$21&amp;"'!Year.NetBalance"), INDIRECT("'"&amp;BH$21&amp;"'!Year.Vectors"),$BC22)</f>
        <v>0</v>
      </c>
      <c r="BI22" s="1336" t="e">
        <f t="shared" ca="1" si="0"/>
        <v>#REF!</v>
      </c>
      <c r="BJ22" s="1336" t="e">
        <f t="shared" ca="1" si="0"/>
        <v>#REF!</v>
      </c>
      <c r="BK22" s="1336" t="e">
        <f t="shared" ca="1" si="0"/>
        <v>#REF!</v>
      </c>
      <c r="BL22" s="1334"/>
      <c r="BO22" s="1645" t="s">
        <v>1398</v>
      </c>
      <c r="BP22" s="532" t="s">
        <v>1467</v>
      </c>
      <c r="BQ22" s="532" t="s">
        <v>1468</v>
      </c>
      <c r="BR22" s="528" t="s">
        <v>1524</v>
      </c>
    </row>
    <row r="23" spans="1:70" s="528" customFormat="1" ht="15">
      <c r="A23" s="2213"/>
      <c r="B23" s="2215"/>
      <c r="C23" s="1433"/>
      <c r="D23" s="1433" t="s">
        <v>1505</v>
      </c>
      <c r="E23" s="2190">
        <v>2</v>
      </c>
      <c r="F23" s="1837">
        <v>4</v>
      </c>
      <c r="G23" s="1532"/>
      <c r="H23" s="1832" t="s">
        <v>1355</v>
      </c>
      <c r="I23" s="1832" t="s">
        <v>1401</v>
      </c>
      <c r="J23" s="1832" t="s">
        <v>1353</v>
      </c>
      <c r="K23" s="1832" t="s">
        <v>1354</v>
      </c>
      <c r="L23" s="1831"/>
      <c r="M23" s="2106">
        <v>1</v>
      </c>
      <c r="N23" s="2105">
        <v>1</v>
      </c>
      <c r="O23" s="2105">
        <v>4</v>
      </c>
      <c r="P23" s="2105">
        <v>2</v>
      </c>
      <c r="Q23" s="2105">
        <v>2</v>
      </c>
      <c r="R23" s="2105">
        <v>2</v>
      </c>
      <c r="S23" s="2105">
        <v>2</v>
      </c>
      <c r="T23" s="2105">
        <v>2</v>
      </c>
      <c r="U23" s="2177">
        <v>4</v>
      </c>
      <c r="V23" s="2105">
        <v>3</v>
      </c>
      <c r="W23" s="2105">
        <v>4</v>
      </c>
      <c r="X23" s="2105">
        <v>2</v>
      </c>
      <c r="Y23" s="2105">
        <v>4</v>
      </c>
      <c r="Z23" s="2105"/>
      <c r="AA23" s="2105"/>
      <c r="AB23" s="2105"/>
      <c r="AC23" s="1532"/>
      <c r="AD23" s="1333"/>
      <c r="AE23" s="1333"/>
      <c r="AF23" s="1333"/>
      <c r="AG23" s="1333"/>
      <c r="AH23" s="1333"/>
      <c r="AI23" s="1333"/>
      <c r="AJ23" s="1333"/>
      <c r="AK23" s="1333"/>
      <c r="AL23" s="1333"/>
      <c r="AM23" s="1334"/>
      <c r="AN23" s="1334"/>
      <c r="AO23" s="1666"/>
      <c r="AP23" s="1334"/>
      <c r="AQ23" s="1334"/>
      <c r="AR23" s="1334"/>
      <c r="AS23" s="1334"/>
      <c r="AT23" s="1334"/>
      <c r="AU23" s="1334"/>
      <c r="AV23" s="1334"/>
      <c r="AW23" s="1334"/>
      <c r="AX23" s="1334"/>
      <c r="AY23" s="1334"/>
      <c r="AZ23" s="1334"/>
      <c r="BA23" s="883"/>
      <c r="BB23" s="1370"/>
      <c r="BC23" s="1339" t="s">
        <v>733</v>
      </c>
      <c r="BD23" s="1337" t="str">
        <f>INDEX(Vectors[Description], MATCH($BC23, Vectors[Code], 0))</f>
        <v>Oil and petroleum products oversupply (imports)</v>
      </c>
      <c r="BE23" s="1334"/>
      <c r="BF23" s="1336"/>
      <c r="BG23" s="1337"/>
      <c r="BH23" s="1336">
        <f t="shared" ca="1" si="0"/>
        <v>0</v>
      </c>
      <c r="BI23" s="1336" t="e">
        <f t="shared" ca="1" si="0"/>
        <v>#REF!</v>
      </c>
      <c r="BJ23" s="1336" t="e">
        <f t="shared" ca="1" si="0"/>
        <v>#REF!</v>
      </c>
      <c r="BK23" s="1336" t="e">
        <f t="shared" ca="1" si="0"/>
        <v>#REF!</v>
      </c>
      <c r="BL23" s="1334"/>
      <c r="BO23" s="1645" t="s">
        <v>1355</v>
      </c>
      <c r="BP23" s="532" t="s">
        <v>1401</v>
      </c>
      <c r="BQ23" s="532" t="s">
        <v>1353</v>
      </c>
      <c r="BR23" s="528" t="s">
        <v>1354</v>
      </c>
    </row>
    <row r="24" spans="1:70" s="528" customFormat="1" ht="26">
      <c r="A24" s="2213"/>
      <c r="B24" s="2215"/>
      <c r="C24" s="760" t="s">
        <v>720</v>
      </c>
      <c r="D24" s="760" t="s">
        <v>1365</v>
      </c>
      <c r="E24" s="2190">
        <v>2</v>
      </c>
      <c r="F24" s="2090" t="s">
        <v>981</v>
      </c>
      <c r="G24"/>
      <c r="H24" s="1832" t="s">
        <v>1859</v>
      </c>
      <c r="I24" s="1832" t="s">
        <v>1860</v>
      </c>
      <c r="J24" s="1832" t="s">
        <v>1862</v>
      </c>
      <c r="K24" s="1832" t="s">
        <v>1861</v>
      </c>
      <c r="L24" s="1831"/>
      <c r="M24" s="2106">
        <v>1</v>
      </c>
      <c r="N24" s="2105">
        <v>1</v>
      </c>
      <c r="O24" s="2105">
        <v>3</v>
      </c>
      <c r="P24" s="2105">
        <v>2</v>
      </c>
      <c r="Q24" s="2105">
        <v>2</v>
      </c>
      <c r="R24" s="2105">
        <v>2</v>
      </c>
      <c r="S24" s="2105">
        <v>2</v>
      </c>
      <c r="T24" s="2105">
        <v>4</v>
      </c>
      <c r="U24" s="2177">
        <v>4</v>
      </c>
      <c r="V24" s="2105">
        <v>3</v>
      </c>
      <c r="W24" s="2105">
        <v>3</v>
      </c>
      <c r="X24" s="2105">
        <v>2</v>
      </c>
      <c r="Y24" s="2105">
        <v>3</v>
      </c>
      <c r="Z24" s="2105"/>
      <c r="AA24" s="2105"/>
      <c r="AB24" s="2105"/>
      <c r="AC24"/>
      <c r="AD24" s="1333"/>
      <c r="AE24" s="1333"/>
      <c r="AF24" s="1333"/>
      <c r="AG24" s="1333"/>
      <c r="AH24" s="1333"/>
      <c r="AI24" s="1333"/>
      <c r="AJ24" s="1333"/>
      <c r="AK24" s="1333"/>
      <c r="AL24" s="1333"/>
      <c r="AM24" s="1334"/>
      <c r="AN24" s="1334"/>
      <c r="AO24" s="1666"/>
      <c r="AP24" s="1334"/>
      <c r="AQ24" s="1334"/>
      <c r="AR24" s="1334"/>
      <c r="AS24" s="1334"/>
      <c r="AT24" s="1334"/>
      <c r="AU24" s="1334"/>
      <c r="AV24" s="1334"/>
      <c r="AW24" s="1334"/>
      <c r="AX24" s="1334"/>
      <c r="AY24" s="1334"/>
      <c r="AZ24" s="1334"/>
      <c r="BA24" s="883"/>
      <c r="BB24" s="1370"/>
      <c r="BC24" s="1339" t="s">
        <v>734</v>
      </c>
      <c r="BD24" s="1337" t="str">
        <f>INDEX(Vectors[Description], MATCH($BC24, Vectors[Code], 0))</f>
        <v>Gas oversupply (imports)</v>
      </c>
      <c r="BE24" s="1334"/>
      <c r="BF24" s="1336"/>
      <c r="BG24" s="1337"/>
      <c r="BH24" s="1336">
        <f t="shared" ca="1" si="0"/>
        <v>0</v>
      </c>
      <c r="BI24" s="1336" t="e">
        <f t="shared" ca="1" si="0"/>
        <v>#REF!</v>
      </c>
      <c r="BJ24" s="1336" t="e">
        <f t="shared" ca="1" si="0"/>
        <v>#REF!</v>
      </c>
      <c r="BK24" s="1336" t="e">
        <f t="shared" ca="1" si="0"/>
        <v>#REF!</v>
      </c>
      <c r="BL24" s="1334"/>
      <c r="BO24" s="1644" t="s">
        <v>1855</v>
      </c>
      <c r="BP24" s="528" t="s">
        <v>1856</v>
      </c>
      <c r="BQ24" s="528" t="s">
        <v>1857</v>
      </c>
      <c r="BR24" s="528" t="s">
        <v>1858</v>
      </c>
    </row>
    <row r="25" spans="1:70" s="528" customFormat="1" ht="26">
      <c r="A25" s="2213"/>
      <c r="B25" s="2215"/>
      <c r="C25" s="760" t="s">
        <v>1185</v>
      </c>
      <c r="D25" s="760" t="s">
        <v>1184</v>
      </c>
      <c r="E25" s="2190">
        <v>1</v>
      </c>
      <c r="F25" s="1836">
        <v>4</v>
      </c>
      <c r="G25"/>
      <c r="H25" s="1832" t="s">
        <v>1202</v>
      </c>
      <c r="I25" s="1832" t="s">
        <v>1402</v>
      </c>
      <c r="J25" s="1832" t="s">
        <v>1403</v>
      </c>
      <c r="K25" s="1832" t="s">
        <v>1431</v>
      </c>
      <c r="L25" s="1831"/>
      <c r="M25" s="2106">
        <v>1</v>
      </c>
      <c r="N25" s="2105">
        <v>1</v>
      </c>
      <c r="O25" s="2105">
        <v>4</v>
      </c>
      <c r="P25" s="2105">
        <v>1</v>
      </c>
      <c r="Q25" s="2105">
        <v>1</v>
      </c>
      <c r="R25" s="2105">
        <v>3</v>
      </c>
      <c r="S25" s="2105">
        <v>1</v>
      </c>
      <c r="T25" s="2105">
        <v>1</v>
      </c>
      <c r="U25" s="2177">
        <v>1</v>
      </c>
      <c r="V25" s="2105">
        <v>1</v>
      </c>
      <c r="W25" s="2105">
        <v>3</v>
      </c>
      <c r="X25" s="2105">
        <v>2</v>
      </c>
      <c r="Y25" s="2105">
        <v>1</v>
      </c>
      <c r="Z25" s="2105"/>
      <c r="AA25" s="2105"/>
      <c r="AB25" s="2105"/>
      <c r="AC25"/>
      <c r="AD25" s="1333"/>
      <c r="AE25" s="1333"/>
      <c r="AF25" s="1333"/>
      <c r="AG25" s="1333"/>
      <c r="AH25" s="1333"/>
      <c r="AI25" s="1333"/>
      <c r="AJ25" s="1333"/>
      <c r="AK25" s="1333"/>
      <c r="AL25" s="1333"/>
      <c r="AM25" s="1334"/>
      <c r="AN25" s="1334"/>
      <c r="AO25" s="1666"/>
      <c r="AP25" s="1334"/>
      <c r="AQ25" s="1334"/>
      <c r="AR25" s="1334"/>
      <c r="AS25" s="1334"/>
      <c r="AT25" s="1334"/>
      <c r="AU25" s="1334"/>
      <c r="AV25" s="1334"/>
      <c r="AW25" s="1334"/>
      <c r="AX25" s="1334"/>
      <c r="AY25" s="1334"/>
      <c r="AZ25" s="1334"/>
      <c r="BA25" s="883"/>
      <c r="BB25" s="1370"/>
      <c r="BC25" s="1339" t="s">
        <v>53</v>
      </c>
      <c r="BD25" s="1337" t="str">
        <f>INDEX(Vectors[Description], MATCH($BC25, Vectors[Code], 0))</f>
        <v>Biomass oversupply (imports)</v>
      </c>
      <c r="BE25" s="1334"/>
      <c r="BF25" s="1334"/>
      <c r="BG25" s="1334"/>
      <c r="BH25" s="1336">
        <f t="shared" ca="1" si="0"/>
        <v>0</v>
      </c>
      <c r="BI25" s="1336" t="e">
        <f t="shared" ca="1" si="0"/>
        <v>#REF!</v>
      </c>
      <c r="BJ25" s="1336" t="e">
        <f t="shared" ca="1" si="0"/>
        <v>#REF!</v>
      </c>
      <c r="BK25" s="1336" t="e">
        <f t="shared" ca="1" si="0"/>
        <v>#REF!</v>
      </c>
      <c r="BL25" s="1334"/>
      <c r="BO25" s="1644" t="s">
        <v>1202</v>
      </c>
      <c r="BP25" s="528" t="s">
        <v>1469</v>
      </c>
      <c r="BQ25" s="528" t="s">
        <v>1470</v>
      </c>
      <c r="BR25" s="528" t="s">
        <v>1471</v>
      </c>
    </row>
    <row r="26" spans="1:70" s="528" customFormat="1" ht="26">
      <c r="A26" s="2213"/>
      <c r="B26" s="2215"/>
      <c r="C26" s="760" t="s">
        <v>719</v>
      </c>
      <c r="D26" s="760" t="s">
        <v>1502</v>
      </c>
      <c r="E26" s="2190">
        <v>1</v>
      </c>
      <c r="F26" s="1836" t="s">
        <v>981</v>
      </c>
      <c r="G26"/>
      <c r="H26" s="1832" t="s">
        <v>1350</v>
      </c>
      <c r="I26" s="1832" t="s">
        <v>1351</v>
      </c>
      <c r="J26" s="1832" t="s">
        <v>1352</v>
      </c>
      <c r="K26" s="1832" t="s">
        <v>1349</v>
      </c>
      <c r="L26" s="1831"/>
      <c r="M26" s="2106">
        <v>1</v>
      </c>
      <c r="N26" s="2105">
        <v>1</v>
      </c>
      <c r="O26" s="2105">
        <v>2</v>
      </c>
      <c r="P26" s="2105">
        <v>1</v>
      </c>
      <c r="Q26" s="2105">
        <v>1</v>
      </c>
      <c r="R26" s="2105">
        <v>3</v>
      </c>
      <c r="S26" s="2105">
        <v>2</v>
      </c>
      <c r="T26" s="2105">
        <v>3</v>
      </c>
      <c r="U26" s="2177">
        <v>1</v>
      </c>
      <c r="V26" s="2105">
        <v>2</v>
      </c>
      <c r="W26" s="2105">
        <v>2</v>
      </c>
      <c r="X26" s="2105">
        <v>2</v>
      </c>
      <c r="Y26" s="2105">
        <v>1</v>
      </c>
      <c r="Z26" s="2105"/>
      <c r="AA26" s="2105"/>
      <c r="AB26" s="2105"/>
      <c r="AC26"/>
      <c r="AD26" s="1333"/>
      <c r="AE26" s="1333"/>
      <c r="AF26" s="1333"/>
      <c r="AG26" s="1333"/>
      <c r="AH26" s="1333"/>
      <c r="AI26" s="1333"/>
      <c r="AJ26" s="1333"/>
      <c r="AK26" s="1333"/>
      <c r="AL26" s="1333"/>
      <c r="AM26" s="1334"/>
      <c r="AN26" s="1334"/>
      <c r="AO26" s="1666"/>
      <c r="AP26" s="1334"/>
      <c r="AQ26" s="1334"/>
      <c r="AR26" s="1334"/>
      <c r="AS26" s="1334"/>
      <c r="AT26" s="1334"/>
      <c r="AU26" s="1334"/>
      <c r="AV26" s="1334"/>
      <c r="AW26" s="1334"/>
      <c r="AX26" s="1334"/>
      <c r="AY26" s="1334"/>
      <c r="AZ26" s="1334"/>
      <c r="BA26" s="883"/>
      <c r="BB26" s="1370"/>
      <c r="BC26" s="1349" t="s">
        <v>54</v>
      </c>
      <c r="BD26" s="1343" t="str">
        <f>INDEX(Vectors[Description], MATCH($BC26, Vectors[Code], 0))</f>
        <v>Electricity oversupply (imports)</v>
      </c>
      <c r="BE26" s="1342"/>
      <c r="BF26" s="1342"/>
      <c r="BG26" s="1342"/>
      <c r="BH26" s="1350">
        <f t="shared" ca="1" si="0"/>
        <v>-8.6815924571345473</v>
      </c>
      <c r="BI26" s="1350" t="e">
        <f t="shared" ca="1" si="0"/>
        <v>#REF!</v>
      </c>
      <c r="BJ26" s="1350" t="e">
        <f t="shared" ca="1" si="0"/>
        <v>#REF!</v>
      </c>
      <c r="BK26" s="1350" t="e">
        <f ca="1">SUMIFS(INDIRECT("'"&amp;BK$21&amp;"'!Year.NetBalance"), INDIRECT("'"&amp;BK$21&amp;"'!Year.Vectors"),$BC26)</f>
        <v>#REF!</v>
      </c>
      <c r="BL26" s="1334"/>
      <c r="BO26" s="1644" t="s">
        <v>1350</v>
      </c>
      <c r="BP26" s="528" t="s">
        <v>1351</v>
      </c>
      <c r="BQ26" s="528" t="s">
        <v>1352</v>
      </c>
      <c r="BR26" s="528" t="s">
        <v>1349</v>
      </c>
    </row>
    <row r="27" spans="1:70" s="528" customFormat="1" ht="26">
      <c r="A27" s="2213"/>
      <c r="B27" s="13" t="s">
        <v>1416</v>
      </c>
      <c r="C27" s="760" t="s">
        <v>1004</v>
      </c>
      <c r="D27" s="760" t="s">
        <v>1005</v>
      </c>
      <c r="E27" s="2190">
        <v>2.5</v>
      </c>
      <c r="F27" s="1836">
        <v>4</v>
      </c>
      <c r="G27" s="117"/>
      <c r="H27" s="1832" t="s">
        <v>1404</v>
      </c>
      <c r="I27" s="1832" t="s">
        <v>1512</v>
      </c>
      <c r="J27" s="1832" t="s">
        <v>1513</v>
      </c>
      <c r="K27" s="1832" t="s">
        <v>1514</v>
      </c>
      <c r="L27" s="1831"/>
      <c r="M27" s="2106">
        <v>1</v>
      </c>
      <c r="N27" s="2105">
        <v>1</v>
      </c>
      <c r="O27" s="2105">
        <v>4</v>
      </c>
      <c r="P27" s="2105">
        <v>2.5</v>
      </c>
      <c r="Q27" s="2105">
        <v>2</v>
      </c>
      <c r="R27" s="2105">
        <v>3.7</v>
      </c>
      <c r="S27" s="2105">
        <v>3</v>
      </c>
      <c r="T27" s="2105">
        <v>2.1</v>
      </c>
      <c r="U27" s="2177">
        <v>1</v>
      </c>
      <c r="V27" s="2105">
        <v>2</v>
      </c>
      <c r="W27" s="2105">
        <v>1</v>
      </c>
      <c r="X27" s="2105">
        <v>2</v>
      </c>
      <c r="Y27" s="2105">
        <v>1</v>
      </c>
      <c r="Z27" s="2105"/>
      <c r="AA27" s="2105"/>
      <c r="AB27" s="2105"/>
      <c r="AC27" s="117"/>
      <c r="AD27" s="1333"/>
      <c r="AE27" s="1333"/>
      <c r="AF27" s="1333"/>
      <c r="AG27" s="1333"/>
      <c r="AH27" s="1333"/>
      <c r="AI27" s="1333"/>
      <c r="AJ27" s="1333"/>
      <c r="AK27" s="1333"/>
      <c r="AL27" s="1333"/>
      <c r="AM27" s="1334"/>
      <c r="AN27" s="1334"/>
      <c r="AO27" s="1666"/>
      <c r="AP27" s="1334"/>
      <c r="AQ27" s="1334"/>
      <c r="AR27" s="1334"/>
      <c r="AS27" s="1334"/>
      <c r="AT27" s="1334"/>
      <c r="AU27" s="1334"/>
      <c r="AV27" s="1334"/>
      <c r="AW27" s="1334"/>
      <c r="AX27" s="1334"/>
      <c r="AY27" s="1334"/>
      <c r="AZ27" s="1334"/>
      <c r="BA27" s="883"/>
      <c r="BB27" s="1140"/>
      <c r="BC27" s="1334"/>
      <c r="BD27" s="1334"/>
      <c r="BE27" s="1334"/>
      <c r="BF27" s="1334"/>
      <c r="BG27" s="1334"/>
      <c r="BH27" s="1334"/>
      <c r="BI27" s="1334"/>
      <c r="BJ27" s="1334"/>
      <c r="BK27" s="1334"/>
      <c r="BL27" s="1334"/>
      <c r="BO27" s="1644" t="s">
        <v>1404</v>
      </c>
      <c r="BP27" s="528" t="s">
        <v>1512</v>
      </c>
      <c r="BQ27" s="528" t="s">
        <v>1513</v>
      </c>
      <c r="BR27" s="528" t="s">
        <v>1514</v>
      </c>
    </row>
    <row r="28" spans="1:70" s="528" customFormat="1" ht="23">
      <c r="A28" s="1588" t="s">
        <v>67</v>
      </c>
      <c r="B28" s="1588"/>
      <c r="C28" s="1588"/>
      <c r="D28" s="1588"/>
      <c r="E28" s="2191"/>
      <c r="F28" s="1838"/>
      <c r="G28" s="1588"/>
      <c r="H28" s="1595"/>
      <c r="I28" s="1595"/>
      <c r="J28" s="1595"/>
      <c r="K28" s="1595"/>
      <c r="L28" s="1588"/>
      <c r="M28" s="2178"/>
      <c r="N28" s="2179"/>
      <c r="O28" s="2179"/>
      <c r="P28" s="2179"/>
      <c r="Q28" s="2179"/>
      <c r="R28" s="2179"/>
      <c r="S28" s="2179"/>
      <c r="T28" s="2180"/>
      <c r="U28" s="2181"/>
      <c r="V28" s="2180"/>
      <c r="W28" s="2180"/>
      <c r="X28" s="2180"/>
      <c r="Y28" s="2180"/>
      <c r="Z28" s="2180"/>
      <c r="AA28" s="2180"/>
      <c r="AB28" s="2180"/>
      <c r="AD28" s="1333"/>
      <c r="AE28" s="1333"/>
      <c r="AF28" s="1333"/>
      <c r="AG28" s="1333"/>
      <c r="AH28" s="1333"/>
      <c r="AI28" s="1333"/>
      <c r="AJ28" s="1333"/>
      <c r="AK28" s="1333"/>
      <c r="AL28" s="1333"/>
      <c r="AM28" s="1334"/>
      <c r="AN28" s="1334"/>
      <c r="AO28" s="1666"/>
      <c r="AP28" s="1334"/>
      <c r="AQ28" s="1334"/>
      <c r="AR28" s="1334"/>
      <c r="AS28" s="1334"/>
      <c r="AT28" s="1334"/>
      <c r="AU28" s="1334"/>
      <c r="AV28" s="1334"/>
      <c r="AW28" s="1334"/>
      <c r="AX28" s="1334"/>
      <c r="AY28" s="1334"/>
      <c r="AZ28" s="1333"/>
      <c r="BA28" s="883"/>
      <c r="BB28" s="1671"/>
      <c r="BC28" s="1346" t="s">
        <v>1080</v>
      </c>
      <c r="BD28" s="1334"/>
      <c r="BE28" s="1334"/>
      <c r="BF28" s="1334"/>
      <c r="BG28" s="1334"/>
      <c r="BH28" s="1334"/>
      <c r="BI28" s="1334"/>
      <c r="BJ28" s="1334"/>
      <c r="BK28" s="1334"/>
      <c r="BL28" s="1334"/>
      <c r="BO28" s="1644"/>
      <c r="BR28" s="1642"/>
    </row>
    <row r="29" spans="1:70" ht="23">
      <c r="A29" s="2213" t="s">
        <v>244</v>
      </c>
      <c r="B29" s="2216" t="s">
        <v>1417</v>
      </c>
      <c r="C29" s="760" t="s">
        <v>671</v>
      </c>
      <c r="D29" s="760" t="s">
        <v>916</v>
      </c>
      <c r="E29" s="2190"/>
      <c r="F29" s="1836"/>
      <c r="H29" s="1833"/>
      <c r="I29" s="1833"/>
      <c r="J29" s="1833"/>
      <c r="K29" s="1833"/>
      <c r="M29" s="2106"/>
      <c r="N29" s="2105"/>
      <c r="O29" s="2105"/>
      <c r="P29" s="2105"/>
      <c r="Q29" s="2105"/>
      <c r="R29" s="2105"/>
      <c r="S29" s="2105"/>
      <c r="T29" s="2105"/>
      <c r="U29" s="2177"/>
      <c r="V29" s="2105"/>
      <c r="W29" s="2105"/>
      <c r="X29" s="2105"/>
      <c r="Y29" s="2105"/>
      <c r="Z29" s="2105"/>
      <c r="AA29" s="2105"/>
      <c r="AB29" s="2105"/>
      <c r="AC29" s="117"/>
      <c r="AD29" s="1333"/>
      <c r="AE29" s="1333"/>
      <c r="AF29" s="1333"/>
      <c r="AG29" s="1333"/>
      <c r="AH29" s="1333"/>
      <c r="AI29" s="1333"/>
      <c r="AJ29" s="1333"/>
      <c r="AK29" s="1333"/>
      <c r="AL29" s="1333"/>
      <c r="AM29" s="1334"/>
      <c r="AN29" s="1334"/>
      <c r="AP29" s="1494"/>
      <c r="AQ29" s="1494" t="s">
        <v>1249</v>
      </c>
      <c r="AR29" s="1334"/>
      <c r="AS29" s="1334"/>
      <c r="AT29" s="1334"/>
      <c r="AU29" s="1334"/>
      <c r="AV29" s="1334"/>
      <c r="AW29" s="1334"/>
      <c r="AX29" s="1334"/>
      <c r="AY29" s="1334"/>
      <c r="AZ29" s="1333"/>
      <c r="BB29" s="1671"/>
      <c r="BC29" s="1346"/>
      <c r="BD29" s="1334"/>
      <c r="BE29" s="1334"/>
      <c r="BF29" s="1334"/>
      <c r="BG29" s="1334"/>
      <c r="BH29" s="1334"/>
      <c r="BI29" s="1334"/>
      <c r="BJ29" s="1334"/>
      <c r="BK29" s="1334"/>
      <c r="BL29" s="1334"/>
      <c r="BO29" s="1644"/>
      <c r="BP29" s="528"/>
      <c r="BQ29" s="528"/>
    </row>
    <row r="30" spans="1:70" s="528" customFormat="1" ht="26">
      <c r="A30" s="2213"/>
      <c r="B30" s="2216"/>
      <c r="C30" s="1433"/>
      <c r="D30" s="1433" t="s">
        <v>1366</v>
      </c>
      <c r="E30" s="2190">
        <v>4</v>
      </c>
      <c r="F30" s="1837">
        <v>4</v>
      </c>
      <c r="G30" s="117"/>
      <c r="H30" s="1832" t="s">
        <v>1405</v>
      </c>
      <c r="I30" s="1832" t="s">
        <v>1508</v>
      </c>
      <c r="J30" s="1832" t="s">
        <v>1509</v>
      </c>
      <c r="K30" s="1832" t="s">
        <v>1406</v>
      </c>
      <c r="L30" s="1831"/>
      <c r="M30" s="2106">
        <v>1</v>
      </c>
      <c r="N30" s="2105">
        <v>4</v>
      </c>
      <c r="O30" s="2105">
        <v>1</v>
      </c>
      <c r="P30" s="2105">
        <v>4</v>
      </c>
      <c r="Q30" s="2105">
        <v>4</v>
      </c>
      <c r="R30" s="2105">
        <v>2</v>
      </c>
      <c r="S30" s="2105">
        <v>3</v>
      </c>
      <c r="T30" s="2105">
        <v>4</v>
      </c>
      <c r="U30" s="2177">
        <v>4</v>
      </c>
      <c r="V30" s="2105">
        <v>4</v>
      </c>
      <c r="W30" s="2105">
        <v>3</v>
      </c>
      <c r="X30" s="2105">
        <v>3</v>
      </c>
      <c r="Y30" s="2105">
        <v>3</v>
      </c>
      <c r="Z30" s="2105"/>
      <c r="AA30" s="2105"/>
      <c r="AB30" s="2105"/>
      <c r="AC30"/>
      <c r="AD30" s="1333"/>
      <c r="AE30" s="1333"/>
      <c r="AF30" s="1333"/>
      <c r="AG30" s="1333"/>
      <c r="AH30" s="1333"/>
      <c r="AI30" s="1333"/>
      <c r="AJ30" s="1333"/>
      <c r="AK30" s="1333"/>
      <c r="AL30" s="1333"/>
      <c r="AM30" s="1335"/>
      <c r="AN30" s="1335"/>
      <c r="AO30" s="1666"/>
      <c r="AP30" s="1334"/>
      <c r="AQ30" s="1334"/>
      <c r="AR30" s="1335"/>
      <c r="AS30" s="1335"/>
      <c r="AT30" s="1335"/>
      <c r="AU30" s="1335"/>
      <c r="AV30" s="1335"/>
      <c r="AW30" s="1335"/>
      <c r="AX30" s="1335"/>
      <c r="AY30" s="1335"/>
      <c r="AZ30" s="1333"/>
      <c r="BA30" s="883"/>
      <c r="BB30" s="1371"/>
      <c r="BC30" s="1347" t="s">
        <v>1089</v>
      </c>
      <c r="BD30" s="1338"/>
      <c r="BE30" s="1359"/>
      <c r="BF30" s="1359"/>
      <c r="BG30" s="1358" t="str">
        <f>Preferences.EnergyUnits &amp; " / year"</f>
        <v>TWh / year</v>
      </c>
      <c r="BH30" s="1357">
        <v>2007</v>
      </c>
      <c r="BI30" s="1357">
        <v>2020</v>
      </c>
      <c r="BJ30" s="1357">
        <v>2030</v>
      </c>
      <c r="BK30" s="1357">
        <v>2050</v>
      </c>
      <c r="BL30" s="1334"/>
      <c r="BO30" s="1644" t="s">
        <v>1405</v>
      </c>
      <c r="BP30" s="528" t="s">
        <v>1508</v>
      </c>
      <c r="BQ30" s="528" t="s">
        <v>1509</v>
      </c>
      <c r="BR30" s="528" t="s">
        <v>1406</v>
      </c>
    </row>
    <row r="31" spans="1:70" s="528" customFormat="1" ht="26">
      <c r="A31" s="2213"/>
      <c r="B31" s="2216"/>
      <c r="C31" s="1433"/>
      <c r="D31" s="1433" t="s">
        <v>1842</v>
      </c>
      <c r="E31" s="2190">
        <v>3</v>
      </c>
      <c r="F31" s="1837">
        <v>4</v>
      </c>
      <c r="G31" s="117"/>
      <c r="H31" s="1832" t="s">
        <v>1843</v>
      </c>
      <c r="I31" s="1832" t="s">
        <v>1864</v>
      </c>
      <c r="J31" s="1832" t="s">
        <v>1865</v>
      </c>
      <c r="K31" s="1832" t="s">
        <v>1863</v>
      </c>
      <c r="L31" s="1831"/>
      <c r="M31" s="2106">
        <v>1</v>
      </c>
      <c r="N31" s="2105">
        <v>4</v>
      </c>
      <c r="O31" s="2105">
        <v>1</v>
      </c>
      <c r="P31" s="2105">
        <v>3</v>
      </c>
      <c r="Q31" s="2105">
        <v>4</v>
      </c>
      <c r="R31" s="2105">
        <v>3</v>
      </c>
      <c r="S31" s="2105">
        <v>2</v>
      </c>
      <c r="T31" s="2105">
        <v>3</v>
      </c>
      <c r="U31" s="2177">
        <v>4</v>
      </c>
      <c r="V31" s="2105">
        <v>4</v>
      </c>
      <c r="W31" s="2105">
        <v>4</v>
      </c>
      <c r="X31" s="2105">
        <v>3</v>
      </c>
      <c r="Y31" s="2105">
        <v>3</v>
      </c>
      <c r="Z31" s="2105"/>
      <c r="AA31" s="2105"/>
      <c r="AB31" s="2105"/>
      <c r="AC31"/>
      <c r="AD31" s="1333"/>
      <c r="AE31" s="1333"/>
      <c r="AF31" s="1333"/>
      <c r="AG31" s="1333"/>
      <c r="AH31" s="1333"/>
      <c r="AI31" s="1333"/>
      <c r="AJ31" s="1333"/>
      <c r="AK31" s="1333"/>
      <c r="AL31" s="1333"/>
      <c r="AM31" s="1335"/>
      <c r="AN31" s="1335"/>
      <c r="AO31" s="1666"/>
      <c r="AP31" s="1334"/>
      <c r="AQ31" s="1334"/>
      <c r="AR31" s="1335"/>
      <c r="AS31" s="1335"/>
      <c r="AT31" s="1335"/>
      <c r="AU31" s="1335"/>
      <c r="AV31" s="1335"/>
      <c r="AW31" s="1335"/>
      <c r="AX31" s="1335"/>
      <c r="AY31" s="1335"/>
      <c r="AZ31" s="1333"/>
      <c r="BA31" s="883"/>
      <c r="BB31" s="1371"/>
      <c r="BC31" s="1371"/>
      <c r="BD31" s="1534"/>
      <c r="BE31" s="1535"/>
      <c r="BF31" s="1535"/>
      <c r="BG31" s="1478"/>
      <c r="BH31" s="1479"/>
      <c r="BI31" s="1479"/>
      <c r="BJ31" s="1479"/>
      <c r="BK31" s="1479"/>
      <c r="BL31" s="1334"/>
      <c r="BO31" s="1644" t="s">
        <v>1843</v>
      </c>
      <c r="BP31" s="528" t="s">
        <v>1844</v>
      </c>
      <c r="BQ31" s="528" t="s">
        <v>1845</v>
      </c>
      <c r="BR31" s="528" t="s">
        <v>1846</v>
      </c>
    </row>
    <row r="32" spans="1:70" s="528" customFormat="1" ht="26">
      <c r="A32" s="2213"/>
      <c r="B32" s="2216"/>
      <c r="C32" s="1433"/>
      <c r="D32" s="1433" t="s">
        <v>1885</v>
      </c>
      <c r="E32" s="2190">
        <v>1</v>
      </c>
      <c r="F32" s="1837" t="s">
        <v>981</v>
      </c>
      <c r="G32" s="1826"/>
      <c r="H32" s="1832" t="s">
        <v>1886</v>
      </c>
      <c r="I32" s="1832" t="s">
        <v>1887</v>
      </c>
      <c r="J32" s="1832" t="s">
        <v>1888</v>
      </c>
      <c r="K32" s="1832" t="s">
        <v>1889</v>
      </c>
      <c r="L32" s="1831"/>
      <c r="M32" s="2106">
        <v>1</v>
      </c>
      <c r="N32" s="2105">
        <v>2</v>
      </c>
      <c r="O32" s="2105">
        <v>2</v>
      </c>
      <c r="P32" s="2105">
        <v>1</v>
      </c>
      <c r="Q32" s="2105">
        <v>2</v>
      </c>
      <c r="R32" s="2105">
        <v>2</v>
      </c>
      <c r="S32" s="2105">
        <v>2</v>
      </c>
      <c r="T32" s="2105">
        <v>1</v>
      </c>
      <c r="U32" s="2177">
        <v>2</v>
      </c>
      <c r="V32" s="2105">
        <v>1</v>
      </c>
      <c r="W32" s="2105">
        <v>2</v>
      </c>
      <c r="X32" s="2105">
        <v>1</v>
      </c>
      <c r="Y32" s="2105">
        <v>2</v>
      </c>
      <c r="Z32" s="2105"/>
      <c r="AA32" s="2105"/>
      <c r="AB32" s="2105"/>
      <c r="AC32" s="1826"/>
      <c r="AD32" s="1333"/>
      <c r="AE32" s="1333"/>
      <c r="AF32" s="1333"/>
      <c r="AG32" s="1333"/>
      <c r="AH32" s="1333"/>
      <c r="AI32" s="1333"/>
      <c r="AJ32" s="1333"/>
      <c r="AK32" s="1333"/>
      <c r="AL32" s="1333"/>
      <c r="AM32" s="1335"/>
      <c r="AN32" s="1335"/>
      <c r="AO32" s="1826"/>
      <c r="AP32" s="1334"/>
      <c r="AQ32" s="1334"/>
      <c r="AR32" s="1335"/>
      <c r="AS32" s="1335"/>
      <c r="AT32" s="1335"/>
      <c r="AU32" s="1335"/>
      <c r="AV32" s="1335"/>
      <c r="AW32" s="1335"/>
      <c r="AX32" s="1335"/>
      <c r="AY32" s="1335"/>
      <c r="AZ32" s="1333"/>
      <c r="BA32" s="883"/>
      <c r="BB32" s="1371"/>
      <c r="BC32" s="1371"/>
      <c r="BD32" s="1534"/>
      <c r="BE32" s="1535"/>
      <c r="BF32" s="1535"/>
      <c r="BG32" s="1478"/>
      <c r="BH32" s="1479"/>
      <c r="BI32" s="1479"/>
      <c r="BJ32" s="1479"/>
      <c r="BK32" s="1479"/>
      <c r="BL32" s="1334"/>
      <c r="BO32" s="2089" t="s">
        <v>1847</v>
      </c>
      <c r="BP32" s="528" t="s">
        <v>1848</v>
      </c>
      <c r="BQ32" s="528" t="s">
        <v>1849</v>
      </c>
      <c r="BR32" s="528" t="s">
        <v>1850</v>
      </c>
    </row>
    <row r="33" spans="1:70" s="528" customFormat="1" ht="26">
      <c r="A33" s="2213"/>
      <c r="B33" s="2216"/>
      <c r="C33" s="760" t="s">
        <v>684</v>
      </c>
      <c r="D33" s="760" t="s">
        <v>917</v>
      </c>
      <c r="E33" s="2190">
        <v>4</v>
      </c>
      <c r="F33" s="1836">
        <v>4</v>
      </c>
      <c r="G33"/>
      <c r="H33" s="1832" t="s">
        <v>1243</v>
      </c>
      <c r="I33" s="1832" t="s">
        <v>1258</v>
      </c>
      <c r="J33" s="1832" t="s">
        <v>1287</v>
      </c>
      <c r="K33" s="1832" t="s">
        <v>1356</v>
      </c>
      <c r="L33" s="1831"/>
      <c r="M33" s="2106">
        <v>1</v>
      </c>
      <c r="N33" s="2105">
        <v>4</v>
      </c>
      <c r="O33" s="2105">
        <v>1</v>
      </c>
      <c r="P33" s="2105">
        <v>4</v>
      </c>
      <c r="Q33" s="2105">
        <v>3</v>
      </c>
      <c r="R33" s="2105">
        <v>2</v>
      </c>
      <c r="S33" s="2105">
        <v>3</v>
      </c>
      <c r="T33" s="2105">
        <v>4</v>
      </c>
      <c r="U33" s="2177">
        <v>4</v>
      </c>
      <c r="V33" s="2105">
        <v>4</v>
      </c>
      <c r="W33" s="2105">
        <v>2</v>
      </c>
      <c r="X33" s="2105">
        <v>3</v>
      </c>
      <c r="Y33" s="2105">
        <v>4</v>
      </c>
      <c r="Z33" s="2105"/>
      <c r="AA33" s="2105"/>
      <c r="AB33" s="2105"/>
      <c r="AC33" s="117"/>
      <c r="AD33" s="1333"/>
      <c r="AE33" s="1333"/>
      <c r="AF33" s="1333"/>
      <c r="AG33" s="1333"/>
      <c r="AH33" s="1333"/>
      <c r="AI33" s="1333"/>
      <c r="AJ33" s="1333"/>
      <c r="AK33" s="1333"/>
      <c r="AL33" s="1333"/>
      <c r="AM33" s="1335"/>
      <c r="AN33" s="1335"/>
      <c r="AO33" s="1666"/>
      <c r="AP33" s="1335"/>
      <c r="AQ33" s="1379" t="s">
        <v>1099</v>
      </c>
      <c r="AR33" s="1334"/>
      <c r="AS33" s="1334"/>
      <c r="AT33" s="1334"/>
      <c r="AU33" s="1334"/>
      <c r="AV33" s="1334"/>
      <c r="AW33" s="1334"/>
      <c r="AX33" s="1334"/>
      <c r="AY33" s="1334"/>
      <c r="AZ33" s="1333"/>
      <c r="BA33" s="883"/>
      <c r="BB33" s="1672"/>
      <c r="BC33" s="1348" t="s">
        <v>1096</v>
      </c>
      <c r="BD33" s="1337"/>
      <c r="BE33" s="1337"/>
      <c r="BF33" s="1336"/>
      <c r="BG33" s="1337"/>
      <c r="BH33" s="1356">
        <f ca="1">-(INDEX(INDIRECT(BH$30&amp;"!Year.Matrix"),MATCH("Subtotal.Supply",INDIRECT(BH$30&amp;"!Year.Modules"),0),MATCH("V.05",INDIRECT(BH$30&amp;"!Year.Vectors"),0))+INDEX(INDIRECT(BH$30&amp;"!Year.Matrix"),MATCH("Subtotal.Consumption",INDIRECT(BH$30&amp;"!Year.Modules"),0),MATCH("V.05",INDIRECT(BH$30&amp;"!Year.Vectors"),0)))</f>
        <v>0</v>
      </c>
      <c r="BI33" s="1356" t="e">
        <f ca="1">-(INDEX(INDIRECT(BI$30&amp;"!Year.Matrix"),MATCH("Subtotal.Supply",INDIRECT(BI$30&amp;"!Year.Modules"),0),MATCH("V.05",INDIRECT(BI$30&amp;"!Year.Vectors"),0))+INDEX(INDIRECT(BI$30&amp;"!Year.Matrix"),MATCH("Subtotal.Consumption",INDIRECT(BI$30&amp;"!Year.Modules"),0),MATCH("V.05",INDIRECT(BI$30&amp;"!Year.Vectors"),0)))</f>
        <v>#REF!</v>
      </c>
      <c r="BJ33" s="1356" t="e">
        <f ca="1">-(INDEX(INDIRECT(BJ$30&amp;"!Year.Matrix"),MATCH("Subtotal.Supply",INDIRECT(BJ$30&amp;"!Year.Modules"),0),MATCH("V.05",INDIRECT(BJ$30&amp;"!Year.Vectors"),0))+INDEX(INDIRECT(BJ$30&amp;"!Year.Matrix"),MATCH("Subtotal.Consumption",INDIRECT(BJ$30&amp;"!Year.Modules"),0),MATCH("V.05",INDIRECT(BJ$30&amp;"!Year.Vectors"),0)))</f>
        <v>#REF!</v>
      </c>
      <c r="BK33" s="1356" t="e">
        <f ca="1">-(INDEX(INDIRECT(BK$30&amp;"!Year.Matrix"),MATCH("Subtotal.Supply",INDIRECT(BK$30&amp;"!Year.Modules"),0),MATCH("V.05",INDIRECT(BK$30&amp;"!Year.Vectors"),0))+INDEX(INDIRECT(BK$30&amp;"!Year.Matrix"),MATCH("Subtotal.Consumption",INDIRECT(BK$30&amp;"!Year.Modules"),0),MATCH("V.05",INDIRECT(BK$30&amp;"!Year.Vectors"),0)))</f>
        <v>#REF!</v>
      </c>
      <c r="BL33" s="1334"/>
      <c r="BO33" s="1644" t="s">
        <v>1243</v>
      </c>
      <c r="BP33" s="528" t="s">
        <v>1258</v>
      </c>
      <c r="BQ33" s="528" t="s">
        <v>1287</v>
      </c>
      <c r="BR33" s="528" t="s">
        <v>1356</v>
      </c>
    </row>
    <row r="34" spans="1:70" s="528" customFormat="1" ht="23">
      <c r="A34" s="2213"/>
      <c r="B34" s="2216" t="s">
        <v>1418</v>
      </c>
      <c r="C34" s="760" t="s">
        <v>687</v>
      </c>
      <c r="D34" s="760" t="s">
        <v>711</v>
      </c>
      <c r="E34" s="2190">
        <v>1</v>
      </c>
      <c r="F34" s="1836">
        <v>4</v>
      </c>
      <c r="G34"/>
      <c r="H34" s="1832" t="s">
        <v>1866</v>
      </c>
      <c r="I34" s="1832" t="s">
        <v>1867</v>
      </c>
      <c r="J34" s="1832" t="s">
        <v>1868</v>
      </c>
      <c r="K34" s="1832" t="s">
        <v>1869</v>
      </c>
      <c r="L34" s="1831"/>
      <c r="M34" s="2106">
        <v>1</v>
      </c>
      <c r="N34" s="2105">
        <v>4</v>
      </c>
      <c r="O34" s="2105">
        <v>1</v>
      </c>
      <c r="P34" s="2105">
        <v>1</v>
      </c>
      <c r="Q34" s="2105">
        <v>2</v>
      </c>
      <c r="R34" s="2105">
        <v>2</v>
      </c>
      <c r="S34" s="2105">
        <v>2</v>
      </c>
      <c r="T34" s="2105">
        <v>1</v>
      </c>
      <c r="U34" s="2177">
        <v>4</v>
      </c>
      <c r="V34" s="2105">
        <v>4</v>
      </c>
      <c r="W34" s="2105">
        <v>4</v>
      </c>
      <c r="X34" s="2105">
        <v>2</v>
      </c>
      <c r="Y34" s="2105">
        <v>2</v>
      </c>
      <c r="Z34" s="2105"/>
      <c r="AA34" s="2105"/>
      <c r="AB34" s="2105"/>
      <c r="AC34" s="117"/>
      <c r="AD34" s="1333"/>
      <c r="AE34" s="1333"/>
      <c r="AF34" s="1333"/>
      <c r="AG34" s="1333"/>
      <c r="AH34" s="1333"/>
      <c r="AI34" s="1333"/>
      <c r="AJ34" s="1333"/>
      <c r="AK34" s="1333"/>
      <c r="AL34" s="1333"/>
      <c r="AM34" s="1335"/>
      <c r="AN34" s="1335"/>
      <c r="AO34" s="1666"/>
      <c r="AP34" s="1669"/>
      <c r="AQ34" s="1669"/>
      <c r="AR34" s="1669"/>
      <c r="AS34" s="1669"/>
      <c r="AT34" s="1669"/>
      <c r="AU34" s="1669"/>
      <c r="AV34" s="1669"/>
      <c r="AW34" s="1669"/>
      <c r="AX34" s="1669"/>
      <c r="AY34" s="1669"/>
      <c r="AZ34" s="1333"/>
      <c r="BA34" s="883"/>
      <c r="BB34" s="1673"/>
      <c r="BC34" s="1673" t="s">
        <v>564</v>
      </c>
      <c r="BD34" s="1678" t="s">
        <v>1196</v>
      </c>
      <c r="BE34" s="1317"/>
      <c r="BF34" s="1317"/>
      <c r="BG34" s="1317"/>
      <c r="BH34" s="1679" t="e">
        <f ca="1">INDEX(INDIRECT(BH$30&amp;"!Year.Matrix"),MATCH($BC34,INDIRECT(BH$30&amp;"!Year.Modules"),0),MATCH("V.05",INDIRECT(BH$30&amp;"!Year.Vectors"),0))/BH$33</f>
        <v>#DIV/0!</v>
      </c>
      <c r="BI34" s="1679" t="e">
        <f ca="1">INDEX(INDIRECT(BI$30&amp;"!Year.Matrix"),MATCH($BC34,INDIRECT(BI$30&amp;"!Year.Modules"),0),MATCH("V.05",INDIRECT(BI$30&amp;"!Year.Vectors"),0))/BI$33</f>
        <v>#REF!</v>
      </c>
      <c r="BJ34" s="1679" t="e">
        <f ca="1">INDEX(INDIRECT(BJ$30&amp;"!Year.Matrix"),MATCH($BC34,INDIRECT(BJ$30&amp;"!Year.Modules"),0),MATCH("V.05",INDIRECT(BJ$30&amp;"!Year.Vectors"),0))/BJ$33</f>
        <v>#REF!</v>
      </c>
      <c r="BK34" s="1679" t="e">
        <f ca="1">INDEX(INDIRECT(BK$30&amp;"!Year.Matrix"),MATCH($BC34,INDIRECT(BK$30&amp;"!Year.Modules"),0),MATCH("V.05",INDIRECT(BK$30&amp;"!Year.Vectors"),0))/BK$33</f>
        <v>#REF!</v>
      </c>
      <c r="BL34" s="1334"/>
      <c r="BO34" s="1644" t="s">
        <v>1870</v>
      </c>
      <c r="BP34" s="528" t="s">
        <v>1871</v>
      </c>
      <c r="BQ34" s="528" t="s">
        <v>1872</v>
      </c>
      <c r="BR34" s="528" t="s">
        <v>1873</v>
      </c>
    </row>
    <row r="35" spans="1:70" s="601" customFormat="1" ht="26">
      <c r="A35" s="2213"/>
      <c r="B35" s="2216"/>
      <c r="C35" s="760" t="s">
        <v>713</v>
      </c>
      <c r="D35" s="760" t="s">
        <v>723</v>
      </c>
      <c r="E35" s="2190">
        <v>1</v>
      </c>
      <c r="F35" s="1836">
        <v>4</v>
      </c>
      <c r="G35"/>
      <c r="H35" s="1832" t="s">
        <v>1851</v>
      </c>
      <c r="I35" s="1832" t="s">
        <v>1852</v>
      </c>
      <c r="J35" s="1832" t="s">
        <v>1853</v>
      </c>
      <c r="K35" s="1832" t="s">
        <v>1854</v>
      </c>
      <c r="L35" s="1831"/>
      <c r="M35" s="2106">
        <v>1</v>
      </c>
      <c r="N35" s="2105">
        <v>4</v>
      </c>
      <c r="O35" s="2105">
        <v>1</v>
      </c>
      <c r="P35" s="2105">
        <v>1</v>
      </c>
      <c r="Q35" s="2105">
        <v>2</v>
      </c>
      <c r="R35" s="2105">
        <v>2</v>
      </c>
      <c r="S35" s="2105">
        <v>2</v>
      </c>
      <c r="T35" s="2105">
        <v>1</v>
      </c>
      <c r="U35" s="2177">
        <v>4</v>
      </c>
      <c r="V35" s="2105">
        <v>3</v>
      </c>
      <c r="W35" s="2105">
        <v>4</v>
      </c>
      <c r="X35" s="2105">
        <v>3</v>
      </c>
      <c r="Y35" s="2105">
        <v>4</v>
      </c>
      <c r="Z35" s="2105"/>
      <c r="AA35" s="2105"/>
      <c r="AB35" s="2105"/>
      <c r="AC35"/>
      <c r="AD35" s="1333"/>
      <c r="AE35" s="1333"/>
      <c r="AF35" s="1333"/>
      <c r="AG35" s="1333"/>
      <c r="AH35" s="1333"/>
      <c r="AI35" s="1333"/>
      <c r="AJ35" s="1333"/>
      <c r="AK35" s="1333"/>
      <c r="AL35" s="1333"/>
      <c r="AM35" s="1334"/>
      <c r="AN35" s="1334"/>
      <c r="AO35" s="1666"/>
      <c r="AP35" s="1534"/>
      <c r="AQ35" s="1338" t="s">
        <v>184</v>
      </c>
      <c r="AR35" s="1338"/>
      <c r="AS35" s="1306"/>
      <c r="AT35" s="1306"/>
      <c r="AU35" s="1306"/>
      <c r="AV35" s="1360">
        <v>2007</v>
      </c>
      <c r="AW35" s="1360">
        <v>2050</v>
      </c>
      <c r="AX35" s="1488" t="s">
        <v>1200</v>
      </c>
      <c r="AY35" s="1488"/>
      <c r="AZ35" s="1333"/>
      <c r="BA35" s="883"/>
      <c r="BB35" s="1370"/>
      <c r="BC35" s="1370" t="s">
        <v>655</v>
      </c>
      <c r="BD35" s="1371" t="s">
        <v>1098</v>
      </c>
      <c r="BE35" s="1190"/>
      <c r="BF35" s="1190"/>
      <c r="BG35" s="1190"/>
      <c r="BH35" s="1372" t="e">
        <f t="shared" ref="BH35:BK39" ca="1" si="1">-INDEX(INDIRECT(BH$30&amp;"!Year.Matrix"),MATCH($BC35,INDIRECT(BH$30&amp;"!Year.Modules"),0),MATCH("V.05",INDIRECT(BH$30&amp;"!Year.Vectors"),0))/BH$33</f>
        <v>#DIV/0!</v>
      </c>
      <c r="BI35" s="1372" t="e">
        <f t="shared" ca="1" si="1"/>
        <v>#REF!</v>
      </c>
      <c r="BJ35" s="1372" t="e">
        <f t="shared" ca="1" si="1"/>
        <v>#REF!</v>
      </c>
      <c r="BK35" s="1372" t="e">
        <f t="shared" ca="1" si="1"/>
        <v>#REF!</v>
      </c>
      <c r="BL35" s="1334"/>
      <c r="BO35" s="1468" t="s">
        <v>1851</v>
      </c>
      <c r="BP35" s="1468" t="s">
        <v>1852</v>
      </c>
      <c r="BQ35" s="1468" t="s">
        <v>1853</v>
      </c>
      <c r="BR35" s="1468" t="s">
        <v>1854</v>
      </c>
    </row>
    <row r="36" spans="1:70" s="601" customFormat="1" ht="15">
      <c r="A36" s="2213" t="s">
        <v>647</v>
      </c>
      <c r="B36" s="2216" t="s">
        <v>1419</v>
      </c>
      <c r="C36" s="760" t="s">
        <v>655</v>
      </c>
      <c r="D36" s="760" t="s">
        <v>892</v>
      </c>
      <c r="E36" s="2190"/>
      <c r="F36" s="1836"/>
      <c r="G36"/>
      <c r="H36" s="1832"/>
      <c r="I36" s="1832"/>
      <c r="J36" s="1832"/>
      <c r="K36" s="1832"/>
      <c r="L36" s="1831"/>
      <c r="M36" s="2106"/>
      <c r="N36" s="2105"/>
      <c r="O36" s="2105"/>
      <c r="P36" s="2105"/>
      <c r="Q36" s="2105"/>
      <c r="R36" s="2105"/>
      <c r="S36" s="2105"/>
      <c r="T36" s="2105"/>
      <c r="U36" s="2177"/>
      <c r="V36" s="2105"/>
      <c r="W36" s="2105"/>
      <c r="X36" s="2105"/>
      <c r="Y36" s="2105"/>
      <c r="Z36" s="2105"/>
      <c r="AA36" s="2105"/>
      <c r="AB36" s="2105"/>
      <c r="AC36"/>
      <c r="AD36" s="1333"/>
      <c r="AE36" s="1333"/>
      <c r="AF36" s="1333"/>
      <c r="AG36" s="1333"/>
      <c r="AH36" s="1333"/>
      <c r="AI36" s="1333"/>
      <c r="AJ36" s="1333"/>
      <c r="AK36" s="1333"/>
      <c r="AL36" s="1333"/>
      <c r="AM36" s="1334"/>
      <c r="AN36" s="1334"/>
      <c r="AO36" s="1666"/>
      <c r="AP36" s="1370"/>
      <c r="AQ36" s="1339" t="s">
        <v>68</v>
      </c>
      <c r="AR36" s="1337" t="str">
        <f>INDEX(Workstreams[Workstream], MATCH($AQ36, Workstreams[Code], 0))</f>
        <v>Hydrocarbon fuel power generation</v>
      </c>
      <c r="AS36" s="1334"/>
      <c r="AT36" s="1336"/>
      <c r="AU36" s="1337"/>
      <c r="AV36" s="1486">
        <f t="shared" ref="AV36:AW42" ca="1" si="2">SUMIFS(INDIRECT("'"&amp;AV$35&amp;"'!Year.EmissionsBySector"), INDIRECT("'"&amp;AV$35&amp;"'!Year.Modules"),$AQ36)</f>
        <v>0</v>
      </c>
      <c r="AW36" s="1486" t="e">
        <f t="shared" ca="1" si="2"/>
        <v>#REF!</v>
      </c>
      <c r="AX36" s="1489" t="e">
        <f ca="1">AW36*'Intermediate output'!$AY$155/'Intermediate output'!$F$205</f>
        <v>#REF!</v>
      </c>
      <c r="AY36" s="1333"/>
      <c r="AZ36" s="1333"/>
      <c r="BA36" s="883"/>
      <c r="BB36" s="1370"/>
      <c r="BC36" s="1370" t="s">
        <v>701</v>
      </c>
      <c r="BD36" s="1371" t="s">
        <v>1097</v>
      </c>
      <c r="BE36" s="1190"/>
      <c r="BF36" s="1190"/>
      <c r="BG36" s="1190"/>
      <c r="BH36" s="1372" t="e">
        <f t="shared" ca="1" si="1"/>
        <v>#DIV/0!</v>
      </c>
      <c r="BI36" s="1372" t="e">
        <f t="shared" ca="1" si="1"/>
        <v>#REF!</v>
      </c>
      <c r="BJ36" s="1372" t="e">
        <f t="shared" ca="1" si="1"/>
        <v>#REF!</v>
      </c>
      <c r="BK36" s="1372" t="e">
        <f t="shared" ca="1" si="1"/>
        <v>#REF!</v>
      </c>
      <c r="BL36" s="1334"/>
      <c r="BO36" s="1644"/>
      <c r="BP36" s="528"/>
      <c r="BQ36" s="528"/>
      <c r="BR36" s="1642"/>
    </row>
    <row r="37" spans="1:70" s="601" customFormat="1" ht="26">
      <c r="A37" s="2213"/>
      <c r="B37" s="2216"/>
      <c r="C37" s="1432"/>
      <c r="D37" s="1433" t="s">
        <v>1367</v>
      </c>
      <c r="E37" s="2192">
        <v>4</v>
      </c>
      <c r="F37" s="1837">
        <v>4</v>
      </c>
      <c r="G37" s="242"/>
      <c r="H37" s="1832" t="s">
        <v>1225</v>
      </c>
      <c r="I37" s="1832" t="s">
        <v>1226</v>
      </c>
      <c r="J37" s="1832" t="s">
        <v>1227</v>
      </c>
      <c r="K37" s="1832" t="s">
        <v>1357</v>
      </c>
      <c r="L37" s="242"/>
      <c r="M37" s="2182">
        <v>1</v>
      </c>
      <c r="N37" s="2107">
        <v>4</v>
      </c>
      <c r="O37" s="2107">
        <v>1</v>
      </c>
      <c r="P37" s="2105">
        <v>4</v>
      </c>
      <c r="Q37" s="2107">
        <v>4</v>
      </c>
      <c r="R37" s="2105">
        <v>2</v>
      </c>
      <c r="S37" s="2107">
        <v>3</v>
      </c>
      <c r="T37" s="2105">
        <v>4</v>
      </c>
      <c r="U37" s="2177">
        <v>3</v>
      </c>
      <c r="V37" s="2105">
        <v>3</v>
      </c>
      <c r="W37" s="2105">
        <v>4</v>
      </c>
      <c r="X37" s="2105">
        <v>2</v>
      </c>
      <c r="Y37" s="2105">
        <v>2</v>
      </c>
      <c r="Z37" s="2105"/>
      <c r="AA37" s="2105"/>
      <c r="AB37" s="2105"/>
      <c r="AC37"/>
      <c r="AD37" s="1333"/>
      <c r="AE37" s="1333"/>
      <c r="AF37" s="1333"/>
      <c r="AG37" s="1333"/>
      <c r="AH37" s="1333"/>
      <c r="AI37" s="1333"/>
      <c r="AJ37" s="1333"/>
      <c r="AK37" s="1333"/>
      <c r="AL37" s="1333"/>
      <c r="AM37" s="1334"/>
      <c r="AN37" s="1334"/>
      <c r="AO37" s="1666"/>
      <c r="AP37" s="1370"/>
      <c r="AQ37" s="1339" t="s">
        <v>564</v>
      </c>
      <c r="AR37" s="1337" t="str">
        <f>INDEX(Workstreams[Workstream], MATCH($AQ37, Workstreams[Code], 0))</f>
        <v>Bioenergy</v>
      </c>
      <c r="AS37" s="1334"/>
      <c r="AT37" s="1336"/>
      <c r="AU37" s="1337"/>
      <c r="AV37" s="1486">
        <f t="shared" ca="1" si="2"/>
        <v>0</v>
      </c>
      <c r="AW37" s="1486" t="e">
        <f t="shared" ca="1" si="2"/>
        <v>#REF!</v>
      </c>
      <c r="AX37" s="1489" t="e">
        <f ca="1">AW37*'Intermediate output'!$AY$155/'Intermediate output'!$F$205</f>
        <v>#REF!</v>
      </c>
      <c r="AY37" s="1333"/>
      <c r="AZ37" s="1333"/>
      <c r="BA37" s="883"/>
      <c r="BB37" s="1370"/>
      <c r="BC37" s="1370" t="s">
        <v>571</v>
      </c>
      <c r="BD37" s="1371" t="s">
        <v>1328</v>
      </c>
      <c r="BE37" s="1190"/>
      <c r="BF37" s="1190"/>
      <c r="BG37" s="1190"/>
      <c r="BH37" s="1372" t="e">
        <f t="shared" ca="1" si="1"/>
        <v>#DIV/0!</v>
      </c>
      <c r="BI37" s="1372" t="e">
        <f t="shared" ca="1" si="1"/>
        <v>#REF!</v>
      </c>
      <c r="BJ37" s="1372" t="e">
        <f t="shared" ca="1" si="1"/>
        <v>#REF!</v>
      </c>
      <c r="BK37" s="1372" t="e">
        <f t="shared" ca="1" si="1"/>
        <v>#REF!</v>
      </c>
      <c r="BL37" s="1334"/>
      <c r="BO37" s="1644" t="s">
        <v>1225</v>
      </c>
      <c r="BP37" s="528" t="s">
        <v>1226</v>
      </c>
      <c r="BQ37" s="528" t="s">
        <v>1227</v>
      </c>
      <c r="BR37" s="528" t="s">
        <v>1357</v>
      </c>
    </row>
    <row r="38" spans="1:70" s="601" customFormat="1" ht="26">
      <c r="A38" s="2213"/>
      <c r="B38" s="2216"/>
      <c r="C38" s="1432"/>
      <c r="D38" s="1433" t="s">
        <v>1368</v>
      </c>
      <c r="E38" s="2192">
        <v>3</v>
      </c>
      <c r="F38" s="1837">
        <v>4</v>
      </c>
      <c r="G38" s="242"/>
      <c r="H38" s="1832" t="s">
        <v>1917</v>
      </c>
      <c r="I38" s="1832" t="s">
        <v>1918</v>
      </c>
      <c r="J38" s="1832" t="s">
        <v>1919</v>
      </c>
      <c r="K38" s="1832" t="s">
        <v>1920</v>
      </c>
      <c r="L38" s="242"/>
      <c r="M38" s="2182">
        <v>1</v>
      </c>
      <c r="N38" s="2107">
        <v>4</v>
      </c>
      <c r="O38" s="2107">
        <v>1</v>
      </c>
      <c r="P38" s="2105">
        <v>3</v>
      </c>
      <c r="Q38" s="2107">
        <v>4</v>
      </c>
      <c r="R38" s="2105">
        <v>3</v>
      </c>
      <c r="S38" s="2107">
        <v>3</v>
      </c>
      <c r="T38" s="2105">
        <v>3</v>
      </c>
      <c r="U38" s="2177">
        <v>4</v>
      </c>
      <c r="V38" s="2105">
        <v>4</v>
      </c>
      <c r="W38" s="2105">
        <v>2</v>
      </c>
      <c r="X38" s="2105">
        <v>3</v>
      </c>
      <c r="Y38" s="2105">
        <v>4</v>
      </c>
      <c r="Z38" s="2105"/>
      <c r="AA38" s="2105"/>
      <c r="AB38" s="2105"/>
      <c r="AC38"/>
      <c r="AD38" s="1333"/>
      <c r="AE38" s="1333"/>
      <c r="AF38" s="1333"/>
      <c r="AG38" s="1333"/>
      <c r="AH38" s="1333"/>
      <c r="AI38" s="1333"/>
      <c r="AJ38" s="1333"/>
      <c r="AK38" s="1333"/>
      <c r="AL38" s="1333"/>
      <c r="AM38" s="1334"/>
      <c r="AN38" s="1334"/>
      <c r="AO38" s="1666"/>
      <c r="AP38" s="1370"/>
      <c r="AQ38" s="1339" t="s">
        <v>568</v>
      </c>
      <c r="AR38" s="1337" t="str">
        <f>INDEX(Workstreams[Workstream], MATCH($AQ38, Workstreams[Code], 0))</f>
        <v>Geosequestration</v>
      </c>
      <c r="AS38" s="1334"/>
      <c r="AT38" s="1336"/>
      <c r="AU38" s="1337"/>
      <c r="AV38" s="1486">
        <f t="shared" ca="1" si="2"/>
        <v>0</v>
      </c>
      <c r="AW38" s="1486" t="e">
        <f t="shared" ca="1" si="2"/>
        <v>#REF!</v>
      </c>
      <c r="AX38" s="1489" t="e">
        <f ca="1">AW38*'Intermediate output'!$AY$155/'Intermediate output'!$F$205</f>
        <v>#REF!</v>
      </c>
      <c r="AY38" s="1333"/>
      <c r="AZ38" s="1333"/>
      <c r="BA38" s="883"/>
      <c r="BB38" s="1370"/>
      <c r="BC38" s="1370" t="s">
        <v>621</v>
      </c>
      <c r="BD38" s="1371" t="s">
        <v>1329</v>
      </c>
      <c r="BE38" s="1190"/>
      <c r="BF38" s="1190"/>
      <c r="BG38" s="1190"/>
      <c r="BH38" s="1372" t="e">
        <f t="shared" ca="1" si="1"/>
        <v>#DIV/0!</v>
      </c>
      <c r="BI38" s="1372" t="e">
        <f t="shared" ca="1" si="1"/>
        <v>#REF!</v>
      </c>
      <c r="BJ38" s="1372" t="e">
        <f t="shared" ca="1" si="1"/>
        <v>#REF!</v>
      </c>
      <c r="BK38" s="1372" t="e">
        <f t="shared" ca="1" si="1"/>
        <v>#REF!</v>
      </c>
      <c r="BL38" s="1334"/>
      <c r="BO38" s="1644" t="s">
        <v>1917</v>
      </c>
      <c r="BP38" s="528" t="s">
        <v>1918</v>
      </c>
      <c r="BQ38" s="528" t="s">
        <v>1919</v>
      </c>
      <c r="BR38" s="528" t="s">
        <v>1920</v>
      </c>
    </row>
    <row r="39" spans="1:70" s="601" customFormat="1" ht="26">
      <c r="A39" s="2213"/>
      <c r="B39" s="2216"/>
      <c r="C39" s="1432"/>
      <c r="D39" s="1433" t="s">
        <v>1369</v>
      </c>
      <c r="E39" s="2192">
        <v>3</v>
      </c>
      <c r="F39" s="1837" t="s">
        <v>981</v>
      </c>
      <c r="G39" s="242"/>
      <c r="H39" s="1832" t="s">
        <v>1286</v>
      </c>
      <c r="I39" s="1832" t="s">
        <v>1525</v>
      </c>
      <c r="J39" s="1832" t="s">
        <v>1526</v>
      </c>
      <c r="K39" s="1832" t="s">
        <v>1527</v>
      </c>
      <c r="L39" s="242"/>
      <c r="M39" s="2182">
        <v>1</v>
      </c>
      <c r="N39" s="2107">
        <v>4</v>
      </c>
      <c r="O39" s="2107">
        <v>1</v>
      </c>
      <c r="P39" s="2105">
        <v>3</v>
      </c>
      <c r="Q39" s="2107">
        <v>4</v>
      </c>
      <c r="R39" s="2105">
        <v>3</v>
      </c>
      <c r="S39" s="2107">
        <v>3</v>
      </c>
      <c r="T39" s="2105">
        <v>4</v>
      </c>
      <c r="U39" s="2177">
        <v>3</v>
      </c>
      <c r="V39" s="2105">
        <v>3</v>
      </c>
      <c r="W39" s="2105">
        <v>3</v>
      </c>
      <c r="X39" s="2105">
        <v>4</v>
      </c>
      <c r="Y39" s="2105">
        <v>4</v>
      </c>
      <c r="Z39" s="2105"/>
      <c r="AA39" s="2105"/>
      <c r="AB39" s="2105"/>
      <c r="AC39" s="117"/>
      <c r="AD39" s="1333"/>
      <c r="AE39" s="1333"/>
      <c r="AF39" s="1333"/>
      <c r="AG39" s="1333"/>
      <c r="AH39" s="1333"/>
      <c r="AI39" s="1333"/>
      <c r="AJ39" s="1333"/>
      <c r="AK39" s="1333"/>
      <c r="AL39" s="1333"/>
      <c r="AM39" s="1334"/>
      <c r="AN39" s="1334"/>
      <c r="AO39" s="1666"/>
      <c r="AP39" s="1370"/>
      <c r="AQ39" s="1339" t="s">
        <v>565</v>
      </c>
      <c r="AR39" s="1337" t="str">
        <f>INDEX(Workstreams[Workstream], MATCH($AQ39, Workstreams[Code], 0))</f>
        <v>Agriculture &amp; waste</v>
      </c>
      <c r="AS39" s="1334"/>
      <c r="AT39" s="1336"/>
      <c r="AU39" s="1337"/>
      <c r="AV39" s="1486">
        <f t="shared" ca="1" si="2"/>
        <v>0</v>
      </c>
      <c r="AW39" s="1486" t="e">
        <f t="shared" ca="1" si="2"/>
        <v>#REF!</v>
      </c>
      <c r="AX39" s="1489" t="e">
        <f ca="1">AW39*'Intermediate output'!$AY$155/'Intermediate output'!$F$205</f>
        <v>#REF!</v>
      </c>
      <c r="AY39" s="1333"/>
      <c r="AZ39" s="1333"/>
      <c r="BA39" s="883"/>
      <c r="BB39" s="1370"/>
      <c r="BC39" s="1370" t="s">
        <v>665</v>
      </c>
      <c r="BD39" s="1371" t="s">
        <v>1330</v>
      </c>
      <c r="BE39" s="1190"/>
      <c r="BF39" s="1190"/>
      <c r="BG39" s="1190"/>
      <c r="BH39" s="1372" t="e">
        <f t="shared" ca="1" si="1"/>
        <v>#DIV/0!</v>
      </c>
      <c r="BI39" s="1372" t="e">
        <f t="shared" ca="1" si="1"/>
        <v>#REF!</v>
      </c>
      <c r="BJ39" s="1372" t="e">
        <f t="shared" ca="1" si="1"/>
        <v>#REF!</v>
      </c>
      <c r="BK39" s="1372" t="e">
        <f t="shared" ca="1" si="1"/>
        <v>#REF!</v>
      </c>
      <c r="BL39" s="1334"/>
      <c r="BO39" s="528" t="s">
        <v>1286</v>
      </c>
      <c r="BP39" s="528" t="s">
        <v>1525</v>
      </c>
      <c r="BQ39" s="528" t="s">
        <v>1526</v>
      </c>
      <c r="BR39" s="528" t="s">
        <v>1527</v>
      </c>
    </row>
    <row r="40" spans="1:70" s="601" customFormat="1" ht="26">
      <c r="A40" s="2213"/>
      <c r="B40" s="2216"/>
      <c r="C40" s="1432"/>
      <c r="D40" s="1433" t="s">
        <v>1370</v>
      </c>
      <c r="E40" s="2192">
        <v>3</v>
      </c>
      <c r="F40" s="1837" t="s">
        <v>981</v>
      </c>
      <c r="G40" s="242"/>
      <c r="H40" s="1832" t="s">
        <v>1840</v>
      </c>
      <c r="I40" s="1832" t="s">
        <v>1841</v>
      </c>
      <c r="J40" s="1832" t="s">
        <v>1230</v>
      </c>
      <c r="K40" s="1832" t="s">
        <v>1358</v>
      </c>
      <c r="L40" s="242"/>
      <c r="M40" s="2182">
        <v>1</v>
      </c>
      <c r="N40" s="2107">
        <v>4</v>
      </c>
      <c r="O40" s="2107">
        <v>1</v>
      </c>
      <c r="P40" s="2105">
        <v>3</v>
      </c>
      <c r="Q40" s="2107">
        <v>4</v>
      </c>
      <c r="R40" s="2105">
        <v>3</v>
      </c>
      <c r="S40" s="2107">
        <v>2</v>
      </c>
      <c r="T40" s="2105">
        <v>1</v>
      </c>
      <c r="U40" s="2177">
        <v>3</v>
      </c>
      <c r="V40" s="2105">
        <v>3</v>
      </c>
      <c r="W40" s="2105">
        <v>4</v>
      </c>
      <c r="X40" s="2105">
        <v>1</v>
      </c>
      <c r="Y40" s="2105">
        <v>1</v>
      </c>
      <c r="Z40" s="2105"/>
      <c r="AA40" s="2105"/>
      <c r="AB40" s="2105"/>
      <c r="AC40"/>
      <c r="AD40" s="1333"/>
      <c r="AE40" s="1333"/>
      <c r="AF40" s="1333"/>
      <c r="AG40" s="1333"/>
      <c r="AH40" s="1333"/>
      <c r="AI40" s="1333"/>
      <c r="AJ40" s="1333"/>
      <c r="AK40" s="1333"/>
      <c r="AL40" s="1333"/>
      <c r="AM40" s="1334"/>
      <c r="AN40" s="1334"/>
      <c r="AO40" s="1666"/>
      <c r="AP40" s="1370"/>
      <c r="AQ40" s="1339" t="s">
        <v>569</v>
      </c>
      <c r="AR40" s="1337" t="str">
        <f>INDEX(Workstreams[Workstream], MATCH($AQ40, Workstreams[Code], 0))</f>
        <v>Heating</v>
      </c>
      <c r="AS40" s="1334"/>
      <c r="AT40" s="1336"/>
      <c r="AU40" s="1337"/>
      <c r="AV40" s="1486">
        <f t="shared" ca="1" si="2"/>
        <v>0</v>
      </c>
      <c r="AW40" s="1486" t="e">
        <f t="shared" ca="1" si="2"/>
        <v>#REF!</v>
      </c>
      <c r="AX40" s="1489" t="e">
        <f ca="1">AW40*'Intermediate output'!$AY$155/'Intermediate output'!$F$205</f>
        <v>#REF!</v>
      </c>
      <c r="AY40" s="1333"/>
      <c r="AZ40" s="1333"/>
      <c r="BA40" s="883"/>
      <c r="BB40" s="1316"/>
      <c r="BC40" s="1335"/>
      <c r="BD40" s="1335"/>
      <c r="BE40" s="1335"/>
      <c r="BF40" s="1335"/>
      <c r="BG40" s="1335"/>
      <c r="BH40" s="1335"/>
      <c r="BI40" s="1335"/>
      <c r="BJ40" s="1335"/>
      <c r="BK40" s="1335"/>
      <c r="BL40" s="1334"/>
      <c r="BO40" s="1644" t="s">
        <v>1228</v>
      </c>
      <c r="BP40" s="528" t="s">
        <v>1229</v>
      </c>
      <c r="BQ40" s="1366" t="s">
        <v>1230</v>
      </c>
      <c r="BR40" s="528" t="s">
        <v>1358</v>
      </c>
    </row>
    <row r="41" spans="1:70" s="601" customFormat="1" ht="15">
      <c r="A41" s="2213"/>
      <c r="B41" s="2216" t="s">
        <v>1420</v>
      </c>
      <c r="C41" s="760" t="s">
        <v>706</v>
      </c>
      <c r="D41" s="760" t="s">
        <v>708</v>
      </c>
      <c r="E41" s="2190"/>
      <c r="F41" s="1836"/>
      <c r="G41"/>
      <c r="H41" s="1833"/>
      <c r="I41" s="1833"/>
      <c r="J41" s="1833"/>
      <c r="K41" s="1833"/>
      <c r="L41" s="1831"/>
      <c r="M41" s="2106"/>
      <c r="N41" s="2105"/>
      <c r="O41" s="2105"/>
      <c r="P41" s="2105"/>
      <c r="Q41" s="2105"/>
      <c r="R41" s="2105"/>
      <c r="S41" s="2105"/>
      <c r="T41" s="2105"/>
      <c r="U41" s="2177"/>
      <c r="V41" s="2105"/>
      <c r="W41" s="2105"/>
      <c r="X41" s="2105"/>
      <c r="Y41" s="2105"/>
      <c r="Z41" s="2105"/>
      <c r="AA41" s="2105"/>
      <c r="AB41" s="2105"/>
      <c r="AC41"/>
      <c r="AD41" s="1333"/>
      <c r="AE41" s="1333"/>
      <c r="AF41" s="1333"/>
      <c r="AG41" s="1333"/>
      <c r="AH41" s="1333"/>
      <c r="AI41" s="1333"/>
      <c r="AJ41" s="1333"/>
      <c r="AK41" s="1333"/>
      <c r="AL41" s="1333"/>
      <c r="AM41" s="1334"/>
      <c r="AN41" s="1334"/>
      <c r="AO41" s="1666"/>
      <c r="AP41" s="1370"/>
      <c r="AQ41" s="1339" t="s">
        <v>570</v>
      </c>
      <c r="AR41" s="1337" t="str">
        <f>INDEX(Workstreams[Workstream], MATCH($AQ41, Workstreams[Code], 0))</f>
        <v>Lighting &amp; appliances</v>
      </c>
      <c r="AS41" s="1334"/>
      <c r="AT41" s="1336"/>
      <c r="AU41" s="1337"/>
      <c r="AV41" s="1486">
        <f t="shared" ca="1" si="2"/>
        <v>0</v>
      </c>
      <c r="AW41" s="1486" t="e">
        <f t="shared" ca="1" si="2"/>
        <v>#REF!</v>
      </c>
      <c r="AX41" s="1489" t="e">
        <f ca="1">AW41*'Intermediate output'!$AY$155/'Intermediate output'!$F$205</f>
        <v>#REF!</v>
      </c>
      <c r="AY41" s="1333"/>
      <c r="AZ41" s="1333"/>
      <c r="BA41" s="883"/>
      <c r="BB41" s="1672"/>
      <c r="BC41" s="1348" t="s">
        <v>1079</v>
      </c>
      <c r="BD41" s="1337"/>
      <c r="BE41" s="1337"/>
      <c r="BF41" s="1336"/>
      <c r="BG41" s="1337"/>
      <c r="BH41" s="1356">
        <f ca="1">-(INDEX(INDIRECT(BH$30&amp;"!Year.Matrix"),MATCH("Subtotal.Supply",INDIRECT(BH$30&amp;"!Year.Modules"),0),MATCH("V.04",INDIRECT(BH$30&amp;"!Year.Vectors"),0))+INDEX(INDIRECT(BH$30&amp;"!Year.Matrix"),MATCH("Subtotal.Consumption",INDIRECT(BH$30&amp;"!Year.Modules"),0),MATCH("V.04",INDIRECT(BH$30&amp;"!Year.Vectors"),0)))</f>
        <v>732.82023582033707</v>
      </c>
      <c r="BI41" s="1356" t="e">
        <f ca="1">-(INDEX(INDIRECT(BI$30&amp;"!Year.Matrix"),MATCH("Subtotal.Supply",INDIRECT(BI$30&amp;"!Year.Modules"),0),MATCH("V.04",INDIRECT(BI$30&amp;"!Year.Vectors"),0))+INDEX(INDIRECT(BI$30&amp;"!Year.Matrix"),MATCH("Subtotal.Consumption",INDIRECT(BI$30&amp;"!Year.Modules"),0),MATCH("V.04",INDIRECT(BI$30&amp;"!Year.Vectors"),0)))</f>
        <v>#REF!</v>
      </c>
      <c r="BJ41" s="1356" t="e">
        <f ca="1">-(INDEX(INDIRECT(BJ$30&amp;"!Year.Matrix"),MATCH("Subtotal.Supply",INDIRECT(BJ$30&amp;"!Year.Modules"),0),MATCH("V.04",INDIRECT(BJ$30&amp;"!Year.Vectors"),0))+INDEX(INDIRECT(BJ$30&amp;"!Year.Matrix"),MATCH("Subtotal.Consumption",INDIRECT(BJ$30&amp;"!Year.Modules"),0),MATCH("V.04",INDIRECT(BJ$30&amp;"!Year.Vectors"),0)))</f>
        <v>#REF!</v>
      </c>
      <c r="BK41" s="1356" t="e">
        <f ca="1">-(INDEX(INDIRECT(BK$30&amp;"!Year.Matrix"),MATCH("Subtotal.Supply",INDIRECT(BK$30&amp;"!Year.Modules"),0),MATCH("V.04",INDIRECT(BK$30&amp;"!Year.Vectors"),0))+INDEX(INDIRECT(BK$30&amp;"!Year.Matrix"),MATCH("Subtotal.Consumption",INDIRECT(BK$30&amp;"!Year.Modules"),0),MATCH("V.04",INDIRECT(BK$30&amp;"!Year.Vectors"),0)))</f>
        <v>#REF!</v>
      </c>
      <c r="BL41" s="1335"/>
      <c r="BO41" s="1646"/>
    </row>
    <row r="42" spans="1:70" s="528" customFormat="1" ht="26">
      <c r="A42" s="2213"/>
      <c r="B42" s="2216"/>
      <c r="C42" s="1433"/>
      <c r="D42" s="1433" t="s">
        <v>1504</v>
      </c>
      <c r="E42" s="2190">
        <v>4</v>
      </c>
      <c r="F42" s="1837">
        <v>4</v>
      </c>
      <c r="G42" s="117"/>
      <c r="H42" s="1832" t="s">
        <v>1238</v>
      </c>
      <c r="I42" s="1832" t="s">
        <v>1239</v>
      </c>
      <c r="J42" s="1832" t="s">
        <v>1240</v>
      </c>
      <c r="K42" s="1832" t="s">
        <v>1360</v>
      </c>
      <c r="L42" s="1831"/>
      <c r="M42" s="2106">
        <v>1</v>
      </c>
      <c r="N42" s="2105">
        <v>4</v>
      </c>
      <c r="O42" s="2105">
        <v>1</v>
      </c>
      <c r="P42" s="2105">
        <v>4</v>
      </c>
      <c r="Q42" s="2105">
        <v>4</v>
      </c>
      <c r="R42" s="2105">
        <v>2</v>
      </c>
      <c r="S42" s="2105">
        <v>3</v>
      </c>
      <c r="T42" s="2105">
        <v>4</v>
      </c>
      <c r="U42" s="2177">
        <v>4</v>
      </c>
      <c r="V42" s="2105">
        <v>4</v>
      </c>
      <c r="W42" s="2105">
        <v>4</v>
      </c>
      <c r="X42" s="2105">
        <v>2</v>
      </c>
      <c r="Y42" s="2105">
        <v>4</v>
      </c>
      <c r="Z42" s="2105"/>
      <c r="AA42" s="2105"/>
      <c r="AB42" s="2105"/>
      <c r="AC42" s="117"/>
      <c r="AD42" s="1333"/>
      <c r="AE42" s="1333"/>
      <c r="AF42" s="1333"/>
      <c r="AG42" s="1333"/>
      <c r="AH42" s="1333"/>
      <c r="AI42" s="1333"/>
      <c r="AJ42" s="1333"/>
      <c r="AK42" s="1333"/>
      <c r="AL42" s="1333"/>
      <c r="AM42" s="1334"/>
      <c r="AN42" s="1334"/>
      <c r="AO42" s="1666"/>
      <c r="AP42" s="1370"/>
      <c r="AQ42" s="1339" t="s">
        <v>571</v>
      </c>
      <c r="AR42" s="1337" t="str">
        <f>INDEX(Workstreams[Workstream], MATCH($AQ42, Workstreams[Code], 0))</f>
        <v>Industry</v>
      </c>
      <c r="AS42" s="1334"/>
      <c r="AT42" s="1336"/>
      <c r="AU42" s="1337"/>
      <c r="AV42" s="1486">
        <f t="shared" ca="1" si="2"/>
        <v>0</v>
      </c>
      <c r="AW42" s="1486" t="e">
        <f t="shared" ca="1" si="2"/>
        <v>#REF!</v>
      </c>
      <c r="AX42" s="1489" t="e">
        <f ca="1">AW42*'Intermediate output'!$AY$155/'Intermediate output'!$F$205</f>
        <v>#REF!</v>
      </c>
      <c r="AY42" s="1333"/>
      <c r="AZ42" s="1333"/>
      <c r="BA42" s="883"/>
      <c r="BB42" s="1673"/>
      <c r="BC42" s="1673" t="s">
        <v>564</v>
      </c>
      <c r="BD42" s="1678" t="s">
        <v>1086</v>
      </c>
      <c r="BE42" s="1316"/>
      <c r="BF42" s="1680"/>
      <c r="BG42" s="1678"/>
      <c r="BH42" s="1679">
        <f ca="1">INDEX(INDIRECT(BH$30&amp;"!Year.Matrix"),MATCH($BC42,INDIRECT(BH$30&amp;"!Year.Modules"),0),MATCH("V.04",INDIRECT(BH$30&amp;"!Year.Vectors"),0))/BH$41</f>
        <v>0</v>
      </c>
      <c r="BI42" s="1679" t="e">
        <f ca="1">INDEX(INDIRECT(BI$30&amp;"!Year.Matrix"),MATCH($BC42,INDIRECT(BI$30&amp;"!Year.Modules"),0),MATCH("V.04",INDIRECT(BI$30&amp;"!Year.Vectors"),0))/BI$41</f>
        <v>#REF!</v>
      </c>
      <c r="BJ42" s="1679" t="e">
        <f ca="1">INDEX(INDIRECT(BJ$30&amp;"!Year.Matrix"),MATCH($BC42,INDIRECT(BJ$30&amp;"!Year.Modules"),0),MATCH("V.04",INDIRECT(BJ$30&amp;"!Year.Vectors"),0))/BJ$41</f>
        <v>#REF!</v>
      </c>
      <c r="BK42" s="1679" t="e">
        <f ca="1">INDEX(INDIRECT(BK$30&amp;"!Year.Matrix"),MATCH($BC42,INDIRECT(BK$30&amp;"!Year.Modules"),0),MATCH("V.04",INDIRECT(BK$30&amp;"!Year.Vectors"),0))/BK$41</f>
        <v>#REF!</v>
      </c>
      <c r="BL42" s="1334"/>
      <c r="BO42" s="1644" t="s">
        <v>1238</v>
      </c>
      <c r="BP42" s="528" t="s">
        <v>1239</v>
      </c>
      <c r="BQ42" s="528" t="s">
        <v>1240</v>
      </c>
      <c r="BR42" s="528" t="s">
        <v>1360</v>
      </c>
    </row>
    <row r="43" spans="1:70" s="528" customFormat="1" ht="26">
      <c r="A43" s="2213"/>
      <c r="B43" s="2216"/>
      <c r="C43" s="1433"/>
      <c r="D43" s="1433" t="s">
        <v>1373</v>
      </c>
      <c r="E43" s="2190">
        <v>2</v>
      </c>
      <c r="F43" s="1837" t="s">
        <v>979</v>
      </c>
      <c r="G43" s="117"/>
      <c r="H43" s="1832" t="s">
        <v>1483</v>
      </c>
      <c r="I43" s="1832" t="s">
        <v>1484</v>
      </c>
      <c r="J43" s="1832" t="s">
        <v>1428</v>
      </c>
      <c r="K43" s="1832" t="s">
        <v>1428</v>
      </c>
      <c r="L43" s="1831"/>
      <c r="M43" s="2106">
        <v>1</v>
      </c>
      <c r="N43" s="2105">
        <v>2</v>
      </c>
      <c r="O43" s="2105">
        <v>1</v>
      </c>
      <c r="P43" s="2105">
        <v>2</v>
      </c>
      <c r="Q43" s="2105">
        <v>2</v>
      </c>
      <c r="R43" s="2105">
        <v>2</v>
      </c>
      <c r="S43" s="2105">
        <v>1</v>
      </c>
      <c r="T43" s="2105">
        <v>1</v>
      </c>
      <c r="U43" s="2177">
        <v>2</v>
      </c>
      <c r="V43" s="2105">
        <v>1</v>
      </c>
      <c r="W43" s="2105">
        <v>2</v>
      </c>
      <c r="X43" s="2105">
        <v>1</v>
      </c>
      <c r="Y43" s="2105">
        <v>2</v>
      </c>
      <c r="Z43" s="2105"/>
      <c r="AA43" s="2105"/>
      <c r="AB43" s="2105"/>
      <c r="AC43" s="117"/>
      <c r="AD43" s="1334"/>
      <c r="AE43" s="1334"/>
      <c r="AF43" s="1334"/>
      <c r="AG43" s="1334"/>
      <c r="AH43" s="1334"/>
      <c r="AI43" s="1334"/>
      <c r="AJ43" s="1336"/>
      <c r="AK43" s="1337"/>
      <c r="AL43" s="1337"/>
      <c r="AM43" s="1334"/>
      <c r="AN43" s="1334"/>
      <c r="AO43" s="1666"/>
      <c r="AP43" s="1370"/>
      <c r="AQ43" s="1339"/>
      <c r="AR43" s="1337"/>
      <c r="AS43" s="1334"/>
      <c r="AT43" s="1336"/>
      <c r="AU43" s="1337"/>
      <c r="AV43" s="1486"/>
      <c r="AW43" s="1486"/>
      <c r="AX43" s="1489"/>
      <c r="AY43" s="1333"/>
      <c r="AZ43" s="1333"/>
      <c r="BA43" s="883"/>
      <c r="BB43" s="1370"/>
      <c r="BC43" s="1370" t="s">
        <v>572</v>
      </c>
      <c r="BD43" s="1371" t="s">
        <v>1084</v>
      </c>
      <c r="BE43" s="1140"/>
      <c r="BF43" s="1475"/>
      <c r="BG43" s="1371"/>
      <c r="BH43" s="1372">
        <f t="shared" ref="BH43:BK45" ca="1" si="3">-INDEX(INDIRECT(BH$30&amp;"!Year.Matrix"),MATCH($BC43,INDIRECT(BH$30&amp;"!Year.Modules"),0),MATCH("V.04",INDIRECT(BH$30&amp;"!Year.Vectors"),0))/BH$41</f>
        <v>1</v>
      </c>
      <c r="BI43" s="1372" t="e">
        <f t="shared" ca="1" si="3"/>
        <v>#REF!</v>
      </c>
      <c r="BJ43" s="1372" t="e">
        <f t="shared" ca="1" si="3"/>
        <v>#REF!</v>
      </c>
      <c r="BK43" s="1372" t="e">
        <f t="shared" ca="1" si="3"/>
        <v>#REF!</v>
      </c>
      <c r="BL43" s="1334"/>
      <c r="BO43" s="528" t="s">
        <v>1483</v>
      </c>
      <c r="BP43" s="528" t="s">
        <v>1484</v>
      </c>
      <c r="BQ43" s="528" t="s">
        <v>1484</v>
      </c>
      <c r="BR43" s="528" t="s">
        <v>1484</v>
      </c>
    </row>
    <row r="44" spans="1:70" s="528" customFormat="1" ht="15">
      <c r="A44" s="2213" t="s">
        <v>1421</v>
      </c>
      <c r="B44" s="2215" t="s">
        <v>39</v>
      </c>
      <c r="C44" s="760" t="s">
        <v>669</v>
      </c>
      <c r="D44" s="760" t="s">
        <v>426</v>
      </c>
      <c r="E44" s="2190"/>
      <c r="F44" s="1836"/>
      <c r="G44"/>
      <c r="H44" s="1833"/>
      <c r="I44" s="1833"/>
      <c r="J44" s="1833"/>
      <c r="K44" s="1833"/>
      <c r="L44" s="1831"/>
      <c r="M44" s="2106"/>
      <c r="N44" s="2105"/>
      <c r="O44" s="2105"/>
      <c r="P44" s="2105"/>
      <c r="Q44" s="2105"/>
      <c r="R44" s="2105"/>
      <c r="S44" s="2105"/>
      <c r="T44" s="2105"/>
      <c r="U44" s="2177"/>
      <c r="V44" s="2105"/>
      <c r="W44" s="2105"/>
      <c r="X44" s="2105"/>
      <c r="Y44" s="2105"/>
      <c r="Z44" s="2105"/>
      <c r="AA44" s="2105"/>
      <c r="AB44" s="2105"/>
      <c r="AD44" s="1334"/>
      <c r="AE44" s="1334"/>
      <c r="AF44" s="1334"/>
      <c r="AG44" s="1334"/>
      <c r="AH44" s="1334"/>
      <c r="AI44" s="1334"/>
      <c r="AJ44" s="1336"/>
      <c r="AK44" s="1337"/>
      <c r="AL44" s="1337"/>
      <c r="AM44" s="1334"/>
      <c r="AN44" s="1334"/>
      <c r="AO44" s="1666"/>
      <c r="AP44" s="1370"/>
      <c r="AQ44" s="1339" t="s">
        <v>572</v>
      </c>
      <c r="AR44" s="1337" t="str">
        <f>INDEX(Workstreams[Workstream], MATCH($AQ44, Workstreams[Code], 0))</f>
        <v>Transport</v>
      </c>
      <c r="AS44" s="1334"/>
      <c r="AT44" s="1336"/>
      <c r="AU44" s="1337"/>
      <c r="AV44" s="1486">
        <f t="shared" ref="AV44:AW46" ca="1" si="4">SUMIFS(INDIRECT("'"&amp;AV$35&amp;"'!Year.EmissionsBySector"), INDIRECT("'"&amp;AV$35&amp;"'!Year.Modules"),$AQ44)</f>
        <v>186.72938294460735</v>
      </c>
      <c r="AW44" s="1486" t="e">
        <f t="shared" ca="1" si="4"/>
        <v>#REF!</v>
      </c>
      <c r="AX44" s="1489" t="e">
        <f ca="1">AW44*'Intermediate output'!$AY$155/'Intermediate output'!$F$205</f>
        <v>#REF!</v>
      </c>
      <c r="AY44" s="1334"/>
      <c r="AZ44" s="1334"/>
      <c r="BA44" s="883"/>
      <c r="BB44" s="1370"/>
      <c r="BC44" s="1370" t="s">
        <v>571</v>
      </c>
      <c r="BD44" s="1371" t="s">
        <v>1088</v>
      </c>
      <c r="BE44" s="1140"/>
      <c r="BF44" s="1475"/>
      <c r="BG44" s="1371"/>
      <c r="BH44" s="1372">
        <f t="shared" ca="1" si="3"/>
        <v>0</v>
      </c>
      <c r="BI44" s="1372" t="e">
        <f t="shared" ca="1" si="3"/>
        <v>#REF!</v>
      </c>
      <c r="BJ44" s="1372" t="e">
        <f t="shared" ca="1" si="3"/>
        <v>#REF!</v>
      </c>
      <c r="BK44" s="1372" t="e">
        <f t="shared" ca="1" si="3"/>
        <v>#REF!</v>
      </c>
      <c r="BL44" s="1335"/>
      <c r="BO44" s="1483"/>
      <c r="BP44" s="1642"/>
      <c r="BQ44" s="1642"/>
      <c r="BR44" s="1642"/>
    </row>
    <row r="45" spans="1:70" s="528" customFormat="1" ht="15">
      <c r="A45" s="2213"/>
      <c r="B45" s="2215"/>
      <c r="C45" s="1433"/>
      <c r="D45" s="1433" t="s">
        <v>1521</v>
      </c>
      <c r="E45" s="2190">
        <v>2</v>
      </c>
      <c r="F45" s="1837" t="s">
        <v>980</v>
      </c>
      <c r="G45" s="117"/>
      <c r="H45" s="1832" t="s">
        <v>1407</v>
      </c>
      <c r="I45" s="1832" t="s">
        <v>1408</v>
      </c>
      <c r="J45" s="1832" t="s">
        <v>1409</v>
      </c>
      <c r="K45" s="1832" t="s">
        <v>1430</v>
      </c>
      <c r="L45" s="1831"/>
      <c r="M45" s="2106">
        <v>1</v>
      </c>
      <c r="N45" s="2105">
        <v>3</v>
      </c>
      <c r="O45" s="2105">
        <v>2</v>
      </c>
      <c r="P45" s="2105">
        <v>2</v>
      </c>
      <c r="Q45" s="2105">
        <v>2</v>
      </c>
      <c r="R45" s="2105">
        <v>2</v>
      </c>
      <c r="S45" s="2105">
        <v>2</v>
      </c>
      <c r="T45" s="2105">
        <v>3</v>
      </c>
      <c r="U45" s="2177">
        <v>2</v>
      </c>
      <c r="V45" s="2105">
        <v>2</v>
      </c>
      <c r="W45" s="2105">
        <v>3</v>
      </c>
      <c r="X45" s="2105">
        <v>2</v>
      </c>
      <c r="Y45" s="2105">
        <v>1</v>
      </c>
      <c r="Z45" s="2105"/>
      <c r="AA45" s="2105"/>
      <c r="AB45" s="2105"/>
      <c r="AD45" s="1334"/>
      <c r="AE45" s="1334"/>
      <c r="AF45" s="1334"/>
      <c r="AG45" s="1334"/>
      <c r="AH45" s="1334"/>
      <c r="AI45" s="1334"/>
      <c r="AJ45" s="1336"/>
      <c r="AK45" s="1337"/>
      <c r="AL45" s="1337"/>
      <c r="AM45" s="1334"/>
      <c r="AN45" s="1334"/>
      <c r="AO45" s="1666"/>
      <c r="AP45" s="1370"/>
      <c r="AQ45" s="1339" t="s">
        <v>724</v>
      </c>
      <c r="AR45" s="1337" t="str">
        <f>INDEX(Workstreams[Workstream], MATCH($AQ45, Workstreams[Code], 0))</f>
        <v>Fossil fuel production</v>
      </c>
      <c r="AS45" s="1334"/>
      <c r="AT45" s="1336"/>
      <c r="AU45" s="1337"/>
      <c r="AV45" s="1486">
        <f t="shared" ca="1" si="4"/>
        <v>0</v>
      </c>
      <c r="AW45" s="1486" t="e">
        <f t="shared" ca="1" si="4"/>
        <v>#REF!</v>
      </c>
      <c r="AX45" s="1489" t="e">
        <f ca="1">AW45*'Intermediate output'!$AY$155/'Intermediate output'!$F$205</f>
        <v>#REF!</v>
      </c>
      <c r="AY45" s="1334"/>
      <c r="AZ45" s="1334"/>
      <c r="BA45" s="883"/>
      <c r="BB45" s="1370"/>
      <c r="BC45" s="1370" t="s">
        <v>726</v>
      </c>
      <c r="BD45" s="1371" t="s">
        <v>1195</v>
      </c>
      <c r="BE45" s="1140"/>
      <c r="BF45" s="1475"/>
      <c r="BG45" s="1371"/>
      <c r="BH45" s="1372">
        <f t="shared" ca="1" si="3"/>
        <v>0</v>
      </c>
      <c r="BI45" s="1372" t="e">
        <f t="shared" ca="1" si="3"/>
        <v>#REF!</v>
      </c>
      <c r="BJ45" s="1372" t="e">
        <f t="shared" ca="1" si="3"/>
        <v>#REF!</v>
      </c>
      <c r="BK45" s="1372" t="e">
        <f t="shared" ca="1" si="3"/>
        <v>#REF!</v>
      </c>
      <c r="BL45" s="1335"/>
      <c r="BO45" s="1644" t="s">
        <v>1407</v>
      </c>
      <c r="BP45" s="528" t="s">
        <v>1408</v>
      </c>
      <c r="BQ45" s="528" t="s">
        <v>1409</v>
      </c>
      <c r="BR45" s="528" t="s">
        <v>1409</v>
      </c>
    </row>
    <row r="46" spans="1:70" s="528" customFormat="1" ht="26">
      <c r="A46" s="2213"/>
      <c r="B46" s="2215"/>
      <c r="C46" s="1433"/>
      <c r="D46" s="1433" t="s">
        <v>1522</v>
      </c>
      <c r="E46" s="2190">
        <v>3</v>
      </c>
      <c r="F46" s="1837">
        <v>3</v>
      </c>
      <c r="G46" s="117"/>
      <c r="H46" s="1832" t="s">
        <v>1410</v>
      </c>
      <c r="I46" s="1832" t="s">
        <v>1411</v>
      </c>
      <c r="J46" s="1832" t="s">
        <v>1412</v>
      </c>
      <c r="K46" s="1832" t="s">
        <v>1429</v>
      </c>
      <c r="L46" s="1831"/>
      <c r="M46" s="2106">
        <v>1</v>
      </c>
      <c r="N46" s="2105">
        <v>3</v>
      </c>
      <c r="O46" s="2105">
        <v>1</v>
      </c>
      <c r="P46" s="2105">
        <v>3</v>
      </c>
      <c r="Q46" s="2105">
        <v>3</v>
      </c>
      <c r="R46" s="2105">
        <v>1</v>
      </c>
      <c r="S46" s="2105">
        <v>3</v>
      </c>
      <c r="T46" s="2105">
        <v>2</v>
      </c>
      <c r="U46" s="2177">
        <v>3</v>
      </c>
      <c r="V46" s="2105">
        <v>3</v>
      </c>
      <c r="W46" s="2105">
        <v>2</v>
      </c>
      <c r="X46" s="2105">
        <v>2</v>
      </c>
      <c r="Y46" s="2105">
        <v>3</v>
      </c>
      <c r="Z46" s="2105"/>
      <c r="AA46" s="2105"/>
      <c r="AB46" s="2105"/>
      <c r="AD46" s="1334"/>
      <c r="AE46" s="1334"/>
      <c r="AF46" s="1334"/>
      <c r="AG46" s="1334"/>
      <c r="AH46" s="1334"/>
      <c r="AI46" s="1334"/>
      <c r="AJ46" s="1336"/>
      <c r="AK46" s="1337"/>
      <c r="AL46" s="1337"/>
      <c r="AM46" s="1334"/>
      <c r="AN46" s="1334"/>
      <c r="AO46" s="1666"/>
      <c r="AP46" s="1370"/>
      <c r="AQ46" s="1339" t="s">
        <v>742</v>
      </c>
      <c r="AR46" s="1337" t="str">
        <f>INDEX(Workstreams[Workstream], MATCH($AQ46, Workstreams[Code], 0))</f>
        <v>Transfers</v>
      </c>
      <c r="AS46" s="1334"/>
      <c r="AT46" s="1336"/>
      <c r="AU46" s="1337"/>
      <c r="AV46" s="1486">
        <f t="shared" ca="1" si="4"/>
        <v>0</v>
      </c>
      <c r="AW46" s="1486" t="e">
        <f t="shared" ca="1" si="4"/>
        <v>#REF!</v>
      </c>
      <c r="AX46" s="1489" t="e">
        <f ca="1">AW46*'Intermediate output'!$AY$155/'Intermediate output'!$F$205</f>
        <v>#REF!</v>
      </c>
      <c r="AY46" s="1334"/>
      <c r="AZ46" s="1334"/>
      <c r="BA46" s="883"/>
      <c r="BB46" s="1140"/>
      <c r="BC46" s="1334"/>
      <c r="BD46" s="1334"/>
      <c r="BE46" s="1334"/>
      <c r="BF46" s="1334"/>
      <c r="BG46" s="1334"/>
      <c r="BH46" s="1334"/>
      <c r="BI46" s="1334"/>
      <c r="BJ46" s="1334"/>
      <c r="BK46" s="1334"/>
      <c r="BL46" s="1335"/>
      <c r="BO46" s="1644" t="s">
        <v>1472</v>
      </c>
      <c r="BP46" s="528" t="s">
        <v>1473</v>
      </c>
      <c r="BQ46" s="528" t="s">
        <v>1474</v>
      </c>
      <c r="BR46" s="528" t="s">
        <v>1474</v>
      </c>
    </row>
    <row r="47" spans="1:70" s="528" customFormat="1" ht="15">
      <c r="A47" s="2213"/>
      <c r="B47" s="2215" t="s">
        <v>1422</v>
      </c>
      <c r="C47" s="760" t="s">
        <v>701</v>
      </c>
      <c r="D47" s="760" t="s">
        <v>894</v>
      </c>
      <c r="E47" s="2190"/>
      <c r="F47" s="1836"/>
      <c r="G47"/>
      <c r="H47" s="1833"/>
      <c r="I47" s="1833"/>
      <c r="J47" s="1833"/>
      <c r="K47" s="1833"/>
      <c r="L47" s="1831"/>
      <c r="M47" s="2106"/>
      <c r="N47" s="2105"/>
      <c r="O47" s="2105"/>
      <c r="P47" s="2105"/>
      <c r="Q47" s="2105"/>
      <c r="R47" s="2105"/>
      <c r="S47" s="2105"/>
      <c r="T47" s="2105"/>
      <c r="U47" s="2177"/>
      <c r="V47" s="2105"/>
      <c r="W47" s="2105"/>
      <c r="X47" s="2105"/>
      <c r="Y47" s="2105"/>
      <c r="Z47" s="2105"/>
      <c r="AA47" s="2105"/>
      <c r="AB47" s="2105"/>
      <c r="AD47" s="1334"/>
      <c r="AE47" s="1334"/>
      <c r="AF47" s="1334"/>
      <c r="AG47" s="1334"/>
      <c r="AH47" s="1334"/>
      <c r="AI47" s="1334"/>
      <c r="AJ47" s="1336"/>
      <c r="AK47" s="1337"/>
      <c r="AL47" s="1337"/>
      <c r="AM47" s="1334"/>
      <c r="AN47" s="1334"/>
      <c r="AO47" s="1666"/>
      <c r="AP47" s="1140"/>
      <c r="AQ47" s="1340"/>
      <c r="AR47" s="1341" t="s">
        <v>132</v>
      </c>
      <c r="AS47" s="1340"/>
      <c r="AT47" s="1340"/>
      <c r="AU47" s="1340"/>
      <c r="AV47" s="1487">
        <f ca="1">SUM(AV36:AV46)</f>
        <v>186.72938294460735</v>
      </c>
      <c r="AW47" s="1487" t="e">
        <f ca="1">SUM(AW36:AW46)</f>
        <v>#REF!</v>
      </c>
      <c r="AX47" s="1490" t="e">
        <f ca="1">AW47*'Intermediate output'!$AY$155/'Intermediate output'!$F$205</f>
        <v>#REF!</v>
      </c>
      <c r="AY47" s="1490"/>
      <c r="AZ47" s="1334"/>
      <c r="BA47" s="883"/>
      <c r="BB47" s="1672"/>
      <c r="BC47" s="1348" t="s">
        <v>1078</v>
      </c>
      <c r="BD47" s="1337"/>
      <c r="BE47" s="1337"/>
      <c r="BF47" s="1336"/>
      <c r="BG47" s="1337"/>
      <c r="BH47" s="1356">
        <f ca="1">-(INDEX(INDIRECT(BH$30&amp;"!Year.Matrix"),MATCH("Subtotal.Supply",INDIRECT(BH$30&amp;"!Year.Modules"),0),MATCH("V.03",INDIRECT(BH$30&amp;"!Year.Vectors"),0))+INDEX(INDIRECT(BH$30&amp;"!Year.Matrix"),MATCH("Subtotal.Consumption",INDIRECT(BH$30&amp;"!Year.Modules"),0),MATCH("V.03",INDIRECT(BH$30&amp;"!Year.Vectors"),0)))</f>
        <v>0</v>
      </c>
      <c r="BI47" s="1356" t="e">
        <f ca="1">-(INDEX(INDIRECT(BI$30&amp;"!Year.Matrix"),MATCH("Subtotal.Supply",INDIRECT(BI$30&amp;"!Year.Modules"),0),MATCH("V.03",INDIRECT(BI$30&amp;"!Year.Vectors"),0))+INDEX(INDIRECT(BI$30&amp;"!Year.Matrix"),MATCH("Subtotal.Consumption",INDIRECT(BI$30&amp;"!Year.Modules"),0),MATCH("V.03",INDIRECT(BI$30&amp;"!Year.Vectors"),0)))</f>
        <v>#REF!</v>
      </c>
      <c r="BJ47" s="1356" t="e">
        <f ca="1">-(INDEX(INDIRECT(BJ$30&amp;"!Year.Matrix"),MATCH("Subtotal.Supply",INDIRECT(BJ$30&amp;"!Year.Modules"),0),MATCH("V.03",INDIRECT(BJ$30&amp;"!Year.Vectors"),0))+INDEX(INDIRECT(BJ$30&amp;"!Year.Matrix"),MATCH("Subtotal.Consumption",INDIRECT(BJ$30&amp;"!Year.Modules"),0),MATCH("V.03",INDIRECT(BJ$30&amp;"!Year.Vectors"),0)))</f>
        <v>#REF!</v>
      </c>
      <c r="BK47" s="1356" t="e">
        <f ca="1">-(INDEX(INDIRECT(BK$30&amp;"!Year.Matrix"),MATCH("Subtotal.Supply",INDIRECT(BK$30&amp;"!Year.Modules"),0),MATCH("V.03",INDIRECT(BK$30&amp;"!Year.Vectors"),0))+INDEX(INDIRECT(BK$30&amp;"!Year.Matrix"),MATCH("Subtotal.Consumption",INDIRECT(BK$30&amp;"!Year.Modules"),0),MATCH("V.03",INDIRECT(BK$30&amp;"!Year.Vectors"),0)))</f>
        <v>#REF!</v>
      </c>
      <c r="BL47" s="1334"/>
      <c r="BO47" s="1644"/>
      <c r="BR47" s="1642"/>
    </row>
    <row r="48" spans="1:70" s="528" customFormat="1" ht="26">
      <c r="A48" s="2213"/>
      <c r="B48" s="2215"/>
      <c r="C48" s="1432"/>
      <c r="D48" s="1433" t="s">
        <v>1374</v>
      </c>
      <c r="E48" s="2190">
        <v>4</v>
      </c>
      <c r="F48" s="1837">
        <v>4</v>
      </c>
      <c r="G48" s="117"/>
      <c r="H48" s="1832" t="s">
        <v>1205</v>
      </c>
      <c r="I48" s="1832" t="s">
        <v>1206</v>
      </c>
      <c r="J48" s="1832" t="s">
        <v>1231</v>
      </c>
      <c r="K48" s="1832" t="s">
        <v>1232</v>
      </c>
      <c r="L48" s="1831"/>
      <c r="M48" s="2106">
        <v>1</v>
      </c>
      <c r="N48" s="2105">
        <v>4</v>
      </c>
      <c r="O48" s="2105">
        <v>1</v>
      </c>
      <c r="P48" s="2105">
        <v>4</v>
      </c>
      <c r="Q48" s="2105">
        <v>4</v>
      </c>
      <c r="R48" s="2105">
        <v>2</v>
      </c>
      <c r="S48" s="2105">
        <v>3</v>
      </c>
      <c r="T48" s="2105">
        <v>4</v>
      </c>
      <c r="U48" s="2177">
        <v>4</v>
      </c>
      <c r="V48" s="2105">
        <v>4</v>
      </c>
      <c r="W48" s="2105">
        <v>3</v>
      </c>
      <c r="X48" s="2105">
        <v>3</v>
      </c>
      <c r="Y48" s="2105">
        <v>4</v>
      </c>
      <c r="Z48" s="2105"/>
      <c r="AA48" s="2105"/>
      <c r="AB48" s="2105"/>
      <c r="AD48" s="1334"/>
      <c r="AE48" s="1334"/>
      <c r="AF48" s="1334"/>
      <c r="AG48" s="1334"/>
      <c r="AH48" s="1334"/>
      <c r="AI48" s="1334"/>
      <c r="AJ48" s="1336"/>
      <c r="AK48" s="1337"/>
      <c r="AL48" s="1337"/>
      <c r="AM48" s="1334"/>
      <c r="AN48" s="1334"/>
      <c r="AO48" s="1666"/>
      <c r="AP48" s="1140"/>
      <c r="AQ48" s="1342"/>
      <c r="AR48" s="1343" t="s">
        <v>1007</v>
      </c>
      <c r="AS48" s="1344"/>
      <c r="AT48" s="1344"/>
      <c r="AU48" s="1344"/>
      <c r="AV48" s="1492">
        <f ca="1">AV47/677.35</f>
        <v>0.27567636073611479</v>
      </c>
      <c r="AW48" s="1345"/>
      <c r="AX48" s="1491"/>
      <c r="AY48" s="1491"/>
      <c r="AZ48" s="1334"/>
      <c r="BA48" s="883"/>
      <c r="BB48" s="1673"/>
      <c r="BC48" s="1673" t="s">
        <v>564</v>
      </c>
      <c r="BD48" s="1678" t="s">
        <v>1087</v>
      </c>
      <c r="BE48" s="1316"/>
      <c r="BF48" s="1316"/>
      <c r="BG48" s="1316"/>
      <c r="BH48" s="1679" t="e">
        <f ca="1">INDEX(INDIRECT(BH$30&amp;"!Year.Matrix"),MATCH($BC48,INDIRECT(BH$30&amp;"!Year.Modules"),0),MATCH("V.03",INDIRECT(BH$30&amp;"!Year.Vectors"),0))/BH$47</f>
        <v>#DIV/0!</v>
      </c>
      <c r="BI48" s="1679" t="e">
        <f ca="1">INDEX(INDIRECT(BI$30&amp;"!Year.Matrix"),MATCH($BC48,INDIRECT(BI$30&amp;"!Year.Modules"),0),MATCH("V.03",INDIRECT(BI$30&amp;"!Year.Vectors"),0))/BI$47</f>
        <v>#REF!</v>
      </c>
      <c r="BJ48" s="1679" t="e">
        <f ca="1">INDEX(INDIRECT(BJ$30&amp;"!Year.Matrix"),MATCH($BC48,INDIRECT(BJ$30&amp;"!Year.Modules"),0),MATCH("V.03",INDIRECT(BJ$30&amp;"!Year.Vectors"),0))/BJ$47</f>
        <v>#REF!</v>
      </c>
      <c r="BK48" s="1679" t="e">
        <f ca="1">INDEX(INDIRECT(BK$30&amp;"!Year.Matrix"),MATCH($BC48,INDIRECT(BK$30&amp;"!Year.Modules"),0),MATCH("V.03",INDIRECT(BK$30&amp;"!Year.Vectors"),0))/BK$47</f>
        <v>#REF!</v>
      </c>
      <c r="BL48" s="1334"/>
      <c r="BO48" s="1644" t="s">
        <v>1475</v>
      </c>
      <c r="BP48" s="528" t="s">
        <v>1476</v>
      </c>
      <c r="BQ48" s="528" t="s">
        <v>1477</v>
      </c>
      <c r="BR48" s="528" t="s">
        <v>1478</v>
      </c>
    </row>
    <row r="49" spans="1:70" s="528" customFormat="1" ht="26">
      <c r="A49" s="2213"/>
      <c r="B49" s="2215"/>
      <c r="C49" s="1432"/>
      <c r="D49" s="1433" t="s">
        <v>1375</v>
      </c>
      <c r="E49" s="2190">
        <v>3</v>
      </c>
      <c r="F49" s="1837" t="s">
        <v>981</v>
      </c>
      <c r="G49" s="117"/>
      <c r="H49" s="1832" t="s">
        <v>1233</v>
      </c>
      <c r="I49" s="1832" t="s">
        <v>1234</v>
      </c>
      <c r="J49" s="1832" t="s">
        <v>1235</v>
      </c>
      <c r="K49" s="1832" t="s">
        <v>1236</v>
      </c>
      <c r="L49" s="1831"/>
      <c r="M49" s="2106">
        <v>1</v>
      </c>
      <c r="N49" s="2105">
        <v>4</v>
      </c>
      <c r="O49" s="2105">
        <v>1</v>
      </c>
      <c r="P49" s="2105">
        <v>3</v>
      </c>
      <c r="Q49" s="2105">
        <v>4</v>
      </c>
      <c r="R49" s="2105">
        <v>3</v>
      </c>
      <c r="S49" s="2105">
        <v>4</v>
      </c>
      <c r="T49" s="2105">
        <v>4</v>
      </c>
      <c r="U49" s="2177">
        <v>4</v>
      </c>
      <c r="V49" s="2105">
        <v>4</v>
      </c>
      <c r="W49" s="2105">
        <v>3</v>
      </c>
      <c r="X49" s="2105">
        <v>4</v>
      </c>
      <c r="Y49" s="2105">
        <v>4</v>
      </c>
      <c r="Z49" s="2105"/>
      <c r="AA49" s="2105"/>
      <c r="AB49" s="2105"/>
      <c r="AD49" s="1334"/>
      <c r="AE49" s="1334"/>
      <c r="AF49" s="1334"/>
      <c r="AG49" s="1334"/>
      <c r="AH49" s="1334"/>
      <c r="AI49" s="1334"/>
      <c r="AJ49" s="1336"/>
      <c r="AK49" s="1337"/>
      <c r="AL49" s="1337"/>
      <c r="AM49" s="1334"/>
      <c r="AN49" s="1334"/>
      <c r="AO49" s="1666"/>
      <c r="AP49" s="1670"/>
      <c r="AQ49" s="1493" t="s">
        <v>1247</v>
      </c>
      <c r="AR49" s="1334"/>
      <c r="AS49" s="1334"/>
      <c r="AT49" s="1334"/>
      <c r="AU49" s="1334"/>
      <c r="AV49" s="1334"/>
      <c r="AW49" s="1334"/>
      <c r="AX49" s="1334"/>
      <c r="AY49" s="1334"/>
      <c r="AZ49" s="1334"/>
      <c r="BA49" s="883"/>
      <c r="BB49" s="1370"/>
      <c r="BC49" s="1370" t="s">
        <v>665</v>
      </c>
      <c r="BD49" s="1371" t="s">
        <v>1085</v>
      </c>
      <c r="BE49" s="1140"/>
      <c r="BF49" s="1140"/>
      <c r="BG49" s="1140"/>
      <c r="BH49" s="1372" t="e">
        <f t="shared" ref="BH49:BK52" ca="1" si="5">-INDEX(INDIRECT(BH$30&amp;"!Year.Matrix"),MATCH($BC49,INDIRECT(BH$30&amp;"!Year.Modules"),0),MATCH("V.03",INDIRECT(BH$30&amp;"!Year.Vectors"),0))/BH$47</f>
        <v>#DIV/0!</v>
      </c>
      <c r="BI49" s="1372" t="e">
        <f t="shared" ca="1" si="5"/>
        <v>#REF!</v>
      </c>
      <c r="BJ49" s="1372" t="e">
        <f t="shared" ca="1" si="5"/>
        <v>#REF!</v>
      </c>
      <c r="BK49" s="1372" t="e">
        <f t="shared" ca="1" si="5"/>
        <v>#REF!</v>
      </c>
      <c r="BL49" s="1334"/>
      <c r="BO49" s="1644" t="s">
        <v>1233</v>
      </c>
      <c r="BP49" s="528" t="s">
        <v>1234</v>
      </c>
      <c r="BQ49" s="528" t="s">
        <v>1235</v>
      </c>
      <c r="BR49" s="528" t="s">
        <v>1236</v>
      </c>
    </row>
    <row r="50" spans="1:70" s="528" customFormat="1" ht="26">
      <c r="A50" s="2213"/>
      <c r="B50" s="2215"/>
      <c r="C50" s="1432"/>
      <c r="D50" s="1433" t="s">
        <v>1376</v>
      </c>
      <c r="E50" s="2190">
        <v>2</v>
      </c>
      <c r="F50" s="1837" t="s">
        <v>981</v>
      </c>
      <c r="G50" s="117"/>
      <c r="H50" s="1832" t="s">
        <v>1840</v>
      </c>
      <c r="I50" s="1832" t="s">
        <v>1841</v>
      </c>
      <c r="J50" s="1832" t="s">
        <v>1204</v>
      </c>
      <c r="K50" s="1832" t="s">
        <v>1237</v>
      </c>
      <c r="L50" s="1831"/>
      <c r="M50" s="2106">
        <v>1</v>
      </c>
      <c r="N50" s="2105">
        <v>4</v>
      </c>
      <c r="O50" s="2105">
        <v>1</v>
      </c>
      <c r="P50" s="2105">
        <v>2</v>
      </c>
      <c r="Q50" s="2105">
        <v>4</v>
      </c>
      <c r="R50" s="2105">
        <v>3</v>
      </c>
      <c r="S50" s="2105">
        <v>3</v>
      </c>
      <c r="T50" s="2105">
        <v>4</v>
      </c>
      <c r="U50" s="2177">
        <v>3</v>
      </c>
      <c r="V50" s="2105">
        <v>3</v>
      </c>
      <c r="W50" s="2105">
        <v>4</v>
      </c>
      <c r="X50" s="2105">
        <v>4</v>
      </c>
      <c r="Y50" s="2105">
        <v>3</v>
      </c>
      <c r="Z50" s="2105"/>
      <c r="AA50" s="2105"/>
      <c r="AB50" s="2105"/>
      <c r="AD50" s="1334"/>
      <c r="AE50" s="1334"/>
      <c r="AF50" s="1334"/>
      <c r="AG50" s="1334"/>
      <c r="AH50" s="1334"/>
      <c r="AI50" s="1334"/>
      <c r="AJ50" s="1336"/>
      <c r="AK50" s="1337"/>
      <c r="AL50" s="1337"/>
      <c r="AM50" s="1334"/>
      <c r="AN50" s="1334"/>
      <c r="AO50" s="1666"/>
      <c r="AP50" s="1670"/>
      <c r="AQ50" s="1493" t="s">
        <v>1250</v>
      </c>
      <c r="AR50" s="1334"/>
      <c r="AS50" s="1334"/>
      <c r="AT50" s="1334"/>
      <c r="AU50" s="1334"/>
      <c r="AV50" s="1334"/>
      <c r="AW50" s="1334"/>
      <c r="AX50" s="1334"/>
      <c r="AY50" s="1334"/>
      <c r="AZ50" s="1334"/>
      <c r="BA50" s="883"/>
      <c r="BB50" s="1370"/>
      <c r="BC50" s="1370" t="s">
        <v>621</v>
      </c>
      <c r="BD50" s="1371" t="s">
        <v>1198</v>
      </c>
      <c r="BE50" s="1140"/>
      <c r="BF50" s="1140"/>
      <c r="BG50" s="1140"/>
      <c r="BH50" s="1372" t="e">
        <f t="shared" ca="1" si="5"/>
        <v>#DIV/0!</v>
      </c>
      <c r="BI50" s="1372" t="e">
        <f t="shared" ca="1" si="5"/>
        <v>#REF!</v>
      </c>
      <c r="BJ50" s="1372" t="e">
        <f t="shared" ca="1" si="5"/>
        <v>#REF!</v>
      </c>
      <c r="BK50" s="1372" t="e">
        <f t="shared" ca="1" si="5"/>
        <v>#REF!</v>
      </c>
      <c r="BL50" s="1334"/>
      <c r="BO50" s="1644" t="s">
        <v>1228</v>
      </c>
      <c r="BP50" s="528" t="s">
        <v>1203</v>
      </c>
      <c r="BQ50" s="1366" t="s">
        <v>1204</v>
      </c>
      <c r="BR50" s="528" t="s">
        <v>1237</v>
      </c>
    </row>
    <row r="51" spans="1:70" s="528" customFormat="1" ht="15">
      <c r="A51" s="2213"/>
      <c r="B51" s="2215" t="s">
        <v>1423</v>
      </c>
      <c r="C51" s="760" t="s">
        <v>707</v>
      </c>
      <c r="D51" s="760" t="s">
        <v>709</v>
      </c>
      <c r="E51" s="2190"/>
      <c r="F51" s="1836"/>
      <c r="G51"/>
      <c r="H51" s="1832"/>
      <c r="I51" s="1832"/>
      <c r="J51" s="1832"/>
      <c r="K51" s="1832"/>
      <c r="L51" s="1831"/>
      <c r="M51" s="2106"/>
      <c r="N51" s="2105"/>
      <c r="O51" s="2105"/>
      <c r="P51" s="2105"/>
      <c r="Q51" s="2105"/>
      <c r="R51" s="2105"/>
      <c r="S51" s="2105"/>
      <c r="T51" s="2105"/>
      <c r="U51" s="2177"/>
      <c r="V51" s="2105"/>
      <c r="W51" s="2105"/>
      <c r="X51" s="2105"/>
      <c r="Y51" s="2105"/>
      <c r="Z51" s="2105"/>
      <c r="AA51" s="2105"/>
      <c r="AB51" s="2105"/>
      <c r="AD51" s="1334"/>
      <c r="AE51" s="1334"/>
      <c r="AF51" s="1334"/>
      <c r="AG51" s="1334"/>
      <c r="AH51" s="1334"/>
      <c r="AI51" s="1334"/>
      <c r="AJ51" s="1336"/>
      <c r="AK51" s="1337"/>
      <c r="AL51" s="1337"/>
      <c r="AM51" s="1334"/>
      <c r="AN51" s="1334"/>
      <c r="AO51" s="1666"/>
      <c r="AP51" s="1493"/>
      <c r="AQ51" s="1493" t="s">
        <v>1248</v>
      </c>
      <c r="AR51" s="1334"/>
      <c r="AS51" s="1334"/>
      <c r="AT51" s="1334"/>
      <c r="AU51" s="1334"/>
      <c r="AV51" s="1334"/>
      <c r="AW51" s="1334"/>
      <c r="AX51" s="1334"/>
      <c r="AY51" s="1334"/>
      <c r="AZ51" s="1334"/>
      <c r="BA51" s="883"/>
      <c r="BB51" s="1370"/>
      <c r="BC51" s="1370" t="s">
        <v>571</v>
      </c>
      <c r="BD51" s="1371" t="s">
        <v>1088</v>
      </c>
      <c r="BE51" s="1140"/>
      <c r="BF51" s="1140"/>
      <c r="BG51" s="1140"/>
      <c r="BH51" s="1372" t="e">
        <f t="shared" ca="1" si="5"/>
        <v>#DIV/0!</v>
      </c>
      <c r="BI51" s="1372" t="e">
        <f t="shared" ca="1" si="5"/>
        <v>#REF!</v>
      </c>
      <c r="BJ51" s="1372" t="e">
        <f t="shared" ca="1" si="5"/>
        <v>#REF!</v>
      </c>
      <c r="BK51" s="1372" t="e">
        <f t="shared" ca="1" si="5"/>
        <v>#REF!</v>
      </c>
      <c r="BL51" s="1334"/>
      <c r="BO51" s="1644"/>
      <c r="BR51" s="1642"/>
    </row>
    <row r="52" spans="1:70" s="528" customFormat="1" ht="26">
      <c r="A52" s="2213"/>
      <c r="B52" s="2215"/>
      <c r="C52" s="1433"/>
      <c r="D52" s="1433" t="s">
        <v>1503</v>
      </c>
      <c r="E52" s="2190">
        <v>4</v>
      </c>
      <c r="F52" s="1837">
        <v>4</v>
      </c>
      <c r="G52" s="117"/>
      <c r="H52" s="1832" t="s">
        <v>1208</v>
      </c>
      <c r="I52" s="1832" t="s">
        <v>1245</v>
      </c>
      <c r="J52" s="1832" t="s">
        <v>1241</v>
      </c>
      <c r="K52" s="1832" t="s">
        <v>1242</v>
      </c>
      <c r="L52" s="1831"/>
      <c r="M52" s="2106">
        <v>1</v>
      </c>
      <c r="N52" s="2105">
        <v>4</v>
      </c>
      <c r="O52" s="2105">
        <v>1</v>
      </c>
      <c r="P52" s="2105">
        <v>4</v>
      </c>
      <c r="Q52" s="2105">
        <v>4</v>
      </c>
      <c r="R52" s="2105">
        <v>2</v>
      </c>
      <c r="S52" s="2105">
        <v>3</v>
      </c>
      <c r="T52" s="2105">
        <v>4</v>
      </c>
      <c r="U52" s="2177">
        <v>4</v>
      </c>
      <c r="V52" s="2105">
        <v>4</v>
      </c>
      <c r="W52" s="2105">
        <v>4</v>
      </c>
      <c r="X52" s="2105">
        <v>3</v>
      </c>
      <c r="Y52" s="2105">
        <v>4</v>
      </c>
      <c r="Z52" s="2105"/>
      <c r="AA52" s="2105"/>
      <c r="AB52" s="2105"/>
      <c r="AD52" s="1334"/>
      <c r="AE52" s="1334"/>
      <c r="AF52" s="1334"/>
      <c r="AG52" s="1334"/>
      <c r="AH52" s="1334"/>
      <c r="AI52" s="1334"/>
      <c r="AJ52" s="1336"/>
      <c r="AK52" s="1337"/>
      <c r="AL52" s="1337"/>
      <c r="AM52" s="1334"/>
      <c r="AN52" s="1334"/>
      <c r="AO52" s="1666"/>
      <c r="AP52" s="1334"/>
      <c r="AQ52" s="1334"/>
      <c r="AR52" s="1334"/>
      <c r="AS52" s="1334"/>
      <c r="AT52" s="1334"/>
      <c r="AU52" s="1334"/>
      <c r="AV52" s="1334"/>
      <c r="AW52" s="1336"/>
      <c r="AX52" s="1334"/>
      <c r="AY52" s="1334"/>
      <c r="AZ52" s="1334"/>
      <c r="BA52" s="883"/>
      <c r="BB52" s="1370"/>
      <c r="BC52" s="1370" t="s">
        <v>569</v>
      </c>
      <c r="BD52" s="1371" t="s">
        <v>1194</v>
      </c>
      <c r="BE52" s="1140"/>
      <c r="BF52" s="1140"/>
      <c r="BG52" s="1140"/>
      <c r="BH52" s="1372" t="e">
        <f t="shared" ca="1" si="5"/>
        <v>#DIV/0!</v>
      </c>
      <c r="BI52" s="1372" t="e">
        <f t="shared" ca="1" si="5"/>
        <v>#REF!</v>
      </c>
      <c r="BJ52" s="1372" t="e">
        <f t="shared" ca="1" si="5"/>
        <v>#REF!</v>
      </c>
      <c r="BK52" s="1372" t="e">
        <f t="shared" ca="1" si="5"/>
        <v>#REF!</v>
      </c>
      <c r="BL52" s="1334"/>
      <c r="BO52" s="1644" t="s">
        <v>1479</v>
      </c>
      <c r="BP52" s="528" t="s">
        <v>1480</v>
      </c>
      <c r="BQ52" s="528" t="s">
        <v>1481</v>
      </c>
      <c r="BR52" s="528" t="s">
        <v>1482</v>
      </c>
    </row>
    <row r="53" spans="1:70" s="528" customFormat="1" ht="23">
      <c r="A53" s="2213"/>
      <c r="B53" s="2215"/>
      <c r="C53" s="1433"/>
      <c r="D53" s="1433" t="s">
        <v>1377</v>
      </c>
      <c r="E53" s="2190">
        <v>2</v>
      </c>
      <c r="F53" s="1837" t="s">
        <v>979</v>
      </c>
      <c r="G53" s="117"/>
      <c r="H53" s="1832" t="s">
        <v>1209</v>
      </c>
      <c r="I53" s="1832" t="s">
        <v>1207</v>
      </c>
      <c r="J53" s="1832" t="s">
        <v>1428</v>
      </c>
      <c r="K53" s="1832" t="s">
        <v>1428</v>
      </c>
      <c r="L53" s="1831"/>
      <c r="M53" s="2106">
        <v>1</v>
      </c>
      <c r="N53" s="2105">
        <v>2</v>
      </c>
      <c r="O53" s="2105">
        <v>1</v>
      </c>
      <c r="P53" s="2105">
        <v>2</v>
      </c>
      <c r="Q53" s="2105">
        <v>2</v>
      </c>
      <c r="R53" s="2105">
        <v>2</v>
      </c>
      <c r="S53" s="2105">
        <v>1</v>
      </c>
      <c r="T53" s="2105">
        <v>1</v>
      </c>
      <c r="U53" s="2177">
        <v>2</v>
      </c>
      <c r="V53" s="2105">
        <v>1</v>
      </c>
      <c r="W53" s="2105">
        <v>2</v>
      </c>
      <c r="X53" s="2105">
        <v>2</v>
      </c>
      <c r="Y53" s="2105">
        <v>2</v>
      </c>
      <c r="Z53" s="2105"/>
      <c r="AA53" s="2105"/>
      <c r="AB53" s="2105"/>
      <c r="AD53" s="1334"/>
      <c r="AE53" s="1334"/>
      <c r="AF53" s="1334"/>
      <c r="AG53" s="1334"/>
      <c r="AH53" s="1334"/>
      <c r="AI53" s="1334"/>
      <c r="AJ53" s="1336"/>
      <c r="AK53" s="1337"/>
      <c r="AL53" s="1337"/>
      <c r="AM53" s="1334"/>
      <c r="AN53" s="1334"/>
      <c r="AO53" s="1666"/>
      <c r="AP53" s="1334"/>
      <c r="AQ53" s="1334"/>
      <c r="AR53" s="1334"/>
      <c r="AS53" s="1334"/>
      <c r="AT53" s="1334"/>
      <c r="AU53" s="1334"/>
      <c r="AV53" s="1334"/>
      <c r="AW53" s="1336"/>
      <c r="AX53" s="1334"/>
      <c r="AY53" s="1334"/>
      <c r="AZ53" s="1334"/>
      <c r="BA53" s="883"/>
      <c r="BB53" s="1346"/>
      <c r="BC53" s="1346"/>
      <c r="BD53" s="1334"/>
      <c r="BE53" s="1334"/>
      <c r="BF53" s="1334"/>
      <c r="BG53" s="1334"/>
      <c r="BH53" s="1334"/>
      <c r="BI53" s="1334"/>
      <c r="BJ53" s="1334"/>
      <c r="BK53" s="1334"/>
      <c r="BL53" s="1334"/>
      <c r="BO53" s="1644" t="s">
        <v>1485</v>
      </c>
      <c r="BP53" s="528" t="s">
        <v>1486</v>
      </c>
      <c r="BQ53" s="528" t="s">
        <v>1486</v>
      </c>
      <c r="BR53" s="528" t="s">
        <v>1486</v>
      </c>
    </row>
    <row r="54" spans="1:70" s="528" customFormat="1" ht="23">
      <c r="A54" s="1841" t="s">
        <v>1426</v>
      </c>
      <c r="B54" s="1842"/>
      <c r="C54" s="1588"/>
      <c r="D54" s="1588"/>
      <c r="E54" s="2191"/>
      <c r="F54" s="1838"/>
      <c r="G54" s="1588"/>
      <c r="H54" s="1595"/>
      <c r="I54" s="1595"/>
      <c r="J54" s="1595"/>
      <c r="K54" s="1595"/>
      <c r="L54" s="1588"/>
      <c r="M54" s="2178"/>
      <c r="N54" s="2179"/>
      <c r="O54" s="2179"/>
      <c r="P54" s="2179"/>
      <c r="Q54" s="2179"/>
      <c r="R54" s="2179"/>
      <c r="S54" s="2179"/>
      <c r="T54" s="2180"/>
      <c r="U54" s="2181"/>
      <c r="V54" s="2180"/>
      <c r="W54" s="2180"/>
      <c r="X54" s="2180"/>
      <c r="Y54" s="2180"/>
      <c r="Z54" s="2180"/>
      <c r="AA54" s="2180"/>
      <c r="AB54" s="2180"/>
      <c r="AD54" s="1334"/>
      <c r="AE54" s="1334"/>
      <c r="AF54" s="1334"/>
      <c r="AG54" s="1334"/>
      <c r="AH54" s="1334"/>
      <c r="AI54" s="1334"/>
      <c r="AJ54" s="1336"/>
      <c r="AK54" s="1337"/>
      <c r="AL54" s="1337"/>
      <c r="AM54" s="1334"/>
      <c r="AN54" s="1334"/>
      <c r="AO54" s="1667"/>
      <c r="AP54" s="1334"/>
      <c r="AQ54" s="1334"/>
      <c r="AR54" s="1334"/>
      <c r="AS54" s="1334"/>
      <c r="AT54" s="1334"/>
      <c r="AU54" s="1334"/>
      <c r="AV54" s="1334"/>
      <c r="AW54" s="1336"/>
      <c r="AX54" s="1334"/>
      <c r="AY54" s="1334"/>
      <c r="AZ54" s="1334"/>
      <c r="BA54" s="883"/>
      <c r="BB54" s="1346"/>
      <c r="BC54" s="1346"/>
      <c r="BD54" s="1334"/>
      <c r="BE54" s="1334"/>
      <c r="BF54" s="1334"/>
      <c r="BG54" s="1334"/>
      <c r="BH54" s="1334"/>
      <c r="BI54" s="1334"/>
      <c r="BJ54" s="1334"/>
      <c r="BK54" s="1334"/>
      <c r="BL54" s="1334"/>
      <c r="BO54" s="1644"/>
    </row>
    <row r="55" spans="1:70" s="528" customFormat="1" ht="26">
      <c r="A55" s="1845" t="s">
        <v>424</v>
      </c>
      <c r="B55" s="1844"/>
      <c r="C55" s="760" t="s">
        <v>718</v>
      </c>
      <c r="D55" s="760" t="s">
        <v>424</v>
      </c>
      <c r="E55" s="2190">
        <v>1</v>
      </c>
      <c r="F55" s="1836">
        <v>4</v>
      </c>
      <c r="G55" s="117"/>
      <c r="H55" s="1832" t="s">
        <v>1244</v>
      </c>
      <c r="I55" s="1832" t="s">
        <v>1210</v>
      </c>
      <c r="J55" s="1832" t="s">
        <v>1288</v>
      </c>
      <c r="K55" s="1832" t="s">
        <v>1289</v>
      </c>
      <c r="L55" s="1831"/>
      <c r="M55" s="2106">
        <v>1</v>
      </c>
      <c r="N55" s="2105">
        <v>1</v>
      </c>
      <c r="O55" s="2105">
        <v>1</v>
      </c>
      <c r="P55" s="2105">
        <v>1</v>
      </c>
      <c r="Q55" s="2105">
        <v>1</v>
      </c>
      <c r="R55" s="2105">
        <v>1</v>
      </c>
      <c r="S55" s="2105">
        <v>2</v>
      </c>
      <c r="T55" s="2105">
        <v>1</v>
      </c>
      <c r="U55" s="2177">
        <v>4</v>
      </c>
      <c r="V55" s="2105">
        <v>2</v>
      </c>
      <c r="W55" s="2105">
        <v>1</v>
      </c>
      <c r="X55" s="2105">
        <v>1</v>
      </c>
      <c r="Y55" s="2105">
        <v>2</v>
      </c>
      <c r="Z55" s="2105"/>
      <c r="AA55" s="2105"/>
      <c r="AB55" s="2105"/>
      <c r="AC55" s="117"/>
      <c r="AD55" s="1334"/>
      <c r="AE55" s="1334"/>
      <c r="AF55" s="1334"/>
      <c r="AG55" s="1334"/>
      <c r="AH55" s="1334"/>
      <c r="AI55" s="1334"/>
      <c r="AJ55" s="1336"/>
      <c r="AK55" s="1337"/>
      <c r="AL55" s="1337"/>
      <c r="AM55" s="1334"/>
      <c r="AN55" s="1334"/>
      <c r="AO55" s="1667"/>
      <c r="AP55" s="1334"/>
      <c r="AQ55" s="1334"/>
      <c r="AR55" s="1334"/>
      <c r="AS55" s="1334"/>
      <c r="AT55" s="1334"/>
      <c r="AU55" s="1334"/>
      <c r="AV55" s="1334"/>
      <c r="AW55" s="1336"/>
      <c r="AX55" s="1334"/>
      <c r="AY55" s="1334"/>
      <c r="AZ55" s="1334"/>
      <c r="BA55" s="883"/>
      <c r="BB55" s="1346"/>
      <c r="BC55" s="1346"/>
      <c r="BD55" s="1334"/>
      <c r="BE55" s="1334"/>
      <c r="BF55" s="1334"/>
      <c r="BG55" s="1334"/>
      <c r="BH55" s="1334"/>
      <c r="BI55" s="1334"/>
      <c r="BJ55" s="1334"/>
      <c r="BK55" s="1334"/>
      <c r="BL55" s="1334"/>
      <c r="BO55" s="1644" t="s">
        <v>1244</v>
      </c>
      <c r="BP55" s="528" t="s">
        <v>1487</v>
      </c>
      <c r="BQ55" s="528" t="s">
        <v>1488</v>
      </c>
      <c r="BR55" s="528" t="s">
        <v>1489</v>
      </c>
    </row>
    <row r="56" spans="1:70" s="528" customFormat="1" ht="25.5" customHeight="1">
      <c r="A56" s="1845" t="s">
        <v>1327</v>
      </c>
      <c r="B56" s="1843"/>
      <c r="C56" s="760" t="s">
        <v>636</v>
      </c>
      <c r="D56" s="760" t="s">
        <v>1378</v>
      </c>
      <c r="E56" s="2190">
        <v>2</v>
      </c>
      <c r="F56" s="1836">
        <v>4</v>
      </c>
      <c r="G56"/>
      <c r="H56" s="1832" t="s">
        <v>1221</v>
      </c>
      <c r="I56" s="1832" t="s">
        <v>1222</v>
      </c>
      <c r="J56" s="1832" t="s">
        <v>1223</v>
      </c>
      <c r="K56" s="1832" t="s">
        <v>1224</v>
      </c>
      <c r="L56" s="1831"/>
      <c r="M56" s="2106">
        <v>1</v>
      </c>
      <c r="N56" s="2105">
        <v>1</v>
      </c>
      <c r="O56" s="2105">
        <v>1</v>
      </c>
      <c r="P56" s="2105">
        <v>2</v>
      </c>
      <c r="Q56" s="2105">
        <v>4</v>
      </c>
      <c r="R56" s="2105">
        <v>2</v>
      </c>
      <c r="S56" s="2105">
        <v>2</v>
      </c>
      <c r="T56" s="2105">
        <v>1</v>
      </c>
      <c r="U56" s="2177">
        <v>4</v>
      </c>
      <c r="V56" s="2105">
        <v>3</v>
      </c>
      <c r="W56" s="2105">
        <v>4</v>
      </c>
      <c r="X56" s="2105">
        <v>2</v>
      </c>
      <c r="Y56" s="2105">
        <v>3</v>
      </c>
      <c r="Z56" s="2105"/>
      <c r="AA56" s="2105"/>
      <c r="AB56" s="2105"/>
      <c r="AC56"/>
      <c r="AD56" s="1334"/>
      <c r="AE56" s="1334"/>
      <c r="AF56" s="1334"/>
      <c r="AG56" s="1334"/>
      <c r="AH56" s="1334"/>
      <c r="AI56" s="1334"/>
      <c r="AJ56" s="1336"/>
      <c r="AK56" s="1337"/>
      <c r="AL56" s="1337"/>
      <c r="AM56" s="1334"/>
      <c r="AN56" s="1334"/>
      <c r="AO56" s="1667"/>
      <c r="AP56" s="1334"/>
      <c r="AQ56" s="1334"/>
      <c r="AR56" s="1334"/>
      <c r="AS56" s="1334"/>
      <c r="AT56" s="1334"/>
      <c r="AU56" s="1334"/>
      <c r="AV56" s="1334"/>
      <c r="AW56" s="1336"/>
      <c r="AX56" s="1334"/>
      <c r="AY56" s="1334"/>
      <c r="AZ56" s="1334"/>
      <c r="BA56" s="883"/>
      <c r="BB56" s="1346"/>
      <c r="BC56" s="1346"/>
      <c r="BD56" s="1334"/>
      <c r="BE56" s="1334"/>
      <c r="BF56" s="1334"/>
      <c r="BG56" s="1334"/>
      <c r="BH56" s="1334"/>
      <c r="BI56" s="1334"/>
      <c r="BJ56" s="1334"/>
      <c r="BK56" s="1334"/>
      <c r="BL56" s="1334"/>
      <c r="BO56" s="1644" t="s">
        <v>1493</v>
      </c>
      <c r="BP56" s="528" t="s">
        <v>1492</v>
      </c>
      <c r="BQ56" s="528" t="s">
        <v>1491</v>
      </c>
      <c r="BR56" s="528" t="s">
        <v>1490</v>
      </c>
    </row>
    <row r="57" spans="1:70" s="528" customFormat="1" ht="23">
      <c r="A57" s="1845" t="s">
        <v>1748</v>
      </c>
      <c r="B57" s="13"/>
      <c r="C57" s="2193" t="s">
        <v>730</v>
      </c>
      <c r="D57" s="2193" t="s">
        <v>731</v>
      </c>
      <c r="E57" s="2190">
        <v>1</v>
      </c>
      <c r="F57" s="1836">
        <v>3</v>
      </c>
      <c r="G57"/>
      <c r="H57" s="1832" t="s">
        <v>1771</v>
      </c>
      <c r="I57" s="1832" t="s">
        <v>1772</v>
      </c>
      <c r="J57" s="1832" t="s">
        <v>1659</v>
      </c>
      <c r="K57" s="1832"/>
      <c r="L57" s="1831"/>
      <c r="M57" s="2106">
        <v>1</v>
      </c>
      <c r="N57" s="2105">
        <v>1</v>
      </c>
      <c r="O57" s="2105">
        <v>1</v>
      </c>
      <c r="P57" s="2105">
        <v>1</v>
      </c>
      <c r="Q57" s="2105">
        <v>1</v>
      </c>
      <c r="R57" s="2105">
        <v>1</v>
      </c>
      <c r="S57" s="2105">
        <v>1</v>
      </c>
      <c r="T57" s="2105">
        <v>1</v>
      </c>
      <c r="U57" s="2177">
        <v>1</v>
      </c>
      <c r="V57" s="2105">
        <v>1</v>
      </c>
      <c r="W57" s="2105">
        <v>1</v>
      </c>
      <c r="X57" s="2105">
        <v>1</v>
      </c>
      <c r="Y57" s="2105">
        <v>1</v>
      </c>
      <c r="Z57" s="2105"/>
      <c r="AA57" s="2105"/>
      <c r="AB57" s="2105"/>
      <c r="AC57"/>
      <c r="AD57" s="1334"/>
      <c r="AE57" s="1334"/>
      <c r="AF57" s="1334"/>
      <c r="AG57" s="1334"/>
      <c r="AH57" s="1334"/>
      <c r="AI57" s="1334"/>
      <c r="AJ57" s="1336"/>
      <c r="AK57" s="1337"/>
      <c r="AL57" s="1337"/>
      <c r="AM57" s="1334"/>
      <c r="AN57" s="1334"/>
      <c r="AO57" s="1904"/>
      <c r="AP57" s="1334"/>
      <c r="AQ57" s="1334"/>
      <c r="AR57" s="1334"/>
      <c r="AS57" s="1334"/>
      <c r="AT57" s="1334"/>
      <c r="AU57" s="1334"/>
      <c r="AV57" s="1334"/>
      <c r="AW57" s="1336"/>
      <c r="AX57" s="1334"/>
      <c r="AY57" s="1334"/>
      <c r="AZ57" s="1334"/>
      <c r="BA57" s="883"/>
      <c r="BB57" s="1346"/>
      <c r="BC57" s="1346"/>
      <c r="BD57" s="1334"/>
      <c r="BE57" s="1334"/>
      <c r="BF57" s="1334"/>
      <c r="BG57" s="1334"/>
      <c r="BH57" s="1334"/>
      <c r="BI57" s="1334"/>
      <c r="BJ57" s="1334"/>
      <c r="BK57" s="1334"/>
      <c r="BL57" s="1334"/>
      <c r="BO57" s="1642"/>
      <c r="BP57" s="1642"/>
      <c r="BQ57" s="1642"/>
      <c r="BR57" s="1642"/>
    </row>
    <row r="58" spans="1:70" s="528" customFormat="1" ht="20.25" customHeight="1">
      <c r="A58" s="1839" t="s">
        <v>1529</v>
      </c>
      <c r="B58" s="1063"/>
      <c r="C58" s="26"/>
      <c r="D58" s="26"/>
      <c r="E58" s="2194"/>
      <c r="F58" s="580"/>
      <c r="G58"/>
      <c r="K58" s="528" t="s">
        <v>1900</v>
      </c>
      <c r="L58" s="1831"/>
      <c r="M58" s="2174" t="s">
        <v>1911</v>
      </c>
      <c r="N58" s="1647"/>
      <c r="O58" s="1647"/>
      <c r="P58" s="2174" t="s">
        <v>1901</v>
      </c>
      <c r="Q58" s="2174" t="s">
        <v>1902</v>
      </c>
      <c r="R58" s="2174" t="s">
        <v>1903</v>
      </c>
      <c r="S58" s="2174" t="s">
        <v>1904</v>
      </c>
      <c r="T58" s="2174" t="s">
        <v>1905</v>
      </c>
      <c r="U58" s="2174" t="s">
        <v>1906</v>
      </c>
      <c r="V58" s="2174" t="s">
        <v>1907</v>
      </c>
      <c r="W58" s="2174" t="s">
        <v>1908</v>
      </c>
      <c r="X58" s="2174" t="s">
        <v>1909</v>
      </c>
      <c r="Y58" s="2174" t="s">
        <v>1910</v>
      </c>
      <c r="Z58" s="2039"/>
      <c r="AA58" s="2039"/>
      <c r="AB58" s="1830"/>
      <c r="AC58"/>
      <c r="AD58" s="117"/>
      <c r="AE58"/>
      <c r="AF58" s="533"/>
      <c r="AG58" s="533"/>
      <c r="AH58" s="1238"/>
      <c r="AI58" s="533"/>
      <c r="AJ58" s="533"/>
      <c r="AK58" s="533"/>
      <c r="AL58" s="533"/>
      <c r="AM58" s="533"/>
      <c r="AN58" s="1355"/>
      <c r="AO58" s="1666"/>
      <c r="AP58" s="1666"/>
      <c r="AQ58" s="1355"/>
      <c r="AR58" s="1355"/>
      <c r="AS58" s="1355"/>
      <c r="AT58" s="1355"/>
      <c r="AU58" s="1355"/>
      <c r="AV58" s="1355"/>
      <c r="AW58" s="1355"/>
      <c r="AX58" s="1355"/>
      <c r="AY58" s="1355"/>
      <c r="AZ58" s="1355"/>
      <c r="BA58" s="883"/>
      <c r="BB58" s="883"/>
      <c r="BL58" s="1355"/>
      <c r="BM58" s="1355"/>
      <c r="BN58" s="1355"/>
    </row>
    <row r="59" spans="1:70" s="528" customFormat="1" ht="20.25" customHeight="1">
      <c r="A59" s="1063"/>
      <c r="B59" s="1801"/>
      <c r="C59" s="34"/>
      <c r="D59" s="26"/>
      <c r="E59" s="2195"/>
      <c r="F59" s="504"/>
      <c r="G59"/>
      <c r="K59" s="528" t="s">
        <v>1897</v>
      </c>
      <c r="L59" s="1044"/>
      <c r="M59" s="1937">
        <v>75</v>
      </c>
      <c r="N59" s="1044" t="s">
        <v>1899</v>
      </c>
      <c r="O59" s="1044" t="s">
        <v>1899</v>
      </c>
      <c r="P59" s="1937">
        <v>112</v>
      </c>
      <c r="Q59" s="1937">
        <v>109</v>
      </c>
      <c r="R59" s="1937">
        <v>110</v>
      </c>
      <c r="S59" s="1937">
        <v>111</v>
      </c>
      <c r="T59" s="1937">
        <v>170</v>
      </c>
      <c r="U59" s="2183">
        <v>95</v>
      </c>
      <c r="V59" s="1937">
        <v>96</v>
      </c>
      <c r="W59" s="1937">
        <v>94</v>
      </c>
      <c r="X59" s="1937">
        <v>97</v>
      </c>
      <c r="Y59" s="1937">
        <v>92</v>
      </c>
      <c r="Z59" s="1044"/>
      <c r="AA59" s="1044"/>
      <c r="AB59" s="1044"/>
      <c r="AC59"/>
      <c r="AD59" s="117"/>
      <c r="AE59"/>
      <c r="AF59" s="533"/>
      <c r="AG59" s="533"/>
      <c r="AH59" s="1238"/>
      <c r="AI59" s="533"/>
      <c r="AJ59" s="533"/>
      <c r="AK59" s="533"/>
      <c r="AL59" s="533"/>
      <c r="AM59" s="533"/>
      <c r="AO59" s="1666"/>
      <c r="AP59" s="1666"/>
      <c r="BA59" s="883"/>
      <c r="BB59" s="883"/>
      <c r="BC59" s="1355"/>
      <c r="BD59" s="1355"/>
      <c r="BE59" s="1355"/>
      <c r="BF59" s="1355"/>
      <c r="BG59" s="1355"/>
      <c r="BH59" s="1355"/>
      <c r="BI59" s="1355"/>
      <c r="BJ59" s="1355"/>
      <c r="BK59" s="1355"/>
      <c r="BL59" s="1355"/>
      <c r="BM59" s="1355"/>
      <c r="BN59" s="1355"/>
    </row>
    <row r="60" spans="1:70" s="528" customFormat="1" ht="12" customHeight="1">
      <c r="A60" s="1063"/>
      <c r="B60" s="1801"/>
      <c r="C60" s="34"/>
      <c r="D60" s="34"/>
      <c r="E60" s="2195"/>
      <c r="F60" s="580"/>
      <c r="G60"/>
      <c r="H60" s="117"/>
      <c r="I60" s="117"/>
      <c r="J60" s="117"/>
      <c r="K60" s="1832" t="s">
        <v>1898</v>
      </c>
      <c r="L60" s="1044"/>
      <c r="M60" s="1937">
        <v>10</v>
      </c>
      <c r="N60" s="1044" t="s">
        <v>1899</v>
      </c>
      <c r="O60" s="1044" t="s">
        <v>1899</v>
      </c>
      <c r="P60" s="1937">
        <v>0</v>
      </c>
      <c r="Q60" s="1937">
        <v>1</v>
      </c>
      <c r="R60" s="1937">
        <v>2</v>
      </c>
      <c r="S60" s="1937">
        <v>3</v>
      </c>
      <c r="T60" s="1937">
        <v>4</v>
      </c>
      <c r="U60" s="2183">
        <v>5</v>
      </c>
      <c r="V60" s="1937">
        <v>6</v>
      </c>
      <c r="W60" s="1937">
        <v>7</v>
      </c>
      <c r="X60" s="1937">
        <v>8</v>
      </c>
      <c r="Y60" s="1937">
        <v>9</v>
      </c>
      <c r="Z60" s="1044"/>
      <c r="AA60" s="1044"/>
      <c r="AB60" s="1044"/>
      <c r="AC60"/>
      <c r="AD60"/>
      <c r="AE60"/>
      <c r="AF60" s="533"/>
      <c r="AG60" s="533"/>
      <c r="AH60" s="1238"/>
      <c r="AI60" s="533"/>
      <c r="AJ60" s="533"/>
      <c r="AK60" s="533"/>
      <c r="AL60" s="533"/>
      <c r="AM60" s="533"/>
      <c r="AO60" s="1666"/>
      <c r="AP60" s="1666"/>
      <c r="AQ60" s="1355"/>
      <c r="AR60" s="1355"/>
      <c r="AS60" s="1355"/>
      <c r="AT60" s="1355"/>
      <c r="AU60" s="1355"/>
      <c r="AV60" s="1355"/>
      <c r="AW60" s="1355"/>
      <c r="AX60" s="1355"/>
      <c r="AY60" s="1355"/>
      <c r="AZ60" s="1355"/>
      <c r="BA60" s="883"/>
      <c r="BB60" s="883"/>
      <c r="BC60" s="1355"/>
      <c r="BD60" s="1355"/>
      <c r="BE60" s="1355"/>
      <c r="BF60" s="1355"/>
      <c r="BG60" s="1355"/>
      <c r="BH60" s="1355"/>
      <c r="BI60" s="1355"/>
      <c r="BJ60" s="1355"/>
      <c r="BK60" s="1355"/>
      <c r="BL60" s="1355"/>
      <c r="BO60" s="1642"/>
      <c r="BP60" s="1642"/>
      <c r="BQ60" s="1642"/>
      <c r="BR60" s="1642"/>
    </row>
    <row r="61" spans="1:70" s="528" customFormat="1" ht="21" customHeight="1">
      <c r="A61" s="1063"/>
      <c r="B61" s="1063"/>
      <c r="D61" s="34"/>
      <c r="E61" s="761"/>
      <c r="F61" s="580"/>
      <c r="G61" s="1587"/>
      <c r="H61" s="1587"/>
      <c r="I61" s="1587"/>
      <c r="J61" s="1587"/>
      <c r="K61" s="1587"/>
      <c r="L61" s="1831"/>
      <c r="M61" s="1587"/>
      <c r="N61" s="1647"/>
      <c r="O61" s="1647"/>
      <c r="P61" s="2039"/>
      <c r="Q61" s="1830"/>
      <c r="R61" s="1830"/>
      <c r="S61" s="1830"/>
      <c r="T61" s="2119"/>
      <c r="U61" s="1830"/>
      <c r="V61" s="2039"/>
      <c r="W61" s="2039"/>
      <c r="X61" s="2039"/>
      <c r="Y61" s="2039"/>
      <c r="Z61" s="2039"/>
      <c r="AA61" s="2039"/>
      <c r="AB61" s="1830"/>
      <c r="AC61" s="1587"/>
      <c r="AO61" s="1666"/>
      <c r="AP61" s="1666"/>
      <c r="AQ61" s="1355"/>
      <c r="AR61" s="1355"/>
      <c r="AS61" s="1355"/>
      <c r="AT61" s="1355"/>
      <c r="AU61" s="1355"/>
      <c r="AV61" s="1355"/>
      <c r="AW61" s="1355"/>
      <c r="AX61" s="1355"/>
      <c r="AY61" s="1355"/>
      <c r="AZ61" s="1355"/>
      <c r="BA61" s="883"/>
      <c r="BB61" s="883"/>
      <c r="BC61" s="1355"/>
      <c r="BD61" s="1355"/>
      <c r="BE61" s="1355"/>
      <c r="BF61" s="1355"/>
      <c r="BG61" s="1355"/>
      <c r="BH61" s="1355"/>
      <c r="BI61" s="1355"/>
      <c r="BJ61" s="1355"/>
      <c r="BK61" s="1355"/>
      <c r="BO61" s="1642"/>
      <c r="BP61" s="1642"/>
      <c r="BQ61" s="1642"/>
      <c r="BR61" s="1642"/>
    </row>
    <row r="62" spans="1:70" s="528" customFormat="1" ht="20.25" customHeight="1">
      <c r="A62" s="1063"/>
      <c r="B62" s="1063"/>
      <c r="E62" s="761"/>
      <c r="F62" s="580"/>
      <c r="G62" s="1587"/>
      <c r="H62" s="1587"/>
      <c r="I62" s="1587"/>
      <c r="J62" s="1587"/>
      <c r="K62" s="1587"/>
      <c r="L62" s="1831"/>
      <c r="M62" s="1587"/>
      <c r="N62" s="1647"/>
      <c r="O62" s="1647"/>
      <c r="P62" s="2039"/>
      <c r="Q62" s="1830"/>
      <c r="R62" s="1830"/>
      <c r="S62" s="1830"/>
      <c r="T62" s="2119"/>
      <c r="U62" s="1830"/>
      <c r="V62" s="2039"/>
      <c r="W62" s="2039"/>
      <c r="X62" s="2039"/>
      <c r="Y62" s="2039"/>
      <c r="Z62" s="2039"/>
      <c r="AA62" s="2039"/>
      <c r="AB62" s="1830"/>
      <c r="AC62" s="1587"/>
      <c r="AO62" s="1666"/>
      <c r="AP62" s="1666"/>
      <c r="AR62" s="1355"/>
      <c r="AS62" s="1355"/>
      <c r="AT62" s="1355"/>
      <c r="AU62" s="1355"/>
      <c r="AV62" s="1355"/>
      <c r="AW62" s="1355"/>
      <c r="AX62" s="1355"/>
      <c r="AY62" s="1355"/>
      <c r="AZ62" s="1355"/>
      <c r="BA62" s="883"/>
      <c r="BB62" s="883"/>
      <c r="BO62" s="1642"/>
      <c r="BP62" s="1642"/>
      <c r="BQ62" s="1642"/>
      <c r="BR62" s="1642"/>
    </row>
    <row r="63" spans="1:70" s="528" customFormat="1" ht="20.25" customHeight="1">
      <c r="A63" s="1063"/>
      <c r="B63" s="1063"/>
      <c r="E63" s="761"/>
      <c r="F63" s="580"/>
      <c r="G63" s="1587"/>
      <c r="H63" s="1587"/>
      <c r="I63" s="1587"/>
      <c r="J63" s="1587"/>
      <c r="K63" s="1587"/>
      <c r="L63" s="1831"/>
      <c r="M63" s="1587"/>
      <c r="N63" s="1647"/>
      <c r="O63" s="1647"/>
      <c r="AC63" s="1587"/>
      <c r="AO63" s="1666"/>
      <c r="AP63" s="1666"/>
      <c r="BA63" s="883"/>
      <c r="BB63" s="883"/>
      <c r="BC63" s="1355"/>
      <c r="BD63" s="1355"/>
      <c r="BM63" s="1355"/>
      <c r="BN63" s="1355"/>
      <c r="BO63" s="1642"/>
      <c r="BP63" s="1642"/>
      <c r="BQ63" s="1642"/>
      <c r="BR63" s="1642"/>
    </row>
    <row r="64" spans="1:70" s="528" customFormat="1" ht="20.25" customHeight="1">
      <c r="A64" s="1063"/>
      <c r="B64" s="1063"/>
      <c r="E64" s="761"/>
      <c r="F64" s="580"/>
      <c r="G64" s="1587"/>
      <c r="H64" s="1587"/>
      <c r="I64" s="1587"/>
      <c r="J64" s="1587"/>
      <c r="K64" s="1587"/>
      <c r="L64" s="1831"/>
      <c r="M64" s="1587"/>
      <c r="N64" s="1647"/>
      <c r="O64" s="1647"/>
      <c r="AC64" s="1587"/>
      <c r="AO64" s="1666"/>
      <c r="AP64" s="1666"/>
      <c r="BA64" s="883"/>
      <c r="BB64" s="883"/>
      <c r="BC64" s="1355"/>
      <c r="BD64" s="1355"/>
      <c r="BM64" s="1355"/>
      <c r="BN64" s="1355"/>
      <c r="BO64" s="1642"/>
      <c r="BP64" s="1642"/>
      <c r="BQ64" s="1642"/>
      <c r="BR64" s="1642"/>
    </row>
    <row r="65" spans="1:70" s="528" customFormat="1">
      <c r="A65" s="1649"/>
      <c r="B65" s="1063"/>
      <c r="F65" s="580"/>
      <c r="AO65" s="1666"/>
      <c r="AP65" s="1666"/>
      <c r="BA65" s="883"/>
      <c r="BB65" s="883"/>
      <c r="BD65" s="1355"/>
      <c r="BM65" s="1355"/>
      <c r="BN65" s="1355"/>
    </row>
    <row r="66" spans="1:70" s="528" customFormat="1">
      <c r="A66" s="1649"/>
      <c r="B66" s="1649"/>
      <c r="F66" s="580"/>
      <c r="AO66" s="1666"/>
      <c r="AP66" s="1666"/>
      <c r="BA66" s="883"/>
      <c r="BB66" s="883"/>
    </row>
    <row r="67" spans="1:70" s="528" customFormat="1">
      <c r="A67" s="1649"/>
      <c r="B67" s="1063"/>
      <c r="F67" s="580"/>
      <c r="AO67" s="1666"/>
      <c r="AP67" s="1666"/>
      <c r="BA67" s="883"/>
      <c r="BB67" s="883"/>
    </row>
    <row r="68" spans="1:70" s="528" customFormat="1">
      <c r="A68" s="1063"/>
      <c r="B68" s="1063"/>
      <c r="F68" s="580"/>
      <c r="P68" s="2039"/>
      <c r="Q68" s="1830"/>
      <c r="R68" s="1830"/>
      <c r="S68" s="1830"/>
      <c r="T68" s="2119"/>
      <c r="U68" s="1830"/>
      <c r="V68" s="2039"/>
      <c r="W68" s="2039"/>
      <c r="X68" s="2039"/>
      <c r="Y68" s="2039"/>
      <c r="Z68" s="2039"/>
      <c r="AA68" s="2039"/>
      <c r="AB68" s="1830"/>
      <c r="AO68" s="1666"/>
      <c r="AP68" s="1666"/>
      <c r="BA68" s="883"/>
      <c r="BB68" s="883"/>
    </row>
    <row r="69" spans="1:70" s="528" customFormat="1">
      <c r="A69" s="1063"/>
      <c r="B69" s="1649"/>
      <c r="F69" s="580"/>
      <c r="P69" s="2039"/>
      <c r="Q69" s="1830"/>
      <c r="R69" s="1830"/>
      <c r="S69" s="1830"/>
      <c r="T69" s="2119"/>
      <c r="U69" s="1830"/>
      <c r="V69" s="2039"/>
      <c r="W69" s="2039"/>
      <c r="X69" s="2039"/>
      <c r="Y69" s="2039"/>
      <c r="Z69" s="2039"/>
      <c r="AA69" s="2039"/>
      <c r="AB69" s="1830"/>
      <c r="AO69" s="1666"/>
      <c r="AP69" s="1666"/>
      <c r="BA69" s="883"/>
      <c r="BB69" s="883"/>
    </row>
    <row r="70" spans="1:70" s="528" customFormat="1">
      <c r="A70" s="1649"/>
      <c r="B70" s="1649"/>
      <c r="C70"/>
      <c r="D70"/>
      <c r="E70" s="761"/>
      <c r="F70" s="759"/>
      <c r="G70"/>
      <c r="H70" s="117"/>
      <c r="I70" s="117"/>
      <c r="J70" s="117"/>
      <c r="K70" s="117"/>
      <c r="L70" s="1831"/>
      <c r="M70" s="117"/>
      <c r="N70" s="1647"/>
      <c r="O70" s="1647"/>
      <c r="P70" s="2039"/>
      <c r="Q70" s="1830"/>
      <c r="R70" s="1830"/>
      <c r="S70" s="1830"/>
      <c r="T70" s="2119"/>
      <c r="U70" s="1830"/>
      <c r="V70" s="2039"/>
      <c r="W70" s="2039"/>
      <c r="X70" s="2039"/>
      <c r="Y70" s="2039"/>
      <c r="Z70" s="2039"/>
      <c r="AA70" s="2039"/>
      <c r="AB70" s="1830"/>
      <c r="AC70"/>
      <c r="AD70"/>
      <c r="AE70"/>
      <c r="AF70"/>
      <c r="AG70"/>
      <c r="AH70"/>
      <c r="AI70"/>
      <c r="AJ70"/>
      <c r="AK70"/>
      <c r="AL70"/>
      <c r="AM70"/>
      <c r="AN70"/>
      <c r="AO70" s="1666"/>
      <c r="AP70" s="1666"/>
      <c r="BA70" s="883"/>
      <c r="BB70" s="883"/>
      <c r="BO70" s="1642"/>
      <c r="BP70" s="1642"/>
      <c r="BQ70" s="1642"/>
      <c r="BR70" s="1642"/>
    </row>
    <row r="71" spans="1:70" s="528" customFormat="1">
      <c r="A71" s="1649"/>
      <c r="B71" s="1649"/>
      <c r="C71"/>
      <c r="D71"/>
      <c r="E71" s="761"/>
      <c r="F71" s="759"/>
      <c r="G71"/>
      <c r="H71" s="117"/>
      <c r="I71" s="117"/>
      <c r="J71" s="117"/>
      <c r="K71" s="117"/>
      <c r="L71" s="1831"/>
      <c r="M71" s="117"/>
      <c r="N71" s="1647"/>
      <c r="O71" s="1647"/>
      <c r="P71" s="2039"/>
      <c r="Q71" s="1830"/>
      <c r="R71" s="1830"/>
      <c r="S71" s="1830"/>
      <c r="T71" s="2119"/>
      <c r="U71" s="1830"/>
      <c r="V71" s="2039"/>
      <c r="W71" s="2039"/>
      <c r="X71" s="2039"/>
      <c r="Y71" s="2039"/>
      <c r="Z71" s="2039"/>
      <c r="AA71" s="2039"/>
      <c r="AB71" s="1830"/>
      <c r="AC71"/>
      <c r="AD71"/>
      <c r="AE71"/>
      <c r="AF71"/>
      <c r="AG71"/>
      <c r="AH71"/>
      <c r="AI71"/>
      <c r="AJ71"/>
      <c r="AK71"/>
      <c r="AL71"/>
      <c r="AM71"/>
      <c r="AN71"/>
      <c r="AO71" s="1666"/>
      <c r="AP71" s="1666"/>
      <c r="BA71" s="883"/>
      <c r="BB71" s="883"/>
      <c r="BO71" s="1642"/>
      <c r="BP71" s="1642"/>
      <c r="BQ71" s="1642"/>
      <c r="BR71" s="1642"/>
    </row>
    <row r="72" spans="1:70" s="528" customFormat="1">
      <c r="A72" s="1649"/>
      <c r="B72" s="1063"/>
      <c r="C72"/>
      <c r="D72"/>
      <c r="E72" s="761"/>
      <c r="F72" s="759"/>
      <c r="G72"/>
      <c r="H72" s="117"/>
      <c r="I72" s="117"/>
      <c r="J72" s="117"/>
      <c r="K72" s="117"/>
      <c r="L72" s="1831"/>
      <c r="M72" s="117"/>
      <c r="N72" s="1647"/>
      <c r="O72" s="1647"/>
      <c r="P72" s="2039"/>
      <c r="Q72" s="1830"/>
      <c r="R72" s="1830"/>
      <c r="S72" s="1830"/>
      <c r="T72" s="2119"/>
      <c r="U72" s="1830"/>
      <c r="V72" s="2039"/>
      <c r="W72" s="2039"/>
      <c r="X72" s="2039"/>
      <c r="Y72" s="2039"/>
      <c r="Z72" s="2039"/>
      <c r="AA72" s="2039"/>
      <c r="AB72" s="1830"/>
      <c r="AC72"/>
      <c r="AD72"/>
      <c r="AE72"/>
      <c r="AF72"/>
      <c r="AG72"/>
      <c r="AH72"/>
      <c r="AI72"/>
      <c r="AJ72"/>
      <c r="AK72"/>
      <c r="AL72"/>
      <c r="AM72"/>
      <c r="AN72"/>
      <c r="AO72" s="1666"/>
      <c r="AP72" s="1666"/>
      <c r="BA72" s="883"/>
      <c r="BB72" s="883"/>
      <c r="BO72" s="1642"/>
      <c r="BP72" s="1642"/>
      <c r="BQ72" s="1642"/>
      <c r="BR72" s="1642"/>
    </row>
    <row r="73" spans="1:70" s="528" customFormat="1">
      <c r="A73" s="1063"/>
      <c r="B73" s="1063"/>
      <c r="C73"/>
      <c r="D73"/>
      <c r="E73" s="761"/>
      <c r="F73" s="759"/>
      <c r="G73"/>
      <c r="H73" s="117"/>
      <c r="I73" s="117"/>
      <c r="J73" s="117"/>
      <c r="K73" s="117"/>
      <c r="L73" s="1831"/>
      <c r="M73" s="117"/>
      <c r="N73" s="1647"/>
      <c r="O73" s="1647"/>
      <c r="P73" s="2039"/>
      <c r="Q73" s="1830"/>
      <c r="R73" s="1830"/>
      <c r="S73" s="1830"/>
      <c r="T73" s="2119"/>
      <c r="U73" s="1830"/>
      <c r="V73" s="2039"/>
      <c r="W73" s="2039"/>
      <c r="X73" s="2039"/>
      <c r="Y73" s="2039"/>
      <c r="Z73" s="2039"/>
      <c r="AA73" s="2039"/>
      <c r="AB73" s="1830"/>
      <c r="AC73"/>
      <c r="AD73"/>
      <c r="AE73"/>
      <c r="AF73"/>
      <c r="AG73"/>
      <c r="AH73"/>
      <c r="AI73"/>
      <c r="AJ73"/>
      <c r="AK73"/>
      <c r="AL73"/>
      <c r="AM73"/>
      <c r="AN73"/>
      <c r="AO73" s="1666"/>
      <c r="AP73" s="1666"/>
      <c r="AQ73"/>
      <c r="AR73"/>
      <c r="AS73"/>
      <c r="AT73"/>
      <c r="AU73"/>
      <c r="AV73"/>
      <c r="AW73"/>
      <c r="AX73"/>
      <c r="AY73"/>
      <c r="AZ73"/>
      <c r="BA73" s="883"/>
      <c r="BB73" s="883"/>
      <c r="BO73" s="1642"/>
      <c r="BP73" s="1642"/>
      <c r="BQ73" s="1642"/>
      <c r="BR73" s="1642"/>
    </row>
    <row r="74" spans="1:70" s="528" customFormat="1">
      <c r="A74" s="1063"/>
      <c r="B74" s="1063"/>
      <c r="C74"/>
      <c r="D74"/>
      <c r="E74" s="761"/>
      <c r="F74" s="759"/>
      <c r="G74"/>
      <c r="H74" s="117"/>
      <c r="I74" s="117"/>
      <c r="J74" s="117"/>
      <c r="K74" s="117"/>
      <c r="L74" s="1831"/>
      <c r="M74" s="117"/>
      <c r="N74" s="1647"/>
      <c r="O74" s="1647"/>
      <c r="P74" s="2039"/>
      <c r="Q74" s="1830"/>
      <c r="R74" s="1830"/>
      <c r="S74" s="1830"/>
      <c r="T74" s="2119"/>
      <c r="U74" s="1830"/>
      <c r="V74" s="2039"/>
      <c r="W74" s="2039"/>
      <c r="X74" s="2039"/>
      <c r="Y74" s="2039"/>
      <c r="Z74" s="2039"/>
      <c r="AA74" s="2039"/>
      <c r="AB74" s="1830"/>
      <c r="AC74"/>
      <c r="AD74"/>
      <c r="AE74"/>
      <c r="AF74"/>
      <c r="AG74"/>
      <c r="AH74"/>
      <c r="AI74"/>
      <c r="AJ74"/>
      <c r="AK74"/>
      <c r="AL74"/>
      <c r="AM74"/>
      <c r="AN74"/>
      <c r="AO74" s="1666"/>
      <c r="AP74" s="1666"/>
      <c r="AQ74"/>
      <c r="AR74"/>
      <c r="AS74"/>
      <c r="AT74"/>
      <c r="AU74"/>
      <c r="AV74"/>
      <c r="AW74"/>
      <c r="AX74"/>
      <c r="AY74"/>
      <c r="AZ74"/>
      <c r="BA74" s="883"/>
      <c r="BB74" s="883"/>
      <c r="BO74" s="1642"/>
      <c r="BP74" s="1642"/>
      <c r="BQ74" s="1642"/>
      <c r="BR74" s="1642"/>
    </row>
    <row r="75" spans="1:70">
      <c r="BC75" s="528"/>
      <c r="BD75" s="528"/>
      <c r="BE75" s="528"/>
      <c r="BF75" s="528"/>
      <c r="BG75" s="528"/>
      <c r="BH75" s="528"/>
      <c r="BI75" s="528"/>
      <c r="BJ75" s="528"/>
      <c r="BK75" s="528"/>
    </row>
  </sheetData>
  <sheetProtection formatColumns="0" insertColumns="0" deleteColumns="0"/>
  <mergeCells count="16">
    <mergeCell ref="A29:A35"/>
    <mergeCell ref="BB16:BL17"/>
    <mergeCell ref="BB2:BL2"/>
    <mergeCell ref="A44:A53"/>
    <mergeCell ref="A5:A20"/>
    <mergeCell ref="B5:B19"/>
    <mergeCell ref="B51:B53"/>
    <mergeCell ref="B36:B40"/>
    <mergeCell ref="A36:A43"/>
    <mergeCell ref="B41:B43"/>
    <mergeCell ref="B44:B46"/>
    <mergeCell ref="B47:B50"/>
    <mergeCell ref="B21:B26"/>
    <mergeCell ref="B29:B33"/>
    <mergeCell ref="B34:B35"/>
    <mergeCell ref="A21:A27"/>
  </mergeCells>
  <conditionalFormatting sqref="H8 H26 H35 H39:H40 H43 H45 H53 H24 H49:H50">
    <cfRule type="expression" dxfId="1592" priority="306">
      <formula>$E8=1</formula>
    </cfRule>
  </conditionalFormatting>
  <conditionalFormatting sqref="I8 I26 I35 I39:I40 I43 I45 I53 I24 I49:I50">
    <cfRule type="expression" dxfId="1591" priority="314">
      <formula>$E8=2</formula>
    </cfRule>
  </conditionalFormatting>
  <conditionalFormatting sqref="J8 J26 J35 J39:J40 J43 J45 J49:J50 J53 J24">
    <cfRule type="expression" dxfId="1590" priority="322">
      <formula>$E8=3</formula>
    </cfRule>
  </conditionalFormatting>
  <conditionalFormatting sqref="K26 K35 K39:K40 K43 K45 K49:K50 K53 K24 K8">
    <cfRule type="expression" dxfId="1589" priority="330">
      <formula>$E8=4</formula>
    </cfRule>
  </conditionalFormatting>
  <conditionalFormatting sqref="H5">
    <cfRule type="expression" dxfId="1588" priority="254" stopIfTrue="1">
      <formula>$E5&gt;=1</formula>
    </cfRule>
  </conditionalFormatting>
  <conditionalFormatting sqref="H5:J5">
    <cfRule type="expression" dxfId="1587" priority="14" stopIfTrue="1">
      <formula>$E5&gt;=3</formula>
    </cfRule>
  </conditionalFormatting>
  <conditionalFormatting sqref="H5:I5">
    <cfRule type="expression" dxfId="1586" priority="15" stopIfTrue="1">
      <formula>$E5&gt;=2</formula>
    </cfRule>
  </conditionalFormatting>
  <conditionalFormatting sqref="H5:K5">
    <cfRule type="expression" dxfId="1585" priority="13" stopIfTrue="1">
      <formula>$E5&gt;=4</formula>
    </cfRule>
  </conditionalFormatting>
  <conditionalFormatting sqref="H22">
    <cfRule type="expression" dxfId="1584" priority="12" stopIfTrue="1">
      <formula>$E22&gt;=1</formula>
    </cfRule>
  </conditionalFormatting>
  <conditionalFormatting sqref="H22:J22">
    <cfRule type="expression" dxfId="1583" priority="10" stopIfTrue="1">
      <formula>$E22&gt;=3</formula>
    </cfRule>
  </conditionalFormatting>
  <conditionalFormatting sqref="H22:I22">
    <cfRule type="expression" dxfId="1582" priority="11" stopIfTrue="1">
      <formula>$E22&gt;=2</formula>
    </cfRule>
  </conditionalFormatting>
  <conditionalFormatting sqref="H22:K22">
    <cfRule type="expression" dxfId="1581" priority="9" stopIfTrue="1">
      <formula>$E22&gt;=4</formula>
    </cfRule>
  </conditionalFormatting>
  <conditionalFormatting sqref="H46">
    <cfRule type="expression" dxfId="1580" priority="8" stopIfTrue="1">
      <formula>$E46&gt;=1</formula>
    </cfRule>
  </conditionalFormatting>
  <conditionalFormatting sqref="H46:J46">
    <cfRule type="expression" dxfId="1579" priority="6" stopIfTrue="1">
      <formula>$E46&gt;=3</formula>
    </cfRule>
  </conditionalFormatting>
  <conditionalFormatting sqref="H46:I46">
    <cfRule type="expression" dxfId="1578" priority="7" stopIfTrue="1">
      <formula>$E46&gt;=2</formula>
    </cfRule>
  </conditionalFormatting>
  <conditionalFormatting sqref="H46:K46">
    <cfRule type="expression" dxfId="1577" priority="5" stopIfTrue="1">
      <formula>$E46&gt;=4</formula>
    </cfRule>
  </conditionalFormatting>
  <conditionalFormatting sqref="H7 H9:H20 H23 H25 H27 H30:H34 H37:H38 H42 H48 H52 H55:H57">
    <cfRule type="expression" dxfId="1576" priority="4" stopIfTrue="1">
      <formula>$E7&gt;=1</formula>
    </cfRule>
  </conditionalFormatting>
  <conditionalFormatting sqref="H7:J7 H9:J20 H23:J23 H25:J25 H27:J27 H30:J34 H37:J38 H42:J42 H48:J48 H52:J52 H55:J57">
    <cfRule type="expression" dxfId="1575" priority="2" stopIfTrue="1">
      <formula>$E7&gt;=3</formula>
    </cfRule>
  </conditionalFormatting>
  <conditionalFormatting sqref="H7:I7 H9:I20 H23:I23 H25:I25 H27:I27 H30:I34 H37:I38 H42:I42 H48:I48 H52:I52 H55:I57">
    <cfRule type="expression" dxfId="1574" priority="3" stopIfTrue="1">
      <formula>$E7&gt;=2</formula>
    </cfRule>
  </conditionalFormatting>
  <conditionalFormatting sqref="H7:K7 H9:K20 H23:K23 H25:K25 H27:K27 H30:K34 H37:K38 H42:K42 H48:K48 H52:K52 H55:K57 K60">
    <cfRule type="expression" dxfId="1573" priority="1" stopIfTrue="1">
      <formula>$E7&gt;=4</formula>
    </cfRule>
  </conditionalFormatting>
  <hyperlinks>
    <hyperlink ref="E1" r:id="rId1" display="http://2050-wiki.greenonblack.com/pages/72"/>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enableFormatConditionsCalculation="0">
    <tabColor theme="9"/>
    <outlinePr summaryBelow="0"/>
    <pageSetUpPr autoPageBreaks="0"/>
  </sheetPr>
  <dimension ref="A1:AE644"/>
  <sheetViews>
    <sheetView workbookViewId="0"/>
  </sheetViews>
  <sheetFormatPr baseColWidth="10" defaultColWidth="8.83203125" defaultRowHeight="13" x14ac:dyDescent="0"/>
  <cols>
    <col min="1" max="1" width="7.6640625" style="117" customWidth="1"/>
    <col min="2" max="2" width="5.83203125" style="117" customWidth="1"/>
    <col min="3" max="3" width="20.5" style="117" customWidth="1"/>
    <col min="4" max="4" width="30.6640625" style="117" customWidth="1"/>
    <col min="5" max="5" width="20.6640625" style="117" customWidth="1"/>
    <col min="6" max="15" width="17.6640625" style="117" customWidth="1"/>
    <col min="16" max="16" width="2" style="117" customWidth="1"/>
    <col min="17" max="17" width="10.83203125" style="117" customWidth="1"/>
    <col min="18" max="18" width="18.6640625" style="117" bestFit="1" customWidth="1"/>
    <col min="19" max="19" width="9.1640625" style="117" bestFit="1" customWidth="1"/>
    <col min="20" max="20" width="9" style="117" bestFit="1" customWidth="1"/>
    <col min="21" max="28" width="11.5" style="117" bestFit="1" customWidth="1"/>
    <col min="29" max="16384" width="8.83203125" style="117"/>
  </cols>
  <sheetData>
    <row r="1" spans="1:28" ht="20">
      <c r="A1" s="554" t="s">
        <v>572</v>
      </c>
      <c r="B1" s="554" t="str">
        <f>INDEX(Workstreams[Workstream], MATCH($A1, Workstreams[Code], 0))</f>
        <v>Transport</v>
      </c>
      <c r="C1" s="554"/>
    </row>
    <row r="2" spans="1:28" s="528" customFormat="1" ht="19.5" customHeight="1">
      <c r="A2" s="6" t="s">
        <v>687</v>
      </c>
      <c r="B2" s="6" t="str">
        <f>INDEX(Modules[Module], MATCH($A2, Modules[Code], 0))</f>
        <v>International aviation</v>
      </c>
      <c r="C2" s="6"/>
      <c r="E2" s="1705" t="s">
        <v>1892</v>
      </c>
    </row>
    <row r="4" spans="1:28" ht="22" collapsed="1">
      <c r="A4" s="799"/>
      <c r="B4" s="843" t="s">
        <v>909</v>
      </c>
      <c r="C4" s="810"/>
      <c r="D4" s="810"/>
      <c r="E4" s="810"/>
      <c r="F4" s="810"/>
      <c r="G4" s="810"/>
      <c r="H4" s="810"/>
      <c r="I4" s="810"/>
      <c r="J4" s="810"/>
      <c r="K4" s="810"/>
      <c r="L4" s="810"/>
      <c r="M4" s="810"/>
      <c r="N4" s="810"/>
      <c r="O4" s="810"/>
      <c r="P4" s="811"/>
    </row>
    <row r="5" spans="1:28">
      <c r="B5" s="800"/>
      <c r="C5" s="802"/>
      <c r="D5" s="802"/>
      <c r="E5" s="802"/>
      <c r="F5" s="802"/>
      <c r="G5" s="802"/>
      <c r="H5" s="802"/>
      <c r="I5" s="802"/>
      <c r="J5" s="802"/>
      <c r="K5" s="802"/>
      <c r="L5" s="802"/>
      <c r="M5" s="802"/>
      <c r="N5" s="802"/>
      <c r="O5" s="802"/>
      <c r="P5" s="804"/>
    </row>
    <row r="6" spans="1:28" ht="5.25" customHeight="1">
      <c r="B6" s="800"/>
      <c r="C6" s="801"/>
      <c r="D6" s="802"/>
      <c r="E6" s="803"/>
      <c r="F6" s="802"/>
      <c r="G6" s="802"/>
      <c r="H6" s="802"/>
      <c r="I6" s="802"/>
      <c r="J6" s="802"/>
      <c r="K6" s="802"/>
      <c r="L6" s="802"/>
      <c r="M6" s="802"/>
      <c r="N6" s="802"/>
      <c r="O6" s="802"/>
      <c r="P6" s="804"/>
    </row>
    <row r="7" spans="1:28" ht="15">
      <c r="B7" s="805"/>
      <c r="C7" s="802"/>
      <c r="D7" s="606" t="s">
        <v>656</v>
      </c>
      <c r="E7" s="606" t="s">
        <v>908</v>
      </c>
      <c r="F7" s="802"/>
      <c r="G7" s="802"/>
      <c r="H7" s="802"/>
      <c r="I7" s="802"/>
      <c r="J7" s="802"/>
      <c r="K7" s="802"/>
      <c r="L7" s="802"/>
      <c r="M7" s="802"/>
      <c r="N7" s="802"/>
      <c r="O7" s="802"/>
      <c r="P7" s="804"/>
    </row>
    <row r="8" spans="1:28" ht="15">
      <c r="B8" s="805"/>
      <c r="C8" s="802"/>
      <c r="D8" s="627" t="s">
        <v>911</v>
      </c>
      <c r="E8" s="627">
        <f>XII.c.Scenario</f>
        <v>1</v>
      </c>
      <c r="F8" s="802"/>
      <c r="G8" s="802"/>
      <c r="H8" s="802"/>
      <c r="I8" s="802"/>
      <c r="J8" s="802"/>
      <c r="K8" s="802"/>
      <c r="L8" s="802"/>
      <c r="M8" s="802"/>
      <c r="N8" s="802"/>
      <c r="O8" s="802"/>
      <c r="P8" s="804"/>
      <c r="R8" s="2040" t="s">
        <v>1828</v>
      </c>
      <c r="S8" s="18"/>
      <c r="T8" s="18"/>
      <c r="U8" s="18"/>
      <c r="V8" s="18"/>
      <c r="W8" s="18"/>
      <c r="X8" s="18"/>
      <c r="Y8" s="18"/>
      <c r="Z8" s="18"/>
      <c r="AA8" s="18"/>
      <c r="AB8" s="18"/>
    </row>
    <row r="9" spans="1:28">
      <c r="B9" s="816"/>
      <c r="C9" s="808"/>
      <c r="D9" s="808"/>
      <c r="E9" s="808"/>
      <c r="F9" s="808"/>
      <c r="G9" s="808"/>
      <c r="H9" s="808"/>
      <c r="I9" s="808"/>
      <c r="J9" s="808"/>
      <c r="K9" s="808"/>
      <c r="L9" s="808"/>
      <c r="M9" s="808"/>
      <c r="N9" s="808"/>
      <c r="O9" s="808"/>
      <c r="P9" s="809"/>
      <c r="R9" s="1920" t="s">
        <v>1169</v>
      </c>
      <c r="S9" s="1921">
        <v>2007</v>
      </c>
      <c r="T9" s="1921">
        <v>2010</v>
      </c>
      <c r="U9" s="1921">
        <v>2015</v>
      </c>
      <c r="V9" s="1921">
        <v>2020</v>
      </c>
      <c r="W9" s="1921">
        <v>2025</v>
      </c>
      <c r="X9" s="1921">
        <v>2030</v>
      </c>
      <c r="Y9" s="1921">
        <v>2035</v>
      </c>
      <c r="Z9" s="1921">
        <v>2040</v>
      </c>
      <c r="AA9" s="1921">
        <v>2045</v>
      </c>
      <c r="AB9" s="1921">
        <v>2050</v>
      </c>
    </row>
    <row r="10" spans="1:28">
      <c r="R10" s="1919" t="s">
        <v>1779</v>
      </c>
      <c r="S10" s="1922">
        <v>38.200000000000003</v>
      </c>
      <c r="T10" s="1922">
        <v>31.255901042445025</v>
      </c>
      <c r="U10" s="1923">
        <v>35.481937600405985</v>
      </c>
      <c r="V10" s="1923">
        <v>40.181161731776605</v>
      </c>
      <c r="W10" s="1923">
        <v>42.644948793953176</v>
      </c>
      <c r="X10" s="1923">
        <v>44.68196030974169</v>
      </c>
      <c r="Y10" s="1923">
        <v>47.647222689675829</v>
      </c>
      <c r="Z10" s="1923">
        <v>48.732658084808349</v>
      </c>
      <c r="AA10" s="1923">
        <v>49.104688960582273</v>
      </c>
      <c r="AB10" s="1923">
        <v>47.145420764055807</v>
      </c>
    </row>
    <row r="11" spans="1:28" s="528" customFormat="1" ht="22" collapsed="1">
      <c r="A11" s="798"/>
      <c r="B11" s="845" t="s">
        <v>910</v>
      </c>
      <c r="C11" s="796"/>
      <c r="D11" s="796"/>
      <c r="E11" s="796"/>
      <c r="F11" s="796"/>
      <c r="G11" s="796"/>
      <c r="H11" s="796"/>
      <c r="I11" s="796"/>
      <c r="J11" s="796"/>
      <c r="K11" s="796"/>
      <c r="L11" s="796"/>
      <c r="M11" s="796"/>
      <c r="N11" s="796"/>
      <c r="O11" s="796"/>
      <c r="P11" s="797"/>
      <c r="R11" s="1919" t="s">
        <v>1780</v>
      </c>
      <c r="S11" s="1922">
        <v>38.200000000000003</v>
      </c>
      <c r="T11" s="1922">
        <v>31.255901042445025</v>
      </c>
      <c r="U11" s="1923">
        <v>35.185373591470821</v>
      </c>
      <c r="V11" s="1923">
        <v>39.0116123839788</v>
      </c>
      <c r="W11" s="1923">
        <v>41.155285300065387</v>
      </c>
      <c r="X11" s="1923">
        <v>43.143685288489287</v>
      </c>
      <c r="Y11" s="1923">
        <v>45.823225851898421</v>
      </c>
      <c r="Z11" s="1923">
        <v>46.843562983256518</v>
      </c>
      <c r="AA11" s="1923">
        <v>47.059948856517011</v>
      </c>
      <c r="AB11" s="1923">
        <v>45.073639938682867</v>
      </c>
    </row>
    <row r="12" spans="1:28">
      <c r="B12" s="788"/>
      <c r="C12" s="588"/>
      <c r="D12" s="588"/>
      <c r="E12" s="588"/>
      <c r="F12" s="588"/>
      <c r="G12" s="588"/>
      <c r="H12" s="588"/>
      <c r="I12" s="588"/>
      <c r="J12" s="588"/>
      <c r="K12" s="588"/>
      <c r="L12" s="588"/>
      <c r="M12" s="588"/>
      <c r="N12" s="588"/>
      <c r="O12" s="588"/>
      <c r="P12" s="789"/>
      <c r="R12" s="1919" t="s">
        <v>1781</v>
      </c>
      <c r="S12" s="1922">
        <v>38.200000000000003</v>
      </c>
      <c r="T12" s="1922">
        <v>31.255901042445025</v>
      </c>
      <c r="U12" s="1923">
        <v>35.185373591470821</v>
      </c>
      <c r="V12" s="1923">
        <v>38.244759831069253</v>
      </c>
      <c r="W12" s="1923">
        <v>39.339073113817712</v>
      </c>
      <c r="X12" s="1923">
        <v>40.216440693652089</v>
      </c>
      <c r="Y12" s="1923">
        <v>42.058220109003983</v>
      </c>
      <c r="Z12" s="1923">
        <v>42.349110092343544</v>
      </c>
      <c r="AA12" s="1923">
        <v>42.603575293409705</v>
      </c>
      <c r="AB12" s="1923">
        <v>40.943357218926757</v>
      </c>
    </row>
    <row r="13" spans="1:28">
      <c r="B13" s="788"/>
      <c r="C13" s="590" t="s">
        <v>951</v>
      </c>
      <c r="D13" s="588"/>
      <c r="E13" s="591"/>
      <c r="F13" s="588"/>
      <c r="G13" s="588"/>
      <c r="H13" s="588"/>
      <c r="I13" s="588"/>
      <c r="J13" s="588"/>
      <c r="K13" s="588"/>
      <c r="L13" s="588"/>
      <c r="M13" s="588"/>
      <c r="N13" s="588"/>
      <c r="O13" s="591" t="str">
        <f>Preferences.EnergyUnits</f>
        <v>TWh</v>
      </c>
      <c r="P13" s="789"/>
      <c r="R13" s="1919" t="s">
        <v>1782</v>
      </c>
      <c r="S13" s="1922">
        <v>38.200000000000003</v>
      </c>
      <c r="T13" s="1922">
        <v>31.256390299837651</v>
      </c>
      <c r="U13" s="1923">
        <v>35.108617662055032</v>
      </c>
      <c r="V13" s="1923">
        <v>38.021248772232816</v>
      </c>
      <c r="W13" s="1923">
        <v>39.089859709997697</v>
      </c>
      <c r="X13" s="1923">
        <v>39.221615220971266</v>
      </c>
      <c r="Y13" s="1923">
        <v>39.274277439129065</v>
      </c>
      <c r="Z13" s="1923">
        <v>35.932541826209786</v>
      </c>
      <c r="AA13" s="1923">
        <v>34.859785533583292</v>
      </c>
      <c r="AB13" s="1923">
        <v>32.688224672491707</v>
      </c>
    </row>
    <row r="14" spans="1:28" ht="5.25" customHeight="1">
      <c r="B14" s="788"/>
      <c r="C14" s="588"/>
      <c r="D14" s="588"/>
      <c r="E14" s="588"/>
      <c r="F14" s="588"/>
      <c r="G14" s="588"/>
      <c r="H14" s="588"/>
      <c r="I14" s="588"/>
      <c r="J14" s="588"/>
      <c r="K14" s="588"/>
      <c r="L14" s="588"/>
      <c r="M14" s="588"/>
      <c r="N14" s="588"/>
      <c r="O14" s="588"/>
      <c r="P14" s="789"/>
      <c r="R14" s="2040"/>
      <c r="S14" s="1732"/>
      <c r="T14" s="1732"/>
      <c r="U14" s="1732"/>
      <c r="V14" s="1924"/>
      <c r="W14" s="1925"/>
      <c r="X14" s="1925"/>
      <c r="Y14" s="1925"/>
      <c r="Z14" s="1925"/>
      <c r="AA14" s="565"/>
      <c r="AB14" s="565"/>
    </row>
    <row r="15" spans="1:28" ht="14">
      <c r="B15" s="788"/>
      <c r="C15" s="542" t="s">
        <v>908</v>
      </c>
      <c r="D15" s="542" t="s">
        <v>74</v>
      </c>
      <c r="E15" s="542" t="s">
        <v>422</v>
      </c>
      <c r="F15" s="607">
        <v>2007</v>
      </c>
      <c r="G15" s="608">
        <v>2010</v>
      </c>
      <c r="H15" s="607">
        <v>2015</v>
      </c>
      <c r="I15" s="607">
        <v>2020</v>
      </c>
      <c r="J15" s="607">
        <v>2025</v>
      </c>
      <c r="K15" s="607">
        <v>2030</v>
      </c>
      <c r="L15" s="607">
        <v>2035</v>
      </c>
      <c r="M15" s="607">
        <v>2040</v>
      </c>
      <c r="N15" s="607">
        <v>2045</v>
      </c>
      <c r="O15" s="607">
        <v>2050</v>
      </c>
      <c r="P15" s="789"/>
      <c r="R15" s="2083" t="s">
        <v>1838</v>
      </c>
      <c r="S15" s="1921">
        <v>2007</v>
      </c>
      <c r="T15" s="1921">
        <v>2010</v>
      </c>
      <c r="U15" s="1732">
        <v>2015</v>
      </c>
      <c r="V15" s="1732">
        <v>2020</v>
      </c>
      <c r="W15" s="1732">
        <v>2025</v>
      </c>
      <c r="X15" s="1732">
        <v>2030</v>
      </c>
      <c r="Y15" s="1732">
        <v>2035</v>
      </c>
      <c r="Z15" s="1732">
        <v>2040</v>
      </c>
      <c r="AA15" s="1732">
        <v>2045</v>
      </c>
      <c r="AB15" s="1732">
        <v>2050</v>
      </c>
    </row>
    <row r="16" spans="1:28" ht="15">
      <c r="B16" s="790"/>
      <c r="C16" s="567">
        <v>1</v>
      </c>
      <c r="D16" s="568" t="s">
        <v>689</v>
      </c>
      <c r="E16" s="848" t="s">
        <v>102</v>
      </c>
      <c r="F16" s="603">
        <f>S10/INDEX(EF[CO2], MATCH("V.04", EF[Vector], 0))</f>
        <v>152.80000000000001</v>
      </c>
      <c r="G16" s="596">
        <f>T10/INDEX(EF[CO2], MATCH("V.04", EF[Vector], 0))</f>
        <v>125.0236041697801</v>
      </c>
      <c r="H16" s="603">
        <f>U10/INDEX(EF[CO2], MATCH("V.04", EF[Vector], 0))</f>
        <v>141.92775040162394</v>
      </c>
      <c r="I16" s="603">
        <f>V10/INDEX(EF[CO2], MATCH("V.04", EF[Vector], 0))</f>
        <v>160.72464692710642</v>
      </c>
      <c r="J16" s="603">
        <f>W10/INDEX(EF[CO2], MATCH("V.04", EF[Vector], 0))</f>
        <v>170.57979517581271</v>
      </c>
      <c r="K16" s="603">
        <f>X10/INDEX(EF[CO2], MATCH("V.04", EF[Vector], 0))</f>
        <v>178.72784123896676</v>
      </c>
      <c r="L16" s="603">
        <f>Y10/INDEX(EF[CO2], MATCH("V.04", EF[Vector], 0))</f>
        <v>190.58889075870331</v>
      </c>
      <c r="M16" s="603">
        <f>Z10/INDEX(EF[CO2], MATCH("V.04", EF[Vector], 0))</f>
        <v>194.9306323392334</v>
      </c>
      <c r="N16" s="603">
        <f>AA10/INDEX(EF[CO2], MATCH("V.04", EF[Vector], 0))</f>
        <v>196.41875584232909</v>
      </c>
      <c r="O16" s="603">
        <f>AB10/INDEX(EF[CO2], MATCH("V.04", EF[Vector], 0))</f>
        <v>188.58168305622323</v>
      </c>
      <c r="P16" s="789"/>
      <c r="R16" s="2040" t="s">
        <v>1779</v>
      </c>
      <c r="S16" s="2087">
        <v>0</v>
      </c>
      <c r="T16" s="2087">
        <v>0</v>
      </c>
      <c r="U16" s="1926">
        <v>0</v>
      </c>
      <c r="V16" s="1926">
        <v>0</v>
      </c>
      <c r="W16" s="1926">
        <v>0</v>
      </c>
      <c r="X16" s="1926">
        <v>0</v>
      </c>
      <c r="Y16" s="1926">
        <v>0</v>
      </c>
      <c r="Z16" s="1926">
        <v>0</v>
      </c>
      <c r="AA16" s="1926">
        <v>0</v>
      </c>
      <c r="AB16" s="1926">
        <v>0</v>
      </c>
    </row>
    <row r="17" spans="1:30" ht="15">
      <c r="B17" s="790"/>
      <c r="C17" s="567">
        <v>2</v>
      </c>
      <c r="D17" s="568" t="s">
        <v>689</v>
      </c>
      <c r="E17" s="848" t="s">
        <v>102</v>
      </c>
      <c r="F17" s="603">
        <f>S11/INDEX(EF[CO2], MATCH("V.04", EF[Vector], 0))</f>
        <v>152.80000000000001</v>
      </c>
      <c r="G17" s="1714">
        <f>T11/INDEX(EF[CO2], MATCH("V.04", EF[Vector], 0))</f>
        <v>125.0236041697801</v>
      </c>
      <c r="H17" s="604">
        <f>U11/INDEX(EF[CO2], MATCH("V.04", EF[Vector], 0))</f>
        <v>140.74149436588328</v>
      </c>
      <c r="I17" s="604">
        <f>V11/INDEX(EF[CO2], MATCH("V.04", EF[Vector], 0))</f>
        <v>156.0464495359152</v>
      </c>
      <c r="J17" s="604">
        <f>W11/INDEX(EF[CO2], MATCH("V.04", EF[Vector], 0))</f>
        <v>164.62114120026155</v>
      </c>
      <c r="K17" s="604">
        <f>X11/INDEX(EF[CO2], MATCH("V.04", EF[Vector], 0))</f>
        <v>172.57474115395715</v>
      </c>
      <c r="L17" s="604">
        <f>Y11/INDEX(EF[CO2], MATCH("V.04", EF[Vector], 0))</f>
        <v>183.29290340759368</v>
      </c>
      <c r="M17" s="604">
        <f>Z11/INDEX(EF[CO2], MATCH("V.04", EF[Vector], 0))</f>
        <v>187.37425193302607</v>
      </c>
      <c r="N17" s="604">
        <f>AA11/INDEX(EF[CO2], MATCH("V.04", EF[Vector], 0))</f>
        <v>188.23979542606804</v>
      </c>
      <c r="O17" s="604">
        <f>AB11/INDEX(EF[CO2], MATCH("V.04", EF[Vector], 0))</f>
        <v>180.29455975473147</v>
      </c>
      <c r="P17" s="789"/>
      <c r="R17" s="2040" t="s">
        <v>1780</v>
      </c>
      <c r="S17" s="2087">
        <v>0</v>
      </c>
      <c r="T17" s="2087">
        <v>0</v>
      </c>
      <c r="U17" s="1926">
        <v>-2.9187052695778877</v>
      </c>
      <c r="V17" s="1926">
        <v>-11.510398233101593</v>
      </c>
      <c r="W17" s="1926">
        <v>-30.842145415846748</v>
      </c>
      <c r="X17" s="1926">
        <v>-49.094025416512395</v>
      </c>
      <c r="Y17" s="1926">
        <v>-70.843769119853874</v>
      </c>
      <c r="Z17" s="1926">
        <v>-90.9726979398948</v>
      </c>
      <c r="AA17" s="1926">
        <v>-107.17575798812356</v>
      </c>
      <c r="AB17" s="1926">
        <v>-121.23205662969497</v>
      </c>
      <c r="AD17" s="1732"/>
    </row>
    <row r="18" spans="1:30" ht="15">
      <c r="B18" s="790"/>
      <c r="C18" s="567">
        <v>3</v>
      </c>
      <c r="D18" s="568" t="s">
        <v>689</v>
      </c>
      <c r="E18" s="848" t="s">
        <v>102</v>
      </c>
      <c r="F18" s="603">
        <f>S12/INDEX(EF[CO2], MATCH("V.04", EF[Vector], 0))</f>
        <v>152.80000000000001</v>
      </c>
      <c r="G18" s="1714">
        <f>T12/INDEX(EF[CO2], MATCH("V.04", EF[Vector], 0))</f>
        <v>125.0236041697801</v>
      </c>
      <c r="H18" s="604">
        <f>U12/INDEX(EF[CO2], MATCH("V.04", EF[Vector], 0))</f>
        <v>140.74149436588328</v>
      </c>
      <c r="I18" s="604">
        <f>V12/INDEX(EF[CO2], MATCH("V.04", EF[Vector], 0))</f>
        <v>152.97903932427701</v>
      </c>
      <c r="J18" s="604">
        <f>W12/INDEX(EF[CO2], MATCH("V.04", EF[Vector], 0))</f>
        <v>157.35629245527085</v>
      </c>
      <c r="K18" s="604">
        <f>X12/INDEX(EF[CO2], MATCH("V.04", EF[Vector], 0))</f>
        <v>160.86576277460836</v>
      </c>
      <c r="L18" s="604">
        <f>Y12/INDEX(EF[CO2], MATCH("V.04", EF[Vector], 0))</f>
        <v>168.23288043601593</v>
      </c>
      <c r="M18" s="604">
        <f>Z12/INDEX(EF[CO2], MATCH("V.04", EF[Vector], 0))</f>
        <v>169.39644036937418</v>
      </c>
      <c r="N18" s="604">
        <f>AA12/INDEX(EF[CO2], MATCH("V.04", EF[Vector], 0))</f>
        <v>170.41430117363882</v>
      </c>
      <c r="O18" s="604">
        <f>AB12/INDEX(EF[CO2], MATCH("V.04", EF[Vector], 0))</f>
        <v>163.77342887570703</v>
      </c>
      <c r="P18" s="789"/>
      <c r="R18" s="2040" t="s">
        <v>1781</v>
      </c>
      <c r="S18" s="2087">
        <v>0</v>
      </c>
      <c r="T18" s="2087">
        <v>0</v>
      </c>
      <c r="U18" s="1926">
        <v>-2.9187052695778877</v>
      </c>
      <c r="V18" s="1926">
        <v>24.37581611857841</v>
      </c>
      <c r="W18" s="1926">
        <v>54.150699136247027</v>
      </c>
      <c r="X18" s="1926">
        <v>87.891535355970362</v>
      </c>
      <c r="Y18" s="1926">
        <v>105.34629846508489</v>
      </c>
      <c r="Z18" s="1926">
        <v>119.35313226680904</v>
      </c>
      <c r="AA18" s="1926">
        <v>101.36808308022853</v>
      </c>
      <c r="AB18" s="1926">
        <v>72.051789726216725</v>
      </c>
    </row>
    <row r="19" spans="1:30" ht="15">
      <c r="B19" s="790"/>
      <c r="C19" s="545">
        <v>4</v>
      </c>
      <c r="D19" s="546" t="s">
        <v>689</v>
      </c>
      <c r="E19" s="546" t="s">
        <v>102</v>
      </c>
      <c r="F19" s="1127">
        <f>S13/INDEX(EF[CO2], MATCH("V.04", EF[Vector], 0))</f>
        <v>152.80000000000001</v>
      </c>
      <c r="G19" s="2047">
        <f>T13/INDEX(EF[CO2], MATCH("V.04", EF[Vector], 0))</f>
        <v>125.02556119935061</v>
      </c>
      <c r="H19" s="597">
        <f>U13/INDEX(EF[CO2], MATCH("V.04", EF[Vector], 0))</f>
        <v>140.43447064822013</v>
      </c>
      <c r="I19" s="597">
        <f>V13/INDEX(EF[CO2], MATCH("V.04", EF[Vector], 0))</f>
        <v>152.08499508893127</v>
      </c>
      <c r="J19" s="597">
        <f>W13/INDEX(EF[CO2], MATCH("V.04", EF[Vector], 0))</f>
        <v>156.35943883999079</v>
      </c>
      <c r="K19" s="597">
        <f>X13/INDEX(EF[CO2], MATCH("V.04", EF[Vector], 0))</f>
        <v>156.88646088388506</v>
      </c>
      <c r="L19" s="597">
        <f>Y13/INDEX(EF[CO2], MATCH("V.04", EF[Vector], 0))</f>
        <v>157.09710975651626</v>
      </c>
      <c r="M19" s="597">
        <f>Z13/INDEX(EF[CO2], MATCH("V.04", EF[Vector], 0))</f>
        <v>143.73016730483914</v>
      </c>
      <c r="N19" s="597">
        <f>AA13/INDEX(EF[CO2], MATCH("V.04", EF[Vector], 0))</f>
        <v>139.43914213433317</v>
      </c>
      <c r="O19" s="597">
        <f>AB13/INDEX(EF[CO2], MATCH("V.04", EF[Vector], 0))</f>
        <v>130.75289868996683</v>
      </c>
      <c r="P19" s="789"/>
      <c r="R19" s="2040" t="s">
        <v>1782</v>
      </c>
      <c r="S19" s="2087">
        <v>0</v>
      </c>
      <c r="T19" s="2087">
        <v>0</v>
      </c>
      <c r="U19" s="1926">
        <v>123.67485983658491</v>
      </c>
      <c r="V19" s="1926">
        <v>373.92582760942412</v>
      </c>
      <c r="W19" s="1926">
        <v>398.75437927523342</v>
      </c>
      <c r="X19" s="1926">
        <v>264.12839918379024</v>
      </c>
      <c r="Y19" s="1926">
        <v>2080.1187832824421</v>
      </c>
      <c r="Z19" s="1926">
        <v>2064.9559963816982</v>
      </c>
      <c r="AA19" s="1926">
        <v>4270.8234258251541</v>
      </c>
      <c r="AB19" s="1926">
        <v>2022.479346122617</v>
      </c>
    </row>
    <row r="20" spans="1:30" s="2040" customFormat="1" ht="15">
      <c r="B20" s="790"/>
      <c r="C20" s="1709" t="s">
        <v>893</v>
      </c>
      <c r="D20" s="1710"/>
      <c r="E20" s="1710"/>
      <c r="F20" s="1773">
        <f>(INDEX(F$16:F$19,ROUNDDOWN($E$8,0))*(1-MOD($E$8,1)))+(INDEX(F$16:F$19,ROUNDUP($E$8,0))*MOD($E$8,1))</f>
        <v>152.80000000000001</v>
      </c>
      <c r="G20" s="1774">
        <f t="shared" ref="G20:O20" si="0">(INDEX(G$16:G$19,ROUNDDOWN($E$8,0))*(1-MOD($E$8,1)))+(INDEX(G$16:G$19,ROUNDUP($E$8,0))*MOD($E$8,1))</f>
        <v>125.0236041697801</v>
      </c>
      <c r="H20" s="1773">
        <f t="shared" si="0"/>
        <v>141.92775040162394</v>
      </c>
      <c r="I20" s="1773">
        <f t="shared" si="0"/>
        <v>160.72464692710642</v>
      </c>
      <c r="J20" s="1773">
        <f t="shared" si="0"/>
        <v>170.57979517581271</v>
      </c>
      <c r="K20" s="1773">
        <f t="shared" si="0"/>
        <v>178.72784123896676</v>
      </c>
      <c r="L20" s="1773">
        <f t="shared" si="0"/>
        <v>190.58889075870331</v>
      </c>
      <c r="M20" s="1773">
        <f t="shared" si="0"/>
        <v>194.9306323392334</v>
      </c>
      <c r="N20" s="1773">
        <f t="shared" si="0"/>
        <v>196.41875584232909</v>
      </c>
      <c r="O20" s="2048">
        <f t="shared" si="0"/>
        <v>188.58168305622323</v>
      </c>
      <c r="P20" s="1726"/>
      <c r="S20" s="1732"/>
      <c r="T20" s="1732"/>
      <c r="U20" s="1732"/>
      <c r="V20" s="1732"/>
      <c r="W20" s="1732"/>
      <c r="X20" s="1732"/>
      <c r="Y20" s="1732"/>
      <c r="Z20" s="1732"/>
      <c r="AA20" s="1732"/>
      <c r="AB20" s="1732"/>
    </row>
    <row r="21" spans="1:30" s="1753" customFormat="1" ht="15">
      <c r="B21" s="1451"/>
      <c r="C21" s="1720"/>
      <c r="D21" s="1721"/>
      <c r="E21" s="1721"/>
      <c r="F21" s="575"/>
      <c r="G21" s="576"/>
      <c r="H21" s="576"/>
      <c r="I21" s="576"/>
      <c r="J21" s="576"/>
      <c r="K21" s="576"/>
      <c r="L21" s="576"/>
      <c r="M21" s="576"/>
      <c r="N21" s="576"/>
      <c r="O21" s="576"/>
      <c r="P21" s="1722"/>
      <c r="R21" s="2040" t="s">
        <v>1785</v>
      </c>
      <c r="S21" s="1921">
        <v>2007</v>
      </c>
      <c r="T21" s="1921">
        <v>2010</v>
      </c>
      <c r="U21" s="1732">
        <v>2015</v>
      </c>
      <c r="V21" s="1732">
        <v>2020</v>
      </c>
      <c r="W21" s="1732">
        <v>2025</v>
      </c>
      <c r="X21" s="1732">
        <v>2030</v>
      </c>
      <c r="Y21" s="1732">
        <v>2035</v>
      </c>
      <c r="Z21" s="1732">
        <v>2040</v>
      </c>
      <c r="AA21" s="1732">
        <v>2045</v>
      </c>
      <c r="AB21" s="1732">
        <v>2050</v>
      </c>
    </row>
    <row r="22" spans="1:30">
      <c r="R22" s="2040" t="s">
        <v>1779</v>
      </c>
      <c r="S22" s="2088">
        <f t="shared" ref="S22:AA24" si="1">S$10-S10</f>
        <v>0</v>
      </c>
      <c r="T22" s="2088">
        <f t="shared" si="1"/>
        <v>0</v>
      </c>
      <c r="U22" s="2088">
        <f t="shared" si="1"/>
        <v>0</v>
      </c>
      <c r="V22" s="2088">
        <f t="shared" si="1"/>
        <v>0</v>
      </c>
      <c r="W22" s="2088">
        <f t="shared" si="1"/>
        <v>0</v>
      </c>
      <c r="X22" s="2088">
        <f t="shared" si="1"/>
        <v>0</v>
      </c>
      <c r="Y22" s="2088">
        <f t="shared" si="1"/>
        <v>0</v>
      </c>
      <c r="Z22" s="2088">
        <f t="shared" si="1"/>
        <v>0</v>
      </c>
      <c r="AA22" s="2088">
        <f t="shared" si="1"/>
        <v>0</v>
      </c>
      <c r="AB22" s="2088">
        <f t="shared" ref="AB22:AB24" si="2">AB$10-AB10</f>
        <v>0</v>
      </c>
    </row>
    <row r="23" spans="1:30" s="528" customFormat="1" ht="22" collapsed="1">
      <c r="A23" s="798"/>
      <c r="B23" s="845" t="s">
        <v>635</v>
      </c>
      <c r="C23" s="796"/>
      <c r="D23" s="796"/>
      <c r="E23" s="796"/>
      <c r="F23" s="796"/>
      <c r="G23" s="796"/>
      <c r="H23" s="796"/>
      <c r="I23" s="796"/>
      <c r="J23" s="796"/>
      <c r="K23" s="796"/>
      <c r="L23" s="796"/>
      <c r="M23" s="796"/>
      <c r="N23" s="796"/>
      <c r="O23" s="796"/>
      <c r="P23" s="797"/>
      <c r="R23" s="2040" t="s">
        <v>1780</v>
      </c>
      <c r="S23" s="2088">
        <f t="shared" si="1"/>
        <v>0</v>
      </c>
      <c r="T23" s="2088">
        <f t="shared" si="1"/>
        <v>0</v>
      </c>
      <c r="U23" s="2088">
        <f t="shared" si="1"/>
        <v>0.29656400893516377</v>
      </c>
      <c r="V23" s="2088">
        <f t="shared" si="1"/>
        <v>1.1695493477978047</v>
      </c>
      <c r="W23" s="2088">
        <f t="shared" si="1"/>
        <v>1.4896634938877895</v>
      </c>
      <c r="X23" s="2088">
        <f t="shared" si="1"/>
        <v>1.538275021252403</v>
      </c>
      <c r="Y23" s="2088">
        <f t="shared" si="1"/>
        <v>1.8239968377774076</v>
      </c>
      <c r="Z23" s="2088">
        <f t="shared" si="1"/>
        <v>1.8890951015518311</v>
      </c>
      <c r="AA23" s="2088">
        <f t="shared" si="1"/>
        <v>2.0447401040652622</v>
      </c>
      <c r="AB23" s="2088">
        <f t="shared" si="2"/>
        <v>2.0717808253729402</v>
      </c>
    </row>
    <row r="24" spans="1:30">
      <c r="B24" s="788"/>
      <c r="C24" s="588"/>
      <c r="D24" s="588"/>
      <c r="E24" s="588"/>
      <c r="F24" s="588"/>
      <c r="G24" s="588"/>
      <c r="H24" s="588"/>
      <c r="I24" s="588"/>
      <c r="J24" s="588"/>
      <c r="K24" s="588"/>
      <c r="L24" s="588"/>
      <c r="M24" s="588"/>
      <c r="N24" s="588"/>
      <c r="O24" s="588"/>
      <c r="P24" s="789"/>
      <c r="R24" s="2040" t="s">
        <v>1781</v>
      </c>
      <c r="S24" s="2088">
        <f t="shared" si="1"/>
        <v>0</v>
      </c>
      <c r="T24" s="2088">
        <f t="shared" si="1"/>
        <v>0</v>
      </c>
      <c r="U24" s="2088">
        <f t="shared" si="1"/>
        <v>0.29656400893516377</v>
      </c>
      <c r="V24" s="2088">
        <f t="shared" si="1"/>
        <v>1.9364019007073523</v>
      </c>
      <c r="W24" s="2088">
        <f t="shared" si="1"/>
        <v>3.3058756801354647</v>
      </c>
      <c r="X24" s="2088">
        <f t="shared" si="1"/>
        <v>4.4655196160896011</v>
      </c>
      <c r="Y24" s="2088">
        <f t="shared" si="1"/>
        <v>5.5890025806718455</v>
      </c>
      <c r="Z24" s="2088">
        <f t="shared" si="1"/>
        <v>6.3835479924648055</v>
      </c>
      <c r="AA24" s="2088">
        <f t="shared" si="1"/>
        <v>6.501113667172568</v>
      </c>
      <c r="AB24" s="2088">
        <f t="shared" si="2"/>
        <v>6.2020635451290502</v>
      </c>
    </row>
    <row r="25" spans="1:30">
      <c r="B25" s="788"/>
      <c r="C25" s="590" t="s">
        <v>688</v>
      </c>
      <c r="D25" s="588"/>
      <c r="E25" s="591"/>
      <c r="F25" s="591" t="str">
        <f>Preferences.EnergyUnits</f>
        <v>TWh</v>
      </c>
      <c r="G25" s="588"/>
      <c r="H25" s="588"/>
      <c r="I25" s="588"/>
      <c r="J25" s="588"/>
      <c r="K25" s="588"/>
      <c r="L25" s="588"/>
      <c r="M25" s="588"/>
      <c r="N25" s="588"/>
      <c r="O25" s="591"/>
      <c r="P25" s="789"/>
      <c r="R25" s="2040" t="s">
        <v>1782</v>
      </c>
      <c r="S25" s="2088">
        <f t="shared" ref="S25:AA25" si="3">S$10-S13</f>
        <v>0</v>
      </c>
      <c r="T25" s="2088">
        <f t="shared" si="3"/>
        <v>-4.8925739262628554E-4</v>
      </c>
      <c r="U25" s="2088">
        <f t="shared" si="3"/>
        <v>0.3733199383509529</v>
      </c>
      <c r="V25" s="2088">
        <f t="shared" si="3"/>
        <v>2.1599129595437887</v>
      </c>
      <c r="W25" s="2088">
        <f t="shared" si="3"/>
        <v>3.5550890839554796</v>
      </c>
      <c r="X25" s="2088">
        <f t="shared" si="3"/>
        <v>5.4603450887704241</v>
      </c>
      <c r="Y25" s="2088">
        <f t="shared" si="3"/>
        <v>8.3729452505467634</v>
      </c>
      <c r="Z25" s="2088">
        <f t="shared" si="3"/>
        <v>12.800116258598564</v>
      </c>
      <c r="AA25" s="2088">
        <f t="shared" si="3"/>
        <v>14.244903426998981</v>
      </c>
      <c r="AB25" s="2088">
        <f>AB$10-AB13</f>
        <v>14.4571960915641</v>
      </c>
    </row>
    <row r="26" spans="1:30">
      <c r="B26" s="788"/>
      <c r="C26" s="588"/>
      <c r="D26" s="588"/>
      <c r="E26" s="588"/>
      <c r="F26" s="588"/>
      <c r="G26" s="588"/>
      <c r="H26" s="588"/>
      <c r="I26" s="588"/>
      <c r="J26" s="588"/>
      <c r="K26" s="588"/>
      <c r="L26" s="588"/>
      <c r="M26" s="588"/>
      <c r="N26" s="588"/>
      <c r="O26" s="588"/>
      <c r="P26" s="789"/>
      <c r="R26" s="2040"/>
      <c r="S26" s="1732"/>
      <c r="T26" s="1732"/>
      <c r="U26" s="1732"/>
      <c r="V26" s="1732"/>
      <c r="W26" s="1732"/>
      <c r="X26" s="1732"/>
      <c r="Y26" s="1732"/>
      <c r="Z26" s="1732"/>
      <c r="AA26" s="1732"/>
      <c r="AB26" s="1732"/>
    </row>
    <row r="27" spans="1:30" ht="15">
      <c r="B27" s="790"/>
      <c r="C27" s="542" t="s">
        <v>72</v>
      </c>
      <c r="D27" s="542" t="s">
        <v>74</v>
      </c>
      <c r="E27" s="542" t="s">
        <v>422</v>
      </c>
      <c r="F27" s="607">
        <v>2007</v>
      </c>
      <c r="G27" s="863"/>
      <c r="H27" s="863"/>
      <c r="I27" s="863"/>
      <c r="J27" s="863"/>
      <c r="K27" s="863"/>
      <c r="L27" s="863"/>
      <c r="M27" s="863"/>
      <c r="N27" s="863"/>
      <c r="O27" s="863"/>
      <c r="P27" s="789"/>
    </row>
    <row r="28" spans="1:30" ht="15">
      <c r="B28" s="790"/>
      <c r="C28" s="555" t="s">
        <v>44</v>
      </c>
      <c r="D28" s="556" t="s">
        <v>689</v>
      </c>
      <c r="E28" s="618" t="s">
        <v>102</v>
      </c>
      <c r="F28" s="557" t="e">
        <f>-#REF!</f>
        <v>#REF!</v>
      </c>
      <c r="G28" s="614"/>
      <c r="H28" s="1032"/>
      <c r="I28" s="1032"/>
      <c r="J28" s="614"/>
      <c r="K28" s="614"/>
      <c r="L28" s="614"/>
      <c r="M28" s="614"/>
      <c r="N28" s="614"/>
      <c r="O28" s="614"/>
      <c r="P28" s="789"/>
      <c r="AC28" s="2080" t="s">
        <v>1830</v>
      </c>
    </row>
    <row r="29" spans="1:30">
      <c r="B29" s="788"/>
      <c r="C29" s="588"/>
      <c r="D29" s="588"/>
      <c r="E29" s="588"/>
      <c r="F29" s="588"/>
      <c r="G29" s="588"/>
      <c r="H29" s="588"/>
      <c r="I29" s="588"/>
      <c r="J29" s="588"/>
      <c r="K29" s="588"/>
      <c r="L29" s="588"/>
      <c r="M29" s="588"/>
      <c r="N29" s="588"/>
      <c r="O29" s="588"/>
      <c r="P29" s="789"/>
    </row>
    <row r="30" spans="1:30" s="1855" customFormat="1">
      <c r="B30" s="1725"/>
      <c r="C30" s="1723" t="s">
        <v>1763</v>
      </c>
      <c r="D30" s="1722"/>
      <c r="E30" s="1722"/>
      <c r="F30" s="1722"/>
      <c r="G30" s="1722"/>
      <c r="H30" s="1722"/>
      <c r="I30" s="1722"/>
      <c r="J30" s="1722"/>
      <c r="K30" s="1722"/>
      <c r="L30" s="1722"/>
      <c r="M30" s="1722"/>
      <c r="N30" s="1722"/>
      <c r="O30" s="591" t="str">
        <f>"kt per "&amp;Preferences.EnergyUnits</f>
        <v>kt per TWh</v>
      </c>
      <c r="P30" s="1726"/>
      <c r="R30" s="2040" t="s">
        <v>1827</v>
      </c>
      <c r="S30" s="1921">
        <v>2007</v>
      </c>
      <c r="T30" s="1921">
        <v>2010</v>
      </c>
      <c r="U30" s="1732">
        <v>2015</v>
      </c>
      <c r="V30" s="1732">
        <v>2020</v>
      </c>
      <c r="W30" s="1732">
        <v>2025</v>
      </c>
      <c r="X30" s="1732">
        <v>2030</v>
      </c>
      <c r="Y30" s="1732">
        <v>2035</v>
      </c>
      <c r="Z30" s="1732">
        <v>2040</v>
      </c>
      <c r="AA30" s="1732">
        <v>2045</v>
      </c>
      <c r="AB30" s="1732">
        <v>2050</v>
      </c>
    </row>
    <row r="31" spans="1:30" s="1855" customFormat="1" ht="5.25" customHeight="1">
      <c r="B31" s="1725"/>
      <c r="C31" s="1722"/>
      <c r="D31" s="1722"/>
      <c r="E31" s="1133"/>
      <c r="F31" s="1132"/>
      <c r="G31" s="1722"/>
      <c r="H31" s="1722"/>
      <c r="I31" s="1722"/>
      <c r="J31" s="1722"/>
      <c r="K31" s="1722"/>
      <c r="L31" s="1722"/>
      <c r="M31" s="1722"/>
      <c r="N31" s="1722"/>
      <c r="O31" s="1722"/>
      <c r="P31" s="1726"/>
    </row>
    <row r="32" spans="1:30" s="1855" customFormat="1" ht="14">
      <c r="B32" s="1725"/>
      <c r="C32" s="1868" t="s">
        <v>77</v>
      </c>
      <c r="D32" s="1868" t="s">
        <v>906</v>
      </c>
      <c r="E32" s="1869" t="s">
        <v>657</v>
      </c>
      <c r="F32" s="1870" t="s">
        <v>579</v>
      </c>
      <c r="G32" s="1870" t="s">
        <v>580</v>
      </c>
      <c r="H32" s="1870" t="s">
        <v>605</v>
      </c>
      <c r="I32" s="1870" t="s">
        <v>606</v>
      </c>
      <c r="J32" s="1870" t="s">
        <v>607</v>
      </c>
      <c r="K32" s="1870" t="s">
        <v>608</v>
      </c>
      <c r="L32" s="1870" t="s">
        <v>609</v>
      </c>
      <c r="M32" s="1870" t="s">
        <v>610</v>
      </c>
      <c r="N32" s="1870" t="s">
        <v>611</v>
      </c>
      <c r="O32" s="1870" t="s">
        <v>612</v>
      </c>
      <c r="P32" s="1726"/>
      <c r="R32" s="2040" t="s">
        <v>1779</v>
      </c>
      <c r="S32" s="1926">
        <f>IFERROR(S16/S22,0)</f>
        <v>0</v>
      </c>
      <c r="T32" s="1926">
        <f t="shared" ref="T32:AB32" si="4">IFERROR(T16/T22,0)</f>
        <v>0</v>
      </c>
      <c r="U32" s="1926">
        <f t="shared" si="4"/>
        <v>0</v>
      </c>
      <c r="V32" s="1926">
        <f t="shared" si="4"/>
        <v>0</v>
      </c>
      <c r="W32" s="1926">
        <f t="shared" si="4"/>
        <v>0</v>
      </c>
      <c r="X32" s="1926">
        <f t="shared" si="4"/>
        <v>0</v>
      </c>
      <c r="Y32" s="1926">
        <f t="shared" si="4"/>
        <v>0</v>
      </c>
      <c r="Z32" s="1926">
        <f t="shared" si="4"/>
        <v>0</v>
      </c>
      <c r="AA32" s="1926">
        <f t="shared" si="4"/>
        <v>0</v>
      </c>
      <c r="AB32" s="1926">
        <f t="shared" si="4"/>
        <v>0</v>
      </c>
    </row>
    <row r="33" spans="2:28" s="1855" customFormat="1">
      <c r="B33" s="1725"/>
      <c r="C33" s="2043" t="s">
        <v>687</v>
      </c>
      <c r="D33" s="2044" t="s">
        <v>922</v>
      </c>
      <c r="E33" s="1933" t="s">
        <v>1769</v>
      </c>
      <c r="F33" s="1398">
        <f>G33</f>
        <v>7.3830794811789498E-3</v>
      </c>
      <c r="G33" s="1398">
        <f t="shared" ref="G33:O33" si="5">(7.38307948117895E-06*(1/Unit.GWh))</f>
        <v>7.3830794811789498E-3</v>
      </c>
      <c r="H33" s="1398">
        <f t="shared" si="5"/>
        <v>7.3830794811789498E-3</v>
      </c>
      <c r="I33" s="1398">
        <f t="shared" si="5"/>
        <v>7.3830794811789498E-3</v>
      </c>
      <c r="J33" s="1398">
        <f t="shared" si="5"/>
        <v>7.3830794811789498E-3</v>
      </c>
      <c r="K33" s="1398">
        <f t="shared" si="5"/>
        <v>7.3830794811789498E-3</v>
      </c>
      <c r="L33" s="1398">
        <f t="shared" si="5"/>
        <v>7.3830794811789498E-3</v>
      </c>
      <c r="M33" s="1398">
        <f t="shared" si="5"/>
        <v>7.3830794811789498E-3</v>
      </c>
      <c r="N33" s="1398">
        <f t="shared" si="5"/>
        <v>7.3830794811789498E-3</v>
      </c>
      <c r="O33" s="1398">
        <f t="shared" si="5"/>
        <v>7.3830794811789498E-3</v>
      </c>
      <c r="P33" s="1726"/>
      <c r="R33" s="2040" t="s">
        <v>1780</v>
      </c>
      <c r="S33" s="1926">
        <f t="shared" ref="S33:AB33" si="6">IFERROR(S17/S23,0)</f>
        <v>0</v>
      </c>
      <c r="T33" s="1926">
        <f t="shared" si="6"/>
        <v>0</v>
      </c>
      <c r="U33" s="1926">
        <f t="shared" si="6"/>
        <v>-9.8417379777732528</v>
      </c>
      <c r="V33" s="1926">
        <f t="shared" si="6"/>
        <v>-9.8417379777732528</v>
      </c>
      <c r="W33" s="1926">
        <f t="shared" si="6"/>
        <v>-20.704102330757635</v>
      </c>
      <c r="X33" s="1926">
        <f>IFERROR(X17/X23,0)</f>
        <v>-31.914985771882307</v>
      </c>
      <c r="Y33" s="1926">
        <f>IFERROR(Y17/Y23,0)</f>
        <v>-38.839853037343552</v>
      </c>
      <c r="Z33" s="1926">
        <f t="shared" si="6"/>
        <v>-48.156759215120317</v>
      </c>
      <c r="AA33" s="1926">
        <f t="shared" si="6"/>
        <v>-52.415344999123086</v>
      </c>
      <c r="AB33" s="1926">
        <f t="shared" si="6"/>
        <v>-58.515869605981145</v>
      </c>
    </row>
    <row r="34" spans="2:28" s="1855" customFormat="1">
      <c r="B34" s="1725"/>
      <c r="C34" s="1722"/>
      <c r="D34" s="1722"/>
      <c r="E34" s="1722"/>
      <c r="F34" s="1722"/>
      <c r="G34" s="1722"/>
      <c r="H34" s="1722"/>
      <c r="I34" s="1722"/>
      <c r="J34" s="1722"/>
      <c r="K34" s="1722"/>
      <c r="L34" s="1722"/>
      <c r="M34" s="1722"/>
      <c r="N34" s="1722"/>
      <c r="O34" s="1722"/>
      <c r="P34" s="1726"/>
      <c r="R34" s="2040" t="s">
        <v>1781</v>
      </c>
      <c r="S34" s="1926">
        <f t="shared" ref="S34:AB34" si="7">IFERROR(S18/S24,0)</f>
        <v>0</v>
      </c>
      <c r="T34" s="1926">
        <f t="shared" si="7"/>
        <v>0</v>
      </c>
      <c r="U34" s="1926">
        <f t="shared" si="7"/>
        <v>-9.8417379777732528</v>
      </c>
      <c r="V34" s="1926">
        <f t="shared" si="7"/>
        <v>12.588200884162589</v>
      </c>
      <c r="W34" s="1926">
        <f t="shared" si="7"/>
        <v>16.380137783653165</v>
      </c>
      <c r="X34" s="1926">
        <f t="shared" si="7"/>
        <v>19.682263860019916</v>
      </c>
      <c r="Y34" s="1926">
        <f t="shared" si="7"/>
        <v>18.848854861759854</v>
      </c>
      <c r="Z34" s="1926">
        <f t="shared" si="7"/>
        <v>18.696989888333963</v>
      </c>
      <c r="AA34" s="1926">
        <f t="shared" si="7"/>
        <v>15.592418202451617</v>
      </c>
      <c r="AB34" s="1926">
        <f t="shared" si="7"/>
        <v>11.617389793241388</v>
      </c>
    </row>
    <row r="35" spans="2:28" s="1855" customFormat="1">
      <c r="B35" s="1725"/>
      <c r="C35" s="1723" t="s">
        <v>1764</v>
      </c>
      <c r="D35" s="1722"/>
      <c r="E35" s="1722"/>
      <c r="F35" s="1722"/>
      <c r="G35" s="1722"/>
      <c r="H35" s="1722"/>
      <c r="I35" s="1722"/>
      <c r="J35" s="1722"/>
      <c r="K35" s="1722"/>
      <c r="L35" s="1722"/>
      <c r="M35" s="1722"/>
      <c r="N35" s="1722"/>
      <c r="O35" s="591" t="str">
        <f>"kt per "&amp;Preferences.EnergyUnits</f>
        <v>kt per TWh</v>
      </c>
      <c r="P35" s="1726"/>
      <c r="R35" s="2040" t="s">
        <v>1782</v>
      </c>
      <c r="S35" s="1926">
        <f t="shared" ref="S35:AB35" si="8">IFERROR(S19/S25,0)</f>
        <v>0</v>
      </c>
      <c r="T35" s="1926">
        <f t="shared" si="8"/>
        <v>0</v>
      </c>
      <c r="U35" s="1926">
        <f t="shared" si="8"/>
        <v>331.2838322616455</v>
      </c>
      <c r="V35" s="1926">
        <f t="shared" si="8"/>
        <v>173.12078524145889</v>
      </c>
      <c r="W35" s="1926">
        <f t="shared" si="8"/>
        <v>112.16438459302108</v>
      </c>
      <c r="X35" s="1926">
        <f t="shared" si="8"/>
        <v>48.3721074199117</v>
      </c>
      <c r="Y35" s="1926">
        <f t="shared" si="8"/>
        <v>248.43334346974356</v>
      </c>
      <c r="Z35" s="1926">
        <f t="shared" si="8"/>
        <v>161.32322196640598</v>
      </c>
      <c r="AA35" s="1926">
        <f t="shared" si="8"/>
        <v>299.81413687441909</v>
      </c>
      <c r="AB35" s="1926">
        <f t="shared" si="8"/>
        <v>139.89430130941858</v>
      </c>
    </row>
    <row r="36" spans="2:28" s="1855" customFormat="1" ht="5.25" customHeight="1">
      <c r="B36" s="1725"/>
      <c r="C36" s="1722"/>
      <c r="D36" s="1722"/>
      <c r="E36" s="1133"/>
      <c r="F36" s="1132"/>
      <c r="G36" s="1722"/>
      <c r="H36" s="1722"/>
      <c r="I36" s="1722"/>
      <c r="J36" s="1722"/>
      <c r="K36" s="1722"/>
      <c r="L36" s="1722"/>
      <c r="M36" s="1722"/>
      <c r="N36" s="1722"/>
      <c r="O36" s="1722"/>
      <c r="P36" s="1726"/>
      <c r="S36" s="2040"/>
      <c r="T36" s="2040"/>
      <c r="U36" s="2040"/>
      <c r="V36" s="2040"/>
      <c r="W36" s="2040"/>
      <c r="X36" s="2040"/>
      <c r="Y36" s="2040"/>
      <c r="Z36" s="2040"/>
      <c r="AA36" s="2040"/>
    </row>
    <row r="37" spans="2:28" s="1855" customFormat="1" ht="14">
      <c r="B37" s="1725"/>
      <c r="C37" s="1868" t="s">
        <v>77</v>
      </c>
      <c r="D37" s="1868" t="s">
        <v>906</v>
      </c>
      <c r="E37" s="1869" t="s">
        <v>657</v>
      </c>
      <c r="F37" s="1870" t="s">
        <v>579</v>
      </c>
      <c r="G37" s="1870" t="s">
        <v>580</v>
      </c>
      <c r="H37" s="1870" t="s">
        <v>605</v>
      </c>
      <c r="I37" s="1870" t="s">
        <v>606</v>
      </c>
      <c r="J37" s="1870" t="s">
        <v>607</v>
      </c>
      <c r="K37" s="1870" t="s">
        <v>608</v>
      </c>
      <c r="L37" s="1870" t="s">
        <v>609</v>
      </c>
      <c r="M37" s="1870" t="s">
        <v>610</v>
      </c>
      <c r="N37" s="1870" t="s">
        <v>611</v>
      </c>
      <c r="O37" s="1870" t="s">
        <v>612</v>
      </c>
      <c r="P37" s="1726"/>
      <c r="R37" s="1441" t="s">
        <v>893</v>
      </c>
      <c r="S37" s="2050">
        <f>(INDEX(S$32:S$35,ROUNDDOWN($E$8,0))*(1-MOD($E$8,1)))+(INDEX(S$32:S$35,ROUNDUP($E$8,0))*MOD($E$8,1))</f>
        <v>0</v>
      </c>
      <c r="T37" s="2050">
        <f t="shared" ref="T37:AB37" si="9">(INDEX(T$32:T$35,ROUNDDOWN($E$8,0))*(1-MOD($E$8,1)))+(INDEX(T$32:T$35,ROUNDUP($E$8,0))*MOD($E$8,1))</f>
        <v>0</v>
      </c>
      <c r="U37" s="2050">
        <f t="shared" si="9"/>
        <v>0</v>
      </c>
      <c r="V37" s="2050">
        <f t="shared" si="9"/>
        <v>0</v>
      </c>
      <c r="W37" s="2050">
        <f t="shared" si="9"/>
        <v>0</v>
      </c>
      <c r="X37" s="2050">
        <f t="shared" si="9"/>
        <v>0</v>
      </c>
      <c r="Y37" s="2050">
        <f t="shared" si="9"/>
        <v>0</v>
      </c>
      <c r="Z37" s="2050">
        <f t="shared" si="9"/>
        <v>0</v>
      </c>
      <c r="AA37" s="2050">
        <f t="shared" si="9"/>
        <v>0</v>
      </c>
      <c r="AB37" s="2050">
        <f t="shared" si="9"/>
        <v>0</v>
      </c>
    </row>
    <row r="38" spans="2:28" s="1855" customFormat="1">
      <c r="B38" s="1725"/>
      <c r="C38" s="2043" t="s">
        <v>687</v>
      </c>
      <c r="D38" s="2044" t="s">
        <v>922</v>
      </c>
      <c r="E38" s="1933" t="s">
        <v>1769</v>
      </c>
      <c r="F38" s="1398">
        <f>G38</f>
        <v>1.0779221607718199</v>
      </c>
      <c r="G38" s="1398">
        <f t="shared" ref="G38:O38" si="10">(0.00107792216077182*(1/Unit.GWh))</f>
        <v>1.0779221607718199</v>
      </c>
      <c r="H38" s="1398">
        <f t="shared" si="10"/>
        <v>1.0779221607718199</v>
      </c>
      <c r="I38" s="1398">
        <f t="shared" si="10"/>
        <v>1.0779221607718199</v>
      </c>
      <c r="J38" s="1398">
        <f t="shared" si="10"/>
        <v>1.0779221607718199</v>
      </c>
      <c r="K38" s="1398">
        <f t="shared" si="10"/>
        <v>1.0779221607718199</v>
      </c>
      <c r="L38" s="1398">
        <f t="shared" si="10"/>
        <v>1.0779221607718199</v>
      </c>
      <c r="M38" s="1398">
        <f t="shared" si="10"/>
        <v>1.0779221607718199</v>
      </c>
      <c r="N38" s="1398">
        <f t="shared" si="10"/>
        <v>1.0779221607718199</v>
      </c>
      <c r="O38" s="1398">
        <f t="shared" si="10"/>
        <v>1.0779221607718199</v>
      </c>
      <c r="P38" s="1726"/>
      <c r="S38" s="2040"/>
      <c r="T38" s="2040"/>
      <c r="U38" s="2040"/>
      <c r="V38" s="2040"/>
      <c r="W38" s="2040"/>
      <c r="X38" s="2040"/>
      <c r="Y38" s="2040"/>
      <c r="Z38" s="2040"/>
      <c r="AA38" s="2040"/>
    </row>
    <row r="39" spans="2:28" s="1855" customFormat="1">
      <c r="B39" s="1725"/>
      <c r="C39" s="1722"/>
      <c r="D39" s="1722"/>
      <c r="E39" s="1722"/>
      <c r="F39" s="1722"/>
      <c r="G39" s="1722"/>
      <c r="H39" s="1722"/>
      <c r="I39" s="1722"/>
      <c r="J39" s="1722"/>
      <c r="K39" s="1722"/>
      <c r="L39" s="1722"/>
      <c r="M39" s="1722"/>
      <c r="N39" s="1722"/>
      <c r="O39" s="1722"/>
      <c r="P39" s="1726"/>
      <c r="S39" s="2040"/>
      <c r="T39" s="2040"/>
      <c r="U39" s="2040"/>
      <c r="V39" s="2040"/>
      <c r="W39" s="2040"/>
      <c r="X39" s="2040"/>
      <c r="Y39" s="2040"/>
      <c r="Z39" s="2040"/>
      <c r="AA39" s="2040"/>
    </row>
    <row r="40" spans="2:28" s="1855" customFormat="1">
      <c r="B40" s="1725"/>
      <c r="C40" s="1723" t="s">
        <v>1765</v>
      </c>
      <c r="D40" s="1722"/>
      <c r="E40" s="1722"/>
      <c r="F40" s="1722"/>
      <c r="G40" s="1722"/>
      <c r="H40" s="1722"/>
      <c r="I40" s="1722"/>
      <c r="J40" s="1722"/>
      <c r="K40" s="1722"/>
      <c r="L40" s="1722"/>
      <c r="M40" s="1722"/>
      <c r="N40" s="1722"/>
      <c r="O40" s="591" t="str">
        <f>"kt per "&amp;Preferences.EnergyUnits</f>
        <v>kt per TWh</v>
      </c>
      <c r="P40" s="1726"/>
      <c r="S40" s="2040"/>
      <c r="T40" s="2040"/>
      <c r="U40" s="2040"/>
      <c r="V40" s="2040"/>
      <c r="W40" s="2040"/>
      <c r="X40" s="2040"/>
      <c r="Y40" s="2040"/>
      <c r="Z40" s="2040"/>
      <c r="AA40" s="2040"/>
    </row>
    <row r="41" spans="2:28" s="1855" customFormat="1" ht="5.25" customHeight="1">
      <c r="B41" s="1725"/>
      <c r="C41" s="1722"/>
      <c r="D41" s="1722"/>
      <c r="E41" s="1133"/>
      <c r="F41" s="1132"/>
      <c r="G41" s="1722"/>
      <c r="H41" s="1722"/>
      <c r="I41" s="1722"/>
      <c r="J41" s="1722"/>
      <c r="K41" s="1722"/>
      <c r="L41" s="1722"/>
      <c r="M41" s="1722"/>
      <c r="N41" s="1722"/>
      <c r="O41" s="1722"/>
      <c r="P41" s="1726"/>
      <c r="S41" s="2040"/>
      <c r="T41" s="2040"/>
      <c r="U41" s="2040"/>
      <c r="V41" s="2040"/>
      <c r="W41" s="2040"/>
      <c r="X41" s="2040"/>
      <c r="Y41" s="2040"/>
      <c r="Z41" s="2040"/>
      <c r="AA41" s="2040"/>
    </row>
    <row r="42" spans="2:28" s="1855" customFormat="1" ht="14">
      <c r="B42" s="1725"/>
      <c r="C42" s="1868" t="s">
        <v>77</v>
      </c>
      <c r="D42" s="1868" t="s">
        <v>906</v>
      </c>
      <c r="E42" s="1869" t="s">
        <v>657</v>
      </c>
      <c r="F42" s="1870" t="s">
        <v>579</v>
      </c>
      <c r="G42" s="1870" t="s">
        <v>580</v>
      </c>
      <c r="H42" s="1870" t="s">
        <v>605</v>
      </c>
      <c r="I42" s="1870" t="s">
        <v>606</v>
      </c>
      <c r="J42" s="1870" t="s">
        <v>607</v>
      </c>
      <c r="K42" s="1870" t="s">
        <v>608</v>
      </c>
      <c r="L42" s="1870" t="s">
        <v>609</v>
      </c>
      <c r="M42" s="1870" t="s">
        <v>610</v>
      </c>
      <c r="N42" s="1870" t="s">
        <v>611</v>
      </c>
      <c r="O42" s="1870" t="s">
        <v>612</v>
      </c>
      <c r="P42" s="1726"/>
      <c r="S42" s="2040"/>
      <c r="T42" s="2040"/>
      <c r="U42" s="2040"/>
      <c r="V42" s="2040"/>
      <c r="W42" s="2040"/>
      <c r="X42" s="2040"/>
      <c r="Y42" s="2040"/>
      <c r="Z42" s="2040"/>
      <c r="AA42" s="2040"/>
    </row>
    <row r="43" spans="2:28" s="1855" customFormat="1">
      <c r="B43" s="1725"/>
      <c r="C43" s="2043" t="s">
        <v>687</v>
      </c>
      <c r="D43" s="2044" t="s">
        <v>922</v>
      </c>
      <c r="E43" s="1933" t="s">
        <v>1769</v>
      </c>
      <c r="F43" s="1398">
        <f>G43</f>
        <v>6.3896007285008105E-2</v>
      </c>
      <c r="G43" s="1398">
        <f t="shared" ref="G43:O43" si="11">(0.0000638960072850081*(1/Unit.GWh))</f>
        <v>6.3896007285008105E-2</v>
      </c>
      <c r="H43" s="1398">
        <f t="shared" si="11"/>
        <v>6.3896007285008105E-2</v>
      </c>
      <c r="I43" s="1398">
        <f t="shared" si="11"/>
        <v>6.3896007285008105E-2</v>
      </c>
      <c r="J43" s="1398">
        <f t="shared" si="11"/>
        <v>6.3896007285008105E-2</v>
      </c>
      <c r="K43" s="1398">
        <f t="shared" si="11"/>
        <v>6.3896007285008105E-2</v>
      </c>
      <c r="L43" s="1398">
        <f t="shared" si="11"/>
        <v>6.3896007285008105E-2</v>
      </c>
      <c r="M43" s="1398">
        <f t="shared" si="11"/>
        <v>6.3896007285008105E-2</v>
      </c>
      <c r="N43" s="1398">
        <f t="shared" si="11"/>
        <v>6.3896007285008105E-2</v>
      </c>
      <c r="O43" s="1398">
        <f t="shared" si="11"/>
        <v>6.3896007285008105E-2</v>
      </c>
      <c r="P43" s="1726"/>
      <c r="S43" s="2040"/>
      <c r="T43" s="2040"/>
      <c r="U43" s="2040"/>
      <c r="V43" s="2040"/>
      <c r="W43" s="2040"/>
      <c r="X43" s="2040"/>
      <c r="Y43" s="2040"/>
      <c r="Z43" s="2040"/>
      <c r="AA43" s="2040"/>
    </row>
    <row r="44" spans="2:28" s="1855" customFormat="1">
      <c r="B44" s="1725"/>
      <c r="C44" s="1722"/>
      <c r="D44" s="1722"/>
      <c r="E44" s="1722"/>
      <c r="F44" s="1722"/>
      <c r="G44" s="1722"/>
      <c r="H44" s="1722"/>
      <c r="I44" s="1722"/>
      <c r="J44" s="1722"/>
      <c r="K44" s="1722"/>
      <c r="L44" s="1722"/>
      <c r="M44" s="1722"/>
      <c r="N44" s="1722"/>
      <c r="O44" s="1722"/>
      <c r="P44" s="1726"/>
    </row>
    <row r="45" spans="2:28" s="1855" customFormat="1">
      <c r="B45" s="1725"/>
      <c r="C45" s="1723" t="s">
        <v>1767</v>
      </c>
      <c r="D45" s="1722"/>
      <c r="E45" s="1722"/>
      <c r="F45" s="1722"/>
      <c r="G45" s="1722"/>
      <c r="H45" s="1722"/>
      <c r="I45" s="1722"/>
      <c r="J45" s="1722"/>
      <c r="K45" s="1722"/>
      <c r="L45" s="1722"/>
      <c r="M45" s="1722"/>
      <c r="N45" s="1722"/>
      <c r="O45" s="591" t="str">
        <f>"kt per "&amp;Preferences.EnergyUnits</f>
        <v>kt per TWh</v>
      </c>
      <c r="P45" s="1726"/>
    </row>
    <row r="46" spans="2:28" s="1855" customFormat="1" ht="5.25" customHeight="1">
      <c r="B46" s="1725"/>
      <c r="C46" s="1722"/>
      <c r="D46" s="1722"/>
      <c r="E46" s="1133"/>
      <c r="F46" s="1132"/>
      <c r="G46" s="1722"/>
      <c r="H46" s="1722"/>
      <c r="I46" s="1722"/>
      <c r="J46" s="1722"/>
      <c r="K46" s="1722"/>
      <c r="L46" s="1722"/>
      <c r="M46" s="1722"/>
      <c r="N46" s="1722"/>
      <c r="O46" s="1722"/>
      <c r="P46" s="1726"/>
    </row>
    <row r="47" spans="2:28" s="1855" customFormat="1" ht="14">
      <c r="B47" s="1725"/>
      <c r="C47" s="1868" t="s">
        <v>77</v>
      </c>
      <c r="D47" s="1868" t="s">
        <v>906</v>
      </c>
      <c r="E47" s="1869" t="s">
        <v>657</v>
      </c>
      <c r="F47" s="1870" t="s">
        <v>579</v>
      </c>
      <c r="G47" s="1870" t="s">
        <v>580</v>
      </c>
      <c r="H47" s="1870" t="s">
        <v>605</v>
      </c>
      <c r="I47" s="1870" t="s">
        <v>606</v>
      </c>
      <c r="J47" s="1870" t="s">
        <v>607</v>
      </c>
      <c r="K47" s="1870" t="s">
        <v>608</v>
      </c>
      <c r="L47" s="1870" t="s">
        <v>609</v>
      </c>
      <c r="M47" s="1870" t="s">
        <v>610</v>
      </c>
      <c r="N47" s="1870" t="s">
        <v>611</v>
      </c>
      <c r="O47" s="1870" t="s">
        <v>612</v>
      </c>
      <c r="P47" s="1726"/>
    </row>
    <row r="48" spans="2:28" s="1855" customFormat="1">
      <c r="B48" s="1725"/>
      <c r="C48" s="2043" t="s">
        <v>687</v>
      </c>
      <c r="D48" s="2044" t="s">
        <v>922</v>
      </c>
      <c r="E48" s="1933" t="s">
        <v>1769</v>
      </c>
      <c r="F48" s="1398">
        <f>G48</f>
        <v>9.9512805760939807E-2</v>
      </c>
      <c r="G48" s="1398">
        <f t="shared" ref="G48:O48" si="12">(0.0000995128057609398*(1/Unit.GWh))</f>
        <v>9.9512805760939807E-2</v>
      </c>
      <c r="H48" s="1398">
        <f t="shared" si="12"/>
        <v>9.9512805760939807E-2</v>
      </c>
      <c r="I48" s="1398">
        <f t="shared" si="12"/>
        <v>9.9512805760939807E-2</v>
      </c>
      <c r="J48" s="1398">
        <f t="shared" si="12"/>
        <v>9.9512805760939807E-2</v>
      </c>
      <c r="K48" s="1398">
        <f t="shared" si="12"/>
        <v>9.9512805760939807E-2</v>
      </c>
      <c r="L48" s="1398">
        <f t="shared" si="12"/>
        <v>9.9512805760939807E-2</v>
      </c>
      <c r="M48" s="1398">
        <f t="shared" si="12"/>
        <v>9.9512805760939807E-2</v>
      </c>
      <c r="N48" s="1398">
        <f t="shared" si="12"/>
        <v>9.9512805760939807E-2</v>
      </c>
      <c r="O48" s="1398">
        <f t="shared" si="12"/>
        <v>9.9512805760939807E-2</v>
      </c>
      <c r="P48" s="1726"/>
    </row>
    <row r="49" spans="1:31" s="1855" customFormat="1">
      <c r="B49" s="1725"/>
      <c r="C49" s="1722"/>
      <c r="D49" s="1722"/>
      <c r="E49" s="1722"/>
      <c r="F49" s="1722"/>
      <c r="G49" s="1722"/>
      <c r="H49" s="1722"/>
      <c r="I49" s="1722"/>
      <c r="J49" s="1722"/>
      <c r="K49" s="1722"/>
      <c r="L49" s="1722"/>
      <c r="M49" s="1722"/>
      <c r="N49" s="1722"/>
      <c r="O49" s="1722"/>
      <c r="P49" s="1726"/>
    </row>
    <row r="50" spans="1:31" s="1990" customFormat="1">
      <c r="B50" s="1725"/>
      <c r="C50" s="1723" t="s">
        <v>1820</v>
      </c>
      <c r="D50" s="1722"/>
      <c r="E50" s="1722"/>
      <c r="F50" s="1722"/>
      <c r="G50" s="1722"/>
      <c r="H50" s="1722"/>
      <c r="I50" s="1722"/>
      <c r="J50" s="1722"/>
      <c r="K50" s="1722"/>
      <c r="L50" s="1722"/>
      <c r="M50" s="1722"/>
      <c r="N50" s="1722"/>
      <c r="O50" s="591" t="s">
        <v>1821</v>
      </c>
      <c r="P50" s="1726"/>
      <c r="R50" s="37"/>
      <c r="S50" s="37"/>
      <c r="T50" s="37"/>
      <c r="U50" s="37"/>
      <c r="V50" s="37"/>
      <c r="W50" s="37"/>
      <c r="X50" s="37"/>
      <c r="Y50" s="37"/>
      <c r="Z50" s="37"/>
      <c r="AA50" s="37"/>
      <c r="AB50" s="37"/>
      <c r="AC50" s="37"/>
      <c r="AD50" s="37"/>
    </row>
    <row r="51" spans="1:31" s="1990" customFormat="1" ht="5.25" customHeight="1">
      <c r="B51" s="1725"/>
      <c r="C51" s="1722"/>
      <c r="D51" s="1722"/>
      <c r="E51" s="1133"/>
      <c r="F51" s="1132"/>
      <c r="G51" s="1722"/>
      <c r="H51" s="1722"/>
      <c r="I51" s="1722"/>
      <c r="J51" s="1722"/>
      <c r="K51" s="1722"/>
      <c r="L51" s="1722"/>
      <c r="M51" s="1722"/>
      <c r="N51" s="1722"/>
      <c r="O51" s="1722"/>
      <c r="P51" s="1726"/>
      <c r="R51" s="37"/>
      <c r="S51" s="37"/>
      <c r="T51" s="37"/>
      <c r="U51" s="37"/>
      <c r="V51" s="37"/>
      <c r="W51" s="37"/>
      <c r="X51" s="37"/>
      <c r="Y51" s="37"/>
      <c r="Z51" s="37"/>
      <c r="AA51" s="37"/>
      <c r="AB51" s="37"/>
      <c r="AC51" s="37"/>
      <c r="AD51" s="37"/>
    </row>
    <row r="52" spans="1:31" s="1990" customFormat="1" ht="14">
      <c r="B52" s="1725"/>
      <c r="C52" s="1930" t="s">
        <v>77</v>
      </c>
      <c r="D52" s="1930" t="s">
        <v>906</v>
      </c>
      <c r="E52" s="1869" t="s">
        <v>657</v>
      </c>
      <c r="F52" s="1931" t="s">
        <v>579</v>
      </c>
      <c r="G52" s="1931" t="s">
        <v>580</v>
      </c>
      <c r="H52" s="1931" t="s">
        <v>605</v>
      </c>
      <c r="I52" s="1931" t="s">
        <v>606</v>
      </c>
      <c r="J52" s="1931" t="s">
        <v>607</v>
      </c>
      <c r="K52" s="1931" t="s">
        <v>608</v>
      </c>
      <c r="L52" s="1931" t="s">
        <v>609</v>
      </c>
      <c r="M52" s="1931" t="s">
        <v>610</v>
      </c>
      <c r="N52" s="1931" t="s">
        <v>611</v>
      </c>
      <c r="O52" s="1870" t="s">
        <v>612</v>
      </c>
      <c r="P52" s="1726"/>
      <c r="R52" s="37"/>
      <c r="S52" s="37"/>
      <c r="T52" s="37"/>
      <c r="U52" s="37"/>
      <c r="V52" s="37"/>
      <c r="W52" s="37"/>
      <c r="X52" s="37"/>
      <c r="Y52" s="37"/>
      <c r="Z52" s="37"/>
      <c r="AA52" s="37"/>
      <c r="AB52" s="37"/>
      <c r="AC52" s="37"/>
      <c r="AD52" s="37"/>
    </row>
    <row r="53" spans="1:31" s="1990" customFormat="1">
      <c r="B53" s="1725"/>
      <c r="C53" s="1932" t="s">
        <v>671</v>
      </c>
      <c r="D53" s="2045" t="s">
        <v>922</v>
      </c>
      <c r="E53" s="2045" t="s">
        <v>922</v>
      </c>
      <c r="F53" s="2046">
        <f>G53</f>
        <v>6.9559999999999997E-2</v>
      </c>
      <c r="G53" s="2046">
        <v>6.9559999999999997E-2</v>
      </c>
      <c r="H53" s="2046">
        <f>G53</f>
        <v>6.9559999999999997E-2</v>
      </c>
      <c r="I53" s="2046">
        <f t="shared" ref="I53:O53" si="13">H53</f>
        <v>6.9559999999999997E-2</v>
      </c>
      <c r="J53" s="2046">
        <f t="shared" si="13"/>
        <v>6.9559999999999997E-2</v>
      </c>
      <c r="K53" s="2046">
        <f t="shared" si="13"/>
        <v>6.9559999999999997E-2</v>
      </c>
      <c r="L53" s="2046">
        <f t="shared" si="13"/>
        <v>6.9559999999999997E-2</v>
      </c>
      <c r="M53" s="2046">
        <f t="shared" si="13"/>
        <v>6.9559999999999997E-2</v>
      </c>
      <c r="N53" s="2046">
        <f t="shared" si="13"/>
        <v>6.9559999999999997E-2</v>
      </c>
      <c r="O53" s="2046">
        <f t="shared" si="13"/>
        <v>6.9559999999999997E-2</v>
      </c>
      <c r="P53" s="1726"/>
      <c r="R53" s="37"/>
      <c r="S53" s="37"/>
      <c r="T53" s="37"/>
      <c r="U53" s="37"/>
      <c r="V53" s="37"/>
      <c r="W53" s="37"/>
      <c r="X53" s="37"/>
      <c r="Y53" s="37"/>
      <c r="Z53" s="37"/>
      <c r="AA53" s="37"/>
      <c r="AB53" s="37"/>
      <c r="AC53" s="37"/>
      <c r="AD53" s="37"/>
      <c r="AE53" s="1992"/>
    </row>
    <row r="54" spans="1:31" s="1990" customFormat="1">
      <c r="B54" s="1725"/>
      <c r="C54" s="1871"/>
      <c r="D54" s="1769"/>
      <c r="E54" s="1769"/>
      <c r="F54" s="1873"/>
      <c r="G54" s="1389"/>
      <c r="H54" s="1389"/>
      <c r="I54" s="1389"/>
      <c r="J54" s="1389"/>
      <c r="K54" s="1389"/>
      <c r="L54" s="1389"/>
      <c r="M54" s="1389"/>
      <c r="N54" s="1389"/>
      <c r="O54" s="1389"/>
      <c r="P54" s="1726"/>
      <c r="R54" s="1935"/>
      <c r="S54" s="37"/>
      <c r="T54" s="37"/>
      <c r="U54" s="37"/>
      <c r="V54" s="37"/>
      <c r="W54" s="37"/>
      <c r="X54" s="37"/>
      <c r="Y54" s="37"/>
      <c r="Z54" s="37"/>
      <c r="AA54" s="37"/>
      <c r="AB54" s="37"/>
      <c r="AC54" s="37"/>
      <c r="AD54" s="37"/>
      <c r="AE54" s="1992"/>
    </row>
    <row r="55" spans="1:31">
      <c r="B55" s="788"/>
      <c r="C55" s="588" t="s">
        <v>604</v>
      </c>
      <c r="D55" s="588"/>
      <c r="E55" s="588"/>
      <c r="F55" s="588"/>
      <c r="G55" s="588"/>
      <c r="H55" s="588"/>
      <c r="I55" s="588"/>
      <c r="J55" s="588"/>
      <c r="K55" s="588"/>
      <c r="L55" s="588"/>
      <c r="M55" s="588"/>
      <c r="N55" s="588"/>
      <c r="O55" s="588"/>
      <c r="P55" s="789"/>
      <c r="R55" s="37"/>
      <c r="S55" s="37"/>
      <c r="T55" s="37"/>
      <c r="U55" s="37"/>
      <c r="V55" s="37"/>
      <c r="W55" s="37"/>
      <c r="X55" s="37"/>
      <c r="Y55" s="37"/>
      <c r="Z55" s="37"/>
      <c r="AA55" s="37"/>
      <c r="AB55" s="37"/>
      <c r="AC55" s="37"/>
      <c r="AD55" s="37"/>
      <c r="AE55" s="1992"/>
    </row>
    <row r="56" spans="1:31" ht="14">
      <c r="B56" s="788"/>
      <c r="C56" s="591" t="s">
        <v>102</v>
      </c>
      <c r="D56" s="588" t="s">
        <v>950</v>
      </c>
      <c r="E56" s="588"/>
      <c r="F56" s="588"/>
      <c r="G56" s="588"/>
      <c r="H56" s="588"/>
      <c r="I56" s="588"/>
      <c r="J56" s="588"/>
      <c r="K56" s="588"/>
      <c r="L56" s="588"/>
      <c r="M56" s="588"/>
      <c r="N56" s="588"/>
      <c r="O56" s="588"/>
      <c r="P56" s="789"/>
      <c r="R56" s="1995"/>
      <c r="S56" s="1995"/>
      <c r="T56" s="1995"/>
      <c r="U56" s="1996"/>
      <c r="V56" s="1996"/>
      <c r="W56" s="1996"/>
      <c r="X56" s="1996"/>
      <c r="Y56" s="1996"/>
      <c r="Z56" s="1996"/>
      <c r="AA56" s="1996"/>
      <c r="AB56" s="1996"/>
      <c r="AC56" s="1996"/>
      <c r="AD56" s="1996"/>
      <c r="AE56" s="1992"/>
    </row>
    <row r="57" spans="1:31" s="525" customFormat="1">
      <c r="B57" s="849"/>
      <c r="C57" s="850"/>
      <c r="D57" s="838"/>
      <c r="E57" s="851"/>
      <c r="F57" s="851"/>
      <c r="G57" s="851"/>
      <c r="H57" s="851"/>
      <c r="I57" s="851"/>
      <c r="J57" s="851"/>
      <c r="K57" s="851"/>
      <c r="L57" s="851"/>
      <c r="M57" s="851"/>
      <c r="N57" s="851"/>
      <c r="O57" s="851"/>
      <c r="P57" s="852"/>
      <c r="R57" s="1997"/>
      <c r="S57" s="1951"/>
      <c r="T57" s="1951"/>
      <c r="U57" s="1758"/>
      <c r="V57" s="1758"/>
      <c r="W57" s="1758"/>
      <c r="X57" s="1758"/>
      <c r="Y57" s="1758"/>
      <c r="Z57" s="1758"/>
      <c r="AA57" s="1758"/>
      <c r="AB57" s="1758"/>
      <c r="AC57" s="1758"/>
      <c r="AD57" s="1758"/>
      <c r="AE57" s="1992"/>
    </row>
    <row r="58" spans="1:31" s="1703" customFormat="1">
      <c r="B58" s="844"/>
      <c r="R58" s="37"/>
      <c r="S58" s="37"/>
      <c r="T58" s="37"/>
      <c r="U58" s="37"/>
      <c r="V58" s="37"/>
      <c r="W58" s="37"/>
      <c r="X58" s="37"/>
      <c r="Y58" s="37"/>
      <c r="Z58" s="37"/>
      <c r="AA58" s="37"/>
      <c r="AB58" s="37"/>
      <c r="AC58" s="37"/>
      <c r="AD58" s="37"/>
      <c r="AE58" s="1992"/>
    </row>
    <row r="59" spans="1:31" s="1817" customFormat="1" ht="22">
      <c r="A59" s="798"/>
      <c r="B59" s="1729" t="s">
        <v>1565</v>
      </c>
      <c r="C59" s="1818"/>
      <c r="D59" s="1818"/>
      <c r="E59" s="1818"/>
      <c r="F59" s="1818"/>
      <c r="G59" s="1818"/>
      <c r="H59" s="1818"/>
      <c r="I59" s="1818"/>
      <c r="J59" s="1818"/>
      <c r="K59" s="1818"/>
      <c r="L59" s="1818"/>
      <c r="M59" s="1818"/>
      <c r="N59" s="1818"/>
      <c r="O59" s="1818"/>
      <c r="P59" s="797"/>
    </row>
    <row r="60" spans="1:31" s="1817" customFormat="1" ht="14">
      <c r="B60" s="1725"/>
      <c r="C60" s="1517"/>
      <c r="D60" s="1517"/>
      <c r="E60" s="1517"/>
      <c r="F60" s="1517"/>
      <c r="G60" s="1517"/>
      <c r="H60" s="1517"/>
      <c r="I60" s="1517"/>
      <c r="J60" s="1517"/>
      <c r="K60" s="1517"/>
      <c r="L60" s="1517"/>
      <c r="M60" s="1517"/>
      <c r="N60" s="1517"/>
      <c r="O60" s="1517"/>
      <c r="P60" s="1726"/>
    </row>
    <row r="61" spans="1:31" s="2040" customFormat="1">
      <c r="B61" s="1725"/>
      <c r="C61" s="1723" t="s">
        <v>1786</v>
      </c>
      <c r="D61" s="592"/>
      <c r="E61" s="1722"/>
      <c r="F61" s="2041"/>
      <c r="G61" s="2221"/>
      <c r="H61" s="2221"/>
      <c r="I61" s="2221"/>
      <c r="J61" s="2221"/>
      <c r="K61" s="1039"/>
      <c r="L61" s="1039"/>
      <c r="M61" s="1039"/>
      <c r="N61" s="1039"/>
      <c r="O61" s="847" t="str">
        <f>Preferences.moneyunits&amp;"/MtCO2e"</f>
        <v>£m/MtCO2e</v>
      </c>
      <c r="P61" s="1726"/>
    </row>
    <row r="62" spans="1:31" s="2040" customFormat="1" ht="4.5" customHeight="1">
      <c r="B62" s="1725"/>
      <c r="C62" s="1722"/>
      <c r="D62" s="592"/>
      <c r="E62" s="1722"/>
      <c r="F62" s="1722"/>
      <c r="G62" s="1722"/>
      <c r="H62" s="1722"/>
      <c r="I62" s="1722"/>
      <c r="J62" s="1722"/>
      <c r="K62" s="1039"/>
      <c r="L62" s="1039"/>
      <c r="M62" s="1039"/>
      <c r="N62" s="1039"/>
      <c r="O62" s="1039"/>
      <c r="P62" s="1726"/>
    </row>
    <row r="63" spans="1:31" s="2040" customFormat="1" ht="14">
      <c r="B63" s="1725"/>
      <c r="C63" s="542"/>
      <c r="D63" s="542"/>
      <c r="E63" s="542"/>
      <c r="F63" s="1870" t="s">
        <v>579</v>
      </c>
      <c r="G63" s="1870" t="s">
        <v>580</v>
      </c>
      <c r="H63" s="1870" t="s">
        <v>605</v>
      </c>
      <c r="I63" s="1870" t="s">
        <v>606</v>
      </c>
      <c r="J63" s="1870" t="s">
        <v>607</v>
      </c>
      <c r="K63" s="1870" t="s">
        <v>608</v>
      </c>
      <c r="L63" s="1870" t="s">
        <v>609</v>
      </c>
      <c r="M63" s="1870" t="s">
        <v>610</v>
      </c>
      <c r="N63" s="1870" t="s">
        <v>611</v>
      </c>
      <c r="O63" s="1870" t="s">
        <v>612</v>
      </c>
      <c r="P63" s="1726"/>
      <c r="Q63" s="2049"/>
    </row>
    <row r="64" spans="1:31" s="2040" customFormat="1">
      <c r="B64" s="1725"/>
      <c r="C64" s="1927" t="s">
        <v>1091</v>
      </c>
      <c r="D64" s="569"/>
      <c r="E64" s="569"/>
      <c r="F64" s="1756">
        <f>F65*$Q$64</f>
        <v>0</v>
      </c>
      <c r="G64" s="1755">
        <f t="shared" ref="G64" si="14">G65*$Q$64</f>
        <v>0</v>
      </c>
      <c r="H64" s="1756">
        <f t="shared" ref="H64:N64" si="15">H65</f>
        <v>0</v>
      </c>
      <c r="I64" s="1756">
        <f t="shared" si="15"/>
        <v>0</v>
      </c>
      <c r="J64" s="1756">
        <f t="shared" si="15"/>
        <v>0</v>
      </c>
      <c r="K64" s="1756">
        <f t="shared" si="15"/>
        <v>0</v>
      </c>
      <c r="L64" s="1756">
        <f t="shared" si="15"/>
        <v>0</v>
      </c>
      <c r="M64" s="1756">
        <f t="shared" si="15"/>
        <v>0</v>
      </c>
      <c r="N64" s="1756">
        <f t="shared" si="15"/>
        <v>0</v>
      </c>
      <c r="O64" s="1756">
        <f>O65</f>
        <v>0</v>
      </c>
      <c r="P64" s="1726"/>
      <c r="Q64" s="743"/>
    </row>
    <row r="65" spans="1:23" s="2040" customFormat="1">
      <c r="B65" s="1725"/>
      <c r="C65" s="1060" t="s">
        <v>1801</v>
      </c>
      <c r="D65" s="1721"/>
      <c r="E65" s="1721"/>
      <c r="F65" s="1708">
        <f t="shared" ref="F65:O65" si="16">S37*MGBP</f>
        <v>0</v>
      </c>
      <c r="G65" s="1754">
        <f t="shared" si="16"/>
        <v>0</v>
      </c>
      <c r="H65" s="1129">
        <f t="shared" si="16"/>
        <v>0</v>
      </c>
      <c r="I65" s="1129">
        <f t="shared" si="16"/>
        <v>0</v>
      </c>
      <c r="J65" s="1129">
        <f t="shared" si="16"/>
        <v>0</v>
      </c>
      <c r="K65" s="1129">
        <f t="shared" si="16"/>
        <v>0</v>
      </c>
      <c r="L65" s="1129">
        <f t="shared" si="16"/>
        <v>0</v>
      </c>
      <c r="M65" s="1129">
        <f t="shared" si="16"/>
        <v>0</v>
      </c>
      <c r="N65" s="1129">
        <f t="shared" si="16"/>
        <v>0</v>
      </c>
      <c r="O65" s="1129">
        <f t="shared" si="16"/>
        <v>0</v>
      </c>
      <c r="P65" s="1726"/>
      <c r="Q65" s="2082"/>
    </row>
    <row r="66" spans="1:23" s="2040" customFormat="1">
      <c r="B66" s="1725"/>
      <c r="C66" s="1928" t="s">
        <v>1092</v>
      </c>
      <c r="D66" s="599"/>
      <c r="E66" s="599"/>
      <c r="F66" s="1130">
        <f>F65*$Q$66</f>
        <v>0</v>
      </c>
      <c r="G66" s="1757">
        <f t="shared" ref="G66" si="17">G65*$Q$66</f>
        <v>0</v>
      </c>
      <c r="H66" s="1130">
        <f t="shared" ref="H66:N66" si="18">H65</f>
        <v>0</v>
      </c>
      <c r="I66" s="1130">
        <f t="shared" si="18"/>
        <v>0</v>
      </c>
      <c r="J66" s="1130">
        <f t="shared" si="18"/>
        <v>0</v>
      </c>
      <c r="K66" s="1130">
        <f t="shared" si="18"/>
        <v>0</v>
      </c>
      <c r="L66" s="1130">
        <f t="shared" si="18"/>
        <v>0</v>
      </c>
      <c r="M66" s="1130">
        <f t="shared" si="18"/>
        <v>0</v>
      </c>
      <c r="N66" s="1130">
        <f t="shared" si="18"/>
        <v>0</v>
      </c>
      <c r="O66" s="1130">
        <f>O65</f>
        <v>0</v>
      </c>
      <c r="P66" s="1726"/>
      <c r="Q66" s="743"/>
    </row>
    <row r="67" spans="1:23" s="2040" customFormat="1">
      <c r="B67" s="1722"/>
      <c r="C67" s="1060"/>
      <c r="D67" s="1721"/>
      <c r="E67" s="1721"/>
      <c r="F67" s="1129"/>
      <c r="G67" s="1129"/>
      <c r="H67" s="1129"/>
      <c r="I67" s="1129"/>
      <c r="J67" s="1129"/>
      <c r="K67" s="1129"/>
      <c r="L67" s="1129"/>
      <c r="M67" s="1129"/>
      <c r="N67" s="1129"/>
      <c r="O67" s="1129"/>
      <c r="P67" s="1722"/>
    </row>
    <row r="68" spans="1:23" s="1817" customFormat="1">
      <c r="B68" s="844"/>
    </row>
    <row r="69" spans="1:23" s="1817" customFormat="1" ht="15">
      <c r="B69" s="1729" t="s">
        <v>645</v>
      </c>
      <c r="C69" s="1730"/>
      <c r="D69" s="1730"/>
      <c r="E69" s="1730"/>
      <c r="F69" s="1730"/>
      <c r="G69" s="1730"/>
      <c r="H69" s="1730"/>
      <c r="I69" s="1730"/>
      <c r="J69" s="1730"/>
      <c r="K69" s="1730"/>
      <c r="L69" s="1730"/>
      <c r="M69" s="1730"/>
      <c r="N69" s="1730"/>
      <c r="O69" s="1730"/>
      <c r="P69" s="1731"/>
    </row>
    <row r="70" spans="1:23" s="1817" customFormat="1">
      <c r="B70" s="1725"/>
      <c r="C70" s="1722"/>
      <c r="D70" s="1722"/>
      <c r="E70" s="1722"/>
      <c r="F70" s="1722"/>
      <c r="G70" s="1722"/>
      <c r="H70" s="1722"/>
      <c r="I70" s="1722"/>
      <c r="J70" s="1722"/>
      <c r="K70" s="1722"/>
      <c r="L70" s="1722"/>
      <c r="M70" s="1722"/>
      <c r="N70" s="1722"/>
      <c r="O70" s="1722"/>
      <c r="P70" s="1726"/>
    </row>
    <row r="71" spans="1:23" s="1817" customFormat="1">
      <c r="B71" s="1129"/>
      <c r="C71" s="1129"/>
      <c r="D71" s="1129"/>
      <c r="E71" s="1129"/>
      <c r="F71" s="1708"/>
      <c r="G71" s="1129"/>
      <c r="H71" s="1129"/>
      <c r="I71" s="1708"/>
      <c r="J71" s="1129"/>
      <c r="K71" s="1129"/>
      <c r="L71" s="1129"/>
      <c r="M71" s="1129"/>
      <c r="N71" s="1129"/>
      <c r="O71" s="1129"/>
      <c r="P71" s="1726"/>
    </row>
    <row r="72" spans="1:23">
      <c r="A72" s="1817"/>
      <c r="B72" s="793"/>
      <c r="C72" s="794"/>
      <c r="D72" s="794"/>
      <c r="E72" s="794"/>
      <c r="F72" s="794"/>
      <c r="G72" s="794"/>
      <c r="H72" s="794"/>
      <c r="I72" s="794"/>
      <c r="J72" s="794"/>
      <c r="K72" s="794"/>
      <c r="L72" s="794"/>
      <c r="M72" s="794"/>
      <c r="N72" s="794"/>
      <c r="O72" s="794"/>
      <c r="P72" s="795"/>
      <c r="Q72" s="1817"/>
      <c r="T72" s="525"/>
      <c r="U72" s="525"/>
      <c r="V72" s="525"/>
      <c r="W72" s="525"/>
    </row>
    <row r="73" spans="1:23">
      <c r="V73" s="525"/>
    </row>
    <row r="74" spans="1:23" ht="17" collapsed="1">
      <c r="A74" s="543"/>
      <c r="B74" s="561" t="s">
        <v>614</v>
      </c>
    </row>
    <row r="75" spans="1:23" s="20" customFormat="1">
      <c r="B75" s="526">
        <v>1</v>
      </c>
      <c r="C75" s="117" t="s">
        <v>690</v>
      </c>
    </row>
    <row r="76" spans="1:23">
      <c r="B76" s="526">
        <v>2</v>
      </c>
      <c r="C76" s="117" t="s">
        <v>857</v>
      </c>
    </row>
    <row r="77" spans="1:23">
      <c r="B77" s="526"/>
    </row>
    <row r="78" spans="1:23" ht="14">
      <c r="F78" s="586">
        <v>2007</v>
      </c>
      <c r="G78" s="586">
        <v>2010</v>
      </c>
      <c r="H78" s="586">
        <v>2015</v>
      </c>
      <c r="I78" s="586">
        <v>2020</v>
      </c>
      <c r="J78" s="586">
        <v>2025</v>
      </c>
      <c r="K78" s="586">
        <v>2030</v>
      </c>
      <c r="L78" s="586">
        <v>2035</v>
      </c>
      <c r="M78" s="586">
        <v>2040</v>
      </c>
      <c r="N78" s="586">
        <v>2045</v>
      </c>
      <c r="O78" s="586">
        <v>2050</v>
      </c>
    </row>
    <row r="79" spans="1:23" ht="14">
      <c r="B79" s="526" t="s">
        <v>935</v>
      </c>
      <c r="F79" s="586"/>
      <c r="G79" s="586"/>
      <c r="H79" s="586"/>
      <c r="I79" s="586"/>
      <c r="J79" s="586"/>
      <c r="K79" s="586"/>
      <c r="L79" s="586"/>
      <c r="M79" s="586"/>
      <c r="N79" s="586"/>
      <c r="O79" s="586"/>
    </row>
    <row r="80" spans="1:23" s="526" customFormat="1" ht="14">
      <c r="B80" s="559" t="s">
        <v>661</v>
      </c>
      <c r="C80" s="526" t="s">
        <v>683</v>
      </c>
      <c r="E80" s="526" t="str">
        <f>Preferences.EnergyUnits</f>
        <v>TWh</v>
      </c>
      <c r="F80" s="623">
        <f>F20</f>
        <v>152.80000000000001</v>
      </c>
      <c r="G80" s="623">
        <f t="shared" ref="G80:O80" si="19">G20</f>
        <v>125.0236041697801</v>
      </c>
      <c r="H80" s="623">
        <f t="shared" si="19"/>
        <v>141.92775040162394</v>
      </c>
      <c r="I80" s="623">
        <f t="shared" si="19"/>
        <v>160.72464692710642</v>
      </c>
      <c r="J80" s="623">
        <f t="shared" si="19"/>
        <v>170.57979517581271</v>
      </c>
      <c r="K80" s="623">
        <f t="shared" si="19"/>
        <v>178.72784123896676</v>
      </c>
      <c r="L80" s="623">
        <f t="shared" si="19"/>
        <v>190.58889075870331</v>
      </c>
      <c r="M80" s="623">
        <f t="shared" si="19"/>
        <v>194.9306323392334</v>
      </c>
      <c r="N80" s="623">
        <f t="shared" si="19"/>
        <v>196.41875584232909</v>
      </c>
      <c r="O80" s="623">
        <f t="shared" si="19"/>
        <v>188.58168305622323</v>
      </c>
    </row>
    <row r="81" spans="1:17" s="526" customFormat="1" ht="14">
      <c r="F81" s="622"/>
      <c r="G81" s="622"/>
      <c r="H81" s="622"/>
      <c r="I81" s="622"/>
      <c r="J81" s="622"/>
      <c r="K81" s="622"/>
      <c r="L81" s="622"/>
      <c r="M81" s="622"/>
      <c r="N81" s="622"/>
      <c r="O81" s="622"/>
    </row>
    <row r="82" spans="1:17" s="526" customFormat="1">
      <c r="B82" s="526" t="s">
        <v>936</v>
      </c>
      <c r="C82" s="117"/>
      <c r="D82" s="528"/>
      <c r="E82" s="528"/>
      <c r="F82" s="550"/>
      <c r="G82" s="550"/>
      <c r="H82" s="550"/>
      <c r="I82" s="550"/>
      <c r="J82" s="550"/>
      <c r="K82" s="550"/>
      <c r="L82" s="550"/>
      <c r="M82" s="550"/>
      <c r="N82" s="550"/>
      <c r="O82" s="550"/>
    </row>
    <row r="83" spans="1:17" s="526" customFormat="1" ht="17">
      <c r="C83" s="117" t="s">
        <v>769</v>
      </c>
      <c r="D83" s="528"/>
      <c r="E83" s="528" t="s">
        <v>788</v>
      </c>
      <c r="F83" s="563">
        <f>F$80*INDEX(EF[CO2], MATCH("V.04", EF[Vector], 0))</f>
        <v>38.200000000000003</v>
      </c>
      <c r="G83" s="563">
        <f>G$80*INDEX(EF[CO2], MATCH("V.04", EF[Vector], 0))</f>
        <v>31.255901042445025</v>
      </c>
      <c r="H83" s="563">
        <f>H$80*INDEX(EF[CO2], MATCH("V.04", EF[Vector], 0))</f>
        <v>35.481937600405985</v>
      </c>
      <c r="I83" s="563">
        <f>I$80*INDEX(EF[CO2], MATCH("V.04", EF[Vector], 0))</f>
        <v>40.181161731776605</v>
      </c>
      <c r="J83" s="563">
        <f>J$80*INDEX(EF[CO2], MATCH("V.04", EF[Vector], 0))</f>
        <v>42.644948793953176</v>
      </c>
      <c r="K83" s="563">
        <f>K$80*INDEX(EF[CO2], MATCH("V.04", EF[Vector], 0))</f>
        <v>44.68196030974169</v>
      </c>
      <c r="L83" s="563">
        <f>L$80*INDEX(EF[CO2], MATCH("V.04", EF[Vector], 0))</f>
        <v>47.647222689675829</v>
      </c>
      <c r="M83" s="563">
        <f>M$80*INDEX(EF[CO2], MATCH("V.04", EF[Vector], 0))</f>
        <v>48.732658084808349</v>
      </c>
      <c r="N83" s="563">
        <f>N$80*INDEX(EF[CO2], MATCH("V.04", EF[Vector], 0))</f>
        <v>49.104688960582273</v>
      </c>
      <c r="O83" s="563">
        <f>O$80*INDEX(EF[CO2], MATCH("V.04", EF[Vector], 0))</f>
        <v>47.145420764055807</v>
      </c>
    </row>
    <row r="84" spans="1:17" s="526" customFormat="1" ht="17">
      <c r="C84" s="117" t="s">
        <v>770</v>
      </c>
      <c r="D84" s="528"/>
      <c r="E84" s="528" t="s">
        <v>788</v>
      </c>
      <c r="F84" s="563">
        <f>F$80*INDEX(EF[CH4], MATCH("V.04", EF[Vector], 0))</f>
        <v>4.7558849195905424E-2</v>
      </c>
      <c r="G84" s="563">
        <f>G$80*INDEX(EF[CH4], MATCH("V.04", EF[Vector], 0))</f>
        <v>3.8913473407324241E-2</v>
      </c>
      <c r="H84" s="563">
        <f>H$80*INDEX(EF[CH4], MATCH("V.04", EF[Vector], 0))</f>
        <v>4.4174872238644886E-2</v>
      </c>
      <c r="I84" s="563">
        <f>I$80*INDEX(EF[CH4], MATCH("V.04", EF[Vector], 0))</f>
        <v>5.0025387730833759E-2</v>
      </c>
      <c r="J84" s="563">
        <f>J$80*INDEX(EF[CH4], MATCH("V.04", EF[Vector], 0))</f>
        <v>5.3092792896825336E-2</v>
      </c>
      <c r="K84" s="563">
        <f>K$80*INDEX(EF[CH4], MATCH("V.04", EF[Vector], 0))</f>
        <v>5.5628864192367448E-2</v>
      </c>
      <c r="L84" s="563">
        <f>L$80*INDEX(EF[CH4], MATCH("V.04", EF[Vector], 0))</f>
        <v>5.9320604149267431E-2</v>
      </c>
      <c r="M84" s="563">
        <f>M$80*INDEX(EF[CH4], MATCH("V.04", EF[Vector], 0))</f>
        <v>6.0671966931178573E-2</v>
      </c>
      <c r="N84" s="563">
        <f>N$80*INDEX(EF[CH4], MATCH("V.04", EF[Vector], 0))</f>
        <v>6.1135143902831784E-2</v>
      </c>
      <c r="O84" s="563">
        <f>O$80*INDEX(EF[CH4], MATCH("V.04", EF[Vector], 0))</f>
        <v>5.8695862732859642E-2</v>
      </c>
    </row>
    <row r="85" spans="1:17" s="526" customFormat="1" ht="17">
      <c r="C85" s="117" t="s">
        <v>771</v>
      </c>
      <c r="D85" s="528"/>
      <c r="E85" s="528" t="s">
        <v>788</v>
      </c>
      <c r="F85" s="563">
        <f>F$80*INDEX(EF[N2O], MATCH("V.04", EF[Vector], 0))</f>
        <v>0.68729627526214465</v>
      </c>
      <c r="G85" s="563">
        <f>G$80*INDEX(EF[N2O], MATCH("V.04", EF[Vector], 0))</f>
        <v>0.56235770592760859</v>
      </c>
      <c r="H85" s="563">
        <f>H$80*INDEX(EF[N2O], MATCH("V.04", EF[Vector], 0))</f>
        <v>0.63839276313724791</v>
      </c>
      <c r="I85" s="563">
        <f>I$80*INDEX(EF[N2O], MATCH("V.04", EF[Vector], 0))</f>
        <v>0.72294143439675085</v>
      </c>
      <c r="J85" s="563">
        <f>J$80*INDEX(EF[N2O], MATCH("V.04", EF[Vector], 0))</f>
        <v>0.76727001216829593</v>
      </c>
      <c r="K85" s="563">
        <f>K$80*INDEX(EF[N2O], MATCH("V.04", EF[Vector], 0))</f>
        <v>0.80392002335854562</v>
      </c>
      <c r="L85" s="563">
        <f>L$80*INDEX(EF[N2O], MATCH("V.04", EF[Vector], 0))</f>
        <v>0.85727116966492511</v>
      </c>
      <c r="M85" s="563">
        <f>M$80*INDEX(EF[N2O], MATCH("V.04", EF[Vector], 0))</f>
        <v>0.87680037657885901</v>
      </c>
      <c r="N85" s="563">
        <f>N$80*INDEX(EF[N2O], MATCH("V.04", EF[Vector], 0))</f>
        <v>0.88349397435901433</v>
      </c>
      <c r="O85" s="563">
        <f>O$80*INDEX(EF[N2O], MATCH("V.04", EF[Vector], 0))</f>
        <v>0.84824272478539597</v>
      </c>
    </row>
    <row r="86" spans="1:17" ht="14">
      <c r="A86" s="1753"/>
      <c r="B86" s="1753"/>
      <c r="C86" s="1753"/>
      <c r="D86" s="1753"/>
      <c r="E86" s="1732"/>
      <c r="F86" s="609"/>
      <c r="G86" s="609"/>
      <c r="H86" s="609"/>
      <c r="I86" s="609"/>
      <c r="J86" s="609"/>
      <c r="K86" s="609"/>
      <c r="L86" s="609"/>
      <c r="M86" s="609"/>
      <c r="N86" s="609"/>
      <c r="O86" s="609"/>
      <c r="P86" s="1753"/>
      <c r="Q86" s="1753"/>
    </row>
    <row r="87" spans="1:17" s="2040" customFormat="1" ht="14">
      <c r="B87" s="860">
        <v>3</v>
      </c>
      <c r="C87" s="1733" t="s">
        <v>1790</v>
      </c>
      <c r="E87" s="528"/>
      <c r="F87" s="586">
        <v>2007</v>
      </c>
      <c r="G87" s="586">
        <v>2010</v>
      </c>
      <c r="H87" s="586">
        <v>2015</v>
      </c>
      <c r="I87" s="586">
        <v>2020</v>
      </c>
      <c r="J87" s="586">
        <v>2025</v>
      </c>
      <c r="K87" s="586">
        <v>2030</v>
      </c>
      <c r="L87" s="586">
        <v>2035</v>
      </c>
      <c r="M87" s="586">
        <v>2040</v>
      </c>
      <c r="N87" s="586">
        <v>2045</v>
      </c>
      <c r="O87" s="586">
        <v>2050</v>
      </c>
    </row>
    <row r="88" spans="1:17" s="2081" customFormat="1">
      <c r="B88" s="860"/>
      <c r="C88" s="2081" t="s">
        <v>1834</v>
      </c>
      <c r="E88" s="528"/>
      <c r="F88" s="563">
        <f>F16</f>
        <v>152.80000000000001</v>
      </c>
      <c r="G88" s="563">
        <f t="shared" ref="G88:O88" si="20">G16</f>
        <v>125.0236041697801</v>
      </c>
      <c r="H88" s="563">
        <f t="shared" si="20"/>
        <v>141.92775040162394</v>
      </c>
      <c r="I88" s="563">
        <f t="shared" si="20"/>
        <v>160.72464692710642</v>
      </c>
      <c r="J88" s="563">
        <f t="shared" si="20"/>
        <v>170.57979517581271</v>
      </c>
      <c r="K88" s="563">
        <f t="shared" si="20"/>
        <v>178.72784123896676</v>
      </c>
      <c r="L88" s="563">
        <f t="shared" si="20"/>
        <v>190.58889075870331</v>
      </c>
      <c r="M88" s="563">
        <f t="shared" si="20"/>
        <v>194.9306323392334</v>
      </c>
      <c r="N88" s="563">
        <f t="shared" si="20"/>
        <v>196.41875584232909</v>
      </c>
      <c r="O88" s="563">
        <f t="shared" si="20"/>
        <v>188.58168305622323</v>
      </c>
    </row>
    <row r="89" spans="1:17" s="2081" customFormat="1">
      <c r="B89" s="860"/>
      <c r="C89" s="2081" t="s">
        <v>1835</v>
      </c>
      <c r="E89" s="528"/>
      <c r="F89" s="563">
        <f>F88-F80</f>
        <v>0</v>
      </c>
      <c r="G89" s="563">
        <f t="shared" ref="G89:O89" si="21">G88-G80</f>
        <v>0</v>
      </c>
      <c r="H89" s="563">
        <f t="shared" si="21"/>
        <v>0</v>
      </c>
      <c r="I89" s="563">
        <f t="shared" si="21"/>
        <v>0</v>
      </c>
      <c r="J89" s="563">
        <f t="shared" si="21"/>
        <v>0</v>
      </c>
      <c r="K89" s="563">
        <f t="shared" si="21"/>
        <v>0</v>
      </c>
      <c r="L89" s="563">
        <f t="shared" si="21"/>
        <v>0</v>
      </c>
      <c r="M89" s="563">
        <f t="shared" si="21"/>
        <v>0</v>
      </c>
      <c r="N89" s="563">
        <f t="shared" si="21"/>
        <v>0</v>
      </c>
      <c r="O89" s="563">
        <f t="shared" si="21"/>
        <v>0</v>
      </c>
    </row>
    <row r="90" spans="1:17" s="2081" customFormat="1">
      <c r="B90" s="860"/>
      <c r="C90" s="2081" t="s">
        <v>1836</v>
      </c>
      <c r="E90" s="528"/>
      <c r="F90" s="563" t="e">
        <f>F89*#REF!</f>
        <v>#REF!</v>
      </c>
      <c r="G90" s="563" t="e">
        <f>G89*#REF!</f>
        <v>#REF!</v>
      </c>
      <c r="H90" s="563" t="e">
        <f>H89*#REF!</f>
        <v>#REF!</v>
      </c>
      <c r="I90" s="563" t="e">
        <f>I89*#REF!</f>
        <v>#REF!</v>
      </c>
      <c r="J90" s="563" t="e">
        <f>J89*#REF!</f>
        <v>#REF!</v>
      </c>
      <c r="K90" s="563" t="e">
        <f>K89*#REF!</f>
        <v>#REF!</v>
      </c>
      <c r="L90" s="563" t="e">
        <f>L89*#REF!</f>
        <v>#REF!</v>
      </c>
      <c r="M90" s="563" t="e">
        <f>M89*#REF!</f>
        <v>#REF!</v>
      </c>
      <c r="N90" s="563" t="e">
        <f>N89*#REF!</f>
        <v>#REF!</v>
      </c>
      <c r="O90" s="563" t="e">
        <f>O89*#REF!</f>
        <v>#REF!</v>
      </c>
    </row>
    <row r="91" spans="1:17" s="2081" customFormat="1">
      <c r="B91" s="860"/>
      <c r="C91" s="1733"/>
      <c r="E91" s="528"/>
      <c r="F91" s="563"/>
      <c r="G91" s="563"/>
      <c r="H91" s="563"/>
      <c r="I91" s="563"/>
      <c r="J91" s="563"/>
      <c r="K91" s="563"/>
      <c r="L91" s="563"/>
      <c r="M91" s="563"/>
      <c r="N91" s="563"/>
      <c r="O91" s="563"/>
    </row>
    <row r="92" spans="1:17" s="2040" customFormat="1" ht="17">
      <c r="C92" s="2040" t="s">
        <v>1791</v>
      </c>
      <c r="E92" s="528" t="s">
        <v>1829</v>
      </c>
      <c r="F92" s="563">
        <f>F$16*INDEX(EF[CO2], MATCH("V.04", EF[Vector], 0))</f>
        <v>38.200000000000003</v>
      </c>
      <c r="G92" s="563">
        <f>G$16*INDEX(EF[CO2], MATCH("V.04", EF[Vector], 0))</f>
        <v>31.255901042445025</v>
      </c>
      <c r="H92" s="563">
        <f>H$16*INDEX(EF[CO2], MATCH("V.04", EF[Vector], 0))</f>
        <v>35.481937600405985</v>
      </c>
      <c r="I92" s="563">
        <f>I$16*INDEX(EF[CO2], MATCH("V.04", EF[Vector], 0))</f>
        <v>40.181161731776605</v>
      </c>
      <c r="J92" s="563">
        <f>J$16*INDEX(EF[CO2], MATCH("V.04", EF[Vector], 0))</f>
        <v>42.644948793953176</v>
      </c>
      <c r="K92" s="563">
        <f>K$16*INDEX(EF[CO2], MATCH("V.04", EF[Vector], 0))</f>
        <v>44.68196030974169</v>
      </c>
      <c r="L92" s="563">
        <f>L$16*INDEX(EF[CO2], MATCH("V.04", EF[Vector], 0))</f>
        <v>47.647222689675829</v>
      </c>
      <c r="M92" s="563">
        <f>M$16*INDEX(EF[CO2], MATCH("V.04", EF[Vector], 0))</f>
        <v>48.732658084808349</v>
      </c>
      <c r="N92" s="563">
        <f>N$16*INDEX(EF[CO2], MATCH("V.04", EF[Vector], 0))</f>
        <v>49.104688960582273</v>
      </c>
      <c r="O92" s="563">
        <f>O$16*INDEX(EF[CO2], MATCH("V.04", EF[Vector], 0))</f>
        <v>47.145420764055807</v>
      </c>
    </row>
    <row r="93" spans="1:17" s="2040" customFormat="1" ht="17">
      <c r="C93" s="2040" t="s">
        <v>1783</v>
      </c>
      <c r="E93" s="528" t="s">
        <v>1829</v>
      </c>
      <c r="F93" s="563">
        <f t="shared" ref="F93:O93" si="22">F92-F83</f>
        <v>0</v>
      </c>
      <c r="G93" s="563">
        <f t="shared" si="22"/>
        <v>0</v>
      </c>
      <c r="H93" s="563">
        <f t="shared" si="22"/>
        <v>0</v>
      </c>
      <c r="I93" s="563">
        <f t="shared" si="22"/>
        <v>0</v>
      </c>
      <c r="J93" s="563">
        <f t="shared" si="22"/>
        <v>0</v>
      </c>
      <c r="K93" s="563">
        <f t="shared" si="22"/>
        <v>0</v>
      </c>
      <c r="L93" s="563">
        <f t="shared" si="22"/>
        <v>0</v>
      </c>
      <c r="M93" s="563">
        <f t="shared" si="22"/>
        <v>0</v>
      </c>
      <c r="N93" s="563">
        <f t="shared" si="22"/>
        <v>0</v>
      </c>
      <c r="O93" s="563">
        <f t="shared" si="22"/>
        <v>0</v>
      </c>
    </row>
    <row r="94" spans="1:17" s="2040" customFormat="1">
      <c r="E94" s="528"/>
      <c r="F94" s="563"/>
      <c r="G94" s="563"/>
      <c r="H94" s="563"/>
      <c r="I94" s="563"/>
      <c r="J94" s="563"/>
      <c r="K94" s="563"/>
      <c r="L94" s="563"/>
      <c r="M94" s="563"/>
      <c r="N94" s="563"/>
      <c r="O94" s="563"/>
    </row>
    <row r="95" spans="1:17" s="2040" customFormat="1">
      <c r="C95" s="2081" t="s">
        <v>1837</v>
      </c>
      <c r="E95" s="528"/>
      <c r="F95" s="563"/>
      <c r="G95" s="563"/>
      <c r="H95" s="563"/>
      <c r="I95" s="563"/>
      <c r="J95" s="563"/>
      <c r="K95" s="563"/>
      <c r="L95" s="563"/>
      <c r="M95" s="563"/>
      <c r="N95" s="563"/>
      <c r="O95" s="563"/>
    </row>
    <row r="96" spans="1:17" s="2040" customFormat="1">
      <c r="C96" s="2040" t="s">
        <v>1536</v>
      </c>
      <c r="E96" s="528" t="str">
        <f>Preferences.moneyunits</f>
        <v>£m</v>
      </c>
      <c r="F96" s="563" t="e">
        <f>(F$93*F64)+F90</f>
        <v>#REF!</v>
      </c>
      <c r="G96" s="563" t="e">
        <f t="shared" ref="G96:O96" si="23">(G$93*G64)+G90</f>
        <v>#REF!</v>
      </c>
      <c r="H96" s="563" t="e">
        <f t="shared" si="23"/>
        <v>#REF!</v>
      </c>
      <c r="I96" s="563" t="e">
        <f t="shared" si="23"/>
        <v>#REF!</v>
      </c>
      <c r="J96" s="563" t="e">
        <f t="shared" si="23"/>
        <v>#REF!</v>
      </c>
      <c r="K96" s="563" t="e">
        <f t="shared" si="23"/>
        <v>#REF!</v>
      </c>
      <c r="L96" s="563" t="e">
        <f t="shared" si="23"/>
        <v>#REF!</v>
      </c>
      <c r="M96" s="563" t="e">
        <f t="shared" si="23"/>
        <v>#REF!</v>
      </c>
      <c r="N96" s="563" t="e">
        <f t="shared" si="23"/>
        <v>#REF!</v>
      </c>
      <c r="O96" s="563" t="e">
        <f t="shared" si="23"/>
        <v>#REF!</v>
      </c>
    </row>
    <row r="97" spans="1:23" s="2040" customFormat="1">
      <c r="C97" s="2040" t="s">
        <v>1800</v>
      </c>
      <c r="E97" s="528" t="str">
        <f>Preferences.moneyunits</f>
        <v>£m</v>
      </c>
      <c r="F97" s="563" t="e">
        <f>(F$93*F65)+F90</f>
        <v>#REF!</v>
      </c>
      <c r="G97" s="563" t="e">
        <f t="shared" ref="G97:N97" si="24">(G$93*G65)+G90</f>
        <v>#REF!</v>
      </c>
      <c r="H97" s="563" t="e">
        <f t="shared" si="24"/>
        <v>#REF!</v>
      </c>
      <c r="I97" s="563" t="e">
        <f t="shared" si="24"/>
        <v>#REF!</v>
      </c>
      <c r="J97" s="563" t="e">
        <f t="shared" si="24"/>
        <v>#REF!</v>
      </c>
      <c r="K97" s="563" t="e">
        <f t="shared" si="24"/>
        <v>#REF!</v>
      </c>
      <c r="L97" s="563" t="e">
        <f t="shared" si="24"/>
        <v>#REF!</v>
      </c>
      <c r="M97" s="563" t="e">
        <f t="shared" si="24"/>
        <v>#REF!</v>
      </c>
      <c r="N97" s="563" t="e">
        <f t="shared" si="24"/>
        <v>#REF!</v>
      </c>
      <c r="O97" s="563" t="e">
        <f>(O$93*O65)+O90</f>
        <v>#REF!</v>
      </c>
      <c r="P97" s="563"/>
    </row>
    <row r="98" spans="1:23" s="2040" customFormat="1">
      <c r="C98" s="2040" t="s">
        <v>1543</v>
      </c>
      <c r="E98" s="528" t="str">
        <f>Preferences.moneyunits</f>
        <v>£m</v>
      </c>
      <c r="F98" s="563" t="e">
        <f>(F$93*F66)+F90</f>
        <v>#REF!</v>
      </c>
      <c r="G98" s="563" t="e">
        <f t="shared" ref="G98:O98" si="25">(G$93*G66)+G90</f>
        <v>#REF!</v>
      </c>
      <c r="H98" s="563" t="e">
        <f t="shared" si="25"/>
        <v>#REF!</v>
      </c>
      <c r="I98" s="563" t="e">
        <f t="shared" si="25"/>
        <v>#REF!</v>
      </c>
      <c r="J98" s="563" t="e">
        <f t="shared" si="25"/>
        <v>#REF!</v>
      </c>
      <c r="K98" s="563" t="e">
        <f t="shared" si="25"/>
        <v>#REF!</v>
      </c>
      <c r="L98" s="563" t="e">
        <f t="shared" si="25"/>
        <v>#REF!</v>
      </c>
      <c r="M98" s="563" t="e">
        <f t="shared" si="25"/>
        <v>#REF!</v>
      </c>
      <c r="N98" s="563" t="e">
        <f t="shared" si="25"/>
        <v>#REF!</v>
      </c>
      <c r="O98" s="563" t="e">
        <f t="shared" si="25"/>
        <v>#REF!</v>
      </c>
    </row>
    <row r="99" spans="1:23" s="1768" customFormat="1" ht="14">
      <c r="E99" s="1732"/>
      <c r="F99" s="609"/>
      <c r="G99" s="609"/>
      <c r="H99" s="609"/>
      <c r="I99" s="609"/>
      <c r="J99" s="609"/>
      <c r="K99" s="609"/>
      <c r="L99" s="609"/>
      <c r="M99" s="609"/>
      <c r="N99" s="609"/>
      <c r="O99" s="609"/>
      <c r="U99" s="23"/>
      <c r="V99" s="23"/>
      <c r="W99" s="23"/>
    </row>
    <row r="100" spans="1:23" ht="22" collapsed="1">
      <c r="A100" s="799"/>
      <c r="B100" s="843" t="s">
        <v>575</v>
      </c>
      <c r="C100" s="810"/>
      <c r="D100" s="810"/>
      <c r="E100" s="810"/>
      <c r="F100" s="810"/>
      <c r="G100" s="810"/>
      <c r="H100" s="810"/>
      <c r="I100" s="810"/>
      <c r="J100" s="810"/>
      <c r="K100" s="810"/>
      <c r="L100" s="810"/>
      <c r="M100" s="810"/>
      <c r="N100" s="810"/>
      <c r="O100" s="810"/>
      <c r="P100" s="811"/>
      <c r="U100" s="23"/>
      <c r="V100" s="23"/>
      <c r="W100" s="23"/>
    </row>
    <row r="101" spans="1:23">
      <c r="B101" s="800"/>
      <c r="C101" s="802"/>
      <c r="D101" s="802"/>
      <c r="E101" s="802"/>
      <c r="F101" s="802"/>
      <c r="G101" s="802"/>
      <c r="H101" s="802"/>
      <c r="I101" s="802"/>
      <c r="J101" s="802"/>
      <c r="K101" s="802"/>
      <c r="L101" s="802"/>
      <c r="M101" s="802"/>
      <c r="N101" s="802"/>
      <c r="O101" s="802"/>
      <c r="P101" s="804"/>
      <c r="U101" s="23"/>
      <c r="V101" s="23"/>
      <c r="W101" s="23"/>
    </row>
    <row r="102" spans="1:23">
      <c r="B102" s="800"/>
      <c r="C102" s="812" t="s">
        <v>613</v>
      </c>
      <c r="D102" s="802"/>
      <c r="E102" s="803"/>
      <c r="F102" s="802"/>
      <c r="G102" s="803"/>
      <c r="H102" s="802"/>
      <c r="I102" s="802"/>
      <c r="J102" s="802"/>
      <c r="K102" s="802"/>
      <c r="L102" s="802"/>
      <c r="M102" s="802"/>
      <c r="N102" s="802"/>
      <c r="O102" s="803" t="str">
        <f>Preferences.EnergyUnits</f>
        <v>TWh</v>
      </c>
      <c r="P102" s="804"/>
      <c r="U102" s="23"/>
      <c r="V102" s="23"/>
      <c r="W102" s="23"/>
    </row>
    <row r="103" spans="1:23" ht="6" customHeight="1">
      <c r="B103" s="800"/>
      <c r="C103" s="802"/>
      <c r="D103" s="802"/>
      <c r="E103" s="802"/>
      <c r="F103" s="802"/>
      <c r="G103" s="802"/>
      <c r="H103" s="802"/>
      <c r="I103" s="802"/>
      <c r="J103" s="802"/>
      <c r="K103" s="802"/>
      <c r="L103" s="802"/>
      <c r="M103" s="802"/>
      <c r="N103" s="802"/>
      <c r="O103" s="802"/>
      <c r="P103" s="804"/>
      <c r="U103" s="23"/>
      <c r="V103" s="23"/>
      <c r="W103" s="23"/>
    </row>
    <row r="104" spans="1:23" ht="15">
      <c r="A104" s="3"/>
      <c r="B104" s="805"/>
      <c r="C104" s="813" t="s">
        <v>72</v>
      </c>
      <c r="D104" s="813" t="s">
        <v>399</v>
      </c>
      <c r="E104" s="813" t="s">
        <v>422</v>
      </c>
      <c r="F104" s="813" t="s">
        <v>579</v>
      </c>
      <c r="G104" s="813" t="s">
        <v>580</v>
      </c>
      <c r="H104" s="814" t="s">
        <v>605</v>
      </c>
      <c r="I104" s="814" t="s">
        <v>606</v>
      </c>
      <c r="J104" s="814" t="s">
        <v>607</v>
      </c>
      <c r="K104" s="814" t="s">
        <v>608</v>
      </c>
      <c r="L104" s="814" t="s">
        <v>609</v>
      </c>
      <c r="M104" s="814" t="s">
        <v>610</v>
      </c>
      <c r="N104" s="814" t="s">
        <v>611</v>
      </c>
      <c r="O104" s="814" t="s">
        <v>612</v>
      </c>
      <c r="P104" s="804"/>
    </row>
    <row r="105" spans="1:23" ht="15">
      <c r="A105" s="3"/>
      <c r="B105" s="805"/>
      <c r="C105" s="541" t="s">
        <v>721</v>
      </c>
      <c r="D105" s="541" t="str">
        <f>INDEX(Vectors[Description], MATCH(XII.c.Outputs[Vector], Vectors[Code], 0))</f>
        <v>International aviation</v>
      </c>
      <c r="E105" s="541"/>
      <c r="F105" s="629">
        <f>F$80</f>
        <v>152.80000000000001</v>
      </c>
      <c r="G105" s="629">
        <f t="shared" ref="G105:O105" si="26">G$80</f>
        <v>125.0236041697801</v>
      </c>
      <c r="H105" s="629">
        <f t="shared" si="26"/>
        <v>141.92775040162394</v>
      </c>
      <c r="I105" s="629">
        <f t="shared" si="26"/>
        <v>160.72464692710642</v>
      </c>
      <c r="J105" s="629">
        <f t="shared" si="26"/>
        <v>170.57979517581271</v>
      </c>
      <c r="K105" s="629">
        <f t="shared" si="26"/>
        <v>178.72784123896676</v>
      </c>
      <c r="L105" s="629">
        <f t="shared" si="26"/>
        <v>190.58889075870331</v>
      </c>
      <c r="M105" s="629">
        <f t="shared" si="26"/>
        <v>194.9306323392334</v>
      </c>
      <c r="N105" s="629">
        <f t="shared" si="26"/>
        <v>196.41875584232909</v>
      </c>
      <c r="O105" s="629">
        <f t="shared" si="26"/>
        <v>188.58168305622323</v>
      </c>
      <c r="P105" s="804"/>
    </row>
    <row r="106" spans="1:23" ht="15">
      <c r="A106" s="3"/>
      <c r="B106" s="805"/>
      <c r="C106" s="541" t="s">
        <v>44</v>
      </c>
      <c r="D106" s="541" t="str">
        <f>INDEX(Vectors[Description], MATCH(XII.c.Outputs[Vector], Vectors[Code], 0))</f>
        <v>Liquid hydrocarbons</v>
      </c>
      <c r="E106" s="541"/>
      <c r="F106" s="629">
        <f>-F$80</f>
        <v>-152.80000000000001</v>
      </c>
      <c r="G106" s="629">
        <f t="shared" ref="G106:O106" si="27">-G$80</f>
        <v>-125.0236041697801</v>
      </c>
      <c r="H106" s="629">
        <f t="shared" si="27"/>
        <v>-141.92775040162394</v>
      </c>
      <c r="I106" s="629">
        <f t="shared" si="27"/>
        <v>-160.72464692710642</v>
      </c>
      <c r="J106" s="629">
        <f t="shared" si="27"/>
        <v>-170.57979517581271</v>
      </c>
      <c r="K106" s="629">
        <f t="shared" si="27"/>
        <v>-178.72784123896676</v>
      </c>
      <c r="L106" s="629">
        <f t="shared" si="27"/>
        <v>-190.58889075870331</v>
      </c>
      <c r="M106" s="629">
        <f t="shared" si="27"/>
        <v>-194.9306323392334</v>
      </c>
      <c r="N106" s="629">
        <f t="shared" si="27"/>
        <v>-196.41875584232909</v>
      </c>
      <c r="O106" s="629">
        <f t="shared" si="27"/>
        <v>-188.58168305622323</v>
      </c>
      <c r="P106" s="804"/>
    </row>
    <row r="107" spans="1:23" ht="15">
      <c r="A107" s="3"/>
      <c r="B107" s="805"/>
      <c r="C107" s="541" t="s">
        <v>132</v>
      </c>
      <c r="D107" s="541"/>
      <c r="E107" s="541"/>
      <c r="F107" s="629">
        <f>SUBTOTAL(109,XII.c.Outputs[2007])</f>
        <v>0</v>
      </c>
      <c r="G107" s="629">
        <f>SUBTOTAL(109,XII.c.Outputs[2010])</f>
        <v>0</v>
      </c>
      <c r="H107" s="629">
        <f>SUBTOTAL(109,XII.c.Outputs[2015])</f>
        <v>0</v>
      </c>
      <c r="I107" s="629">
        <f>SUBTOTAL(109,XII.c.Outputs[2020])</f>
        <v>0</v>
      </c>
      <c r="J107" s="629">
        <f>SUBTOTAL(109,XII.c.Outputs[2025])</f>
        <v>0</v>
      </c>
      <c r="K107" s="629">
        <f>SUBTOTAL(109,XII.c.Outputs[2030])</f>
        <v>0</v>
      </c>
      <c r="L107" s="629">
        <f>SUBTOTAL(109,XII.c.Outputs[2035])</f>
        <v>0</v>
      </c>
      <c r="M107" s="629">
        <f>SUBTOTAL(109,XII.c.Outputs[2040])</f>
        <v>0</v>
      </c>
      <c r="N107" s="629">
        <f>SUBTOTAL(109,XII.c.Outputs[2045])</f>
        <v>0</v>
      </c>
      <c r="O107" s="629">
        <f>SUBTOTAL(109,XII.c.Outputs[2050])</f>
        <v>0</v>
      </c>
      <c r="P107" s="804"/>
    </row>
    <row r="108" spans="1:23" ht="15">
      <c r="A108" s="3"/>
      <c r="B108" s="806"/>
      <c r="C108" s="807"/>
      <c r="D108" s="807"/>
      <c r="E108" s="807"/>
      <c r="F108" s="807"/>
      <c r="G108" s="807"/>
      <c r="H108" s="807"/>
      <c r="I108" s="807"/>
      <c r="J108" s="807"/>
      <c r="K108" s="807"/>
      <c r="L108" s="807"/>
      <c r="M108" s="807"/>
      <c r="N108" s="807"/>
      <c r="O108" s="807"/>
      <c r="P108" s="809"/>
    </row>
    <row r="110" spans="1:23" ht="22">
      <c r="A110" s="799"/>
      <c r="B110" s="846" t="s">
        <v>670</v>
      </c>
      <c r="C110" s="822"/>
      <c r="D110" s="823"/>
      <c r="E110" s="823"/>
      <c r="F110" s="823"/>
      <c r="G110" s="823"/>
      <c r="H110" s="823"/>
      <c r="I110" s="823"/>
      <c r="J110" s="823"/>
      <c r="K110" s="823"/>
      <c r="L110" s="823"/>
      <c r="M110" s="823"/>
      <c r="N110" s="823"/>
      <c r="O110" s="823"/>
      <c r="P110" s="824"/>
    </row>
    <row r="111" spans="1:23">
      <c r="B111" s="829"/>
      <c r="C111" s="830"/>
      <c r="D111" s="830"/>
      <c r="E111" s="830"/>
      <c r="F111" s="830"/>
      <c r="G111" s="830"/>
      <c r="H111" s="830"/>
      <c r="I111" s="830"/>
      <c r="J111" s="830"/>
      <c r="K111" s="830"/>
      <c r="L111" s="830"/>
      <c r="M111" s="830"/>
      <c r="N111" s="830"/>
      <c r="O111" s="830"/>
      <c r="P111" s="831"/>
    </row>
    <row r="112" spans="1:23" ht="17">
      <c r="B112" s="832"/>
      <c r="C112" s="825" t="s">
        <v>787</v>
      </c>
      <c r="D112" s="826"/>
      <c r="E112" s="827"/>
      <c r="F112" s="826"/>
      <c r="G112" s="827"/>
      <c r="H112" s="826"/>
      <c r="I112" s="826"/>
      <c r="J112" s="826"/>
      <c r="K112" s="826"/>
      <c r="L112" s="826"/>
      <c r="M112" s="826"/>
      <c r="N112" s="826"/>
      <c r="O112" s="827" t="s">
        <v>788</v>
      </c>
      <c r="P112" s="833"/>
    </row>
    <row r="113" spans="2:22" ht="5.25" customHeight="1">
      <c r="B113" s="832"/>
      <c r="C113" s="826"/>
      <c r="D113" s="826"/>
      <c r="E113" s="826"/>
      <c r="F113" s="826"/>
      <c r="G113" s="826"/>
      <c r="H113" s="826"/>
      <c r="I113" s="826"/>
      <c r="J113" s="826"/>
      <c r="K113" s="826"/>
      <c r="L113" s="826"/>
      <c r="M113" s="826"/>
      <c r="N113" s="826"/>
      <c r="O113" s="826"/>
      <c r="P113" s="833"/>
    </row>
    <row r="114" spans="2:22" ht="15">
      <c r="B114" s="834"/>
      <c r="C114" s="856" t="s">
        <v>786</v>
      </c>
      <c r="D114" s="856" t="s">
        <v>757</v>
      </c>
      <c r="E114" s="856" t="s">
        <v>422</v>
      </c>
      <c r="F114" s="856" t="s">
        <v>579</v>
      </c>
      <c r="G114" s="856" t="s">
        <v>580</v>
      </c>
      <c r="H114" s="856" t="s">
        <v>605</v>
      </c>
      <c r="I114" s="856" t="s">
        <v>606</v>
      </c>
      <c r="J114" s="856" t="s">
        <v>607</v>
      </c>
      <c r="K114" s="856" t="s">
        <v>608</v>
      </c>
      <c r="L114" s="856" t="s">
        <v>609</v>
      </c>
      <c r="M114" s="856" t="s">
        <v>610</v>
      </c>
      <c r="N114" s="856" t="s">
        <v>611</v>
      </c>
      <c r="O114" s="856" t="s">
        <v>612</v>
      </c>
      <c r="P114" s="833"/>
    </row>
    <row r="115" spans="2:22" ht="15">
      <c r="B115" s="834"/>
      <c r="C115" s="828" t="s">
        <v>769</v>
      </c>
      <c r="D115" s="835" t="s">
        <v>764</v>
      </c>
      <c r="E115" s="828" t="str">
        <f>INDEX(IPCC[Sector_description], MATCH(XII.c.Emissions[IPCC Sector], IPCC[Sector_code], 0))</f>
        <v>Int'l Aviation &amp; Shipping</v>
      </c>
      <c r="F115" s="836">
        <f>F$83</f>
        <v>38.200000000000003</v>
      </c>
      <c r="G115" s="836">
        <f t="shared" ref="G115:O115" si="28">G$83</f>
        <v>31.255901042445025</v>
      </c>
      <c r="H115" s="836">
        <f t="shared" si="28"/>
        <v>35.481937600405985</v>
      </c>
      <c r="I115" s="836">
        <f t="shared" si="28"/>
        <v>40.181161731776605</v>
      </c>
      <c r="J115" s="836">
        <f t="shared" si="28"/>
        <v>42.644948793953176</v>
      </c>
      <c r="K115" s="836">
        <f t="shared" si="28"/>
        <v>44.68196030974169</v>
      </c>
      <c r="L115" s="836">
        <f t="shared" si="28"/>
        <v>47.647222689675829</v>
      </c>
      <c r="M115" s="836">
        <f t="shared" si="28"/>
        <v>48.732658084808349</v>
      </c>
      <c r="N115" s="836">
        <f t="shared" si="28"/>
        <v>49.104688960582273</v>
      </c>
      <c r="O115" s="836">
        <f t="shared" si="28"/>
        <v>47.145420764055807</v>
      </c>
      <c r="P115" s="833"/>
    </row>
    <row r="116" spans="2:22" ht="15">
      <c r="B116" s="834"/>
      <c r="C116" s="828" t="s">
        <v>770</v>
      </c>
      <c r="D116" s="835" t="s">
        <v>764</v>
      </c>
      <c r="E116" s="828" t="str">
        <f>INDEX(IPCC[Sector_description], MATCH(XII.c.Emissions[IPCC Sector], IPCC[Sector_code], 0))</f>
        <v>Int'l Aviation &amp; Shipping</v>
      </c>
      <c r="F116" s="836">
        <f>F$84</f>
        <v>4.7558849195905424E-2</v>
      </c>
      <c r="G116" s="836">
        <f t="shared" ref="G116:O116" si="29">G$84</f>
        <v>3.8913473407324241E-2</v>
      </c>
      <c r="H116" s="836">
        <f t="shared" si="29"/>
        <v>4.4174872238644886E-2</v>
      </c>
      <c r="I116" s="836">
        <f t="shared" si="29"/>
        <v>5.0025387730833759E-2</v>
      </c>
      <c r="J116" s="836">
        <f t="shared" si="29"/>
        <v>5.3092792896825336E-2</v>
      </c>
      <c r="K116" s="836">
        <f t="shared" si="29"/>
        <v>5.5628864192367448E-2</v>
      </c>
      <c r="L116" s="836">
        <f t="shared" si="29"/>
        <v>5.9320604149267431E-2</v>
      </c>
      <c r="M116" s="836">
        <f t="shared" si="29"/>
        <v>6.0671966931178573E-2</v>
      </c>
      <c r="N116" s="836">
        <f t="shared" si="29"/>
        <v>6.1135143902831784E-2</v>
      </c>
      <c r="O116" s="836">
        <f t="shared" si="29"/>
        <v>5.8695862732859642E-2</v>
      </c>
      <c r="P116" s="833"/>
    </row>
    <row r="117" spans="2:22" ht="15">
      <c r="B117" s="834"/>
      <c r="C117" s="828" t="s">
        <v>771</v>
      </c>
      <c r="D117" s="835" t="s">
        <v>764</v>
      </c>
      <c r="E117" s="828" t="str">
        <f>INDEX(IPCC[Sector_description], MATCH(XII.c.Emissions[IPCC Sector], IPCC[Sector_code], 0))</f>
        <v>Int'l Aviation &amp; Shipping</v>
      </c>
      <c r="F117" s="836">
        <f>F$85</f>
        <v>0.68729627526214465</v>
      </c>
      <c r="G117" s="836">
        <f t="shared" ref="G117:O117" si="30">G$85</f>
        <v>0.56235770592760859</v>
      </c>
      <c r="H117" s="836">
        <f t="shared" si="30"/>
        <v>0.63839276313724791</v>
      </c>
      <c r="I117" s="836">
        <f t="shared" si="30"/>
        <v>0.72294143439675085</v>
      </c>
      <c r="J117" s="836">
        <f t="shared" si="30"/>
        <v>0.76727001216829593</v>
      </c>
      <c r="K117" s="836">
        <f t="shared" si="30"/>
        <v>0.80392002335854562</v>
      </c>
      <c r="L117" s="836">
        <f t="shared" si="30"/>
        <v>0.85727116966492511</v>
      </c>
      <c r="M117" s="836">
        <f t="shared" si="30"/>
        <v>0.87680037657885901</v>
      </c>
      <c r="N117" s="836">
        <f t="shared" si="30"/>
        <v>0.88349397435901433</v>
      </c>
      <c r="O117" s="836">
        <f t="shared" si="30"/>
        <v>0.84824272478539597</v>
      </c>
      <c r="P117" s="833"/>
    </row>
    <row r="118" spans="2:22" ht="15">
      <c r="B118" s="834"/>
      <c r="C118" s="828" t="s">
        <v>132</v>
      </c>
      <c r="D118" s="828"/>
      <c r="E118" s="828"/>
      <c r="F118" s="858">
        <f>SUBTOTAL(109,XII.c.Emissions[2007])</f>
        <v>38.934855124458053</v>
      </c>
      <c r="G118" s="858">
        <f>SUBTOTAL(109,XII.c.Emissions[2010])</f>
        <v>31.857172221779958</v>
      </c>
      <c r="H118" s="858">
        <f>SUBTOTAL(109,XII.c.Emissions[2015])</f>
        <v>36.164505235781874</v>
      </c>
      <c r="I118" s="858">
        <f>SUBTOTAL(109,XII.c.Emissions[2020])</f>
        <v>40.954128553904191</v>
      </c>
      <c r="J118" s="858">
        <f>SUBTOTAL(109,XII.c.Emissions[2025])</f>
        <v>43.4653115990183</v>
      </c>
      <c r="K118" s="858">
        <f>SUBTOTAL(109,XII.c.Emissions[2030])</f>
        <v>45.541509197292598</v>
      </c>
      <c r="L118" s="858">
        <f>SUBTOTAL(109,XII.c.Emissions[2035])</f>
        <v>48.563814463490026</v>
      </c>
      <c r="M118" s="858">
        <f>SUBTOTAL(109,XII.c.Emissions[2040])</f>
        <v>49.670130428318387</v>
      </c>
      <c r="N118" s="858">
        <f>SUBTOTAL(109,XII.c.Emissions[2045])</f>
        <v>50.049318078844117</v>
      </c>
      <c r="O118" s="858">
        <f>SUBTOTAL(109,XII.c.Emissions[2050])</f>
        <v>48.052359351574061</v>
      </c>
      <c r="P118" s="833"/>
    </row>
    <row r="119" spans="2:22" ht="15">
      <c r="B119" s="834"/>
      <c r="C119" s="826"/>
      <c r="D119" s="826"/>
      <c r="E119" s="826"/>
      <c r="F119" s="826"/>
      <c r="G119" s="826"/>
      <c r="H119" s="826"/>
      <c r="I119" s="826"/>
      <c r="J119" s="826"/>
      <c r="K119" s="826"/>
      <c r="L119" s="826"/>
      <c r="M119" s="826"/>
      <c r="N119" s="826"/>
      <c r="O119" s="826"/>
      <c r="P119" s="833"/>
    </row>
    <row r="122" spans="2:22" s="1562" customFormat="1" ht="21.75" customHeight="1" collapsed="1">
      <c r="B122" s="1519" t="s">
        <v>1297</v>
      </c>
      <c r="C122" s="1555"/>
      <c r="D122" s="1520"/>
      <c r="E122" s="1520"/>
      <c r="F122" s="1520"/>
      <c r="G122" s="1520"/>
      <c r="H122" s="1520"/>
      <c r="I122" s="1520"/>
      <c r="J122" s="1520"/>
      <c r="K122" s="1520"/>
      <c r="L122" s="1520"/>
      <c r="M122" s="1520"/>
      <c r="N122" s="1520"/>
      <c r="O122" s="1520"/>
      <c r="P122" s="1521"/>
      <c r="S122" s="1533"/>
      <c r="T122" s="1550"/>
      <c r="U122" s="1533"/>
      <c r="V122" s="1533"/>
    </row>
    <row r="123" spans="2:22" s="1562" customFormat="1">
      <c r="B123" s="1556"/>
      <c r="C123" s="1557"/>
      <c r="D123" s="1557"/>
      <c r="E123" s="1557"/>
      <c r="F123" s="1557"/>
      <c r="G123" s="1557"/>
      <c r="H123" s="1557"/>
      <c r="I123" s="1557"/>
      <c r="J123" s="1557"/>
      <c r="K123" s="1557"/>
      <c r="L123" s="1557"/>
      <c r="M123" s="1557"/>
      <c r="N123" s="1557"/>
      <c r="O123" s="1557"/>
      <c r="P123" s="1558"/>
      <c r="T123" s="528"/>
    </row>
    <row r="124" spans="2:22" s="1562" customFormat="1">
      <c r="B124" s="1522"/>
      <c r="C124" s="1559" t="s">
        <v>1302</v>
      </c>
      <c r="D124" s="1523"/>
      <c r="E124" s="1560"/>
      <c r="F124" s="1523"/>
      <c r="G124" s="1560"/>
      <c r="H124" s="1523"/>
      <c r="I124" s="1523"/>
      <c r="J124" s="1523"/>
      <c r="K124" s="1523"/>
      <c r="L124" s="1523"/>
      <c r="M124" s="1523"/>
      <c r="N124" s="1523"/>
      <c r="O124" s="1560"/>
      <c r="P124" s="1524"/>
      <c r="T124" s="528"/>
    </row>
    <row r="125" spans="2:22" s="1562" customFormat="1" ht="6" customHeight="1">
      <c r="B125" s="1522"/>
      <c r="C125" s="1523"/>
      <c r="D125" s="1523"/>
      <c r="E125" s="1523"/>
      <c r="F125" s="1523"/>
      <c r="G125" s="1523"/>
      <c r="H125" s="1523"/>
      <c r="I125" s="1523"/>
      <c r="J125" s="1523"/>
      <c r="K125" s="1523"/>
      <c r="L125" s="1523"/>
      <c r="M125" s="1523"/>
      <c r="N125" s="1523"/>
      <c r="O125" s="1523"/>
      <c r="P125" s="1524"/>
      <c r="T125" s="528"/>
    </row>
    <row r="126" spans="2:22" s="1562" customFormat="1" ht="15">
      <c r="B126" s="1525"/>
      <c r="C126" s="1526" t="s">
        <v>72</v>
      </c>
      <c r="D126" s="1526" t="s">
        <v>1298</v>
      </c>
      <c r="E126" s="1526" t="s">
        <v>422</v>
      </c>
      <c r="F126" s="1526" t="s">
        <v>579</v>
      </c>
      <c r="G126" s="1526" t="s">
        <v>580</v>
      </c>
      <c r="H126" s="1526" t="s">
        <v>605</v>
      </c>
      <c r="I126" s="1526" t="s">
        <v>606</v>
      </c>
      <c r="J126" s="1526" t="s">
        <v>607</v>
      </c>
      <c r="K126" s="1526" t="s">
        <v>608</v>
      </c>
      <c r="L126" s="1526" t="s">
        <v>609</v>
      </c>
      <c r="M126" s="1526" t="s">
        <v>610</v>
      </c>
      <c r="N126" s="1526" t="s">
        <v>611</v>
      </c>
      <c r="O126" s="1526" t="s">
        <v>612</v>
      </c>
      <c r="P126" s="1524"/>
    </row>
    <row r="127" spans="2:22" s="1562" customFormat="1" ht="15">
      <c r="B127" s="1525"/>
      <c r="C127" s="1527" t="s">
        <v>1299</v>
      </c>
      <c r="D127" s="1528" t="str">
        <f>INDEX(Vectors[Description], MATCH(XII.c.info[Vector], Vectors[Code], 0))</f>
        <v>UK Land area</v>
      </c>
      <c r="E127" s="1528">
        <f>INDEX(Vectors[Comment], MATCH(XII.c.info[Information type], Vectors[Description], 0))</f>
        <v>0</v>
      </c>
      <c r="F127" s="1563"/>
      <c r="G127" s="1563"/>
      <c r="H127" s="1563"/>
      <c r="I127" s="1563"/>
      <c r="J127" s="1563"/>
      <c r="K127" s="1563"/>
      <c r="L127" s="1563"/>
      <c r="M127" s="1563"/>
      <c r="N127" s="1563"/>
      <c r="O127" s="1563"/>
      <c r="P127" s="1524"/>
    </row>
    <row r="128" spans="2:22" s="1562" customFormat="1" ht="15">
      <c r="B128" s="1525"/>
      <c r="C128" s="1527" t="s">
        <v>1305</v>
      </c>
      <c r="D128" s="1528" t="str">
        <f>INDEX(Vectors[Description], MATCH(XII.c.info[Vector], Vectors[Code], 0))</f>
        <v>Number of units</v>
      </c>
      <c r="E128" s="1528"/>
      <c r="F128" s="1563"/>
      <c r="G128" s="1563"/>
      <c r="H128" s="1563"/>
      <c r="I128" s="1563"/>
      <c r="J128" s="1563"/>
      <c r="K128" s="1563"/>
      <c r="L128" s="1563"/>
      <c r="M128" s="1563"/>
      <c r="N128" s="1563"/>
      <c r="O128" s="1563"/>
      <c r="P128" s="1524"/>
    </row>
    <row r="129" spans="2:16" s="1562" customFormat="1" ht="15">
      <c r="B129" s="1564"/>
      <c r="C129" s="1530"/>
      <c r="D129" s="1530"/>
      <c r="E129" s="1530"/>
      <c r="F129" s="1530"/>
      <c r="G129" s="1530"/>
      <c r="H129" s="1530"/>
      <c r="I129" s="1530"/>
      <c r="J129" s="1530"/>
      <c r="K129" s="1530"/>
      <c r="L129" s="1530"/>
      <c r="M129" s="1530"/>
      <c r="N129" s="1530"/>
      <c r="O129" s="1530"/>
      <c r="P129" s="1561"/>
    </row>
    <row r="131" spans="2:16" s="1703" customFormat="1"/>
    <row r="132" spans="2:16" s="1703" customFormat="1" ht="22.5" customHeight="1">
      <c r="B132" s="1519" t="s">
        <v>1572</v>
      </c>
      <c r="C132" s="1520"/>
      <c r="D132" s="1520"/>
      <c r="E132" s="1520"/>
      <c r="F132" s="1520"/>
      <c r="G132" s="1520"/>
      <c r="H132" s="1520"/>
      <c r="I132" s="1520"/>
      <c r="J132" s="1520"/>
      <c r="K132" s="1520"/>
      <c r="L132" s="1520"/>
      <c r="M132" s="1520"/>
      <c r="N132" s="1520"/>
      <c r="O132" s="1520"/>
      <c r="P132" s="1521"/>
    </row>
    <row r="133" spans="2:16" s="1703" customFormat="1">
      <c r="B133" s="1522"/>
      <c r="C133" s="1523"/>
      <c r="D133" s="1523"/>
      <c r="E133" s="1523"/>
      <c r="F133" s="1523"/>
      <c r="G133" s="1523"/>
      <c r="H133" s="1523"/>
      <c r="I133" s="1523"/>
      <c r="J133" s="1523"/>
      <c r="K133" s="1523"/>
      <c r="L133" s="1523"/>
      <c r="M133" s="1523"/>
      <c r="N133" s="1523"/>
      <c r="O133" s="1523"/>
      <c r="P133" s="1524"/>
    </row>
    <row r="134" spans="2:16" s="1703" customFormat="1" ht="15.75" customHeight="1">
      <c r="B134" s="1522"/>
      <c r="C134" s="1695" t="s">
        <v>1573</v>
      </c>
      <c r="D134" s="1696"/>
      <c r="E134" s="1696"/>
      <c r="F134" s="1696"/>
      <c r="G134" s="1696"/>
      <c r="H134" s="1696"/>
      <c r="I134" s="1696"/>
      <c r="J134" s="1696"/>
      <c r="K134" s="1696"/>
      <c r="L134" s="1696"/>
      <c r="M134" s="1696"/>
      <c r="N134" s="1696"/>
      <c r="O134" s="1696"/>
      <c r="P134" s="1524"/>
    </row>
    <row r="135" spans="2:16" s="1703" customFormat="1" ht="5.25" customHeight="1">
      <c r="B135" s="1522"/>
      <c r="C135" s="1523"/>
      <c r="D135" s="1523"/>
      <c r="E135" s="1523"/>
      <c r="F135" s="1523"/>
      <c r="G135" s="1523"/>
      <c r="H135" s="1523"/>
      <c r="I135" s="1523"/>
      <c r="J135" s="1523"/>
      <c r="K135" s="1523"/>
      <c r="L135" s="1523"/>
      <c r="M135" s="1523"/>
      <c r="N135" s="1523"/>
      <c r="O135" s="1523"/>
      <c r="P135" s="1524"/>
    </row>
    <row r="136" spans="2:16" s="1703" customFormat="1" ht="15">
      <c r="B136" s="1525"/>
      <c r="C136" s="1526" t="s">
        <v>72</v>
      </c>
      <c r="D136" s="1526" t="s">
        <v>399</v>
      </c>
      <c r="E136" s="1526" t="s">
        <v>422</v>
      </c>
      <c r="F136" s="1526" t="s">
        <v>579</v>
      </c>
      <c r="G136" s="1526" t="s">
        <v>580</v>
      </c>
      <c r="H136" s="1526" t="s">
        <v>605</v>
      </c>
      <c r="I136" s="1526" t="s">
        <v>606</v>
      </c>
      <c r="J136" s="1526" t="s">
        <v>607</v>
      </c>
      <c r="K136" s="1526" t="s">
        <v>608</v>
      </c>
      <c r="L136" s="1526" t="s">
        <v>609</v>
      </c>
      <c r="M136" s="1526" t="s">
        <v>610</v>
      </c>
      <c r="N136" s="1526" t="s">
        <v>611</v>
      </c>
      <c r="O136" s="1526" t="s">
        <v>612</v>
      </c>
      <c r="P136" s="1697"/>
    </row>
    <row r="137" spans="2:16" s="1703" customFormat="1" ht="15">
      <c r="B137" s="1525"/>
      <c r="C137" s="1742" t="s">
        <v>1535</v>
      </c>
      <c r="D137" s="1528" t="str">
        <f>INDEX(CostVectors[Description], MATCH(C137,CostVectors[Code], 0))</f>
        <v>Low estimate of operating costs</v>
      </c>
      <c r="E137" s="1528"/>
      <c r="F137" s="1529" t="e">
        <f>F96</f>
        <v>#REF!</v>
      </c>
      <c r="G137" s="1529" t="e">
        <f t="shared" ref="G137:O137" si="31">G96</f>
        <v>#REF!</v>
      </c>
      <c r="H137" s="1529" t="e">
        <f t="shared" si="31"/>
        <v>#REF!</v>
      </c>
      <c r="I137" s="1529" t="e">
        <f t="shared" si="31"/>
        <v>#REF!</v>
      </c>
      <c r="J137" s="1529" t="e">
        <f t="shared" si="31"/>
        <v>#REF!</v>
      </c>
      <c r="K137" s="1529" t="e">
        <f t="shared" si="31"/>
        <v>#REF!</v>
      </c>
      <c r="L137" s="1529" t="e">
        <f t="shared" si="31"/>
        <v>#REF!</v>
      </c>
      <c r="M137" s="1529" t="e">
        <f t="shared" si="31"/>
        <v>#REF!</v>
      </c>
      <c r="N137" s="1529" t="e">
        <f t="shared" si="31"/>
        <v>#REF!</v>
      </c>
      <c r="O137" s="1529" t="e">
        <f t="shared" si="31"/>
        <v>#REF!</v>
      </c>
      <c r="P137" s="1697"/>
    </row>
    <row r="138" spans="2:16" s="1703" customFormat="1" ht="15">
      <c r="B138" s="1525"/>
      <c r="C138" s="1742" t="s">
        <v>1796</v>
      </c>
      <c r="D138" s="1528" t="str">
        <f>INDEX(CostVectors[Description], MATCH(C138, CostVectors[Code], 0))</f>
        <v>Point estimate of operating costs</v>
      </c>
      <c r="E138" s="1528"/>
      <c r="F138" s="1529" t="e">
        <f t="shared" ref="F138:O138" si="32">F97</f>
        <v>#REF!</v>
      </c>
      <c r="G138" s="1529" t="e">
        <f t="shared" si="32"/>
        <v>#REF!</v>
      </c>
      <c r="H138" s="1529" t="e">
        <f t="shared" si="32"/>
        <v>#REF!</v>
      </c>
      <c r="I138" s="1529" t="e">
        <f t="shared" si="32"/>
        <v>#REF!</v>
      </c>
      <c r="J138" s="1529" t="e">
        <f t="shared" si="32"/>
        <v>#REF!</v>
      </c>
      <c r="K138" s="1529" t="e">
        <f t="shared" si="32"/>
        <v>#REF!</v>
      </c>
      <c r="L138" s="1529" t="e">
        <f t="shared" si="32"/>
        <v>#REF!</v>
      </c>
      <c r="M138" s="1529" t="e">
        <f t="shared" si="32"/>
        <v>#REF!</v>
      </c>
      <c r="N138" s="1529" t="e">
        <f t="shared" si="32"/>
        <v>#REF!</v>
      </c>
      <c r="O138" s="1529" t="e">
        <f t="shared" si="32"/>
        <v>#REF!</v>
      </c>
      <c r="P138" s="1697"/>
    </row>
    <row r="139" spans="2:16" s="1703" customFormat="1" ht="15">
      <c r="B139" s="1525"/>
      <c r="C139" s="1742" t="s">
        <v>1542</v>
      </c>
      <c r="D139" s="1528" t="str">
        <f>INDEX(CostVectors[Description], MATCH(C139, CostVectors[Code], 0))</f>
        <v>High estimate of operating costs</v>
      </c>
      <c r="E139" s="1528"/>
      <c r="F139" s="1529" t="e">
        <f t="shared" ref="F139:O139" si="33">F98</f>
        <v>#REF!</v>
      </c>
      <c r="G139" s="1529" t="e">
        <f t="shared" si="33"/>
        <v>#REF!</v>
      </c>
      <c r="H139" s="1529" t="e">
        <f t="shared" si="33"/>
        <v>#REF!</v>
      </c>
      <c r="I139" s="1529" t="e">
        <f t="shared" si="33"/>
        <v>#REF!</v>
      </c>
      <c r="J139" s="1529" t="e">
        <f t="shared" si="33"/>
        <v>#REF!</v>
      </c>
      <c r="K139" s="1529" t="e">
        <f t="shared" si="33"/>
        <v>#REF!</v>
      </c>
      <c r="L139" s="1529" t="e">
        <f t="shared" si="33"/>
        <v>#REF!</v>
      </c>
      <c r="M139" s="1529" t="e">
        <f t="shared" si="33"/>
        <v>#REF!</v>
      </c>
      <c r="N139" s="1529" t="e">
        <f t="shared" si="33"/>
        <v>#REF!</v>
      </c>
      <c r="O139" s="1529" t="e">
        <f t="shared" si="33"/>
        <v>#REF!</v>
      </c>
      <c r="P139" s="1697"/>
    </row>
    <row r="140" spans="2:16" s="1703" customFormat="1">
      <c r="B140" s="1700"/>
      <c r="C140" s="1530"/>
      <c r="D140" s="1530"/>
      <c r="E140" s="1530"/>
      <c r="F140" s="1530"/>
      <c r="G140" s="1530"/>
      <c r="H140" s="1530"/>
      <c r="I140" s="1530"/>
      <c r="J140" s="1530"/>
      <c r="K140" s="1530"/>
      <c r="L140" s="1530"/>
      <c r="M140" s="1530"/>
      <c r="N140" s="1530"/>
      <c r="O140" s="1530"/>
      <c r="P140" s="1701"/>
    </row>
    <row r="141" spans="2:16" s="1703" customFormat="1"/>
    <row r="142" spans="2:16" s="1855" customFormat="1" ht="15">
      <c r="B142" s="1858" t="s">
        <v>1753</v>
      </c>
      <c r="C142" s="1859"/>
      <c r="D142" s="1859"/>
      <c r="E142" s="1859"/>
      <c r="F142" s="1859"/>
      <c r="G142" s="1859"/>
      <c r="H142" s="1859"/>
      <c r="I142" s="1859"/>
      <c r="J142" s="1859"/>
      <c r="K142" s="1859"/>
      <c r="L142" s="1859"/>
      <c r="M142" s="1859"/>
      <c r="N142" s="1859"/>
      <c r="O142" s="1859"/>
      <c r="P142" s="1859"/>
    </row>
    <row r="143" spans="2:16" s="1855" customFormat="1">
      <c r="B143" s="1857"/>
      <c r="C143" s="1857"/>
      <c r="D143" s="1857"/>
      <c r="E143" s="1857"/>
      <c r="F143" s="1857"/>
      <c r="G143" s="1857"/>
      <c r="H143" s="1857"/>
      <c r="I143" s="1857"/>
      <c r="J143" s="1857"/>
      <c r="K143" s="1857"/>
      <c r="L143" s="1857"/>
      <c r="M143" s="1857"/>
      <c r="N143" s="1857"/>
      <c r="O143" s="1857"/>
      <c r="P143" s="1857"/>
    </row>
    <row r="144" spans="2:16" s="1855" customFormat="1">
      <c r="B144" s="1857"/>
      <c r="C144" s="1878" t="s">
        <v>787</v>
      </c>
      <c r="D144" s="1857"/>
      <c r="E144" s="1857"/>
      <c r="F144" s="1857"/>
      <c r="G144" s="1857"/>
      <c r="H144" s="1857"/>
      <c r="I144" s="1857"/>
      <c r="J144" s="1857"/>
      <c r="K144" s="1857"/>
      <c r="L144" s="1857"/>
      <c r="M144" s="1857"/>
      <c r="N144" s="1857"/>
      <c r="O144" s="1894" t="s">
        <v>1766</v>
      </c>
      <c r="P144" s="1857"/>
    </row>
    <row r="145" spans="2:16" s="1855" customFormat="1" ht="5.25" customHeight="1">
      <c r="B145" s="1857"/>
      <c r="C145" s="1857"/>
      <c r="D145" s="1857"/>
      <c r="E145" s="1857"/>
      <c r="F145" s="1857"/>
      <c r="G145" s="1857"/>
      <c r="H145" s="1857"/>
      <c r="I145" s="1857"/>
      <c r="J145" s="1857"/>
      <c r="K145" s="1857"/>
      <c r="L145" s="1857"/>
      <c r="M145" s="1857"/>
      <c r="N145" s="1857"/>
      <c r="O145" s="1857"/>
      <c r="P145" s="1857"/>
    </row>
    <row r="146" spans="2:16" s="1855" customFormat="1">
      <c r="B146" s="1857"/>
      <c r="C146" s="1865" t="s">
        <v>72</v>
      </c>
      <c r="D146" s="1866" t="s">
        <v>399</v>
      </c>
      <c r="E146" s="1866" t="s">
        <v>1768</v>
      </c>
      <c r="F146" s="1900" t="s">
        <v>579</v>
      </c>
      <c r="G146" s="1900" t="s">
        <v>580</v>
      </c>
      <c r="H146" s="1899" t="s">
        <v>605</v>
      </c>
      <c r="I146" s="1899" t="s">
        <v>606</v>
      </c>
      <c r="J146" s="1899" t="s">
        <v>607</v>
      </c>
      <c r="K146" s="1899" t="s">
        <v>608</v>
      </c>
      <c r="L146" s="1899" t="s">
        <v>609</v>
      </c>
      <c r="M146" s="1899" t="s">
        <v>610</v>
      </c>
      <c r="N146" s="1899" t="s">
        <v>611</v>
      </c>
      <c r="O146" s="1901" t="s">
        <v>612</v>
      </c>
      <c r="P146" s="1857"/>
    </row>
    <row r="147" spans="2:16" s="1855" customFormat="1" ht="15">
      <c r="B147" s="1888"/>
      <c r="C147" s="1860" t="s">
        <v>1754</v>
      </c>
      <c r="D147" s="1861" t="str">
        <f>INDEX(AirQualityVectors[Description],MATCH(C147,AirQualityVectors[Code],0))</f>
        <v>PM10</v>
      </c>
      <c r="E147" s="1889" t="s">
        <v>779</v>
      </c>
      <c r="F147" s="1890">
        <f t="shared" ref="F147" si="34">F$80*F33*F$53</f>
        <v>7.8473038931011416E-2</v>
      </c>
      <c r="G147" s="1890">
        <f>G$80*G33*G$53</f>
        <v>6.4207998411718037E-2</v>
      </c>
      <c r="H147" s="1890">
        <f t="shared" ref="H147:O147" si="35">H$80*H33*H$53</f>
        <v>7.2889410226816151E-2</v>
      </c>
      <c r="I147" s="1890">
        <f t="shared" si="35"/>
        <v>8.2542876148454764E-2</v>
      </c>
      <c r="J147" s="1890">
        <f t="shared" si="35"/>
        <v>8.7604155154944408E-2</v>
      </c>
      <c r="K147" s="1890">
        <f t="shared" si="35"/>
        <v>9.1788722798436306E-2</v>
      </c>
      <c r="L147" s="1890">
        <f t="shared" si="35"/>
        <v>9.7880166520458167E-2</v>
      </c>
      <c r="M147" s="1890">
        <f t="shared" si="35"/>
        <v>0.10010994175656633</v>
      </c>
      <c r="N147" s="1890">
        <f t="shared" si="35"/>
        <v>0.10087419289264343</v>
      </c>
      <c r="O147" s="1890">
        <f t="shared" si="35"/>
        <v>9.6849330864834174E-2</v>
      </c>
      <c r="P147" s="1891"/>
    </row>
    <row r="148" spans="2:16" s="1855" customFormat="1" ht="15">
      <c r="B148" s="1888"/>
      <c r="C148" s="1860" t="s">
        <v>1755</v>
      </c>
      <c r="D148" s="1861" t="str">
        <f>INDEX(AirQualityVectors[Description],MATCH(C148,AirQualityVectors[Code],0))</f>
        <v>NOX</v>
      </c>
      <c r="E148" s="1889" t="s">
        <v>779</v>
      </c>
      <c r="F148" s="1890">
        <f t="shared" ref="F148" si="36">F$80*F38*F$53</f>
        <v>11.456984568902374</v>
      </c>
      <c r="G148" s="1890">
        <f>G$80*G38*G$53</f>
        <v>9.3743030348280705</v>
      </c>
      <c r="H148" s="1890">
        <f t="shared" ref="H148:O148" si="37">H$80*H38*H$53</f>
        <v>10.641780407398123</v>
      </c>
      <c r="I148" s="1890">
        <f t="shared" si="37"/>
        <v>12.051176699516628</v>
      </c>
      <c r="J148" s="1890">
        <f t="shared" si="37"/>
        <v>12.790118331778887</v>
      </c>
      <c r="K148" s="1890">
        <f t="shared" si="37"/>
        <v>13.401060988927197</v>
      </c>
      <c r="L148" s="1890">
        <f t="shared" si="37"/>
        <v>14.290405631064687</v>
      </c>
      <c r="M148" s="1890">
        <f t="shared" si="37"/>
        <v>14.615950567519498</v>
      </c>
      <c r="N148" s="1890">
        <f t="shared" si="37"/>
        <v>14.727530462883294</v>
      </c>
      <c r="O148" s="1890">
        <f t="shared" si="37"/>
        <v>14.139904664612486</v>
      </c>
      <c r="P148" s="1891"/>
    </row>
    <row r="149" spans="2:16" s="1855" customFormat="1" ht="15">
      <c r="B149" s="1888"/>
      <c r="C149" s="1860" t="s">
        <v>1756</v>
      </c>
      <c r="D149" s="1861" t="str">
        <f>INDEX(AirQualityVectors[Description],MATCH(C149,AirQualityVectors[Code],0))</f>
        <v>SO2</v>
      </c>
      <c r="E149" s="1889" t="s">
        <v>779</v>
      </c>
      <c r="F149" s="1890">
        <f t="shared" ref="F149" si="38">F$80*F43*F$53</f>
        <v>0.67913583755866103</v>
      </c>
      <c r="G149" s="1890">
        <f>G$80*G43*G$53</f>
        <v>0.55568069458407143</v>
      </c>
      <c r="H149" s="1890">
        <f t="shared" ref="H149:O149" si="39">H$80*H43*H$53</f>
        <v>0.63081296886010119</v>
      </c>
      <c r="I149" s="1890">
        <f t="shared" si="39"/>
        <v>0.71435777295262093</v>
      </c>
      <c r="J149" s="1890">
        <f t="shared" si="39"/>
        <v>0.75816002661852355</v>
      </c>
      <c r="K149" s="1890">
        <f t="shared" si="39"/>
        <v>0.79437488321254635</v>
      </c>
      <c r="L149" s="1890">
        <f t="shared" si="39"/>
        <v>0.8470925782381421</v>
      </c>
      <c r="M149" s="1890">
        <f t="shared" si="39"/>
        <v>0.86638991007555421</v>
      </c>
      <c r="N149" s="1890">
        <f t="shared" si="39"/>
        <v>0.87300403312310415</v>
      </c>
      <c r="O149" s="1890">
        <f t="shared" si="39"/>
        <v>0.83817133030503999</v>
      </c>
      <c r="P149" s="1891"/>
    </row>
    <row r="150" spans="2:16" s="1855" customFormat="1" ht="15">
      <c r="B150" s="1888"/>
      <c r="C150" s="1863" t="s">
        <v>1757</v>
      </c>
      <c r="D150" s="1864" t="str">
        <f>INDEX(AirQualityVectors[Description],MATCH(C150,AirQualityVectors[Code],0))</f>
        <v>NMVOC</v>
      </c>
      <c r="E150" s="1889" t="s">
        <v>779</v>
      </c>
      <c r="F150" s="1890">
        <f t="shared" ref="F150" si="40">F$80*F48*F$53</f>
        <v>1.0576985254620928</v>
      </c>
      <c r="G150" s="1890">
        <f>G$80*G48*G$53</f>
        <v>0.86542723676919342</v>
      </c>
      <c r="H150" s="1890">
        <f t="shared" ref="H150:O150" si="41">H$80*H48*H$53</f>
        <v>0.98243960943684272</v>
      </c>
      <c r="I150" s="1890">
        <f t="shared" si="41"/>
        <v>1.1125538092946068</v>
      </c>
      <c r="J150" s="1890">
        <f t="shared" si="41"/>
        <v>1.1807722371144167</v>
      </c>
      <c r="K150" s="1890">
        <f t="shared" si="41"/>
        <v>1.2371739145122913</v>
      </c>
      <c r="L150" s="1890">
        <f t="shared" si="41"/>
        <v>1.3192774131213112</v>
      </c>
      <c r="M150" s="1890">
        <f t="shared" si="41"/>
        <v>1.3493314292709455</v>
      </c>
      <c r="N150" s="1890">
        <f t="shared" si="41"/>
        <v>1.3596323849969258</v>
      </c>
      <c r="O150" s="1890">
        <f t="shared" si="41"/>
        <v>1.3053832990688941</v>
      </c>
      <c r="P150" s="1891"/>
    </row>
    <row r="151" spans="2:16" s="1855" customFormat="1" ht="15">
      <c r="B151" s="1888"/>
      <c r="C151" s="1889" t="s">
        <v>132</v>
      </c>
      <c r="D151" s="1889"/>
      <c r="E151" s="1889"/>
      <c r="F151" s="1892">
        <f>SUBTOTAL(109,XII.c.AQ[2007])</f>
        <v>13.272291970854141</v>
      </c>
      <c r="G151" s="1892">
        <f>SUBTOTAL(109,XII.c.AQ[2010])</f>
        <v>10.859618964593052</v>
      </c>
      <c r="H151" s="1892">
        <f>SUBTOTAL(109,XII.c.AQ[2015])</f>
        <v>12.327922395921883</v>
      </c>
      <c r="I151" s="1892">
        <f>SUBTOTAL(109,XII.c.AQ[2020])</f>
        <v>13.96063115791231</v>
      </c>
      <c r="J151" s="1892">
        <f>SUBTOTAL(109,XII.c.AQ[2025])</f>
        <v>14.816654750666769</v>
      </c>
      <c r="K151" s="1892">
        <f>SUBTOTAL(109,XII.c.AQ[2030])</f>
        <v>15.524398509450471</v>
      </c>
      <c r="L151" s="1892">
        <f>SUBTOTAL(109,XII.c.AQ[2035])</f>
        <v>16.554655788944597</v>
      </c>
      <c r="M151" s="1892">
        <f>SUBTOTAL(109,XII.c.AQ[2040])</f>
        <v>16.931781848622563</v>
      </c>
      <c r="N151" s="1892">
        <f>SUBTOTAL(109,XII.c.AQ[2045])</f>
        <v>17.061041073895968</v>
      </c>
      <c r="O151" s="1892">
        <f>SUBTOTAL(109,XII.c.AQ[2050])</f>
        <v>16.380308624851253</v>
      </c>
      <c r="P151" s="1891"/>
    </row>
    <row r="152" spans="2:16" s="1855" customFormat="1" ht="15">
      <c r="B152" s="1888"/>
      <c r="C152" s="1889"/>
      <c r="D152" s="1889"/>
      <c r="E152" s="1889"/>
      <c r="F152" s="1892"/>
      <c r="G152" s="1892"/>
      <c r="H152" s="1892"/>
      <c r="I152" s="1892"/>
      <c r="J152" s="1892"/>
      <c r="K152" s="1892"/>
      <c r="L152" s="1892"/>
      <c r="M152" s="1892"/>
      <c r="N152" s="1892"/>
      <c r="O152" s="1892"/>
      <c r="P152" s="1891"/>
    </row>
    <row r="642" spans="6:15">
      <c r="F642" s="117">
        <f>F$602*INDEX(EF[CO2], MATCH("V.04", EF[Vector], 0))</f>
        <v>0</v>
      </c>
      <c r="G642" s="1993">
        <f>G$602*INDEX(EF[CO2], MATCH("V.04", EF[Vector], 0))</f>
        <v>0</v>
      </c>
      <c r="H642" s="1993">
        <f>H$602*INDEX(EF[CO2], MATCH("V.04", EF[Vector], 0))</f>
        <v>0</v>
      </c>
      <c r="I642" s="1993">
        <f>I$602*INDEX(EF[CO2], MATCH("V.04", EF[Vector], 0))</f>
        <v>0</v>
      </c>
      <c r="J642" s="1993">
        <f>J$602*INDEX(EF[CO2], MATCH("V.04", EF[Vector], 0))</f>
        <v>0</v>
      </c>
      <c r="K642" s="1993">
        <f>K$602*INDEX(EF[CO2], MATCH("V.04", EF[Vector], 0))</f>
        <v>0</v>
      </c>
      <c r="L642" s="1993">
        <f>L$602*INDEX(EF[CO2], MATCH("V.04", EF[Vector], 0))</f>
        <v>0</v>
      </c>
      <c r="M642" s="1993">
        <f>M$602*INDEX(EF[CO2], MATCH("V.04", EF[Vector], 0))</f>
        <v>0</v>
      </c>
      <c r="N642" s="1993">
        <f>N$602*INDEX(EF[CO2], MATCH("V.04", EF[Vector], 0))</f>
        <v>0</v>
      </c>
      <c r="O642" s="1993">
        <f>O$602*INDEX(EF[CO2], MATCH("V.04", EF[Vector], 0))</f>
        <v>0</v>
      </c>
    </row>
    <row r="643" spans="6:15">
      <c r="F643" s="1993">
        <f>F$602*INDEX(EF[CH4], MATCH("V.04", EF[Vector], 0))</f>
        <v>0</v>
      </c>
      <c r="G643" s="1993">
        <f>G$602*INDEX(EF[CH4], MATCH("V.04", EF[Vector], 0))</f>
        <v>0</v>
      </c>
      <c r="H643" s="1993">
        <f>H$602*INDEX(EF[CH4], MATCH("V.04", EF[Vector], 0))</f>
        <v>0</v>
      </c>
      <c r="I643" s="1993">
        <f>I$602*INDEX(EF[CH4], MATCH("V.04", EF[Vector], 0))</f>
        <v>0</v>
      </c>
      <c r="J643" s="1993">
        <f>J$602*INDEX(EF[CH4], MATCH("V.04", EF[Vector], 0))</f>
        <v>0</v>
      </c>
      <c r="K643" s="1993">
        <f>K$602*INDEX(EF[CH4], MATCH("V.04", EF[Vector], 0))</f>
        <v>0</v>
      </c>
      <c r="L643" s="1993">
        <f>L$602*INDEX(EF[CH4], MATCH("V.04", EF[Vector], 0))</f>
        <v>0</v>
      </c>
      <c r="M643" s="1993">
        <f>M$602*INDEX(EF[CH4], MATCH("V.04", EF[Vector], 0))</f>
        <v>0</v>
      </c>
      <c r="N643" s="1993">
        <f>N$602*INDEX(EF[CH4], MATCH("V.04", EF[Vector], 0))</f>
        <v>0</v>
      </c>
      <c r="O643" s="1993">
        <f>O$602*INDEX(EF[CH4], MATCH("V.04", EF[Vector], 0))</f>
        <v>0</v>
      </c>
    </row>
    <row r="644" spans="6:15">
      <c r="F644" s="117">
        <f>F$602*INDEX(EF[N2O], MATCH("V.04", EF[Vector], 0))</f>
        <v>0</v>
      </c>
      <c r="G644" s="1993">
        <f>G$602*INDEX(EF[N2O], MATCH("V.04", EF[Vector], 0))</f>
        <v>0</v>
      </c>
      <c r="H644" s="1993">
        <f>H$602*INDEX(EF[N2O], MATCH("V.04", EF[Vector], 0))</f>
        <v>0</v>
      </c>
      <c r="I644" s="1993">
        <f>I$602*INDEX(EF[N2O], MATCH("V.04", EF[Vector], 0))</f>
        <v>0</v>
      </c>
      <c r="J644" s="1993">
        <f>J$602*INDEX(EF[N2O], MATCH("V.04", EF[Vector], 0))</f>
        <v>0</v>
      </c>
      <c r="K644" s="1993">
        <f>K$602*INDEX(EF[N2O], MATCH("V.04", EF[Vector], 0))</f>
        <v>0</v>
      </c>
      <c r="L644" s="1993">
        <f>L$602*INDEX(EF[N2O], MATCH("V.04", EF[Vector], 0))</f>
        <v>0</v>
      </c>
      <c r="M644" s="1993">
        <f>M$602*INDEX(EF[N2O], MATCH("V.04", EF[Vector], 0))</f>
        <v>0</v>
      </c>
      <c r="N644" s="1993">
        <f>N$602*INDEX(EF[N2O], MATCH("V.04", EF[Vector], 0))</f>
        <v>0</v>
      </c>
      <c r="O644" s="1993">
        <f>O$602*INDEX(EF[N2O], MATCH("V.04", EF[Vector], 0))</f>
        <v>0</v>
      </c>
    </row>
  </sheetData>
  <mergeCells count="2">
    <mergeCell ref="G61:H61"/>
    <mergeCell ref="I61:J61"/>
  </mergeCells>
  <hyperlinks>
    <hyperlink ref="E2" r:id="rId1"/>
  </hyperlinks>
  <pageMargins left="0.7" right="0.7" top="0.75" bottom="0.75" header="0.3" footer="0.3"/>
  <pageSetup paperSize="9" orientation="portrait" horizontalDpi="300" verticalDpi="300"/>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6" enableFormatConditionsCalculation="0">
    <tabColor theme="9"/>
    <outlinePr summaryBelow="0"/>
    <pageSetUpPr autoPageBreaks="0"/>
  </sheetPr>
  <dimension ref="A1:AT725"/>
  <sheetViews>
    <sheetView workbookViewId="0"/>
  </sheetViews>
  <sheetFormatPr baseColWidth="10" defaultColWidth="8.83203125" defaultRowHeight="13" x14ac:dyDescent="0"/>
  <cols>
    <col min="1" max="1" width="7.6640625" style="117" customWidth="1"/>
    <col min="2" max="2" width="5.83203125" style="117" customWidth="1"/>
    <col min="3" max="3" width="20.5" style="117" customWidth="1"/>
    <col min="4" max="4" width="30.6640625" style="117" customWidth="1"/>
    <col min="5" max="5" width="20.6640625" style="117" customWidth="1"/>
    <col min="6" max="15" width="17.6640625" style="117" customWidth="1"/>
    <col min="16" max="16" width="2" style="117" customWidth="1"/>
    <col min="17" max="17" width="10.83203125" style="117" customWidth="1"/>
    <col min="18" max="18" width="36.5" style="117" customWidth="1"/>
    <col min="19" max="21" width="8.83203125" style="117"/>
    <col min="22" max="22" width="10.5" style="117" customWidth="1"/>
    <col min="23" max="16384" width="8.83203125" style="117"/>
  </cols>
  <sheetData>
    <row r="1" spans="1:46" ht="20">
      <c r="A1" s="554" t="s">
        <v>572</v>
      </c>
      <c r="B1" s="554" t="str">
        <f>INDEX(Workstreams[Workstream], MATCH($A1, Workstreams[Code], 0))</f>
        <v>Transport</v>
      </c>
      <c r="C1" s="554"/>
      <c r="AE1" s="2083"/>
      <c r="AF1" s="2083"/>
      <c r="AG1" s="2083"/>
      <c r="AH1" s="2083"/>
      <c r="AI1" s="2083"/>
      <c r="AJ1" s="2083"/>
      <c r="AK1" s="2083"/>
      <c r="AL1" s="2083"/>
      <c r="AM1" s="2083"/>
      <c r="AN1" s="2083"/>
      <c r="AO1" s="2083"/>
      <c r="AP1" s="2083"/>
      <c r="AQ1" s="2083"/>
      <c r="AR1" s="2083"/>
      <c r="AS1" s="2083"/>
      <c r="AT1" s="2083"/>
    </row>
    <row r="2" spans="1:46" s="528" customFormat="1" ht="19.5" customHeight="1">
      <c r="A2" s="6" t="s">
        <v>713</v>
      </c>
      <c r="B2" s="6" t="str">
        <f>INDEX(Modules[Module], MATCH($A2, Modules[Code], 0))</f>
        <v>International shipping</v>
      </c>
      <c r="C2" s="6"/>
      <c r="E2" s="1705" t="s">
        <v>1893</v>
      </c>
      <c r="AD2" s="2083"/>
      <c r="AE2" s="2083"/>
      <c r="AF2" s="2083"/>
      <c r="AG2" s="2083"/>
      <c r="AH2" s="2083"/>
      <c r="AI2" s="2083"/>
      <c r="AJ2" s="2083"/>
      <c r="AK2" s="2083"/>
      <c r="AL2" s="2083"/>
      <c r="AM2" s="2083"/>
      <c r="AN2" s="2083"/>
      <c r="AO2" s="2083"/>
      <c r="AP2" s="2083"/>
      <c r="AQ2" s="2083"/>
      <c r="AR2" s="2083"/>
      <c r="AS2" s="2083"/>
      <c r="AT2" s="2083"/>
    </row>
    <row r="3" spans="1:46">
      <c r="AD3" s="2083"/>
      <c r="AE3" s="2083"/>
      <c r="AF3" s="2083"/>
      <c r="AG3" s="2083"/>
      <c r="AH3" s="2083"/>
      <c r="AI3" s="2083"/>
      <c r="AJ3" s="2083"/>
      <c r="AK3" s="2083"/>
      <c r="AL3" s="2083"/>
      <c r="AM3" s="2083"/>
      <c r="AN3" s="2083"/>
      <c r="AO3" s="2083"/>
      <c r="AP3" s="2083"/>
      <c r="AQ3" s="2083"/>
      <c r="AR3" s="2083"/>
      <c r="AS3" s="2083"/>
      <c r="AT3" s="2083"/>
    </row>
    <row r="4" spans="1:46" ht="22" collapsed="1">
      <c r="A4" s="799"/>
      <c r="B4" s="843" t="s">
        <v>909</v>
      </c>
      <c r="C4" s="810"/>
      <c r="D4" s="810"/>
      <c r="E4" s="810"/>
      <c r="F4" s="810"/>
      <c r="G4" s="810"/>
      <c r="H4" s="810"/>
      <c r="I4" s="810"/>
      <c r="J4" s="810"/>
      <c r="K4" s="810"/>
      <c r="L4" s="810"/>
      <c r="M4" s="810"/>
      <c r="N4" s="810"/>
      <c r="O4" s="810"/>
      <c r="P4" s="811"/>
      <c r="AD4" s="2083"/>
      <c r="AE4" s="2083"/>
      <c r="AF4" s="2083"/>
      <c r="AG4" s="2083"/>
      <c r="AH4" s="2083"/>
      <c r="AI4" s="2083"/>
      <c r="AJ4" s="2083"/>
      <c r="AK4" s="2083"/>
      <c r="AL4" s="2083"/>
      <c r="AM4" s="2083"/>
      <c r="AN4" s="2083"/>
      <c r="AO4" s="2083"/>
      <c r="AP4" s="2083"/>
      <c r="AQ4" s="2083"/>
      <c r="AR4" s="2083"/>
      <c r="AS4" s="2083"/>
      <c r="AT4" s="2083"/>
    </row>
    <row r="5" spans="1:46">
      <c r="B5" s="800"/>
      <c r="C5" s="802"/>
      <c r="D5" s="802"/>
      <c r="E5" s="802"/>
      <c r="F5" s="802"/>
      <c r="G5" s="802"/>
      <c r="H5" s="802"/>
      <c r="I5" s="802"/>
      <c r="J5" s="802"/>
      <c r="K5" s="802"/>
      <c r="L5" s="802"/>
      <c r="M5" s="802"/>
      <c r="N5" s="802"/>
      <c r="O5" s="802"/>
      <c r="P5" s="804"/>
      <c r="AD5" s="528"/>
      <c r="AE5" s="528"/>
      <c r="AF5" s="528"/>
      <c r="AG5" s="528"/>
      <c r="AH5" s="528"/>
      <c r="AI5" s="528"/>
      <c r="AJ5" s="528"/>
      <c r="AK5" s="528"/>
      <c r="AL5" s="528"/>
      <c r="AM5" s="528"/>
    </row>
    <row r="6" spans="1:46" ht="5.25" customHeight="1">
      <c r="B6" s="800"/>
      <c r="C6" s="801"/>
      <c r="D6" s="802"/>
      <c r="E6" s="803"/>
      <c r="F6" s="802"/>
      <c r="G6" s="802"/>
      <c r="H6" s="802"/>
      <c r="I6" s="802"/>
      <c r="J6" s="802"/>
      <c r="K6" s="802"/>
      <c r="L6" s="802"/>
      <c r="M6" s="802"/>
      <c r="N6" s="802"/>
      <c r="O6" s="802"/>
      <c r="P6" s="804"/>
    </row>
    <row r="7" spans="1:46" ht="15">
      <c r="B7" s="805"/>
      <c r="C7" s="802"/>
      <c r="D7" s="606" t="s">
        <v>656</v>
      </c>
      <c r="E7" s="606" t="s">
        <v>908</v>
      </c>
      <c r="F7" s="802"/>
      <c r="G7" s="802"/>
      <c r="H7" s="802"/>
      <c r="I7" s="802"/>
      <c r="J7" s="802"/>
      <c r="K7" s="802"/>
      <c r="L7" s="802"/>
      <c r="M7" s="802"/>
      <c r="N7" s="802"/>
      <c r="O7" s="802"/>
      <c r="P7" s="804"/>
    </row>
    <row r="8" spans="1:46" ht="15">
      <c r="B8" s="805"/>
      <c r="C8" s="802"/>
      <c r="D8" s="627" t="s">
        <v>911</v>
      </c>
      <c r="E8" s="627">
        <f>XII.e.Scenario</f>
        <v>1</v>
      </c>
      <c r="F8" s="802"/>
      <c r="G8" s="802"/>
      <c r="H8" s="802"/>
      <c r="I8" s="802"/>
      <c r="J8" s="802"/>
      <c r="K8" s="802"/>
      <c r="L8" s="802"/>
      <c r="M8" s="802"/>
      <c r="N8" s="802"/>
      <c r="O8" s="802"/>
      <c r="P8" s="804"/>
      <c r="R8" s="1916" t="s">
        <v>1784</v>
      </c>
      <c r="S8" s="18"/>
      <c r="T8" s="18"/>
      <c r="U8" s="18"/>
      <c r="V8" s="18"/>
      <c r="W8" s="18"/>
      <c r="X8" s="18"/>
      <c r="Y8" s="18"/>
      <c r="Z8" s="18"/>
      <c r="AA8" s="18"/>
      <c r="AB8" s="18"/>
    </row>
    <row r="9" spans="1:46">
      <c r="B9" s="816"/>
      <c r="C9" s="808"/>
      <c r="D9" s="808"/>
      <c r="E9" s="808"/>
      <c r="F9" s="808"/>
      <c r="G9" s="808"/>
      <c r="H9" s="808"/>
      <c r="I9" s="808"/>
      <c r="J9" s="808"/>
      <c r="K9" s="808"/>
      <c r="L9" s="808"/>
      <c r="M9" s="808"/>
      <c r="N9" s="808"/>
      <c r="O9" s="808"/>
      <c r="P9" s="809"/>
      <c r="R9" s="1920" t="s">
        <v>1169</v>
      </c>
      <c r="S9" s="1921">
        <v>2007</v>
      </c>
      <c r="T9" s="1921">
        <v>2010</v>
      </c>
      <c r="U9" s="1921">
        <v>2015</v>
      </c>
      <c r="V9" s="1921">
        <v>2020</v>
      </c>
      <c r="W9" s="1921">
        <v>2025</v>
      </c>
      <c r="X9" s="1921">
        <v>2030</v>
      </c>
      <c r="Y9" s="1921">
        <v>2035</v>
      </c>
      <c r="Z9" s="1921">
        <v>2040</v>
      </c>
      <c r="AA9" s="1921">
        <v>2045</v>
      </c>
      <c r="AB9" s="1921">
        <v>2050</v>
      </c>
    </row>
    <row r="10" spans="1:46">
      <c r="R10" s="1919" t="s">
        <v>1779</v>
      </c>
      <c r="S10" s="2084">
        <v>13.8</v>
      </c>
      <c r="T10" s="2084">
        <v>14.596746532969391</v>
      </c>
      <c r="U10" s="2085">
        <v>16.028185766962554</v>
      </c>
      <c r="V10" s="2085">
        <v>17.600000000000001</v>
      </c>
      <c r="W10" s="2085">
        <v>19.543974162700433</v>
      </c>
      <c r="X10" s="2085">
        <v>21.702666254108099</v>
      </c>
      <c r="Y10" s="2085">
        <v>24.099792530227258</v>
      </c>
      <c r="Z10" s="2085">
        <v>26.761688780522899</v>
      </c>
      <c r="AA10" s="2085">
        <v>29.717599663452855</v>
      </c>
      <c r="AB10" s="2085">
        <v>32.999999999999908</v>
      </c>
    </row>
    <row r="11" spans="1:46" s="528" customFormat="1" ht="22" collapsed="1">
      <c r="A11" s="798"/>
      <c r="B11" s="845" t="s">
        <v>910</v>
      </c>
      <c r="C11" s="796"/>
      <c r="D11" s="796"/>
      <c r="E11" s="796"/>
      <c r="F11" s="796"/>
      <c r="G11" s="796"/>
      <c r="H11" s="796"/>
      <c r="I11" s="796"/>
      <c r="J11" s="796"/>
      <c r="K11" s="796"/>
      <c r="L11" s="796"/>
      <c r="M11" s="796"/>
      <c r="N11" s="796"/>
      <c r="O11" s="796"/>
      <c r="P11" s="797"/>
      <c r="R11" s="1919" t="s">
        <v>1780</v>
      </c>
      <c r="S11" s="2084">
        <v>13.8</v>
      </c>
      <c r="T11" s="2084">
        <v>14.596746532969391</v>
      </c>
      <c r="U11" s="2085">
        <v>15.22056707111275</v>
      </c>
      <c r="V11" s="2085">
        <v>15.333333333333337</v>
      </c>
      <c r="W11" s="2085">
        <v>16.57899350963125</v>
      </c>
      <c r="X11" s="2085">
        <v>17.925849508199672</v>
      </c>
      <c r="Y11" s="2085">
        <v>19.382122346808828</v>
      </c>
      <c r="Z11" s="2085">
        <v>20.956700908084063</v>
      </c>
      <c r="AA11" s="2085">
        <v>22.659196195983185</v>
      </c>
      <c r="AB11" s="2085">
        <v>24.5</v>
      </c>
    </row>
    <row r="12" spans="1:46">
      <c r="B12" s="788"/>
      <c r="C12" s="588"/>
      <c r="D12" s="588"/>
      <c r="E12" s="588"/>
      <c r="F12" s="588"/>
      <c r="G12" s="588"/>
      <c r="H12" s="588"/>
      <c r="I12" s="588"/>
      <c r="J12" s="588"/>
      <c r="K12" s="588"/>
      <c r="L12" s="588"/>
      <c r="M12" s="588"/>
      <c r="N12" s="588"/>
      <c r="O12" s="588"/>
      <c r="P12" s="789"/>
      <c r="R12" s="1919" t="s">
        <v>1781</v>
      </c>
      <c r="S12" s="2084">
        <v>13.8</v>
      </c>
      <c r="T12" s="2084">
        <v>14.596746532969391</v>
      </c>
      <c r="U12" s="2085">
        <v>14.334380269135199</v>
      </c>
      <c r="V12" s="2085">
        <v>13.066666666666672</v>
      </c>
      <c r="W12" s="2085">
        <v>13.515247629754276</v>
      </c>
      <c r="X12" s="2085">
        <v>13.979228456141209</v>
      </c>
      <c r="Y12" s="2085">
        <v>14.459137825841013</v>
      </c>
      <c r="Z12" s="2085">
        <v>14.955522568545005</v>
      </c>
      <c r="AA12" s="2085">
        <v>15.468948286703908</v>
      </c>
      <c r="AB12" s="2085">
        <v>16</v>
      </c>
    </row>
    <row r="13" spans="1:46">
      <c r="B13" s="788"/>
      <c r="C13" s="1723" t="s">
        <v>1633</v>
      </c>
      <c r="D13" s="588"/>
      <c r="E13" s="591"/>
      <c r="F13" s="588"/>
      <c r="G13" s="588"/>
      <c r="H13" s="588"/>
      <c r="I13" s="588"/>
      <c r="J13" s="588"/>
      <c r="K13" s="588"/>
      <c r="L13" s="588"/>
      <c r="M13" s="588"/>
      <c r="N13" s="588"/>
      <c r="O13" s="591" t="str">
        <f>Preferences.EnergyUnits</f>
        <v>TWh</v>
      </c>
      <c r="P13" s="789"/>
      <c r="R13" s="1919" t="s">
        <v>1782</v>
      </c>
      <c r="S13" s="2084">
        <v>13.8</v>
      </c>
      <c r="T13" s="2084">
        <v>14.596746532969391</v>
      </c>
      <c r="U13" s="2085">
        <v>13.345997069352006</v>
      </c>
      <c r="V13" s="2085">
        <v>10.8</v>
      </c>
      <c r="W13" s="2085">
        <v>10.163189111915109</v>
      </c>
      <c r="X13" s="2085">
        <v>9.5639271226435021</v>
      </c>
      <c r="Y13" s="2085">
        <v>9</v>
      </c>
      <c r="Z13" s="2085">
        <v>8.4693242599292624</v>
      </c>
      <c r="AA13" s="2085">
        <v>7.9699392688695925</v>
      </c>
      <c r="AB13" s="2085">
        <v>7.5</v>
      </c>
    </row>
    <row r="14" spans="1:46" ht="4.5" customHeight="1">
      <c r="B14" s="788"/>
      <c r="C14" s="588"/>
      <c r="D14" s="588"/>
      <c r="E14" s="588"/>
      <c r="F14" s="588"/>
      <c r="G14" s="588"/>
      <c r="H14" s="588"/>
      <c r="I14" s="588"/>
      <c r="J14" s="588"/>
      <c r="K14" s="588"/>
      <c r="L14" s="588"/>
      <c r="M14" s="588"/>
      <c r="N14" s="588"/>
      <c r="O14" s="588"/>
      <c r="P14" s="789"/>
      <c r="S14" s="1732"/>
      <c r="T14" s="1732"/>
      <c r="U14" s="1732"/>
      <c r="V14" s="1924"/>
      <c r="W14" s="1925"/>
      <c r="X14" s="1925"/>
      <c r="Y14" s="1925"/>
      <c r="Z14" s="1925"/>
      <c r="AA14" s="565"/>
      <c r="AB14" s="565"/>
    </row>
    <row r="15" spans="1:46" ht="14">
      <c r="B15" s="788"/>
      <c r="C15" s="542" t="s">
        <v>908</v>
      </c>
      <c r="D15" s="542" t="s">
        <v>74</v>
      </c>
      <c r="E15" s="542" t="s">
        <v>422</v>
      </c>
      <c r="F15" s="607">
        <v>2007</v>
      </c>
      <c r="G15" s="608">
        <v>2010</v>
      </c>
      <c r="H15" s="607">
        <v>2015</v>
      </c>
      <c r="I15" s="607">
        <v>2020</v>
      </c>
      <c r="J15" s="607">
        <v>2025</v>
      </c>
      <c r="K15" s="607">
        <v>2030</v>
      </c>
      <c r="L15" s="607">
        <v>2035</v>
      </c>
      <c r="M15" s="607">
        <v>2040</v>
      </c>
      <c r="N15" s="607">
        <v>2045</v>
      </c>
      <c r="O15" s="607">
        <v>2050</v>
      </c>
      <c r="P15" s="789"/>
      <c r="R15" s="2083" t="s">
        <v>1839</v>
      </c>
      <c r="S15" s="1921">
        <v>2007</v>
      </c>
      <c r="T15" s="1921">
        <v>2010</v>
      </c>
      <c r="U15" s="1732">
        <v>2015</v>
      </c>
      <c r="V15" s="1732">
        <v>2020</v>
      </c>
      <c r="W15" s="1732">
        <v>2025</v>
      </c>
      <c r="X15" s="1732">
        <v>2030</v>
      </c>
      <c r="Y15" s="1732">
        <v>2035</v>
      </c>
      <c r="Z15" s="1732">
        <v>2040</v>
      </c>
      <c r="AA15" s="1732">
        <v>2045</v>
      </c>
      <c r="AB15" s="1732">
        <v>2050</v>
      </c>
    </row>
    <row r="16" spans="1:46" ht="15">
      <c r="B16" s="790"/>
      <c r="C16" s="567">
        <v>1</v>
      </c>
      <c r="D16" s="568" t="s">
        <v>136</v>
      </c>
      <c r="E16" s="848"/>
      <c r="F16" s="1620">
        <f>S10/INDEX(EF[CO2e], MATCH("V.04", EF[Vector], 0))</f>
        <v>54.158157087257202</v>
      </c>
      <c r="G16" s="575">
        <f>T10/INDEX(EF[CO2e], MATCH("V.04", EF[Vector], 0))</f>
        <v>57.284992151842978</v>
      </c>
      <c r="H16" s="575">
        <f>U10/INDEX(EF[CO2e], MATCH("V.04", EF[Vector], 0))</f>
        <v>62.902681347166521</v>
      </c>
      <c r="I16" s="575">
        <f>V10/INDEX(EF[CO2e], MATCH("V.04", EF[Vector], 0))</f>
        <v>69.071272806936719</v>
      </c>
      <c r="J16" s="575">
        <f>W10/INDEX(EF[CO2e], MATCH("V.04", EF[Vector], 0))</f>
        <v>76.700407450204779</v>
      </c>
      <c r="K16" s="575">
        <f>X10/INDEX(EF[CO2e], MATCH("V.04", EF[Vector], 0))</f>
        <v>85.172203492920445</v>
      </c>
      <c r="L16" s="575">
        <f>Y10/INDEX(EF[CO2e], MATCH("V.04", EF[Vector], 0))</f>
        <v>94.579735479880824</v>
      </c>
      <c r="M16" s="575">
        <f>Z10/INDEX(EF[CO2e], MATCH("V.04", EF[Vector], 0))</f>
        <v>105.02635832578606</v>
      </c>
      <c r="N16" s="575">
        <f>AA10/INDEX(EF[CO2e], MATCH("V.04", EF[Vector], 0))</f>
        <v>116.62684281373198</v>
      </c>
      <c r="O16" s="575">
        <f>AB10/INDEX(EF[CO2e], MATCH("V.04", EF[Vector], 0))</f>
        <v>129.50863651300597</v>
      </c>
      <c r="P16" s="1469"/>
      <c r="R16" s="1916" t="s">
        <v>1779</v>
      </c>
      <c r="S16" s="2086">
        <v>0</v>
      </c>
      <c r="T16" s="2086">
        <v>0</v>
      </c>
      <c r="U16" s="1009">
        <v>0</v>
      </c>
      <c r="V16" s="1009">
        <v>0</v>
      </c>
      <c r="W16" s="1009">
        <v>0</v>
      </c>
      <c r="X16" s="1009">
        <v>0</v>
      </c>
      <c r="Y16" s="1009">
        <v>0</v>
      </c>
      <c r="Z16" s="1009">
        <v>0</v>
      </c>
      <c r="AA16" s="1009">
        <v>0</v>
      </c>
      <c r="AB16" s="1009">
        <v>0</v>
      </c>
    </row>
    <row r="17" spans="1:29" ht="15">
      <c r="B17" s="790"/>
      <c r="C17" s="567">
        <v>2</v>
      </c>
      <c r="D17" s="568" t="s">
        <v>136</v>
      </c>
      <c r="E17" s="848"/>
      <c r="F17" s="1621">
        <f>S11/INDEX(EF[CO2e], MATCH("V.04", EF[Vector], 0))</f>
        <v>54.158157087257202</v>
      </c>
      <c r="G17" s="575">
        <f>T11/INDEX(EF[CO2e], MATCH("V.04", EF[Vector], 0))</f>
        <v>57.284992151842978</v>
      </c>
      <c r="H17" s="575">
        <f>U11/INDEX(EF[CO2e], MATCH("V.04", EF[Vector], 0))</f>
        <v>59.733178434381053</v>
      </c>
      <c r="I17" s="575">
        <f>V11/INDEX(EF[CO2e], MATCH("V.04", EF[Vector], 0))</f>
        <v>60.175730096952456</v>
      </c>
      <c r="J17" s="575">
        <f>W11/INDEX(EF[CO2e], MATCH("V.04", EF[Vector], 0))</f>
        <v>65.064328611828017</v>
      </c>
      <c r="K17" s="575">
        <f>X11/INDEX(EF[CO2e], MATCH("V.04", EF[Vector], 0))</f>
        <v>70.35007054982681</v>
      </c>
      <c r="L17" s="575">
        <f>Y11/INDEX(EF[CO2e], MATCH("V.04", EF[Vector], 0))</f>
        <v>76.065219329196424</v>
      </c>
      <c r="M17" s="575">
        <f>Z11/INDEX(EF[CO2e], MATCH("V.04", EF[Vector], 0))</f>
        <v>82.244659406571174</v>
      </c>
      <c r="N17" s="575">
        <f>AA11/INDEX(EF[CO2e], MATCH("V.04", EF[Vector], 0))</f>
        <v>88.926109206741884</v>
      </c>
      <c r="O17" s="575">
        <f>AB11/INDEX(EF[CO2e], MATCH("V.04", EF[Vector], 0))</f>
        <v>96.150351350565316</v>
      </c>
      <c r="P17" s="1469"/>
      <c r="R17" s="1916" t="s">
        <v>1780</v>
      </c>
      <c r="S17" s="2086">
        <v>0</v>
      </c>
      <c r="T17" s="2086">
        <v>0</v>
      </c>
      <c r="U17" s="1009">
        <v>-7.1070445234782773E-2</v>
      </c>
      <c r="V17" s="1009">
        <v>-0.1994666666666664</v>
      </c>
      <c r="W17" s="1009">
        <v>-0.25838686899209912</v>
      </c>
      <c r="X17" s="1009">
        <v>-0.32594204941872862</v>
      </c>
      <c r="Y17" s="1009">
        <v>-0.40318833434550116</v>
      </c>
      <c r="Z17" s="1009">
        <v>-0.4913009482946058</v>
      </c>
      <c r="AA17" s="1009">
        <v>-0.59158706357703383</v>
      </c>
      <c r="AB17" s="1009">
        <v>-0.70549999999999236</v>
      </c>
      <c r="AC17" s="1915"/>
    </row>
    <row r="18" spans="1:29" ht="15">
      <c r="B18" s="790"/>
      <c r="C18" s="567">
        <v>3</v>
      </c>
      <c r="D18" s="568" t="s">
        <v>136</v>
      </c>
      <c r="E18" s="848"/>
      <c r="F18" s="1621">
        <f>S12/INDEX(EF[CO2e], MATCH("V.04", EF[Vector], 0))</f>
        <v>54.158157087257202</v>
      </c>
      <c r="G18" s="575">
        <f>T12/INDEX(EF[CO2e], MATCH("V.04", EF[Vector], 0))</f>
        <v>57.284992151842978</v>
      </c>
      <c r="H18" s="575">
        <f>U12/INDEX(EF[CO2e], MATCH("V.04", EF[Vector], 0))</f>
        <v>56.255334664080017</v>
      </c>
      <c r="I18" s="575">
        <f>V12/INDEX(EF[CO2e], MATCH("V.04", EF[Vector], 0))</f>
        <v>51.280187386968187</v>
      </c>
      <c r="J18" s="575">
        <f>W12/INDEX(EF[CO2e], MATCH("V.04", EF[Vector], 0))</f>
        <v>53.040645232276269</v>
      </c>
      <c r="K18" s="575">
        <f>X12/INDEX(EF[CO2e], MATCH("V.04", EF[Vector], 0))</f>
        <v>54.861539904808083</v>
      </c>
      <c r="L18" s="575">
        <f>Y12/INDEX(EF[CO2e], MATCH("V.04", EF[Vector], 0))</f>
        <v>56.744946211463777</v>
      </c>
      <c r="M18" s="575">
        <f>Z12/INDEX(EF[CO2e], MATCH("V.04", EF[Vector], 0))</f>
        <v>58.693010187629028</v>
      </c>
      <c r="N18" s="575">
        <f>AA12/INDEX(EF[CO2e], MATCH("V.04", EF[Vector], 0))</f>
        <v>60.707951542461473</v>
      </c>
      <c r="O18" s="575">
        <f>AB12/INDEX(EF[CO2e], MATCH("V.04", EF[Vector], 0))</f>
        <v>62.792066188124288</v>
      </c>
      <c r="P18" s="1469"/>
      <c r="R18" s="1916" t="s">
        <v>1781</v>
      </c>
      <c r="S18" s="2086">
        <v>0</v>
      </c>
      <c r="T18" s="2086">
        <v>0</v>
      </c>
      <c r="U18" s="1009">
        <v>-0.1490548838088073</v>
      </c>
      <c r="V18" s="1009">
        <v>-0.39893333333333297</v>
      </c>
      <c r="W18" s="1009">
        <v>-0.52538075459111699</v>
      </c>
      <c r="X18" s="1009">
        <v>-0.66653833473773672</v>
      </c>
      <c r="Y18" s="1009">
        <v>-0.82392353876783397</v>
      </c>
      <c r="Z18" s="1009">
        <v>-0.99920633481557508</v>
      </c>
      <c r="AA18" s="1009">
        <v>-1.1942244257858428</v>
      </c>
      <c r="AB18" s="1009">
        <v>-1.4109999999999923</v>
      </c>
      <c r="AC18" s="1915"/>
    </row>
    <row r="19" spans="1:29" ht="15">
      <c r="B19" s="790"/>
      <c r="C19" s="545">
        <v>4</v>
      </c>
      <c r="D19" s="546" t="s">
        <v>136</v>
      </c>
      <c r="E19" s="546"/>
      <c r="F19" s="1622">
        <f>S13/INDEX(EF[CO2e], MATCH("V.04", EF[Vector], 0))</f>
        <v>54.158157087257202</v>
      </c>
      <c r="G19" s="600">
        <f>T13/INDEX(EF[CO2e], MATCH("V.04", EF[Vector], 0))</f>
        <v>57.284992151842978</v>
      </c>
      <c r="H19" s="600">
        <f>U13/INDEX(EF[CO2e], MATCH("V.04", EF[Vector], 0))</f>
        <v>52.376420707828991</v>
      </c>
      <c r="I19" s="600">
        <f>V13/INDEX(EF[CO2e], MATCH("V.04", EF[Vector], 0))</f>
        <v>42.384644676983896</v>
      </c>
      <c r="J19" s="600">
        <f>W13/INDEX(EF[CO2e], MATCH("V.04", EF[Vector], 0))</f>
        <v>39.885477712362352</v>
      </c>
      <c r="K19" s="600">
        <f>X13/INDEX(EF[CO2e], MATCH("V.04", EF[Vector], 0))</f>
        <v>37.533671556464242</v>
      </c>
      <c r="L19" s="600">
        <f>Y13/INDEX(EF[CO2e], MATCH("V.04", EF[Vector], 0))</f>
        <v>35.320537230819909</v>
      </c>
      <c r="M19" s="600">
        <f>Z13/INDEX(EF[CO2e], MATCH("V.04", EF[Vector], 0))</f>
        <v>33.237898093635309</v>
      </c>
      <c r="N19" s="600">
        <f>AA13/INDEX(EF[CO2e], MATCH("V.04", EF[Vector], 0))</f>
        <v>31.278059630386895</v>
      </c>
      <c r="O19" s="600">
        <f>AB13/INDEX(EF[CO2e], MATCH("V.04", EF[Vector], 0))</f>
        <v>29.43378102568326</v>
      </c>
      <c r="P19" s="1469"/>
      <c r="R19" s="1916" t="s">
        <v>1782</v>
      </c>
      <c r="S19" s="2086">
        <v>0</v>
      </c>
      <c r="T19" s="2086">
        <v>0</v>
      </c>
      <c r="U19" s="1009">
        <v>-0.23603260538972831</v>
      </c>
      <c r="V19" s="1009">
        <v>-0.59840000000000004</v>
      </c>
      <c r="W19" s="1009">
        <v>-0.8174999980020955</v>
      </c>
      <c r="X19" s="1009">
        <v>-1.0475820713713864</v>
      </c>
      <c r="Y19" s="1009">
        <v>-1.2904802503199899</v>
      </c>
      <c r="Z19" s="1009">
        <v>-1.5481610354756081</v>
      </c>
      <c r="AA19" s="1009">
        <v>-1.8227400306310633</v>
      </c>
      <c r="AB19" s="1009">
        <v>-2.1164999999999923</v>
      </c>
      <c r="AC19" s="1915"/>
    </row>
    <row r="20" spans="1:29" ht="15">
      <c r="B20" s="790"/>
      <c r="C20" s="1709" t="s">
        <v>893</v>
      </c>
      <c r="D20" s="1710"/>
      <c r="E20" s="1710"/>
      <c r="F20" s="1773">
        <f>(INDEX(F$16:F$19,ROUNDDOWN($E$8,0))*(1-MOD($E$8,1)))+(INDEX(F$16:F$19,ROUNDUP($E$8,0))*MOD($E$8,1))</f>
        <v>54.158157087257202</v>
      </c>
      <c r="G20" s="1773">
        <f t="shared" ref="G20:O20" si="0">(INDEX(G$16:G$19,ROUNDDOWN($E$8,0))*(1-MOD($E$8,1)))+(INDEX(G$16:G$19,ROUNDUP($E$8,0))*MOD($E$8,1))</f>
        <v>57.284992151842978</v>
      </c>
      <c r="H20" s="1773">
        <f t="shared" si="0"/>
        <v>62.902681347166521</v>
      </c>
      <c r="I20" s="1773">
        <f t="shared" si="0"/>
        <v>69.071272806936719</v>
      </c>
      <c r="J20" s="1773">
        <f t="shared" si="0"/>
        <v>76.700407450204779</v>
      </c>
      <c r="K20" s="1773">
        <f t="shared" si="0"/>
        <v>85.172203492920445</v>
      </c>
      <c r="L20" s="1773">
        <f t="shared" si="0"/>
        <v>94.579735479880824</v>
      </c>
      <c r="M20" s="1773">
        <f t="shared" si="0"/>
        <v>105.02635832578606</v>
      </c>
      <c r="N20" s="1773">
        <f t="shared" si="0"/>
        <v>116.62684281373198</v>
      </c>
      <c r="O20" s="2048">
        <f t="shared" si="0"/>
        <v>129.50863651300597</v>
      </c>
      <c r="P20" s="789"/>
      <c r="R20" s="1855"/>
      <c r="S20" s="1732"/>
      <c r="T20" s="1732"/>
      <c r="U20" s="1732"/>
      <c r="V20" s="1732"/>
      <c r="W20" s="1732"/>
      <c r="X20" s="1732"/>
      <c r="Y20" s="1732"/>
      <c r="Z20" s="1732"/>
      <c r="AA20" s="1732"/>
      <c r="AB20" s="1732"/>
      <c r="AC20" s="1915"/>
    </row>
    <row r="21" spans="1:29">
      <c r="B21" s="792"/>
      <c r="C21" s="840"/>
      <c r="D21" s="592"/>
      <c r="E21" s="588"/>
      <c r="F21" s="588"/>
      <c r="G21" s="588"/>
      <c r="H21" s="588"/>
      <c r="I21" s="588"/>
      <c r="J21" s="588"/>
      <c r="K21" s="588"/>
      <c r="L21" s="588"/>
      <c r="M21" s="588"/>
      <c r="N21" s="588"/>
      <c r="O21" s="588"/>
      <c r="P21" s="789"/>
      <c r="R21" s="1916" t="s">
        <v>1785</v>
      </c>
      <c r="S21" s="1921">
        <v>2007</v>
      </c>
      <c r="T21" s="1921">
        <v>2010</v>
      </c>
      <c r="U21" s="1732">
        <v>2015</v>
      </c>
      <c r="V21" s="1732">
        <v>2020</v>
      </c>
      <c r="W21" s="1732">
        <v>2025</v>
      </c>
      <c r="X21" s="1732">
        <v>2030</v>
      </c>
      <c r="Y21" s="1732">
        <v>2035</v>
      </c>
      <c r="Z21" s="1732">
        <v>2040</v>
      </c>
      <c r="AA21" s="1732">
        <v>2045</v>
      </c>
      <c r="AB21" s="1732">
        <v>2050</v>
      </c>
      <c r="AC21" s="1915"/>
    </row>
    <row r="22" spans="1:29">
      <c r="B22" s="792"/>
      <c r="C22" s="839"/>
      <c r="D22" s="592"/>
      <c r="E22" s="588"/>
      <c r="F22" s="588"/>
      <c r="G22" s="588"/>
      <c r="H22" s="588"/>
      <c r="I22" s="588"/>
      <c r="J22" s="588"/>
      <c r="K22" s="588"/>
      <c r="L22" s="588"/>
      <c r="M22" s="588"/>
      <c r="N22" s="588"/>
      <c r="O22" s="588"/>
      <c r="P22" s="789"/>
      <c r="R22" s="1916" t="s">
        <v>1779</v>
      </c>
      <c r="S22" s="1926">
        <f t="shared" ref="S22:AA24" si="1">S$10-S10</f>
        <v>0</v>
      </c>
      <c r="T22" s="1926">
        <f t="shared" si="1"/>
        <v>0</v>
      </c>
      <c r="U22" s="1926">
        <f t="shared" si="1"/>
        <v>0</v>
      </c>
      <c r="V22" s="1926">
        <f t="shared" si="1"/>
        <v>0</v>
      </c>
      <c r="W22" s="1926">
        <f t="shared" si="1"/>
        <v>0</v>
      </c>
      <c r="X22" s="1926">
        <f t="shared" si="1"/>
        <v>0</v>
      </c>
      <c r="Y22" s="1926">
        <f t="shared" si="1"/>
        <v>0</v>
      </c>
      <c r="Z22" s="1926">
        <f t="shared" si="1"/>
        <v>0</v>
      </c>
      <c r="AA22" s="1926">
        <f t="shared" si="1"/>
        <v>0</v>
      </c>
      <c r="AB22" s="1926">
        <f t="shared" ref="AB22:AB24" si="2">AB$10-AB10</f>
        <v>0</v>
      </c>
      <c r="AC22" s="1915"/>
    </row>
    <row r="23" spans="1:29" ht="15">
      <c r="B23" s="817"/>
      <c r="C23" s="818"/>
      <c r="D23" s="819"/>
      <c r="E23" s="819"/>
      <c r="F23" s="820"/>
      <c r="G23" s="821"/>
      <c r="H23" s="821"/>
      <c r="I23" s="821"/>
      <c r="J23" s="821"/>
      <c r="K23" s="821"/>
      <c r="L23" s="821"/>
      <c r="M23" s="821"/>
      <c r="N23" s="821"/>
      <c r="O23" s="821"/>
      <c r="P23" s="795"/>
      <c r="R23" s="1916" t="s">
        <v>1780</v>
      </c>
      <c r="S23" s="1926">
        <f t="shared" si="1"/>
        <v>0</v>
      </c>
      <c r="T23" s="1926">
        <f t="shared" si="1"/>
        <v>0</v>
      </c>
      <c r="U23" s="1926">
        <f t="shared" si="1"/>
        <v>0.80761869584980417</v>
      </c>
      <c r="V23" s="1926">
        <f t="shared" si="1"/>
        <v>2.2666666666666639</v>
      </c>
      <c r="W23" s="1926">
        <f t="shared" si="1"/>
        <v>2.9649806530691833</v>
      </c>
      <c r="X23" s="1926">
        <f t="shared" si="1"/>
        <v>3.7768167459084268</v>
      </c>
      <c r="Y23" s="1926">
        <f t="shared" si="1"/>
        <v>4.7176701834184307</v>
      </c>
      <c r="Z23" s="1926">
        <f t="shared" si="1"/>
        <v>5.8049878724388364</v>
      </c>
      <c r="AA23" s="1926">
        <f t="shared" si="1"/>
        <v>7.0584034674696703</v>
      </c>
      <c r="AB23" s="1926">
        <f t="shared" si="2"/>
        <v>8.4999999999999076</v>
      </c>
      <c r="AC23" s="1915"/>
    </row>
    <row r="24" spans="1:29">
      <c r="R24" s="1916" t="s">
        <v>1781</v>
      </c>
      <c r="S24" s="1926">
        <f t="shared" si="1"/>
        <v>0</v>
      </c>
      <c r="T24" s="1926">
        <f t="shared" si="1"/>
        <v>0</v>
      </c>
      <c r="U24" s="1926">
        <f t="shared" si="1"/>
        <v>1.6938054978273556</v>
      </c>
      <c r="V24" s="1926">
        <f>V$10-V12</f>
        <v>4.5333333333333297</v>
      </c>
      <c r="W24" s="1926">
        <f t="shared" si="1"/>
        <v>6.0287265329461572</v>
      </c>
      <c r="X24" s="1926">
        <f t="shared" si="1"/>
        <v>7.7234377979668896</v>
      </c>
      <c r="Y24" s="1926">
        <f t="shared" si="1"/>
        <v>9.6406547043862449</v>
      </c>
      <c r="Z24" s="1926">
        <f t="shared" si="1"/>
        <v>11.806166211977894</v>
      </c>
      <c r="AA24" s="1926">
        <f t="shared" si="1"/>
        <v>14.248651376748947</v>
      </c>
      <c r="AB24" s="1926">
        <f t="shared" si="2"/>
        <v>16.999999999999908</v>
      </c>
    </row>
    <row r="25" spans="1:29" s="528" customFormat="1" ht="22" collapsed="1">
      <c r="A25" s="798"/>
      <c r="B25" s="1729" t="s">
        <v>635</v>
      </c>
      <c r="C25" s="796"/>
      <c r="D25" s="796"/>
      <c r="E25" s="796"/>
      <c r="F25" s="796"/>
      <c r="G25" s="796"/>
      <c r="H25" s="796"/>
      <c r="I25" s="796"/>
      <c r="J25" s="796"/>
      <c r="K25" s="796"/>
      <c r="L25" s="796"/>
      <c r="M25" s="796"/>
      <c r="N25" s="796"/>
      <c r="O25" s="796"/>
      <c r="P25" s="797"/>
      <c r="R25" s="1916" t="s">
        <v>1782</v>
      </c>
      <c r="S25" s="1926">
        <f t="shared" ref="S25:AA25" si="3">S$10-S13</f>
        <v>0</v>
      </c>
      <c r="T25" s="1926">
        <f t="shared" si="3"/>
        <v>0</v>
      </c>
      <c r="U25" s="1926">
        <f t="shared" si="3"/>
        <v>2.6821886976105489</v>
      </c>
      <c r="V25" s="1926">
        <f t="shared" si="3"/>
        <v>6.8000000000000007</v>
      </c>
      <c r="W25" s="1926">
        <f t="shared" si="3"/>
        <v>9.3807850507853239</v>
      </c>
      <c r="X25" s="1926">
        <f t="shared" si="3"/>
        <v>12.138739131464597</v>
      </c>
      <c r="Y25" s="1926">
        <f t="shared" si="3"/>
        <v>15.099792530227258</v>
      </c>
      <c r="Z25" s="1926">
        <f t="shared" si="3"/>
        <v>18.292364520593637</v>
      </c>
      <c r="AA25" s="1926">
        <f t="shared" si="3"/>
        <v>21.747660394583264</v>
      </c>
      <c r="AB25" s="1926">
        <f>AB$10-AB13</f>
        <v>25.499999999999908</v>
      </c>
    </row>
    <row r="26" spans="1:29" s="1855" customFormat="1">
      <c r="B26" s="1725"/>
      <c r="C26" s="1722"/>
      <c r="D26" s="1722"/>
      <c r="E26" s="1722"/>
      <c r="F26" s="1722"/>
      <c r="G26" s="1722"/>
      <c r="H26" s="1722"/>
      <c r="I26" s="1722"/>
      <c r="J26" s="1722"/>
      <c r="K26" s="1722"/>
      <c r="L26" s="1722"/>
      <c r="M26" s="1722"/>
      <c r="N26" s="1722"/>
      <c r="O26" s="1722"/>
      <c r="P26" s="1726"/>
      <c r="S26" s="1732"/>
      <c r="T26" s="1732"/>
      <c r="U26" s="1732"/>
      <c r="V26" s="1732"/>
      <c r="W26" s="1732"/>
      <c r="X26" s="1732"/>
      <c r="Y26" s="1732"/>
      <c r="Z26" s="1732"/>
      <c r="AA26" s="1732"/>
      <c r="AB26" s="1732"/>
    </row>
    <row r="27" spans="1:29" s="1855" customFormat="1">
      <c r="B27" s="1725"/>
      <c r="C27" s="1723" t="s">
        <v>1763</v>
      </c>
      <c r="D27" s="1722"/>
      <c r="E27" s="1722"/>
      <c r="F27" s="1722"/>
      <c r="G27" s="1722"/>
      <c r="H27" s="1722"/>
      <c r="I27" s="1722"/>
      <c r="J27" s="1722"/>
      <c r="K27" s="1722"/>
      <c r="L27" s="1722"/>
      <c r="M27" s="1722"/>
      <c r="N27" s="1722"/>
      <c r="O27" s="1722" t="str">
        <f>"kt per "&amp;Preferences.EnergyUnits</f>
        <v>kt per TWh</v>
      </c>
      <c r="P27" s="1726"/>
      <c r="R27" s="2040" t="s">
        <v>1827</v>
      </c>
      <c r="S27" s="1921">
        <v>2007</v>
      </c>
      <c r="T27" s="1921">
        <v>2010</v>
      </c>
      <c r="U27" s="1732">
        <v>2015</v>
      </c>
      <c r="V27" s="1732">
        <v>2020</v>
      </c>
      <c r="W27" s="1732">
        <v>2025</v>
      </c>
      <c r="X27" s="1732">
        <v>2030</v>
      </c>
      <c r="Y27" s="1732">
        <v>2035</v>
      </c>
      <c r="Z27" s="1732">
        <v>2040</v>
      </c>
      <c r="AA27" s="1732">
        <v>2045</v>
      </c>
      <c r="AB27" s="1732">
        <v>2050</v>
      </c>
    </row>
    <row r="28" spans="1:29" s="1855" customFormat="1">
      <c r="B28" s="1725"/>
      <c r="C28" s="1722"/>
      <c r="D28" s="1722"/>
      <c r="E28" s="1133"/>
      <c r="F28" s="1132"/>
      <c r="G28" s="1722"/>
      <c r="H28" s="1722"/>
      <c r="I28" s="1722"/>
      <c r="J28" s="1722"/>
      <c r="K28" s="1722"/>
      <c r="L28" s="1722"/>
      <c r="M28" s="1722"/>
      <c r="N28" s="1722"/>
      <c r="O28" s="1722"/>
      <c r="P28" s="1726"/>
      <c r="R28" s="1916" t="s">
        <v>1779</v>
      </c>
      <c r="S28" s="1926">
        <f>IFERROR(S16*1000/S22,0)</f>
        <v>0</v>
      </c>
      <c r="T28" s="1926">
        <f t="shared" ref="T28:AB28" si="4">IFERROR(T16*1000/T22,0)</f>
        <v>0</v>
      </c>
      <c r="U28" s="1926">
        <f t="shared" si="4"/>
        <v>0</v>
      </c>
      <c r="V28" s="1926">
        <f t="shared" si="4"/>
        <v>0</v>
      </c>
      <c r="W28" s="1926">
        <f t="shared" si="4"/>
        <v>0</v>
      </c>
      <c r="X28" s="1926">
        <f t="shared" si="4"/>
        <v>0</v>
      </c>
      <c r="Y28" s="1926">
        <f t="shared" si="4"/>
        <v>0</v>
      </c>
      <c r="Z28" s="1926">
        <f t="shared" si="4"/>
        <v>0</v>
      </c>
      <c r="AA28" s="1926">
        <f t="shared" si="4"/>
        <v>0</v>
      </c>
      <c r="AB28" s="1926">
        <f t="shared" si="4"/>
        <v>0</v>
      </c>
    </row>
    <row r="29" spans="1:29" s="1855" customFormat="1" ht="15">
      <c r="B29" s="790"/>
      <c r="C29" s="1868" t="s">
        <v>77</v>
      </c>
      <c r="D29" s="1868" t="s">
        <v>906</v>
      </c>
      <c r="E29" s="1869" t="s">
        <v>657</v>
      </c>
      <c r="F29" s="1870" t="s">
        <v>579</v>
      </c>
      <c r="G29" s="1870" t="s">
        <v>580</v>
      </c>
      <c r="H29" s="1870" t="s">
        <v>605</v>
      </c>
      <c r="I29" s="1870" t="s">
        <v>606</v>
      </c>
      <c r="J29" s="1870" t="s">
        <v>607</v>
      </c>
      <c r="K29" s="1870" t="s">
        <v>608</v>
      </c>
      <c r="L29" s="1870" t="s">
        <v>609</v>
      </c>
      <c r="M29" s="1870" t="s">
        <v>610</v>
      </c>
      <c r="N29" s="1870" t="s">
        <v>611</v>
      </c>
      <c r="O29" s="1870" t="s">
        <v>612</v>
      </c>
      <c r="P29" s="1726"/>
      <c r="R29" s="1916" t="s">
        <v>1780</v>
      </c>
      <c r="S29" s="1926">
        <f t="shared" ref="S29:AB29" si="5">IFERROR(S17*1000/S23,0)</f>
        <v>0</v>
      </c>
      <c r="T29" s="1926">
        <f t="shared" si="5"/>
        <v>0</v>
      </c>
      <c r="U29" s="1926">
        <f t="shared" si="5"/>
        <v>-88</v>
      </c>
      <c r="V29" s="1926">
        <f t="shared" si="5"/>
        <v>-88</v>
      </c>
      <c r="W29" s="1926">
        <f t="shared" si="5"/>
        <v>-87.14622428467834</v>
      </c>
      <c r="X29" s="1926">
        <f t="shared" si="5"/>
        <v>-86.3007318985848</v>
      </c>
      <c r="Y29" s="1926">
        <f t="shared" si="5"/>
        <v>-85.463442476885973</v>
      </c>
      <c r="Z29" s="1926">
        <f t="shared" si="5"/>
        <v>-84.634276434447855</v>
      </c>
      <c r="AA29" s="1926">
        <f t="shared" si="5"/>
        <v>-83.813154958271141</v>
      </c>
      <c r="AB29" s="1926">
        <f t="shared" si="5"/>
        <v>-83</v>
      </c>
    </row>
    <row r="30" spans="1:29" s="1855" customFormat="1" ht="15">
      <c r="B30" s="790"/>
      <c r="C30" s="2043" t="s">
        <v>713</v>
      </c>
      <c r="D30" s="2044" t="s">
        <v>723</v>
      </c>
      <c r="E30" s="1933"/>
      <c r="F30" s="1398">
        <f>G30</f>
        <v>0.22026800444165801</v>
      </c>
      <c r="G30" s="1398">
        <f>0.000220268004441658*(1/Unit.GWh)</f>
        <v>0.22026800444165801</v>
      </c>
      <c r="H30" s="1398">
        <f>0.000153745711158173*(1/Unit.GWh)</f>
        <v>0.15374571115817301</v>
      </c>
      <c r="I30" s="1398">
        <f t="shared" ref="I30:O30" si="6">0.0000972983791386015*(1/Unit.GWh)</f>
        <v>9.7298379138601496E-2</v>
      </c>
      <c r="J30" s="1398">
        <f t="shared" si="6"/>
        <v>9.7298379138601496E-2</v>
      </c>
      <c r="K30" s="1398">
        <f t="shared" si="6"/>
        <v>9.7298379138601496E-2</v>
      </c>
      <c r="L30" s="1398">
        <f t="shared" si="6"/>
        <v>9.7298379138601496E-2</v>
      </c>
      <c r="M30" s="1398">
        <f t="shared" si="6"/>
        <v>9.7298379138601496E-2</v>
      </c>
      <c r="N30" s="1398">
        <f t="shared" si="6"/>
        <v>9.7298379138601496E-2</v>
      </c>
      <c r="O30" s="1398">
        <f t="shared" si="6"/>
        <v>9.7298379138601496E-2</v>
      </c>
      <c r="P30" s="1726"/>
      <c r="R30" s="1916" t="s">
        <v>1781</v>
      </c>
      <c r="S30" s="1926">
        <f t="shared" ref="S30:AB30" si="7">IFERROR(S18*1000/S24,0)</f>
        <v>0</v>
      </c>
      <c r="T30" s="1926">
        <f t="shared" si="7"/>
        <v>0</v>
      </c>
      <c r="U30" s="1926">
        <f t="shared" si="7"/>
        <v>-88</v>
      </c>
      <c r="V30" s="1926">
        <f t="shared" si="7"/>
        <v>-88</v>
      </c>
      <c r="W30" s="1926">
        <f t="shared" si="7"/>
        <v>-87.146224284678325</v>
      </c>
      <c r="X30" s="1926">
        <f t="shared" si="7"/>
        <v>-86.3007318985848</v>
      </c>
      <c r="Y30" s="1926">
        <f t="shared" si="7"/>
        <v>-85.463442476885973</v>
      </c>
      <c r="Z30" s="1926">
        <f t="shared" si="7"/>
        <v>-84.634276434447855</v>
      </c>
      <c r="AA30" s="1926">
        <f t="shared" si="7"/>
        <v>-83.813154958271141</v>
      </c>
      <c r="AB30" s="1926">
        <f t="shared" si="7"/>
        <v>-83</v>
      </c>
    </row>
    <row r="31" spans="1:29" s="1855" customFormat="1">
      <c r="B31" s="1725"/>
      <c r="C31" s="1722"/>
      <c r="D31" s="1722"/>
      <c r="E31" s="1722"/>
      <c r="F31" s="1722"/>
      <c r="G31" s="1722"/>
      <c r="H31" s="1722"/>
      <c r="I31" s="1722"/>
      <c r="J31" s="1722"/>
      <c r="K31" s="1722"/>
      <c r="L31" s="1722"/>
      <c r="M31" s="1722"/>
      <c r="N31" s="1722"/>
      <c r="O31" s="1722"/>
      <c r="P31" s="1726"/>
      <c r="R31" s="1916" t="s">
        <v>1782</v>
      </c>
      <c r="S31" s="1926">
        <f t="shared" ref="S31:AB31" si="8">IFERROR(S19*1000/S25,0)</f>
        <v>0</v>
      </c>
      <c r="T31" s="1926">
        <f t="shared" si="8"/>
        <v>0</v>
      </c>
      <c r="U31" s="1926">
        <f t="shared" si="8"/>
        <v>-88</v>
      </c>
      <c r="V31" s="1926">
        <f t="shared" si="8"/>
        <v>-88</v>
      </c>
      <c r="W31" s="1926">
        <f t="shared" si="8"/>
        <v>-87.14622428467834</v>
      </c>
      <c r="X31" s="1926">
        <f t="shared" si="8"/>
        <v>-86.3007318985848</v>
      </c>
      <c r="Y31" s="1926">
        <f t="shared" si="8"/>
        <v>-85.463442476885973</v>
      </c>
      <c r="Z31" s="1926">
        <f t="shared" si="8"/>
        <v>-84.634276434447855</v>
      </c>
      <c r="AA31" s="1926">
        <f t="shared" si="8"/>
        <v>-83.813154958271141</v>
      </c>
      <c r="AB31" s="1926">
        <f t="shared" si="8"/>
        <v>-83</v>
      </c>
    </row>
    <row r="32" spans="1:29" s="1855" customFormat="1">
      <c r="B32" s="1725"/>
      <c r="C32" s="1723" t="s">
        <v>1764</v>
      </c>
      <c r="D32" s="1722"/>
      <c r="E32" s="1722"/>
      <c r="F32" s="1722"/>
      <c r="G32" s="1722"/>
      <c r="H32" s="1722"/>
      <c r="I32" s="1722"/>
      <c r="J32" s="1722"/>
      <c r="K32" s="1722"/>
      <c r="L32" s="1722"/>
      <c r="M32" s="1722"/>
      <c r="N32" s="1722"/>
      <c r="O32" s="1722" t="str">
        <f>"kt per "&amp;Preferences.EnergyUnits</f>
        <v>kt per TWh</v>
      </c>
      <c r="P32" s="1726"/>
      <c r="R32" s="1441" t="s">
        <v>893</v>
      </c>
      <c r="S32" s="2050">
        <f>(INDEX(S$28:S$31,ROUNDDOWN($E$8,0))*(1-MOD($E$8,1)))+(INDEX(S$28:S$31,ROUNDUP($E$8,0))*MOD($E$8,1))</f>
        <v>0</v>
      </c>
      <c r="T32" s="2050">
        <f t="shared" ref="T32:AB32" si="9">(INDEX(T$28:T$31,ROUNDDOWN($E$8,0))*(1-MOD($E$8,1)))+(INDEX(T$28:T$31,ROUNDUP($E$8,0))*MOD($E$8,1))</f>
        <v>0</v>
      </c>
      <c r="U32" s="2050">
        <f t="shared" si="9"/>
        <v>0</v>
      </c>
      <c r="V32" s="2050">
        <f t="shared" si="9"/>
        <v>0</v>
      </c>
      <c r="W32" s="2050">
        <f t="shared" si="9"/>
        <v>0</v>
      </c>
      <c r="X32" s="2050">
        <f t="shared" si="9"/>
        <v>0</v>
      </c>
      <c r="Y32" s="2050">
        <f t="shared" si="9"/>
        <v>0</v>
      </c>
      <c r="Z32" s="2050">
        <f t="shared" si="9"/>
        <v>0</v>
      </c>
      <c r="AA32" s="2050">
        <f t="shared" si="9"/>
        <v>0</v>
      </c>
      <c r="AB32" s="2050">
        <f t="shared" si="9"/>
        <v>0</v>
      </c>
    </row>
    <row r="33" spans="1:28" s="1855" customFormat="1" ht="5.25" customHeight="1">
      <c r="B33" s="1725"/>
      <c r="C33" s="1722"/>
      <c r="D33" s="1722"/>
      <c r="E33" s="1133"/>
      <c r="F33" s="1132"/>
      <c r="G33" s="1722"/>
      <c r="H33" s="1722"/>
      <c r="I33" s="1722"/>
      <c r="J33" s="1722"/>
      <c r="K33" s="1722"/>
      <c r="L33" s="1722"/>
      <c r="M33" s="1722"/>
      <c r="N33" s="1722"/>
      <c r="O33" s="1722"/>
      <c r="P33" s="1726"/>
    </row>
    <row r="34" spans="1:28" s="1855" customFormat="1" ht="14">
      <c r="B34" s="1725"/>
      <c r="C34" s="1868" t="s">
        <v>77</v>
      </c>
      <c r="D34" s="1868" t="s">
        <v>906</v>
      </c>
      <c r="E34" s="1869" t="s">
        <v>657</v>
      </c>
      <c r="F34" s="1870" t="s">
        <v>579</v>
      </c>
      <c r="G34" s="1870" t="s">
        <v>580</v>
      </c>
      <c r="H34" s="1870" t="s">
        <v>605</v>
      </c>
      <c r="I34" s="1870" t="s">
        <v>606</v>
      </c>
      <c r="J34" s="1870" t="s">
        <v>607</v>
      </c>
      <c r="K34" s="1870" t="s">
        <v>608</v>
      </c>
      <c r="L34" s="1870" t="s">
        <v>609</v>
      </c>
      <c r="M34" s="1870" t="s">
        <v>610</v>
      </c>
      <c r="N34" s="1870" t="s">
        <v>611</v>
      </c>
      <c r="O34" s="1870" t="s">
        <v>612</v>
      </c>
      <c r="P34" s="1726"/>
      <c r="R34" s="2040"/>
    </row>
    <row r="35" spans="1:28" s="1855" customFormat="1">
      <c r="B35" s="1725"/>
      <c r="C35" s="2043" t="s">
        <v>713</v>
      </c>
      <c r="D35" s="2044" t="s">
        <v>723</v>
      </c>
      <c r="E35" s="1933"/>
      <c r="F35" s="1398">
        <f>G35</f>
        <v>5.6896173044251395</v>
      </c>
      <c r="G35" s="1398">
        <f>0.00568961730442514*(1/Unit.GWh)</f>
        <v>5.6896173044251395</v>
      </c>
      <c r="H35" s="1398">
        <f>0.00536981777862766*(1/Unit.GWh)</f>
        <v>5.3698177786276604</v>
      </c>
      <c r="I35" s="1398">
        <f t="shared" ref="I35:O35" si="10">0.00509845265993784*(1/Unit.GWh)</f>
        <v>5.0984526599378404</v>
      </c>
      <c r="J35" s="1398">
        <f t="shared" si="10"/>
        <v>5.0984526599378404</v>
      </c>
      <c r="K35" s="1398">
        <f t="shared" si="10"/>
        <v>5.0984526599378404</v>
      </c>
      <c r="L35" s="1398">
        <f t="shared" si="10"/>
        <v>5.0984526599378404</v>
      </c>
      <c r="M35" s="1398">
        <f t="shared" si="10"/>
        <v>5.0984526599378404</v>
      </c>
      <c r="N35" s="1398">
        <f t="shared" si="10"/>
        <v>5.0984526599378404</v>
      </c>
      <c r="O35" s="1398">
        <f t="shared" si="10"/>
        <v>5.0984526599378404</v>
      </c>
      <c r="P35" s="1726"/>
      <c r="T35" s="2040"/>
      <c r="U35" s="2040"/>
      <c r="V35" s="2040"/>
    </row>
    <row r="36" spans="1:28" s="1855" customFormat="1">
      <c r="B36" s="1725"/>
      <c r="C36" s="1722"/>
      <c r="D36" s="1722"/>
      <c r="E36" s="1722"/>
      <c r="F36" s="1722"/>
      <c r="G36" s="1722"/>
      <c r="H36" s="1722"/>
      <c r="I36" s="1722"/>
      <c r="J36" s="1722"/>
      <c r="K36" s="1722"/>
      <c r="L36" s="1722"/>
      <c r="M36" s="1722"/>
      <c r="N36" s="1722"/>
      <c r="O36" s="1722"/>
      <c r="P36" s="1726"/>
      <c r="T36" s="2040"/>
      <c r="U36" s="2040"/>
      <c r="V36" s="2040"/>
    </row>
    <row r="37" spans="1:28" s="1855" customFormat="1">
      <c r="B37" s="1725"/>
      <c r="C37" s="1723" t="s">
        <v>1765</v>
      </c>
      <c r="D37" s="1722"/>
      <c r="E37" s="1722"/>
      <c r="F37" s="1722"/>
      <c r="G37" s="1722"/>
      <c r="H37" s="1722"/>
      <c r="I37" s="1722"/>
      <c r="J37" s="1722"/>
      <c r="K37" s="1722"/>
      <c r="L37" s="1722"/>
      <c r="M37" s="1722"/>
      <c r="N37" s="1722"/>
      <c r="O37" s="1722" t="str">
        <f>"kt per "&amp;Preferences.EnergyUnits</f>
        <v>kt per TWh</v>
      </c>
      <c r="P37" s="1726"/>
      <c r="T37" s="2040"/>
      <c r="U37" s="2040"/>
      <c r="V37" s="2040"/>
      <c r="W37" s="2040"/>
    </row>
    <row r="38" spans="1:28" s="1855" customFormat="1" ht="5.25" customHeight="1">
      <c r="B38" s="1725"/>
      <c r="C38" s="1722"/>
      <c r="D38" s="1722"/>
      <c r="E38" s="1133"/>
      <c r="F38" s="1132"/>
      <c r="G38" s="1722"/>
      <c r="H38" s="1722"/>
      <c r="I38" s="1722"/>
      <c r="J38" s="1722"/>
      <c r="K38" s="1722"/>
      <c r="L38" s="1722"/>
      <c r="M38" s="1722"/>
      <c r="N38" s="1722"/>
      <c r="O38" s="1722"/>
      <c r="P38" s="1726"/>
      <c r="T38" s="2040"/>
      <c r="U38" s="2040"/>
      <c r="V38" s="2040"/>
      <c r="W38" s="2040"/>
    </row>
    <row r="39" spans="1:28" s="1855" customFormat="1" ht="14">
      <c r="B39" s="1725"/>
      <c r="C39" s="1868" t="s">
        <v>77</v>
      </c>
      <c r="D39" s="1868" t="s">
        <v>906</v>
      </c>
      <c r="E39" s="1869" t="s">
        <v>657</v>
      </c>
      <c r="F39" s="1870" t="s">
        <v>579</v>
      </c>
      <c r="G39" s="1870" t="s">
        <v>580</v>
      </c>
      <c r="H39" s="1870" t="s">
        <v>605</v>
      </c>
      <c r="I39" s="1870" t="s">
        <v>606</v>
      </c>
      <c r="J39" s="1870" t="s">
        <v>607</v>
      </c>
      <c r="K39" s="1870" t="s">
        <v>608</v>
      </c>
      <c r="L39" s="1870" t="s">
        <v>609</v>
      </c>
      <c r="M39" s="1870" t="s">
        <v>610</v>
      </c>
      <c r="N39" s="1870" t="s">
        <v>611</v>
      </c>
      <c r="O39" s="1870" t="s">
        <v>612</v>
      </c>
      <c r="P39" s="1726"/>
      <c r="T39" s="2040"/>
      <c r="U39" s="2040"/>
      <c r="V39" s="2040"/>
      <c r="W39" s="2040"/>
      <c r="X39" s="2040"/>
      <c r="Y39" s="2040"/>
      <c r="Z39" s="2040"/>
      <c r="AA39" s="2040"/>
      <c r="AB39" s="2040"/>
    </row>
    <row r="40" spans="1:28" s="1855" customFormat="1">
      <c r="B40" s="1725"/>
      <c r="C40" s="2043" t="s">
        <v>713</v>
      </c>
      <c r="D40" s="2044" t="s">
        <v>723</v>
      </c>
      <c r="E40" s="1933"/>
      <c r="F40" s="1398">
        <f>G40</f>
        <v>2.5492265745899299</v>
      </c>
      <c r="G40" s="1398">
        <f>0.00254922657458993*(1/Unit.GWh)</f>
        <v>2.5492265745899299</v>
      </c>
      <c r="H40" s="1398">
        <f>0.00132116397083304*(1/Unit.GWh)</f>
        <v>1.32116397083304</v>
      </c>
      <c r="I40" s="1398">
        <f t="shared" ref="I40:O40" si="11">0.000279094401167526*(1/Unit.GWh)</f>
        <v>0.27909440116752599</v>
      </c>
      <c r="J40" s="1398">
        <f t="shared" si="11"/>
        <v>0.27909440116752599</v>
      </c>
      <c r="K40" s="1398">
        <f t="shared" si="11"/>
        <v>0.27909440116752599</v>
      </c>
      <c r="L40" s="1398">
        <f t="shared" si="11"/>
        <v>0.27909440116752599</v>
      </c>
      <c r="M40" s="1398">
        <f t="shared" si="11"/>
        <v>0.27909440116752599</v>
      </c>
      <c r="N40" s="1398">
        <f t="shared" si="11"/>
        <v>0.27909440116752599</v>
      </c>
      <c r="O40" s="1398">
        <f t="shared" si="11"/>
        <v>0.27909440116752599</v>
      </c>
      <c r="P40" s="1726"/>
      <c r="T40" s="2040"/>
      <c r="U40" s="2040"/>
      <c r="V40" s="2040"/>
      <c r="W40" s="2040"/>
      <c r="X40" s="2040"/>
      <c r="Y40" s="2040"/>
      <c r="Z40" s="2040"/>
      <c r="AA40" s="2040"/>
      <c r="AB40" s="2040"/>
    </row>
    <row r="41" spans="1:28" s="1855" customFormat="1">
      <c r="B41" s="1725"/>
      <c r="C41" s="1722"/>
      <c r="D41" s="1722"/>
      <c r="E41" s="1722"/>
      <c r="F41" s="1722"/>
      <c r="G41" s="1722"/>
      <c r="H41" s="1722"/>
      <c r="I41" s="1722"/>
      <c r="J41" s="1722"/>
      <c r="K41" s="1722"/>
      <c r="L41" s="1722"/>
      <c r="M41" s="1722"/>
      <c r="N41" s="1722"/>
      <c r="O41" s="1722"/>
      <c r="P41" s="1726"/>
      <c r="T41" s="2040"/>
      <c r="U41" s="2040"/>
      <c r="V41" s="2040"/>
      <c r="W41" s="2040"/>
      <c r="X41" s="2040"/>
      <c r="Y41" s="2040"/>
      <c r="Z41" s="2040"/>
      <c r="AA41" s="2040"/>
      <c r="AB41" s="2040"/>
    </row>
    <row r="42" spans="1:28" s="1855" customFormat="1">
      <c r="B42" s="1725"/>
      <c r="C42" s="1723" t="s">
        <v>1767</v>
      </c>
      <c r="D42" s="1722"/>
      <c r="E42" s="1722"/>
      <c r="F42" s="1722"/>
      <c r="G42" s="1722"/>
      <c r="H42" s="1722"/>
      <c r="I42" s="1722"/>
      <c r="J42" s="1722"/>
      <c r="K42" s="1722"/>
      <c r="L42" s="1722"/>
      <c r="M42" s="1722"/>
      <c r="N42" s="1722"/>
      <c r="O42" s="1722" t="str">
        <f>"kt per "&amp;Preferences.EnergyUnits</f>
        <v>kt per TWh</v>
      </c>
      <c r="P42" s="1726"/>
      <c r="T42" s="2040"/>
      <c r="U42" s="2040"/>
      <c r="V42" s="2040"/>
      <c r="W42" s="2040"/>
      <c r="X42" s="2040"/>
      <c r="Y42" s="2040"/>
      <c r="Z42" s="2040"/>
      <c r="AA42" s="2040"/>
      <c r="AB42" s="2040"/>
    </row>
    <row r="43" spans="1:28" s="1855" customFormat="1" ht="5.25" customHeight="1">
      <c r="B43" s="1725"/>
      <c r="C43" s="1722"/>
      <c r="D43" s="1722"/>
      <c r="E43" s="1133"/>
      <c r="F43" s="1132"/>
      <c r="G43" s="1722"/>
      <c r="H43" s="1722"/>
      <c r="I43" s="1722"/>
      <c r="J43" s="1722"/>
      <c r="K43" s="1722"/>
      <c r="L43" s="1722"/>
      <c r="M43" s="1722"/>
      <c r="N43" s="1722"/>
      <c r="O43" s="1722"/>
      <c r="P43" s="1726"/>
      <c r="T43" s="2040"/>
      <c r="U43" s="2040"/>
      <c r="V43" s="2040"/>
      <c r="W43" s="2040"/>
    </row>
    <row r="44" spans="1:28" s="1855" customFormat="1" ht="14">
      <c r="B44" s="1725"/>
      <c r="C44" s="1868" t="s">
        <v>77</v>
      </c>
      <c r="D44" s="1868" t="s">
        <v>906</v>
      </c>
      <c r="E44" s="1869" t="s">
        <v>657</v>
      </c>
      <c r="F44" s="1870" t="s">
        <v>579</v>
      </c>
      <c r="G44" s="1870" t="s">
        <v>580</v>
      </c>
      <c r="H44" s="1870" t="s">
        <v>605</v>
      </c>
      <c r="I44" s="1870" t="s">
        <v>606</v>
      </c>
      <c r="J44" s="1870" t="s">
        <v>607</v>
      </c>
      <c r="K44" s="1870" t="s">
        <v>608</v>
      </c>
      <c r="L44" s="1870" t="s">
        <v>609</v>
      </c>
      <c r="M44" s="1870" t="s">
        <v>610</v>
      </c>
      <c r="N44" s="1870" t="s">
        <v>611</v>
      </c>
      <c r="O44" s="1870" t="s">
        <v>612</v>
      </c>
      <c r="P44" s="1726"/>
      <c r="AB44" s="2040"/>
    </row>
    <row r="45" spans="1:28" s="1855" customFormat="1">
      <c r="B45" s="1725"/>
      <c r="C45" s="2043" t="s">
        <v>713</v>
      </c>
      <c r="D45" s="2044" t="s">
        <v>723</v>
      </c>
      <c r="E45" s="1933"/>
      <c r="F45" s="1398">
        <f>G45</f>
        <v>0.22110485450132</v>
      </c>
      <c r="G45" s="1398">
        <f>0.00022110485450132*(1/Unit.GWh)</f>
        <v>0.22110485450132</v>
      </c>
      <c r="H45" s="1398">
        <f>0.000224567616173065*(1/Unit.GWh)</f>
        <v>0.224567616173065</v>
      </c>
      <c r="I45" s="1398">
        <f t="shared" ref="I45:O45" si="12">0.000227505934263764*(1/Unit.GWh)</f>
        <v>0.227505934263764</v>
      </c>
      <c r="J45" s="1398">
        <f t="shared" si="12"/>
        <v>0.227505934263764</v>
      </c>
      <c r="K45" s="1398">
        <f t="shared" si="12"/>
        <v>0.227505934263764</v>
      </c>
      <c r="L45" s="1398">
        <f t="shared" si="12"/>
        <v>0.227505934263764</v>
      </c>
      <c r="M45" s="1398">
        <f t="shared" si="12"/>
        <v>0.227505934263764</v>
      </c>
      <c r="N45" s="1398">
        <f t="shared" si="12"/>
        <v>0.227505934263764</v>
      </c>
      <c r="O45" s="1398">
        <f t="shared" si="12"/>
        <v>0.227505934263764</v>
      </c>
      <c r="P45" s="1726"/>
      <c r="U45" s="2040"/>
      <c r="V45" s="2040"/>
      <c r="W45" s="2040"/>
      <c r="X45" s="2040"/>
      <c r="Y45" s="2040"/>
      <c r="Z45" s="2040"/>
      <c r="AA45" s="2040"/>
      <c r="AB45" s="2040"/>
    </row>
    <row r="46" spans="1:28" s="1855" customFormat="1">
      <c r="B46" s="1725"/>
      <c r="C46" s="1722"/>
      <c r="D46" s="1722"/>
      <c r="E46" s="1722"/>
      <c r="F46" s="1722"/>
      <c r="G46" s="1722"/>
      <c r="H46" s="1722"/>
      <c r="I46" s="1722"/>
      <c r="J46" s="1722"/>
      <c r="K46" s="1722"/>
      <c r="L46" s="1722"/>
      <c r="M46" s="1722"/>
      <c r="N46" s="1722"/>
      <c r="O46" s="1722"/>
      <c r="P46" s="1726"/>
      <c r="U46" s="2040"/>
      <c r="V46" s="2040"/>
      <c r="W46" s="2040"/>
      <c r="X46" s="2040"/>
      <c r="Y46" s="2040"/>
      <c r="Z46" s="2040"/>
      <c r="AA46" s="2040"/>
      <c r="AB46" s="2040"/>
    </row>
    <row r="47" spans="1:28" s="1044" customFormat="1">
      <c r="B47" s="1203"/>
      <c r="C47" s="37"/>
      <c r="D47" s="37"/>
      <c r="E47" s="37"/>
      <c r="F47" s="37"/>
      <c r="G47" s="37"/>
      <c r="H47" s="37"/>
      <c r="I47" s="37"/>
      <c r="J47" s="37"/>
      <c r="K47" s="37"/>
      <c r="L47" s="37"/>
      <c r="M47" s="37"/>
      <c r="N47" s="37"/>
      <c r="O47" s="37"/>
      <c r="P47" s="1204"/>
      <c r="U47" s="2040"/>
      <c r="V47" s="2040"/>
      <c r="W47" s="2040"/>
      <c r="X47" s="2040"/>
      <c r="Y47" s="2040"/>
      <c r="Z47" s="2040"/>
      <c r="AA47" s="2040"/>
      <c r="AB47" s="2040"/>
    </row>
    <row r="48" spans="1:28" s="528" customFormat="1" ht="22">
      <c r="A48" s="798"/>
      <c r="B48" s="845" t="s">
        <v>1565</v>
      </c>
      <c r="C48" s="796"/>
      <c r="D48" s="796"/>
      <c r="E48" s="796"/>
      <c r="F48" s="796"/>
      <c r="G48" s="796"/>
      <c r="H48" s="796"/>
      <c r="I48" s="796"/>
      <c r="J48" s="796"/>
      <c r="K48" s="796"/>
      <c r="L48" s="796"/>
      <c r="M48" s="796"/>
      <c r="N48" s="796"/>
      <c r="O48" s="796"/>
      <c r="P48" s="797"/>
    </row>
    <row r="49" spans="1:25" s="1703" customFormat="1">
      <c r="B49" s="788"/>
      <c r="C49" s="588"/>
      <c r="D49" s="588"/>
      <c r="E49" s="588"/>
      <c r="F49" s="588"/>
      <c r="G49" s="588"/>
      <c r="H49" s="588"/>
      <c r="I49" s="588"/>
      <c r="J49" s="588"/>
      <c r="K49" s="588"/>
      <c r="L49" s="588"/>
      <c r="M49" s="588"/>
      <c r="N49" s="588"/>
      <c r="O49" s="588"/>
      <c r="P49" s="789"/>
      <c r="R49" s="1916"/>
      <c r="S49" s="1916"/>
      <c r="T49" s="1916"/>
      <c r="U49" s="1916"/>
    </row>
    <row r="50" spans="1:25" s="1703" customFormat="1">
      <c r="B50" s="788"/>
      <c r="C50" s="1723" t="s">
        <v>1786</v>
      </c>
      <c r="D50" s="592"/>
      <c r="E50" s="1722"/>
      <c r="F50" s="1917"/>
      <c r="G50" s="2221"/>
      <c r="H50" s="2221"/>
      <c r="I50" s="2221"/>
      <c r="J50" s="2221"/>
      <c r="K50" s="1039"/>
      <c r="L50" s="1039"/>
      <c r="M50" s="1039"/>
      <c r="N50" s="1039"/>
      <c r="O50" s="847" t="str">
        <f>Preferences.moneyunits&amp;"/MtCO2e"</f>
        <v>£m/MtCO2e</v>
      </c>
      <c r="P50" s="789"/>
      <c r="R50" s="1916"/>
      <c r="S50" s="1916"/>
      <c r="T50" s="1916"/>
      <c r="U50" s="1916"/>
    </row>
    <row r="51" spans="1:25" s="1703" customFormat="1" ht="4.5" customHeight="1">
      <c r="B51" s="788"/>
      <c r="C51" s="1722"/>
      <c r="D51" s="592"/>
      <c r="E51" s="1722"/>
      <c r="F51" s="1722"/>
      <c r="G51" s="1722"/>
      <c r="H51" s="1722"/>
      <c r="I51" s="1722"/>
      <c r="J51" s="1722"/>
      <c r="K51" s="1039"/>
      <c r="L51" s="1039"/>
      <c r="M51" s="1039"/>
      <c r="N51" s="1039"/>
      <c r="O51" s="1039"/>
      <c r="P51" s="789"/>
      <c r="R51" s="1916"/>
      <c r="S51" s="1916"/>
      <c r="T51" s="1916"/>
      <c r="U51" s="1916"/>
    </row>
    <row r="52" spans="1:25" s="1703" customFormat="1" ht="14">
      <c r="B52" s="788"/>
      <c r="C52" s="542"/>
      <c r="D52" s="542"/>
      <c r="E52" s="542"/>
      <c r="F52" s="1870" t="s">
        <v>579</v>
      </c>
      <c r="G52" s="1870" t="s">
        <v>580</v>
      </c>
      <c r="H52" s="1870" t="s">
        <v>605</v>
      </c>
      <c r="I52" s="1870" t="s">
        <v>606</v>
      </c>
      <c r="J52" s="1870" t="s">
        <v>607</v>
      </c>
      <c r="K52" s="1870" t="s">
        <v>608</v>
      </c>
      <c r="L52" s="1870" t="s">
        <v>609</v>
      </c>
      <c r="M52" s="1870" t="s">
        <v>610</v>
      </c>
      <c r="N52" s="1870" t="s">
        <v>611</v>
      </c>
      <c r="O52" s="1870" t="s">
        <v>612</v>
      </c>
      <c r="P52" s="789"/>
      <c r="Q52" s="2049"/>
    </row>
    <row r="53" spans="1:25" s="1703" customFormat="1">
      <c r="B53" s="788"/>
      <c r="C53" s="1927" t="s">
        <v>1091</v>
      </c>
      <c r="D53" s="569"/>
      <c r="E53" s="569"/>
      <c r="F53" s="1756">
        <f>F54*$Q$53</f>
        <v>0</v>
      </c>
      <c r="G53" s="1755">
        <f t="shared" ref="G53" si="13">G54*$Q$53</f>
        <v>0</v>
      </c>
      <c r="H53" s="1756">
        <f t="shared" ref="H53:N53" si="14">H54</f>
        <v>0</v>
      </c>
      <c r="I53" s="1756">
        <f t="shared" si="14"/>
        <v>0</v>
      </c>
      <c r="J53" s="1756">
        <f t="shared" si="14"/>
        <v>0</v>
      </c>
      <c r="K53" s="1756">
        <f t="shared" si="14"/>
        <v>0</v>
      </c>
      <c r="L53" s="1756">
        <f t="shared" si="14"/>
        <v>0</v>
      </c>
      <c r="M53" s="1756">
        <f t="shared" si="14"/>
        <v>0</v>
      </c>
      <c r="N53" s="1756">
        <f t="shared" si="14"/>
        <v>0</v>
      </c>
      <c r="O53" s="1756">
        <f>O54</f>
        <v>0</v>
      </c>
      <c r="P53" s="789"/>
      <c r="Q53" s="743"/>
      <c r="S53" s="2082"/>
    </row>
    <row r="54" spans="1:25" s="2030" customFormat="1">
      <c r="B54" s="1725"/>
      <c r="C54" s="1060" t="s">
        <v>1801</v>
      </c>
      <c r="D54" s="1721"/>
      <c r="E54" s="1721"/>
      <c r="F54" s="1708">
        <f t="shared" ref="F54:O54" si="15">S32*MGBP</f>
        <v>0</v>
      </c>
      <c r="G54" s="1754">
        <f t="shared" si="15"/>
        <v>0</v>
      </c>
      <c r="H54" s="1129">
        <f t="shared" si="15"/>
        <v>0</v>
      </c>
      <c r="I54" s="1129">
        <f t="shared" si="15"/>
        <v>0</v>
      </c>
      <c r="J54" s="1129">
        <f t="shared" si="15"/>
        <v>0</v>
      </c>
      <c r="K54" s="1129">
        <f t="shared" si="15"/>
        <v>0</v>
      </c>
      <c r="L54" s="1129">
        <f t="shared" si="15"/>
        <v>0</v>
      </c>
      <c r="M54" s="1129">
        <f t="shared" si="15"/>
        <v>0</v>
      </c>
      <c r="N54" s="1129">
        <f t="shared" si="15"/>
        <v>0</v>
      </c>
      <c r="O54" s="1129">
        <f t="shared" si="15"/>
        <v>0</v>
      </c>
      <c r="P54" s="1726"/>
      <c r="Q54" s="2040"/>
      <c r="R54" s="1576"/>
      <c r="S54" s="2082"/>
    </row>
    <row r="55" spans="1:25" s="1703" customFormat="1">
      <c r="B55" s="788"/>
      <c r="C55" s="1928" t="s">
        <v>1092</v>
      </c>
      <c r="D55" s="599"/>
      <c r="E55" s="599"/>
      <c r="F55" s="1130">
        <f>F54*$Q$55</f>
        <v>0</v>
      </c>
      <c r="G55" s="1757">
        <f t="shared" ref="G55" si="16">G54*$Q$55</f>
        <v>0</v>
      </c>
      <c r="H55" s="1130">
        <f t="shared" ref="H55:N55" si="17">H54</f>
        <v>0</v>
      </c>
      <c r="I55" s="1130">
        <f t="shared" si="17"/>
        <v>0</v>
      </c>
      <c r="J55" s="1130">
        <f t="shared" si="17"/>
        <v>0</v>
      </c>
      <c r="K55" s="1130">
        <f t="shared" si="17"/>
        <v>0</v>
      </c>
      <c r="L55" s="1130">
        <f t="shared" si="17"/>
        <v>0</v>
      </c>
      <c r="M55" s="1130">
        <f t="shared" si="17"/>
        <v>0</v>
      </c>
      <c r="N55" s="1130">
        <f t="shared" si="17"/>
        <v>0</v>
      </c>
      <c r="O55" s="1130">
        <f>O54</f>
        <v>0</v>
      </c>
      <c r="P55" s="789"/>
      <c r="Q55" s="743"/>
    </row>
    <row r="56" spans="1:25" s="1703" customFormat="1">
      <c r="B56" s="788"/>
      <c r="C56" s="1039"/>
      <c r="D56" s="1039"/>
      <c r="E56" s="847"/>
      <c r="F56" s="1039"/>
      <c r="G56" s="1039"/>
      <c r="H56" s="847"/>
      <c r="I56" s="1039"/>
      <c r="J56" s="1039"/>
      <c r="K56" s="1039"/>
      <c r="L56" s="1039"/>
      <c r="M56" s="1039"/>
      <c r="N56" s="1039"/>
      <c r="O56" s="1039"/>
      <c r="P56" s="789"/>
    </row>
    <row r="57" spans="1:25">
      <c r="T57" s="525"/>
      <c r="U57" s="525"/>
      <c r="V57" s="525"/>
      <c r="W57" s="525"/>
    </row>
    <row r="58" spans="1:25" ht="22" collapsed="1">
      <c r="A58" s="799"/>
      <c r="B58" s="845" t="s">
        <v>645</v>
      </c>
      <c r="C58" s="853"/>
      <c r="D58" s="853"/>
      <c r="E58" s="853"/>
      <c r="F58" s="853"/>
      <c r="G58" s="853"/>
      <c r="H58" s="853"/>
      <c r="I58" s="853"/>
      <c r="J58" s="853"/>
      <c r="K58" s="853"/>
      <c r="L58" s="853"/>
      <c r="M58" s="853"/>
      <c r="N58" s="853"/>
      <c r="O58" s="853"/>
      <c r="P58" s="854"/>
      <c r="T58" s="525"/>
      <c r="U58" s="525"/>
      <c r="V58" s="525"/>
    </row>
    <row r="59" spans="1:25">
      <c r="B59" s="788"/>
      <c r="C59" s="588"/>
      <c r="D59" s="588"/>
      <c r="E59" s="588"/>
      <c r="F59" s="588"/>
      <c r="G59" s="588"/>
      <c r="H59" s="588"/>
      <c r="I59" s="588"/>
      <c r="J59" s="588"/>
      <c r="K59" s="588"/>
      <c r="L59" s="588"/>
      <c r="M59" s="588"/>
      <c r="N59" s="588"/>
      <c r="O59" s="588"/>
      <c r="P59" s="789"/>
    </row>
    <row r="60" spans="1:25">
      <c r="B60" s="793"/>
      <c r="C60" s="794"/>
      <c r="D60" s="794"/>
      <c r="E60" s="794"/>
      <c r="F60" s="794"/>
      <c r="G60" s="794"/>
      <c r="H60" s="794"/>
      <c r="I60" s="794"/>
      <c r="J60" s="794"/>
      <c r="K60" s="794"/>
      <c r="L60" s="794"/>
      <c r="M60" s="794"/>
      <c r="N60" s="794"/>
      <c r="O60" s="794"/>
      <c r="P60" s="795"/>
      <c r="X60" s="2040"/>
    </row>
    <row r="61" spans="1:25">
      <c r="V61" s="525"/>
      <c r="X61" s="2040"/>
    </row>
    <row r="62" spans="1:25" ht="17" collapsed="1">
      <c r="A62" s="543"/>
      <c r="B62" s="561" t="s">
        <v>614</v>
      </c>
      <c r="X62" s="2040"/>
    </row>
    <row r="63" spans="1:25" s="20" customFormat="1">
      <c r="B63" s="526">
        <v>1</v>
      </c>
      <c r="C63" s="117" t="s">
        <v>690</v>
      </c>
      <c r="X63" s="2040"/>
      <c r="Y63" s="2015"/>
    </row>
    <row r="64" spans="1:25">
      <c r="B64" s="526">
        <v>2</v>
      </c>
      <c r="C64" s="117" t="s">
        <v>857</v>
      </c>
      <c r="X64" s="2040"/>
    </row>
    <row r="65" spans="2:24" s="1916" customFormat="1">
      <c r="B65" s="1733">
        <v>3</v>
      </c>
      <c r="C65" s="1916" t="s">
        <v>1789</v>
      </c>
      <c r="X65" s="2040"/>
    </row>
    <row r="66" spans="2:24">
      <c r="B66" s="526"/>
    </row>
    <row r="67" spans="2:24" ht="14">
      <c r="B67" s="860">
        <v>1</v>
      </c>
      <c r="C67" s="1733" t="s">
        <v>1788</v>
      </c>
      <c r="F67" s="586">
        <v>2007</v>
      </c>
      <c r="G67" s="586">
        <v>2010</v>
      </c>
      <c r="H67" s="586">
        <v>2015</v>
      </c>
      <c r="I67" s="586">
        <v>2020</v>
      </c>
      <c r="J67" s="586">
        <v>2025</v>
      </c>
      <c r="K67" s="586">
        <v>2030</v>
      </c>
      <c r="L67" s="586">
        <v>2035</v>
      </c>
      <c r="M67" s="586">
        <v>2040</v>
      </c>
      <c r="N67" s="586">
        <v>2045</v>
      </c>
      <c r="O67" s="586">
        <v>2050</v>
      </c>
    </row>
    <row r="68" spans="2:24" s="526" customFormat="1" ht="14">
      <c r="B68" s="1063" t="s">
        <v>44</v>
      </c>
      <c r="C68" s="20" t="str">
        <f>INDEX(Vectors[Description], MATCH(B68, Vectors[Code], 0))</f>
        <v>Liquid hydrocarbons</v>
      </c>
      <c r="E68" s="20" t="str">
        <f>Preferences.EnergyUnits</f>
        <v>TWh</v>
      </c>
      <c r="F68" s="609">
        <f>F20</f>
        <v>54.158157087257202</v>
      </c>
      <c r="G68" s="609">
        <f t="shared" ref="G68:O68" si="18">G20</f>
        <v>57.284992151842978</v>
      </c>
      <c r="H68" s="609">
        <f t="shared" si="18"/>
        <v>62.902681347166521</v>
      </c>
      <c r="I68" s="609">
        <f t="shared" si="18"/>
        <v>69.071272806936719</v>
      </c>
      <c r="J68" s="609">
        <f t="shared" si="18"/>
        <v>76.700407450204779</v>
      </c>
      <c r="K68" s="609">
        <f t="shared" si="18"/>
        <v>85.172203492920445</v>
      </c>
      <c r="L68" s="609">
        <f t="shared" si="18"/>
        <v>94.579735479880824</v>
      </c>
      <c r="M68" s="609">
        <f t="shared" si="18"/>
        <v>105.02635832578606</v>
      </c>
      <c r="N68" s="609">
        <f t="shared" si="18"/>
        <v>116.62684281373198</v>
      </c>
      <c r="O68" s="609">
        <f t="shared" si="18"/>
        <v>129.50863651300597</v>
      </c>
    </row>
    <row r="69" spans="2:24" s="526" customFormat="1" ht="14">
      <c r="B69" s="860"/>
      <c r="F69" s="622"/>
      <c r="G69" s="622"/>
      <c r="H69" s="622"/>
      <c r="I69" s="622"/>
      <c r="J69" s="622"/>
      <c r="K69" s="622"/>
      <c r="L69" s="622"/>
      <c r="M69" s="622"/>
      <c r="N69" s="622"/>
      <c r="O69" s="622"/>
    </row>
    <row r="70" spans="2:24" s="526" customFormat="1">
      <c r="B70" s="860">
        <v>2</v>
      </c>
      <c r="C70" s="1733" t="s">
        <v>1787</v>
      </c>
      <c r="D70" s="528"/>
      <c r="E70" s="528"/>
      <c r="F70" s="550"/>
      <c r="G70" s="550"/>
      <c r="H70" s="550"/>
      <c r="I70" s="550"/>
      <c r="J70" s="550"/>
      <c r="K70" s="550"/>
      <c r="L70" s="550"/>
      <c r="M70" s="550"/>
      <c r="N70" s="550"/>
      <c r="O70" s="550"/>
    </row>
    <row r="71" spans="2:24" s="526" customFormat="1" ht="17">
      <c r="B71" s="860"/>
      <c r="C71" s="117" t="s">
        <v>769</v>
      </c>
      <c r="D71" s="528"/>
      <c r="E71" s="528" t="s">
        <v>788</v>
      </c>
      <c r="F71" s="563">
        <f>F$68*INDEX(EF[CO2], MATCH("V.04", EF[Vector], 0))</f>
        <v>13.5395392718143</v>
      </c>
      <c r="G71" s="563">
        <f>G$68*INDEX(EF[CO2], MATCH("V.04", EF[Vector], 0))</f>
        <v>14.321248037960745</v>
      </c>
      <c r="H71" s="563">
        <f>H$68*INDEX(EF[CO2], MATCH("V.04", EF[Vector], 0))</f>
        <v>15.72567033679163</v>
      </c>
      <c r="I71" s="563">
        <f>I$68*INDEX(EF[CO2], MATCH("V.04", EF[Vector], 0))</f>
        <v>17.26781820173418</v>
      </c>
      <c r="J71" s="563">
        <f>J$68*INDEX(EF[CO2], MATCH("V.04", EF[Vector], 0))</f>
        <v>19.175101862551195</v>
      </c>
      <c r="K71" s="563">
        <f>K$68*INDEX(EF[CO2], MATCH("V.04", EF[Vector], 0))</f>
        <v>21.293050873230111</v>
      </c>
      <c r="L71" s="563">
        <f>L$68*INDEX(EF[CO2], MATCH("V.04", EF[Vector], 0))</f>
        <v>23.644933869970206</v>
      </c>
      <c r="M71" s="563">
        <f>M$68*INDEX(EF[CO2], MATCH("V.04", EF[Vector], 0))</f>
        <v>26.256589581446516</v>
      </c>
      <c r="N71" s="563">
        <f>N$68*INDEX(EF[CO2], MATCH("V.04", EF[Vector], 0))</f>
        <v>29.156710703432996</v>
      </c>
      <c r="O71" s="563">
        <f>O$68*INDEX(EF[CO2], MATCH("V.04", EF[Vector], 0))</f>
        <v>32.377159128251492</v>
      </c>
    </row>
    <row r="72" spans="2:24" s="526" customFormat="1" ht="17">
      <c r="B72" s="860"/>
      <c r="C72" s="117" t="s">
        <v>770</v>
      </c>
      <c r="D72" s="528"/>
      <c r="E72" s="528" t="s">
        <v>788</v>
      </c>
      <c r="F72" s="563">
        <f>F$68*INDEX(EF[CH4], MATCH("V.04", EF[Vector], 0))</f>
        <v>1.6856672942676842E-2</v>
      </c>
      <c r="G72" s="563">
        <f>G$68*INDEX(EF[CH4], MATCH("V.04", EF[Vector], 0))</f>
        <v>1.7829897270537472E-2</v>
      </c>
      <c r="H72" s="563">
        <f>H$68*INDEX(EF[CH4], MATCH("V.04", EF[Vector], 0))</f>
        <v>1.9578397488272156E-2</v>
      </c>
      <c r="I72" s="563">
        <f>I$68*INDEX(EF[CH4], MATCH("V.04", EF[Vector], 0))</f>
        <v>2.1498365492109598E-2</v>
      </c>
      <c r="J72" s="563">
        <f>J$68*INDEX(EF[CH4], MATCH("V.04", EF[Vector], 0))</f>
        <v>2.3872926120345483E-2</v>
      </c>
      <c r="K72" s="563">
        <f>K$68*INDEX(EF[CH4], MATCH("V.04", EF[Vector], 0))</f>
        <v>2.6509764277505055E-2</v>
      </c>
      <c r="L72" s="563">
        <f>L$68*INDEX(EF[CH4], MATCH("V.04", EF[Vector], 0))</f>
        <v>2.943784932379763E-2</v>
      </c>
      <c r="M72" s="563">
        <f>M$68*INDEX(EF[CH4], MATCH("V.04", EF[Vector], 0))</f>
        <v>3.2689350374418752E-2</v>
      </c>
      <c r="N72" s="563">
        <f>N$68*INDEX(EF[CH4], MATCH("V.04", EF[Vector], 0))</f>
        <v>3.6299989722335377E-2</v>
      </c>
      <c r="O72" s="563">
        <f>O$68*INDEX(EF[CH4], MATCH("V.04", EF[Vector], 0))</f>
        <v>4.0309435297705379E-2</v>
      </c>
    </row>
    <row r="73" spans="2:24" s="526" customFormat="1" ht="17">
      <c r="B73" s="860"/>
      <c r="C73" s="117" t="s">
        <v>771</v>
      </c>
      <c r="D73" s="528"/>
      <c r="E73" s="528" t="s">
        <v>788</v>
      </c>
      <c r="F73" s="563">
        <f>F$68*INDEX(EF[N2O], MATCH("V.04", EF[Vector], 0))</f>
        <v>0.2436040552430235</v>
      </c>
      <c r="G73" s="563">
        <f>G$68*INDEX(EF[N2O], MATCH("V.04", EF[Vector], 0))</f>
        <v>0.25766859773810774</v>
      </c>
      <c r="H73" s="563">
        <f>H$68*INDEX(EF[N2O], MATCH("V.04", EF[Vector], 0))</f>
        <v>0.28293703268265136</v>
      </c>
      <c r="I73" s="563">
        <f>I$68*INDEX(EF[N2O], MATCH("V.04", EF[Vector], 0))</f>
        <v>0.31068343277371113</v>
      </c>
      <c r="J73" s="563">
        <f>J$68*INDEX(EF[N2O], MATCH("V.04", EF[Vector], 0))</f>
        <v>0.3449993740288913</v>
      </c>
      <c r="K73" s="563">
        <f>K$68*INDEX(EF[N2O], MATCH("V.04", EF[Vector], 0))</f>
        <v>0.38310561660048192</v>
      </c>
      <c r="L73" s="563">
        <f>L$68*INDEX(EF[N2O], MATCH("V.04", EF[Vector], 0))</f>
        <v>0.42542081093325257</v>
      </c>
      <c r="M73" s="563">
        <f>M$68*INDEX(EF[N2O], MATCH("V.04", EF[Vector], 0))</f>
        <v>0.47240984870196395</v>
      </c>
      <c r="N73" s="563">
        <f>N$68*INDEX(EF[N2O], MATCH("V.04", EF[Vector], 0))</f>
        <v>0.5245889702975236</v>
      </c>
      <c r="O73" s="563">
        <f>O$68*INDEX(EF[N2O], MATCH("V.04", EF[Vector], 0))</f>
        <v>0.58253143645070671</v>
      </c>
    </row>
    <row r="74" spans="2:24" ht="17">
      <c r="B74" s="860"/>
      <c r="C74" s="1916" t="s">
        <v>132</v>
      </c>
      <c r="E74" s="528" t="s">
        <v>788</v>
      </c>
      <c r="F74" s="563">
        <f>F$68*INDEX(EF[CO2e], MATCH("V.04", EF[Vector], 0))</f>
        <v>13.8</v>
      </c>
      <c r="G74" s="563">
        <f>G$68*INDEX(EF[CO2e], MATCH("V.04", EF[Vector], 0))</f>
        <v>14.596746532969391</v>
      </c>
      <c r="H74" s="563">
        <f>H$68*INDEX(EF[CO2e], MATCH("V.04", EF[Vector], 0))</f>
        <v>16.028185766962554</v>
      </c>
      <c r="I74" s="563">
        <f>I$68*INDEX(EF[CO2e], MATCH("V.04", EF[Vector], 0))</f>
        <v>17.600000000000001</v>
      </c>
      <c r="J74" s="563">
        <f>J$68*INDEX(EF[CO2e], MATCH("V.04", EF[Vector], 0))</f>
        <v>19.543974162700433</v>
      </c>
      <c r="K74" s="563">
        <f>K$68*INDEX(EF[CO2e], MATCH("V.04", EF[Vector], 0))</f>
        <v>21.702666254108099</v>
      </c>
      <c r="L74" s="563">
        <f>L$68*INDEX(EF[CO2e], MATCH("V.04", EF[Vector], 0))</f>
        <v>24.099792530227258</v>
      </c>
      <c r="M74" s="563">
        <f>M$68*INDEX(EF[CO2e], MATCH("V.04", EF[Vector], 0))</f>
        <v>26.761688780522899</v>
      </c>
      <c r="N74" s="563">
        <f>N$68*INDEX(EF[CO2e], MATCH("V.04", EF[Vector], 0))</f>
        <v>29.717599663452855</v>
      </c>
      <c r="O74" s="563">
        <f>O$68*INDEX(EF[CO2e], MATCH("V.04", EF[Vector], 0))</f>
        <v>32.999999999999908</v>
      </c>
    </row>
    <row r="75" spans="2:24" s="1916" customFormat="1">
      <c r="B75" s="860"/>
      <c r="E75" s="528"/>
      <c r="F75" s="563"/>
      <c r="G75" s="563"/>
      <c r="H75" s="563"/>
      <c r="I75" s="563"/>
      <c r="J75" s="563"/>
      <c r="K75" s="563"/>
      <c r="L75" s="563"/>
      <c r="M75" s="563"/>
      <c r="N75" s="563"/>
      <c r="O75" s="563"/>
    </row>
    <row r="76" spans="2:24" s="1916" customFormat="1">
      <c r="B76" s="860">
        <v>3</v>
      </c>
      <c r="C76" s="1733" t="s">
        <v>1790</v>
      </c>
      <c r="E76" s="528"/>
      <c r="F76" s="563"/>
      <c r="G76" s="563"/>
      <c r="H76" s="563"/>
      <c r="I76" s="563"/>
      <c r="J76" s="563"/>
      <c r="K76" s="563"/>
      <c r="L76" s="563"/>
      <c r="M76" s="563"/>
      <c r="N76" s="563"/>
      <c r="O76" s="563"/>
    </row>
    <row r="77" spans="2:24" s="1916" customFormat="1" ht="17">
      <c r="C77" s="1916" t="s">
        <v>1791</v>
      </c>
      <c r="E77" s="528" t="s">
        <v>788</v>
      </c>
      <c r="F77" s="563">
        <f>F$16*INDEX(EF[CO2e], MATCH("V.04", EF[Vector], 0))</f>
        <v>13.8</v>
      </c>
      <c r="G77" s="563">
        <f>G$16*INDEX(EF[CO2e], MATCH("V.04", EF[Vector], 0))</f>
        <v>14.596746532969391</v>
      </c>
      <c r="H77" s="563">
        <f>H$16*INDEX(EF[CO2e], MATCH("V.04", EF[Vector], 0))</f>
        <v>16.028185766962554</v>
      </c>
      <c r="I77" s="563">
        <f>I$16*INDEX(EF[CO2e], MATCH("V.04", EF[Vector], 0))</f>
        <v>17.600000000000001</v>
      </c>
      <c r="J77" s="563">
        <f>J$16*INDEX(EF[CO2e], MATCH("V.04", EF[Vector], 0))</f>
        <v>19.543974162700433</v>
      </c>
      <c r="K77" s="563">
        <f>K$16*INDEX(EF[CO2e], MATCH("V.04", EF[Vector], 0))</f>
        <v>21.702666254108099</v>
      </c>
      <c r="L77" s="563">
        <f>L$16*INDEX(EF[CO2e], MATCH("V.04", EF[Vector], 0))</f>
        <v>24.099792530227258</v>
      </c>
      <c r="M77" s="563">
        <f>M$16*INDEX(EF[CO2e], MATCH("V.04", EF[Vector], 0))</f>
        <v>26.761688780522899</v>
      </c>
      <c r="N77" s="563">
        <f>N$16*INDEX(EF[CO2e], MATCH("V.04", EF[Vector], 0))</f>
        <v>29.717599663452855</v>
      </c>
      <c r="O77" s="563">
        <f>O$16*INDEX(EF[CO2e], MATCH("V.04", EF[Vector], 0))</f>
        <v>32.999999999999908</v>
      </c>
    </row>
    <row r="78" spans="2:24" s="1916" customFormat="1" ht="17">
      <c r="C78" s="1916" t="s">
        <v>1783</v>
      </c>
      <c r="E78" s="528" t="s">
        <v>788</v>
      </c>
      <c r="F78" s="563">
        <f>F77-F74</f>
        <v>0</v>
      </c>
      <c r="G78" s="563">
        <f t="shared" ref="G78:O78" si="19">G77-G74</f>
        <v>0</v>
      </c>
      <c r="H78" s="563">
        <f t="shared" si="19"/>
        <v>0</v>
      </c>
      <c r="I78" s="563">
        <f t="shared" si="19"/>
        <v>0</v>
      </c>
      <c r="J78" s="563">
        <f t="shared" si="19"/>
        <v>0</v>
      </c>
      <c r="K78" s="563">
        <f t="shared" si="19"/>
        <v>0</v>
      </c>
      <c r="L78" s="563">
        <f t="shared" si="19"/>
        <v>0</v>
      </c>
      <c r="M78" s="563">
        <f t="shared" si="19"/>
        <v>0</v>
      </c>
      <c r="N78" s="563">
        <f t="shared" si="19"/>
        <v>0</v>
      </c>
      <c r="O78" s="563">
        <f t="shared" si="19"/>
        <v>0</v>
      </c>
    </row>
    <row r="79" spans="2:24" s="2081" customFormat="1">
      <c r="E79" s="528"/>
      <c r="F79" s="563"/>
      <c r="G79" s="563"/>
      <c r="H79" s="563"/>
      <c r="I79" s="563"/>
      <c r="J79" s="563"/>
      <c r="K79" s="563"/>
      <c r="L79" s="563"/>
      <c r="M79" s="563"/>
      <c r="N79" s="563"/>
      <c r="O79" s="563"/>
    </row>
    <row r="80" spans="2:24" s="2081" customFormat="1">
      <c r="B80" s="860"/>
      <c r="C80" s="2081" t="s">
        <v>1834</v>
      </c>
      <c r="E80" s="528"/>
      <c r="F80" s="563">
        <f>F16</f>
        <v>54.158157087257202</v>
      </c>
      <c r="G80" s="563">
        <f t="shared" ref="G80:O80" si="20">G16</f>
        <v>57.284992151842978</v>
      </c>
      <c r="H80" s="563">
        <f t="shared" si="20"/>
        <v>62.902681347166521</v>
      </c>
      <c r="I80" s="563">
        <f t="shared" si="20"/>
        <v>69.071272806936719</v>
      </c>
      <c r="J80" s="563">
        <f t="shared" si="20"/>
        <v>76.700407450204779</v>
      </c>
      <c r="K80" s="563">
        <f t="shared" si="20"/>
        <v>85.172203492920445</v>
      </c>
      <c r="L80" s="563">
        <f t="shared" si="20"/>
        <v>94.579735479880824</v>
      </c>
      <c r="M80" s="563">
        <f t="shared" si="20"/>
        <v>105.02635832578606</v>
      </c>
      <c r="N80" s="563">
        <f t="shared" si="20"/>
        <v>116.62684281373198</v>
      </c>
      <c r="O80" s="563">
        <f t="shared" si="20"/>
        <v>129.50863651300597</v>
      </c>
    </row>
    <row r="81" spans="1:23" s="2081" customFormat="1">
      <c r="B81" s="860"/>
      <c r="C81" s="2081" t="s">
        <v>1835</v>
      </c>
      <c r="E81" s="528"/>
      <c r="F81" s="563">
        <f>F80-F68</f>
        <v>0</v>
      </c>
      <c r="G81" s="563">
        <f t="shared" ref="G81:O81" si="21">G80-G68</f>
        <v>0</v>
      </c>
      <c r="H81" s="563">
        <f t="shared" si="21"/>
        <v>0</v>
      </c>
      <c r="I81" s="563">
        <f t="shared" si="21"/>
        <v>0</v>
      </c>
      <c r="J81" s="563">
        <f t="shared" si="21"/>
        <v>0</v>
      </c>
      <c r="K81" s="563">
        <f t="shared" si="21"/>
        <v>0</v>
      </c>
      <c r="L81" s="563">
        <f t="shared" si="21"/>
        <v>0</v>
      </c>
      <c r="M81" s="563">
        <f t="shared" si="21"/>
        <v>0</v>
      </c>
      <c r="N81" s="563">
        <f t="shared" si="21"/>
        <v>0</v>
      </c>
      <c r="O81" s="563">
        <f t="shared" si="21"/>
        <v>0</v>
      </c>
    </row>
    <row r="82" spans="1:23" s="2081" customFormat="1">
      <c r="B82" s="860"/>
      <c r="C82" s="2081" t="s">
        <v>1836</v>
      </c>
      <c r="E82" s="528"/>
      <c r="F82" s="563" t="e">
        <f>F81*#REF!</f>
        <v>#REF!</v>
      </c>
      <c r="G82" s="563" t="e">
        <f>G81*#REF!</f>
        <v>#REF!</v>
      </c>
      <c r="H82" s="563" t="e">
        <f>H81*#REF!</f>
        <v>#REF!</v>
      </c>
      <c r="I82" s="563" t="e">
        <f>I81*#REF!</f>
        <v>#REF!</v>
      </c>
      <c r="J82" s="563" t="e">
        <f>J81*#REF!</f>
        <v>#REF!</v>
      </c>
      <c r="K82" s="563" t="e">
        <f>K81*#REF!</f>
        <v>#REF!</v>
      </c>
      <c r="L82" s="563" t="e">
        <f>L81*#REF!</f>
        <v>#REF!</v>
      </c>
      <c r="M82" s="563" t="e">
        <f>M81*#REF!</f>
        <v>#REF!</v>
      </c>
      <c r="N82" s="563" t="e">
        <f>N81*#REF!</f>
        <v>#REF!</v>
      </c>
      <c r="O82" s="563" t="e">
        <f>O81*#REF!</f>
        <v>#REF!</v>
      </c>
    </row>
    <row r="83" spans="1:23" s="1916" customFormat="1">
      <c r="E83" s="528"/>
      <c r="F83" s="563"/>
      <c r="G83" s="563"/>
      <c r="H83" s="563"/>
      <c r="I83" s="563"/>
      <c r="J83" s="563"/>
      <c r="K83" s="563"/>
      <c r="L83" s="563"/>
      <c r="M83" s="563"/>
      <c r="N83" s="563"/>
      <c r="O83" s="563"/>
    </row>
    <row r="84" spans="1:23" s="1916" customFormat="1">
      <c r="C84" s="1916" t="s">
        <v>1792</v>
      </c>
      <c r="E84" s="528"/>
      <c r="F84" s="563"/>
      <c r="G84" s="563"/>
      <c r="H84" s="563"/>
      <c r="I84" s="563"/>
      <c r="J84" s="563"/>
      <c r="K84" s="563"/>
      <c r="L84" s="563"/>
      <c r="M84" s="563"/>
      <c r="N84" s="563"/>
      <c r="O84" s="563"/>
    </row>
    <row r="85" spans="1:23" s="1916" customFormat="1">
      <c r="C85" s="1916" t="s">
        <v>1536</v>
      </c>
      <c r="E85" s="528" t="str">
        <f>Preferences.moneyunits</f>
        <v>£m</v>
      </c>
      <c r="F85" s="563" t="e">
        <f>(F$78*F53)+F82</f>
        <v>#REF!</v>
      </c>
      <c r="G85" s="563" t="e">
        <f t="shared" ref="G85:O85" si="22">(G$78*G53)+G82</f>
        <v>#REF!</v>
      </c>
      <c r="H85" s="563" t="e">
        <f t="shared" si="22"/>
        <v>#REF!</v>
      </c>
      <c r="I85" s="563" t="e">
        <f t="shared" si="22"/>
        <v>#REF!</v>
      </c>
      <c r="J85" s="563" t="e">
        <f t="shared" si="22"/>
        <v>#REF!</v>
      </c>
      <c r="K85" s="563" t="e">
        <f t="shared" si="22"/>
        <v>#REF!</v>
      </c>
      <c r="L85" s="563" t="e">
        <f t="shared" si="22"/>
        <v>#REF!</v>
      </c>
      <c r="M85" s="563" t="e">
        <f t="shared" si="22"/>
        <v>#REF!</v>
      </c>
      <c r="N85" s="563" t="e">
        <f t="shared" si="22"/>
        <v>#REF!</v>
      </c>
      <c r="O85" s="563" t="e">
        <f t="shared" si="22"/>
        <v>#REF!</v>
      </c>
    </row>
    <row r="86" spans="1:23" s="2030" customFormat="1">
      <c r="C86" s="2030" t="s">
        <v>1800</v>
      </c>
      <c r="E86" s="528" t="str">
        <f>Preferences.moneyunits</f>
        <v>£m</v>
      </c>
      <c r="F86" s="563" t="e">
        <f>(F$78*F54)+F82</f>
        <v>#REF!</v>
      </c>
      <c r="G86" s="563" t="e">
        <f t="shared" ref="G86:O86" si="23">(G$78*G54)+G82</f>
        <v>#REF!</v>
      </c>
      <c r="H86" s="563" t="e">
        <f t="shared" si="23"/>
        <v>#REF!</v>
      </c>
      <c r="I86" s="563" t="e">
        <f t="shared" si="23"/>
        <v>#REF!</v>
      </c>
      <c r="J86" s="563" t="e">
        <f t="shared" si="23"/>
        <v>#REF!</v>
      </c>
      <c r="K86" s="563" t="e">
        <f t="shared" si="23"/>
        <v>#REF!</v>
      </c>
      <c r="L86" s="563" t="e">
        <f t="shared" si="23"/>
        <v>#REF!</v>
      </c>
      <c r="M86" s="563" t="e">
        <f t="shared" si="23"/>
        <v>#REF!</v>
      </c>
      <c r="N86" s="563" t="e">
        <f t="shared" si="23"/>
        <v>#REF!</v>
      </c>
      <c r="O86" s="563" t="e">
        <f t="shared" si="23"/>
        <v>#REF!</v>
      </c>
      <c r="P86" s="563"/>
    </row>
    <row r="87" spans="1:23" s="1916" customFormat="1">
      <c r="C87" s="1916" t="s">
        <v>1543</v>
      </c>
      <c r="E87" s="528" t="str">
        <f>Preferences.moneyunits</f>
        <v>£m</v>
      </c>
      <c r="F87" s="563" t="e">
        <f>(F$78*F55)+F82</f>
        <v>#REF!</v>
      </c>
      <c r="G87" s="563" t="e">
        <f t="shared" ref="G87:O87" si="24">(G$78*G55)+G82</f>
        <v>#REF!</v>
      </c>
      <c r="H87" s="563" t="e">
        <f t="shared" si="24"/>
        <v>#REF!</v>
      </c>
      <c r="I87" s="563" t="e">
        <f t="shared" si="24"/>
        <v>#REF!</v>
      </c>
      <c r="J87" s="563" t="e">
        <f t="shared" si="24"/>
        <v>#REF!</v>
      </c>
      <c r="K87" s="563" t="e">
        <f t="shared" si="24"/>
        <v>#REF!</v>
      </c>
      <c r="L87" s="563" t="e">
        <f t="shared" si="24"/>
        <v>#REF!</v>
      </c>
      <c r="M87" s="563" t="e">
        <f t="shared" si="24"/>
        <v>#REF!</v>
      </c>
      <c r="N87" s="563" t="e">
        <f t="shared" si="24"/>
        <v>#REF!</v>
      </c>
      <c r="O87" s="563" t="e">
        <f t="shared" si="24"/>
        <v>#REF!</v>
      </c>
    </row>
    <row r="88" spans="1:23">
      <c r="U88" s="23"/>
      <c r="V88" s="23"/>
      <c r="W88" s="23"/>
    </row>
    <row r="89" spans="1:23" ht="22" collapsed="1">
      <c r="A89" s="799"/>
      <c r="B89" s="843" t="s">
        <v>575</v>
      </c>
      <c r="C89" s="810"/>
      <c r="D89" s="810"/>
      <c r="E89" s="810"/>
      <c r="F89" s="810"/>
      <c r="G89" s="810"/>
      <c r="H89" s="810"/>
      <c r="I89" s="810"/>
      <c r="J89" s="810"/>
      <c r="K89" s="810"/>
      <c r="L89" s="810"/>
      <c r="M89" s="810"/>
      <c r="N89" s="810"/>
      <c r="O89" s="810"/>
      <c r="P89" s="811"/>
      <c r="U89" s="23"/>
      <c r="V89" s="23"/>
      <c r="W89" s="23"/>
    </row>
    <row r="90" spans="1:23">
      <c r="B90" s="800"/>
      <c r="C90" s="802"/>
      <c r="D90" s="802"/>
      <c r="E90" s="802"/>
      <c r="F90" s="802"/>
      <c r="G90" s="802"/>
      <c r="H90" s="802"/>
      <c r="I90" s="802"/>
      <c r="J90" s="802"/>
      <c r="K90" s="802"/>
      <c r="L90" s="802"/>
      <c r="M90" s="802"/>
      <c r="N90" s="802"/>
      <c r="O90" s="802"/>
      <c r="P90" s="804"/>
      <c r="U90" s="23"/>
      <c r="V90" s="23"/>
      <c r="W90" s="23"/>
    </row>
    <row r="91" spans="1:23">
      <c r="B91" s="800"/>
      <c r="C91" s="812" t="s">
        <v>613</v>
      </c>
      <c r="D91" s="802"/>
      <c r="E91" s="803"/>
      <c r="F91" s="802"/>
      <c r="G91" s="803"/>
      <c r="H91" s="802"/>
      <c r="I91" s="802"/>
      <c r="J91" s="802"/>
      <c r="K91" s="802"/>
      <c r="L91" s="802"/>
      <c r="M91" s="802"/>
      <c r="N91" s="802"/>
      <c r="O91" s="803" t="str">
        <f>Preferences.EnergyUnits</f>
        <v>TWh</v>
      </c>
      <c r="P91" s="804"/>
      <c r="U91" s="23"/>
      <c r="V91" s="23"/>
      <c r="W91" s="23"/>
    </row>
    <row r="92" spans="1:23" ht="6" customHeight="1">
      <c r="B92" s="800"/>
      <c r="C92" s="802"/>
      <c r="D92" s="802"/>
      <c r="E92" s="802"/>
      <c r="F92" s="802"/>
      <c r="G92" s="802"/>
      <c r="H92" s="802"/>
      <c r="I92" s="802"/>
      <c r="J92" s="802"/>
      <c r="K92" s="802"/>
      <c r="L92" s="802"/>
      <c r="M92" s="802"/>
      <c r="N92" s="802"/>
      <c r="O92" s="802"/>
      <c r="P92" s="804"/>
      <c r="U92" s="23"/>
      <c r="V92" s="23"/>
      <c r="W92" s="23"/>
    </row>
    <row r="93" spans="1:23" ht="15">
      <c r="A93" s="3"/>
      <c r="B93" s="805"/>
      <c r="C93" s="813" t="s">
        <v>72</v>
      </c>
      <c r="D93" s="813" t="s">
        <v>399</v>
      </c>
      <c r="E93" s="813" t="s">
        <v>422</v>
      </c>
      <c r="F93" s="813" t="s">
        <v>579</v>
      </c>
      <c r="G93" s="813" t="s">
        <v>580</v>
      </c>
      <c r="H93" s="814" t="s">
        <v>605</v>
      </c>
      <c r="I93" s="814" t="s">
        <v>606</v>
      </c>
      <c r="J93" s="814" t="s">
        <v>607</v>
      </c>
      <c r="K93" s="814" t="s">
        <v>608</v>
      </c>
      <c r="L93" s="814" t="s">
        <v>609</v>
      </c>
      <c r="M93" s="814" t="s">
        <v>610</v>
      </c>
      <c r="N93" s="814" t="s">
        <v>611</v>
      </c>
      <c r="O93" s="814" t="s">
        <v>612</v>
      </c>
      <c r="P93" s="804"/>
    </row>
    <row r="94" spans="1:23" ht="15">
      <c r="A94" s="3"/>
      <c r="B94" s="805"/>
      <c r="C94" s="541" t="s">
        <v>722</v>
      </c>
      <c r="D94" s="541" t="str">
        <f>INDEX(Vectors[Description], MATCH(XII.e.Outputs[Vector], Vectors[Code], 0))</f>
        <v>International shipping</v>
      </c>
      <c r="E94" s="541"/>
      <c r="F94" s="629">
        <f>F$68</f>
        <v>54.158157087257202</v>
      </c>
      <c r="G94" s="629">
        <f>G$68</f>
        <v>57.284992151842978</v>
      </c>
      <c r="H94" s="629">
        <f t="shared" ref="H94:O94" si="25">H$68</f>
        <v>62.902681347166521</v>
      </c>
      <c r="I94" s="629">
        <f t="shared" si="25"/>
        <v>69.071272806936719</v>
      </c>
      <c r="J94" s="629">
        <f t="shared" si="25"/>
        <v>76.700407450204779</v>
      </c>
      <c r="K94" s="629">
        <f t="shared" si="25"/>
        <v>85.172203492920445</v>
      </c>
      <c r="L94" s="629">
        <f t="shared" si="25"/>
        <v>94.579735479880824</v>
      </c>
      <c r="M94" s="629">
        <f t="shared" si="25"/>
        <v>105.02635832578606</v>
      </c>
      <c r="N94" s="629">
        <f t="shared" si="25"/>
        <v>116.62684281373198</v>
      </c>
      <c r="O94" s="629">
        <f t="shared" si="25"/>
        <v>129.50863651300597</v>
      </c>
      <c r="P94" s="804"/>
    </row>
    <row r="95" spans="1:23" ht="15">
      <c r="A95" s="3"/>
      <c r="B95" s="805"/>
      <c r="C95" s="541" t="s">
        <v>44</v>
      </c>
      <c r="D95" s="541" t="str">
        <f>INDEX(Vectors[Description], MATCH(XII.e.Outputs[Vector], Vectors[Code], 0))</f>
        <v>Liquid hydrocarbons</v>
      </c>
      <c r="E95" s="541"/>
      <c r="F95" s="629">
        <f>-F$68</f>
        <v>-54.158157087257202</v>
      </c>
      <c r="G95" s="629">
        <f t="shared" ref="G95:O95" si="26">-G$68</f>
        <v>-57.284992151842978</v>
      </c>
      <c r="H95" s="629">
        <f t="shared" si="26"/>
        <v>-62.902681347166521</v>
      </c>
      <c r="I95" s="629">
        <f t="shared" si="26"/>
        <v>-69.071272806936719</v>
      </c>
      <c r="J95" s="629">
        <f t="shared" si="26"/>
        <v>-76.700407450204779</v>
      </c>
      <c r="K95" s="629">
        <f t="shared" si="26"/>
        <v>-85.172203492920445</v>
      </c>
      <c r="L95" s="629">
        <f t="shared" si="26"/>
        <v>-94.579735479880824</v>
      </c>
      <c r="M95" s="629">
        <f t="shared" si="26"/>
        <v>-105.02635832578606</v>
      </c>
      <c r="N95" s="629">
        <f t="shared" si="26"/>
        <v>-116.62684281373198</v>
      </c>
      <c r="O95" s="629">
        <f t="shared" si="26"/>
        <v>-129.50863651300597</v>
      </c>
      <c r="P95" s="804"/>
    </row>
    <row r="96" spans="1:23" ht="15">
      <c r="A96" s="3"/>
      <c r="B96" s="805"/>
      <c r="C96" s="541" t="s">
        <v>132</v>
      </c>
      <c r="D96" s="541"/>
      <c r="E96" s="541"/>
      <c r="F96" s="629">
        <f>SUBTOTAL(109,XII.e.Outputs[2007])</f>
        <v>0</v>
      </c>
      <c r="G96" s="629">
        <f>SUBTOTAL(109,XII.e.Outputs[2010])</f>
        <v>0</v>
      </c>
      <c r="H96" s="629">
        <f>SUBTOTAL(109,XII.e.Outputs[2015])</f>
        <v>0</v>
      </c>
      <c r="I96" s="629">
        <f>SUBTOTAL(109,XII.e.Outputs[2020])</f>
        <v>0</v>
      </c>
      <c r="J96" s="629">
        <f>SUBTOTAL(109,XII.e.Outputs[2025])</f>
        <v>0</v>
      </c>
      <c r="K96" s="629">
        <f>SUBTOTAL(109,XII.e.Outputs[2030])</f>
        <v>0</v>
      </c>
      <c r="L96" s="629">
        <f>SUBTOTAL(109,XII.e.Outputs[2035])</f>
        <v>0</v>
      </c>
      <c r="M96" s="629">
        <f>SUBTOTAL(109,XII.e.Outputs[2040])</f>
        <v>0</v>
      </c>
      <c r="N96" s="629">
        <f>SUBTOTAL(109,XII.e.Outputs[2045])</f>
        <v>0</v>
      </c>
      <c r="O96" s="629">
        <f>SUBTOTAL(109,XII.e.Outputs[2050])</f>
        <v>0</v>
      </c>
      <c r="P96" s="804"/>
    </row>
    <row r="97" spans="1:22" ht="15">
      <c r="A97" s="3"/>
      <c r="B97" s="806"/>
      <c r="C97" s="807"/>
      <c r="D97" s="807"/>
      <c r="E97" s="807"/>
      <c r="F97" s="807"/>
      <c r="G97" s="807"/>
      <c r="H97" s="807"/>
      <c r="I97" s="807"/>
      <c r="J97" s="807"/>
      <c r="K97" s="807"/>
      <c r="L97" s="807"/>
      <c r="M97" s="807"/>
      <c r="N97" s="807"/>
      <c r="O97" s="807"/>
      <c r="P97" s="809"/>
    </row>
    <row r="99" spans="1:22" ht="22">
      <c r="A99" s="799"/>
      <c r="B99" s="846" t="s">
        <v>670</v>
      </c>
      <c r="C99" s="822"/>
      <c r="D99" s="823"/>
      <c r="E99" s="823"/>
      <c r="F99" s="823"/>
      <c r="G99" s="823"/>
      <c r="H99" s="823"/>
      <c r="I99" s="823"/>
      <c r="J99" s="823"/>
      <c r="K99" s="823"/>
      <c r="L99" s="823"/>
      <c r="M99" s="823"/>
      <c r="N99" s="823"/>
      <c r="O99" s="823"/>
      <c r="P99" s="824"/>
    </row>
    <row r="100" spans="1:22">
      <c r="B100" s="829"/>
      <c r="C100" s="830"/>
      <c r="D100" s="830"/>
      <c r="E100" s="830"/>
      <c r="F100" s="830"/>
      <c r="G100" s="830"/>
      <c r="H100" s="830"/>
      <c r="I100" s="830"/>
      <c r="J100" s="830"/>
      <c r="K100" s="830"/>
      <c r="L100" s="830"/>
      <c r="M100" s="830"/>
      <c r="N100" s="830"/>
      <c r="O100" s="830"/>
      <c r="P100" s="831"/>
    </row>
    <row r="101" spans="1:22" ht="17">
      <c r="B101" s="832"/>
      <c r="C101" s="825" t="s">
        <v>787</v>
      </c>
      <c r="D101" s="826"/>
      <c r="E101" s="827"/>
      <c r="F101" s="826"/>
      <c r="G101" s="827"/>
      <c r="H101" s="826"/>
      <c r="I101" s="826"/>
      <c r="J101" s="826"/>
      <c r="K101" s="826"/>
      <c r="L101" s="826"/>
      <c r="M101" s="826"/>
      <c r="N101" s="826"/>
      <c r="O101" s="827" t="s">
        <v>788</v>
      </c>
      <c r="P101" s="833"/>
    </row>
    <row r="102" spans="1:22" ht="5.25" customHeight="1">
      <c r="B102" s="832"/>
      <c r="C102" s="826"/>
      <c r="D102" s="826"/>
      <c r="E102" s="826"/>
      <c r="F102" s="826"/>
      <c r="G102" s="826"/>
      <c r="H102" s="826"/>
      <c r="I102" s="826"/>
      <c r="J102" s="826"/>
      <c r="K102" s="826"/>
      <c r="L102" s="826"/>
      <c r="M102" s="826"/>
      <c r="N102" s="826"/>
      <c r="O102" s="826"/>
      <c r="P102" s="833"/>
    </row>
    <row r="103" spans="1:22" ht="15">
      <c r="B103" s="834"/>
      <c r="C103" s="856" t="s">
        <v>786</v>
      </c>
      <c r="D103" s="856" t="s">
        <v>757</v>
      </c>
      <c r="E103" s="856" t="s">
        <v>422</v>
      </c>
      <c r="F103" s="856" t="s">
        <v>579</v>
      </c>
      <c r="G103" s="856" t="s">
        <v>580</v>
      </c>
      <c r="H103" s="856" t="s">
        <v>605</v>
      </c>
      <c r="I103" s="856" t="s">
        <v>606</v>
      </c>
      <c r="J103" s="856" t="s">
        <v>607</v>
      </c>
      <c r="K103" s="856" t="s">
        <v>608</v>
      </c>
      <c r="L103" s="856" t="s">
        <v>609</v>
      </c>
      <c r="M103" s="856" t="s">
        <v>610</v>
      </c>
      <c r="N103" s="856" t="s">
        <v>611</v>
      </c>
      <c r="O103" s="856" t="s">
        <v>612</v>
      </c>
      <c r="P103" s="833"/>
    </row>
    <row r="104" spans="1:22" ht="15">
      <c r="B104" s="834"/>
      <c r="C104" s="828" t="s">
        <v>769</v>
      </c>
      <c r="D104" s="835" t="s">
        <v>764</v>
      </c>
      <c r="E104" s="828" t="str">
        <f>INDEX(IPCC[Sector_description], MATCH(XII.e.Emissions[IPCC Sector], IPCC[Sector_code], 0))</f>
        <v>Int'l Aviation &amp; Shipping</v>
      </c>
      <c r="F104" s="836">
        <f>F$71</f>
        <v>13.5395392718143</v>
      </c>
      <c r="G104" s="836">
        <f t="shared" ref="G104:O104" si="27">G$71</f>
        <v>14.321248037960745</v>
      </c>
      <c r="H104" s="836">
        <f t="shared" si="27"/>
        <v>15.72567033679163</v>
      </c>
      <c r="I104" s="836">
        <f t="shared" si="27"/>
        <v>17.26781820173418</v>
      </c>
      <c r="J104" s="836">
        <f t="shared" si="27"/>
        <v>19.175101862551195</v>
      </c>
      <c r="K104" s="836">
        <f t="shared" si="27"/>
        <v>21.293050873230111</v>
      </c>
      <c r="L104" s="836">
        <f t="shared" si="27"/>
        <v>23.644933869970206</v>
      </c>
      <c r="M104" s="836">
        <f t="shared" si="27"/>
        <v>26.256589581446516</v>
      </c>
      <c r="N104" s="836">
        <f t="shared" si="27"/>
        <v>29.156710703432996</v>
      </c>
      <c r="O104" s="836">
        <f t="shared" si="27"/>
        <v>32.377159128251492</v>
      </c>
      <c r="P104" s="833"/>
    </row>
    <row r="105" spans="1:22" ht="15">
      <c r="B105" s="834"/>
      <c r="C105" s="828" t="s">
        <v>770</v>
      </c>
      <c r="D105" s="835" t="s">
        <v>764</v>
      </c>
      <c r="E105" s="828" t="str">
        <f>INDEX(IPCC[Sector_description], MATCH(XII.e.Emissions[IPCC Sector], IPCC[Sector_code], 0))</f>
        <v>Int'l Aviation &amp; Shipping</v>
      </c>
      <c r="F105" s="836">
        <f>F$72</f>
        <v>1.6856672942676842E-2</v>
      </c>
      <c r="G105" s="836">
        <f t="shared" ref="G105:O105" si="28">G$72</f>
        <v>1.7829897270537472E-2</v>
      </c>
      <c r="H105" s="836">
        <f t="shared" si="28"/>
        <v>1.9578397488272156E-2</v>
      </c>
      <c r="I105" s="836">
        <f t="shared" si="28"/>
        <v>2.1498365492109598E-2</v>
      </c>
      <c r="J105" s="836">
        <f t="shared" si="28"/>
        <v>2.3872926120345483E-2</v>
      </c>
      <c r="K105" s="836">
        <f t="shared" si="28"/>
        <v>2.6509764277505055E-2</v>
      </c>
      <c r="L105" s="836">
        <f t="shared" si="28"/>
        <v>2.943784932379763E-2</v>
      </c>
      <c r="M105" s="836">
        <f t="shared" si="28"/>
        <v>3.2689350374418752E-2</v>
      </c>
      <c r="N105" s="836">
        <f t="shared" si="28"/>
        <v>3.6299989722335377E-2</v>
      </c>
      <c r="O105" s="836">
        <f t="shared" si="28"/>
        <v>4.0309435297705379E-2</v>
      </c>
      <c r="P105" s="833"/>
    </row>
    <row r="106" spans="1:22" ht="15">
      <c r="B106" s="834"/>
      <c r="C106" s="828" t="s">
        <v>771</v>
      </c>
      <c r="D106" s="835" t="s">
        <v>764</v>
      </c>
      <c r="E106" s="828" t="str">
        <f>INDEX(IPCC[Sector_description], MATCH(XII.e.Emissions[IPCC Sector], IPCC[Sector_code], 0))</f>
        <v>Int'l Aviation &amp; Shipping</v>
      </c>
      <c r="F106" s="836">
        <f>F$73</f>
        <v>0.2436040552430235</v>
      </c>
      <c r="G106" s="836">
        <f t="shared" ref="G106:O106" si="29">G$73</f>
        <v>0.25766859773810774</v>
      </c>
      <c r="H106" s="836">
        <f t="shared" si="29"/>
        <v>0.28293703268265136</v>
      </c>
      <c r="I106" s="836">
        <f t="shared" si="29"/>
        <v>0.31068343277371113</v>
      </c>
      <c r="J106" s="836">
        <f t="shared" si="29"/>
        <v>0.3449993740288913</v>
      </c>
      <c r="K106" s="836">
        <f t="shared" si="29"/>
        <v>0.38310561660048192</v>
      </c>
      <c r="L106" s="836">
        <f t="shared" si="29"/>
        <v>0.42542081093325257</v>
      </c>
      <c r="M106" s="836">
        <f t="shared" si="29"/>
        <v>0.47240984870196395</v>
      </c>
      <c r="N106" s="836">
        <f t="shared" si="29"/>
        <v>0.5245889702975236</v>
      </c>
      <c r="O106" s="836">
        <f t="shared" si="29"/>
        <v>0.58253143645070671</v>
      </c>
      <c r="P106" s="833"/>
    </row>
    <row r="107" spans="1:22" ht="15">
      <c r="B107" s="834"/>
      <c r="C107" s="828" t="s">
        <v>132</v>
      </c>
      <c r="D107" s="828"/>
      <c r="E107" s="828"/>
      <c r="F107" s="858">
        <f>SUBTOTAL(109,XII.e.Emissions[2007])</f>
        <v>13.8</v>
      </c>
      <c r="G107" s="858">
        <f>SUBTOTAL(109,XII.e.Emissions[2010])</f>
        <v>14.596746532969391</v>
      </c>
      <c r="H107" s="858">
        <f>SUBTOTAL(109,XII.e.Emissions[2015])</f>
        <v>16.028185766962554</v>
      </c>
      <c r="I107" s="858">
        <f>SUBTOTAL(109,XII.e.Emissions[2020])</f>
        <v>17.600000000000001</v>
      </c>
      <c r="J107" s="858">
        <f>SUBTOTAL(109,XII.e.Emissions[2025])</f>
        <v>19.54397416270043</v>
      </c>
      <c r="K107" s="858">
        <f>SUBTOTAL(109,XII.e.Emissions[2030])</f>
        <v>21.702666254108099</v>
      </c>
      <c r="L107" s="858">
        <f>SUBTOTAL(109,XII.e.Emissions[2035])</f>
        <v>24.099792530227258</v>
      </c>
      <c r="M107" s="858">
        <f>SUBTOTAL(109,XII.e.Emissions[2040])</f>
        <v>26.761688780522899</v>
      </c>
      <c r="N107" s="858">
        <f>SUBTOTAL(109,XII.e.Emissions[2045])</f>
        <v>29.717599663452852</v>
      </c>
      <c r="O107" s="858">
        <f>SUBTOTAL(109,XII.e.Emissions[2050])</f>
        <v>32.999999999999908</v>
      </c>
      <c r="P107" s="833"/>
    </row>
    <row r="108" spans="1:22" ht="15">
      <c r="B108" s="834"/>
      <c r="C108" s="826"/>
      <c r="D108" s="826"/>
      <c r="E108" s="826"/>
      <c r="F108" s="826"/>
      <c r="G108" s="826"/>
      <c r="H108" s="826"/>
      <c r="I108" s="826"/>
      <c r="J108" s="826"/>
      <c r="K108" s="826"/>
      <c r="L108" s="826"/>
      <c r="M108" s="826"/>
      <c r="N108" s="826"/>
      <c r="O108" s="826"/>
      <c r="P108" s="833"/>
    </row>
    <row r="111" spans="1:22" s="1562" customFormat="1" ht="21.75" customHeight="1" collapsed="1">
      <c r="B111" s="1519" t="s">
        <v>1297</v>
      </c>
      <c r="C111" s="1555"/>
      <c r="D111" s="1520"/>
      <c r="E111" s="1520"/>
      <c r="F111" s="1520"/>
      <c r="G111" s="1520"/>
      <c r="H111" s="1520"/>
      <c r="I111" s="1520"/>
      <c r="J111" s="1520"/>
      <c r="K111" s="1520"/>
      <c r="L111" s="1520"/>
      <c r="M111" s="1520"/>
      <c r="N111" s="1520"/>
      <c r="O111" s="1520"/>
      <c r="P111" s="1521"/>
      <c r="S111" s="1533"/>
      <c r="T111" s="1550"/>
      <c r="U111" s="1533"/>
      <c r="V111" s="1533"/>
    </row>
    <row r="112" spans="1:22" s="1562" customFormat="1">
      <c r="B112" s="1556"/>
      <c r="C112" s="1557"/>
      <c r="D112" s="1557"/>
      <c r="E112" s="1557"/>
      <c r="F112" s="1557"/>
      <c r="G112" s="1557"/>
      <c r="H112" s="1557"/>
      <c r="I112" s="1557"/>
      <c r="J112" s="1557"/>
      <c r="K112" s="1557"/>
      <c r="L112" s="1557"/>
      <c r="M112" s="1557"/>
      <c r="N112" s="1557"/>
      <c r="O112" s="1557"/>
      <c r="P112" s="1558"/>
      <c r="T112" s="528"/>
    </row>
    <row r="113" spans="2:20" s="1562" customFormat="1">
      <c r="B113" s="1522"/>
      <c r="C113" s="1559" t="s">
        <v>1302</v>
      </c>
      <c r="D113" s="1523"/>
      <c r="E113" s="1560"/>
      <c r="F113" s="1523"/>
      <c r="G113" s="1560"/>
      <c r="H113" s="1523"/>
      <c r="I113" s="1523"/>
      <c r="J113" s="1523"/>
      <c r="K113" s="1523"/>
      <c r="L113" s="1523"/>
      <c r="M113" s="1523"/>
      <c r="N113" s="1523"/>
      <c r="O113" s="1560"/>
      <c r="P113" s="1524"/>
      <c r="T113" s="528"/>
    </row>
    <row r="114" spans="2:20" s="1562" customFormat="1">
      <c r="B114" s="1522"/>
      <c r="C114" s="1523"/>
      <c r="D114" s="1523"/>
      <c r="E114" s="1523"/>
      <c r="F114" s="1523"/>
      <c r="G114" s="1523"/>
      <c r="H114" s="1523"/>
      <c r="I114" s="1523"/>
      <c r="J114" s="1523"/>
      <c r="K114" s="1523"/>
      <c r="L114" s="1523"/>
      <c r="M114" s="1523"/>
      <c r="N114" s="1523"/>
      <c r="O114" s="1523"/>
      <c r="P114" s="1524"/>
      <c r="T114" s="528"/>
    </row>
    <row r="115" spans="2:20" s="1562" customFormat="1" ht="15">
      <c r="B115" s="1525"/>
      <c r="C115" s="1526" t="s">
        <v>72</v>
      </c>
      <c r="D115" s="1526" t="s">
        <v>1298</v>
      </c>
      <c r="E115" s="1526" t="s">
        <v>422</v>
      </c>
      <c r="F115" s="1526" t="s">
        <v>579</v>
      </c>
      <c r="G115" s="1526" t="s">
        <v>580</v>
      </c>
      <c r="H115" s="1526" t="s">
        <v>605</v>
      </c>
      <c r="I115" s="1526" t="s">
        <v>606</v>
      </c>
      <c r="J115" s="1526" t="s">
        <v>607</v>
      </c>
      <c r="K115" s="1526" t="s">
        <v>608</v>
      </c>
      <c r="L115" s="1526" t="s">
        <v>609</v>
      </c>
      <c r="M115" s="1526" t="s">
        <v>610</v>
      </c>
      <c r="N115" s="1526" t="s">
        <v>611</v>
      </c>
      <c r="O115" s="1526" t="s">
        <v>612</v>
      </c>
      <c r="P115" s="1524"/>
    </row>
    <row r="116" spans="2:20" s="1562" customFormat="1" ht="15">
      <c r="B116" s="1525"/>
      <c r="C116" s="1527" t="s">
        <v>1299</v>
      </c>
      <c r="D116" s="1528" t="str">
        <f>INDEX(Vectors[Description], MATCH(XII.e.info[Vector], Vectors[Code], 0))</f>
        <v>UK Land area</v>
      </c>
      <c r="E116" s="1528">
        <f>INDEX(Vectors[Comment], MATCH(XII.e.info[Information type], Vectors[Description], 0))</f>
        <v>0</v>
      </c>
      <c r="F116" s="1563"/>
      <c r="G116" s="1563"/>
      <c r="H116" s="1563"/>
      <c r="I116" s="1563"/>
      <c r="J116" s="1563"/>
      <c r="K116" s="1563"/>
      <c r="L116" s="1563"/>
      <c r="M116" s="1563"/>
      <c r="N116" s="1563"/>
      <c r="O116" s="1563"/>
      <c r="P116" s="1524"/>
    </row>
    <row r="117" spans="2:20" s="1562" customFormat="1" ht="15">
      <c r="B117" s="1525"/>
      <c r="C117" s="1527" t="s">
        <v>1305</v>
      </c>
      <c r="D117" s="1528" t="str">
        <f>INDEX(Vectors[Description], MATCH(XII.e.info[Vector], Vectors[Code], 0))</f>
        <v>Number of units</v>
      </c>
      <c r="E117" s="1528"/>
      <c r="F117" s="1563"/>
      <c r="G117" s="1563"/>
      <c r="H117" s="1563"/>
      <c r="I117" s="1563"/>
      <c r="J117" s="1563"/>
      <c r="K117" s="1563"/>
      <c r="L117" s="1563"/>
      <c r="M117" s="1563"/>
      <c r="N117" s="1563"/>
      <c r="O117" s="1563"/>
      <c r="P117" s="1524"/>
    </row>
    <row r="118" spans="2:20" s="1562" customFormat="1" ht="15">
      <c r="B118" s="1564"/>
      <c r="C118" s="1530"/>
      <c r="D118" s="1530"/>
      <c r="E118" s="1530"/>
      <c r="F118" s="1530"/>
      <c r="G118" s="1530"/>
      <c r="H118" s="1530"/>
      <c r="I118" s="1530"/>
      <c r="J118" s="1530"/>
      <c r="K118" s="1530"/>
      <c r="L118" s="1530"/>
      <c r="M118" s="1530"/>
      <c r="N118" s="1530"/>
      <c r="O118" s="1530"/>
      <c r="P118" s="1561"/>
    </row>
    <row r="120" spans="2:20" s="1703" customFormat="1"/>
    <row r="121" spans="2:20" s="1703" customFormat="1" ht="22.5" customHeight="1">
      <c r="B121" s="1519" t="s">
        <v>1572</v>
      </c>
      <c r="C121" s="1520"/>
      <c r="D121" s="1520"/>
      <c r="E121" s="1520"/>
      <c r="F121" s="1520"/>
      <c r="G121" s="1520"/>
      <c r="H121" s="1520"/>
      <c r="I121" s="1520"/>
      <c r="J121" s="1520"/>
      <c r="K121" s="1520"/>
      <c r="L121" s="1520"/>
      <c r="M121" s="1520"/>
      <c r="N121" s="1520"/>
      <c r="O121" s="1520"/>
      <c r="P121" s="1521"/>
    </row>
    <row r="122" spans="2:20" s="1703" customFormat="1">
      <c r="B122" s="1522"/>
      <c r="C122" s="1523"/>
      <c r="D122" s="1523"/>
      <c r="E122" s="1523"/>
      <c r="F122" s="1523"/>
      <c r="G122" s="1523"/>
      <c r="H122" s="1523"/>
      <c r="I122" s="1523"/>
      <c r="J122" s="1523"/>
      <c r="K122" s="1523"/>
      <c r="L122" s="1523"/>
      <c r="M122" s="1523"/>
      <c r="N122" s="1523"/>
      <c r="O122" s="1523"/>
      <c r="P122" s="1524"/>
    </row>
    <row r="123" spans="2:20" s="1703" customFormat="1" ht="15.75" customHeight="1">
      <c r="B123" s="1522"/>
      <c r="C123" s="1695" t="s">
        <v>1573</v>
      </c>
      <c r="D123" s="1696"/>
      <c r="E123" s="1696"/>
      <c r="F123" s="1696"/>
      <c r="G123" s="1696"/>
      <c r="H123" s="1696"/>
      <c r="I123" s="1696"/>
      <c r="J123" s="1696"/>
      <c r="K123" s="1696"/>
      <c r="L123" s="1696"/>
      <c r="M123" s="1696"/>
      <c r="N123" s="1696"/>
      <c r="O123" s="1696"/>
      <c r="P123" s="1524"/>
    </row>
    <row r="124" spans="2:20" s="1703" customFormat="1" ht="5.25" customHeight="1">
      <c r="B124" s="1522"/>
      <c r="C124" s="1523"/>
      <c r="D124" s="1523"/>
      <c r="E124" s="1523"/>
      <c r="F124" s="1523"/>
      <c r="G124" s="1523"/>
      <c r="H124" s="1523"/>
      <c r="I124" s="1523"/>
      <c r="J124" s="1523"/>
      <c r="K124" s="1523"/>
      <c r="L124" s="1523"/>
      <c r="M124" s="1523"/>
      <c r="N124" s="1523"/>
      <c r="O124" s="1523"/>
      <c r="P124" s="1524"/>
    </row>
    <row r="125" spans="2:20" s="1703" customFormat="1" ht="15">
      <c r="B125" s="1525"/>
      <c r="C125" s="1526" t="s">
        <v>72</v>
      </c>
      <c r="D125" s="1526" t="s">
        <v>399</v>
      </c>
      <c r="E125" s="1526" t="s">
        <v>422</v>
      </c>
      <c r="F125" s="1526" t="s">
        <v>579</v>
      </c>
      <c r="G125" s="1526" t="s">
        <v>580</v>
      </c>
      <c r="H125" s="1526" t="s">
        <v>605</v>
      </c>
      <c r="I125" s="1526" t="s">
        <v>606</v>
      </c>
      <c r="J125" s="1526" t="s">
        <v>607</v>
      </c>
      <c r="K125" s="1526" t="s">
        <v>608</v>
      </c>
      <c r="L125" s="1526" t="s">
        <v>609</v>
      </c>
      <c r="M125" s="1526" t="s">
        <v>610</v>
      </c>
      <c r="N125" s="1526" t="s">
        <v>611</v>
      </c>
      <c r="O125" s="1526" t="s">
        <v>612</v>
      </c>
      <c r="P125" s="1697"/>
    </row>
    <row r="126" spans="2:20" s="1703" customFormat="1" ht="15">
      <c r="B126" s="1525"/>
      <c r="C126" s="1527" t="s">
        <v>1540</v>
      </c>
      <c r="D126" s="1528" t="str">
        <f>INDEX(CostVectors[Description], MATCH(C126, CostVectors[Code], 0))</f>
        <v>High estimate of capital costs</v>
      </c>
      <c r="E126" s="1528"/>
      <c r="F126" s="1529"/>
      <c r="G126" s="1529"/>
      <c r="H126" s="1529"/>
      <c r="I126" s="1529"/>
      <c r="J126" s="1529"/>
      <c r="K126" s="1529"/>
      <c r="L126" s="1529"/>
      <c r="M126" s="1529"/>
      <c r="N126" s="1529"/>
      <c r="O126" s="1529"/>
      <c r="P126" s="1697"/>
    </row>
    <row r="127" spans="2:20" s="1703" customFormat="1" ht="15">
      <c r="B127" s="1525"/>
      <c r="C127" s="1527" t="s">
        <v>1542</v>
      </c>
      <c r="D127" s="1528" t="str">
        <f>INDEX(CostVectors[Description], MATCH(C127, CostVectors[Code], 0))</f>
        <v>High estimate of operating costs</v>
      </c>
      <c r="E127" s="1528"/>
      <c r="F127" s="1529" t="e">
        <f t="shared" ref="F127:O127" si="30">F87</f>
        <v>#REF!</v>
      </c>
      <c r="G127" s="1529" t="e">
        <f t="shared" si="30"/>
        <v>#REF!</v>
      </c>
      <c r="H127" s="1529" t="e">
        <f t="shared" si="30"/>
        <v>#REF!</v>
      </c>
      <c r="I127" s="1529" t="e">
        <f t="shared" si="30"/>
        <v>#REF!</v>
      </c>
      <c r="J127" s="1529" t="e">
        <f t="shared" si="30"/>
        <v>#REF!</v>
      </c>
      <c r="K127" s="1529" t="e">
        <f t="shared" si="30"/>
        <v>#REF!</v>
      </c>
      <c r="L127" s="1529" t="e">
        <f t="shared" si="30"/>
        <v>#REF!</v>
      </c>
      <c r="M127" s="1529" t="e">
        <f t="shared" si="30"/>
        <v>#REF!</v>
      </c>
      <c r="N127" s="1529" t="e">
        <f t="shared" si="30"/>
        <v>#REF!</v>
      </c>
      <c r="O127" s="1529" t="e">
        <f t="shared" si="30"/>
        <v>#REF!</v>
      </c>
      <c r="P127" s="1697"/>
    </row>
    <row r="128" spans="2:20" s="1703" customFormat="1" ht="15">
      <c r="B128" s="1525"/>
      <c r="C128" s="1527" t="s">
        <v>1544</v>
      </c>
      <c r="D128" s="1528" t="str">
        <f>INDEX(CostVectors[Description], MATCH(C128, CostVectors[Code], 0))</f>
        <v>High estimate of fuel costs</v>
      </c>
      <c r="E128" s="1528"/>
      <c r="F128" s="1529"/>
      <c r="G128" s="1529"/>
      <c r="H128" s="1529"/>
      <c r="I128" s="1529"/>
      <c r="J128" s="1529"/>
      <c r="K128" s="1529"/>
      <c r="L128" s="1529"/>
      <c r="M128" s="1529"/>
      <c r="N128" s="1529"/>
      <c r="O128" s="1529"/>
      <c r="P128" s="1697"/>
    </row>
    <row r="129" spans="2:16" s="2030" customFormat="1" ht="15">
      <c r="B129" s="1740"/>
      <c r="C129" s="1742" t="s">
        <v>1794</v>
      </c>
      <c r="D129" s="1743" t="str">
        <f>INDEX(CostVectors[Description], MATCH(C129, CostVectors[Code], 0))</f>
        <v>Point estimate of capital costs</v>
      </c>
      <c r="E129" s="1743"/>
      <c r="F129" s="1529"/>
      <c r="G129" s="1529"/>
      <c r="H129" s="1529"/>
      <c r="I129" s="1529"/>
      <c r="J129" s="1529"/>
      <c r="K129" s="1529"/>
      <c r="L129" s="1529"/>
      <c r="M129" s="1529"/>
      <c r="N129" s="1529"/>
      <c r="O129" s="1529"/>
      <c r="P129" s="1747"/>
    </row>
    <row r="130" spans="2:16" s="2030" customFormat="1" ht="15">
      <c r="B130" s="1740"/>
      <c r="C130" s="1742" t="s">
        <v>1796</v>
      </c>
      <c r="D130" s="1743" t="str">
        <f>INDEX(CostVectors[Description], MATCH(C130, CostVectors[Code], 0))</f>
        <v>Point estimate of operating costs</v>
      </c>
      <c r="E130" s="1743"/>
      <c r="F130" s="1529" t="e">
        <f>F86</f>
        <v>#REF!</v>
      </c>
      <c r="G130" s="1529" t="e">
        <f t="shared" ref="G130:O130" si="31">G86</f>
        <v>#REF!</v>
      </c>
      <c r="H130" s="1529" t="e">
        <f t="shared" si="31"/>
        <v>#REF!</v>
      </c>
      <c r="I130" s="1529" t="e">
        <f t="shared" si="31"/>
        <v>#REF!</v>
      </c>
      <c r="J130" s="1529" t="e">
        <f t="shared" si="31"/>
        <v>#REF!</v>
      </c>
      <c r="K130" s="1529" t="e">
        <f t="shared" si="31"/>
        <v>#REF!</v>
      </c>
      <c r="L130" s="1529" t="e">
        <f t="shared" si="31"/>
        <v>#REF!</v>
      </c>
      <c r="M130" s="1529" t="e">
        <f t="shared" si="31"/>
        <v>#REF!</v>
      </c>
      <c r="N130" s="1529" t="e">
        <f t="shared" si="31"/>
        <v>#REF!</v>
      </c>
      <c r="O130" s="1529" t="e">
        <f t="shared" si="31"/>
        <v>#REF!</v>
      </c>
      <c r="P130" s="1747"/>
    </row>
    <row r="131" spans="2:16" s="2030" customFormat="1" ht="15">
      <c r="B131" s="1740"/>
      <c r="C131" s="1742" t="s">
        <v>1797</v>
      </c>
      <c r="D131" s="1743" t="str">
        <f>INDEX(CostVectors[Description], MATCH(C131, CostVectors[Code], 0))</f>
        <v>Point estimate of fuel costs</v>
      </c>
      <c r="E131" s="1743"/>
      <c r="F131" s="1529"/>
      <c r="G131" s="1529"/>
      <c r="H131" s="1529"/>
      <c r="I131" s="1529"/>
      <c r="J131" s="1529"/>
      <c r="K131" s="1529"/>
      <c r="L131" s="1529"/>
      <c r="M131" s="1529"/>
      <c r="N131" s="1529"/>
      <c r="O131" s="1529"/>
      <c r="P131" s="1747"/>
    </row>
    <row r="132" spans="2:16" s="1703" customFormat="1">
      <c r="B132" s="1698"/>
      <c r="C132" s="1527" t="s">
        <v>1533</v>
      </c>
      <c r="D132" s="1528" t="str">
        <f>INDEX(CostVectors[Description], MATCH(C132,CostVectors[Code], 0))</f>
        <v>Low estimate of capital costs</v>
      </c>
      <c r="E132" s="1528"/>
      <c r="F132" s="1529"/>
      <c r="G132" s="1529"/>
      <c r="H132" s="1529"/>
      <c r="I132" s="1529"/>
      <c r="J132" s="1529"/>
      <c r="K132" s="1529"/>
      <c r="L132" s="1529"/>
      <c r="M132" s="1529"/>
      <c r="N132" s="1529"/>
      <c r="O132" s="1529"/>
      <c r="P132" s="1699"/>
    </row>
    <row r="133" spans="2:16" s="1703" customFormat="1">
      <c r="B133" s="1698"/>
      <c r="C133" s="1527" t="s">
        <v>1535</v>
      </c>
      <c r="D133" s="1528" t="str">
        <f>INDEX(CostVectors[Description], MATCH(C133, CostVectors[Code], 0))</f>
        <v>Low estimate of operating costs</v>
      </c>
      <c r="E133" s="1528"/>
      <c r="F133" s="1529" t="e">
        <f>F85</f>
        <v>#REF!</v>
      </c>
      <c r="G133" s="1529" t="e">
        <f t="shared" ref="G133:O133" si="32">G85</f>
        <v>#REF!</v>
      </c>
      <c r="H133" s="1529" t="e">
        <f t="shared" si="32"/>
        <v>#REF!</v>
      </c>
      <c r="I133" s="1529" t="e">
        <f t="shared" si="32"/>
        <v>#REF!</v>
      </c>
      <c r="J133" s="1529" t="e">
        <f t="shared" si="32"/>
        <v>#REF!</v>
      </c>
      <c r="K133" s="1529" t="e">
        <f t="shared" si="32"/>
        <v>#REF!</v>
      </c>
      <c r="L133" s="1529" t="e">
        <f t="shared" si="32"/>
        <v>#REF!</v>
      </c>
      <c r="M133" s="1529" t="e">
        <f t="shared" si="32"/>
        <v>#REF!</v>
      </c>
      <c r="N133" s="1529" t="e">
        <f t="shared" si="32"/>
        <v>#REF!</v>
      </c>
      <c r="O133" s="1529" t="e">
        <f t="shared" si="32"/>
        <v>#REF!</v>
      </c>
      <c r="P133" s="1699"/>
    </row>
    <row r="134" spans="2:16" s="1703" customFormat="1">
      <c r="B134" s="1698"/>
      <c r="C134" s="1527" t="s">
        <v>1537</v>
      </c>
      <c r="D134" s="1528" t="str">
        <f>INDEX(CostVectors[Description], MATCH(C134, CostVectors[Code], 0))</f>
        <v>Low estimate of fuel costs</v>
      </c>
      <c r="E134" s="1528"/>
      <c r="F134" s="1529"/>
      <c r="G134" s="1529"/>
      <c r="H134" s="1529"/>
      <c r="I134" s="1529"/>
      <c r="J134" s="1529"/>
      <c r="K134" s="1529"/>
      <c r="L134" s="1529"/>
      <c r="M134" s="1529"/>
      <c r="N134" s="1529"/>
      <c r="O134" s="1529"/>
      <c r="P134" s="1699"/>
    </row>
    <row r="135" spans="2:16" s="1703" customFormat="1">
      <c r="B135" s="1700"/>
      <c r="C135" s="1530"/>
      <c r="D135" s="1530"/>
      <c r="E135" s="1530"/>
      <c r="F135" s="1530"/>
      <c r="G135" s="1530"/>
      <c r="H135" s="1530"/>
      <c r="I135" s="1530"/>
      <c r="J135" s="1530"/>
      <c r="K135" s="1530"/>
      <c r="L135" s="1530"/>
      <c r="M135" s="1530"/>
      <c r="N135" s="1530"/>
      <c r="O135" s="1530"/>
      <c r="P135" s="1701"/>
    </row>
    <row r="136" spans="2:16" s="1703" customFormat="1"/>
    <row r="137" spans="2:16" s="1855" customFormat="1" ht="15">
      <c r="B137" s="1858" t="s">
        <v>1753</v>
      </c>
      <c r="C137" s="1859"/>
      <c r="D137" s="1859"/>
      <c r="E137" s="1859"/>
      <c r="F137" s="1859"/>
      <c r="G137" s="1859"/>
      <c r="H137" s="1859"/>
      <c r="I137" s="1859"/>
      <c r="J137" s="1859"/>
      <c r="K137" s="1859"/>
      <c r="L137" s="1859"/>
      <c r="M137" s="1859"/>
      <c r="N137" s="1859"/>
      <c r="O137" s="1859"/>
      <c r="P137" s="1859"/>
    </row>
    <row r="138" spans="2:16" s="1855" customFormat="1">
      <c r="B138" s="1857"/>
      <c r="C138" s="1857"/>
      <c r="D138" s="1857"/>
      <c r="E138" s="1857"/>
      <c r="F138" s="1857"/>
      <c r="G138" s="1857"/>
      <c r="H138" s="1857"/>
      <c r="I138" s="1857"/>
      <c r="J138" s="1857"/>
      <c r="K138" s="1857"/>
      <c r="L138" s="1857"/>
      <c r="M138" s="1857"/>
      <c r="N138" s="1857"/>
      <c r="O138" s="1857"/>
      <c r="P138" s="1857"/>
    </row>
    <row r="139" spans="2:16" s="1855" customFormat="1">
      <c r="B139" s="1857"/>
      <c r="C139" s="1878" t="s">
        <v>787</v>
      </c>
      <c r="D139" s="1857"/>
      <c r="E139" s="1857"/>
      <c r="F139" s="1857"/>
      <c r="G139" s="1857"/>
      <c r="H139" s="1857"/>
      <c r="I139" s="1857"/>
      <c r="J139" s="1857"/>
      <c r="K139" s="1857"/>
      <c r="L139" s="1857"/>
      <c r="M139" s="1857"/>
      <c r="N139" s="1857"/>
      <c r="O139" s="1894" t="s">
        <v>1766</v>
      </c>
      <c r="P139" s="1857"/>
    </row>
    <row r="140" spans="2:16" s="1855" customFormat="1" ht="5.25" customHeight="1">
      <c r="B140" s="1857"/>
      <c r="C140" s="1857"/>
      <c r="D140" s="1857"/>
      <c r="E140" s="1857"/>
      <c r="F140" s="1857"/>
      <c r="G140" s="1857"/>
      <c r="H140" s="1857"/>
      <c r="I140" s="1857"/>
      <c r="J140" s="1857"/>
      <c r="K140" s="1857"/>
      <c r="L140" s="1857"/>
      <c r="M140" s="1857"/>
      <c r="N140" s="1857"/>
      <c r="O140" s="1857"/>
      <c r="P140" s="1857"/>
    </row>
    <row r="141" spans="2:16" s="1855" customFormat="1">
      <c r="B141" s="1857"/>
      <c r="C141" s="1865" t="s">
        <v>72</v>
      </c>
      <c r="D141" s="1866" t="s">
        <v>399</v>
      </c>
      <c r="E141" s="1866" t="s">
        <v>1768</v>
      </c>
      <c r="F141" s="1900" t="s">
        <v>579</v>
      </c>
      <c r="G141" s="1900" t="s">
        <v>580</v>
      </c>
      <c r="H141" s="1899" t="s">
        <v>605</v>
      </c>
      <c r="I141" s="1899" t="s">
        <v>606</v>
      </c>
      <c r="J141" s="1899" t="s">
        <v>607</v>
      </c>
      <c r="K141" s="1899" t="s">
        <v>608</v>
      </c>
      <c r="L141" s="1899" t="s">
        <v>609</v>
      </c>
      <c r="M141" s="1899" t="s">
        <v>610</v>
      </c>
      <c r="N141" s="1899" t="s">
        <v>611</v>
      </c>
      <c r="O141" s="1901" t="s">
        <v>612</v>
      </c>
      <c r="P141" s="1857"/>
    </row>
    <row r="142" spans="2:16" s="1855" customFormat="1" ht="15">
      <c r="B142" s="1888"/>
      <c r="C142" s="1860" t="s">
        <v>1754</v>
      </c>
      <c r="D142" s="1861" t="str">
        <f>INDEX(AirQualityVectors[Description],MATCH(C142,AirQualityVectors[Code],0))</f>
        <v>PM10</v>
      </c>
      <c r="E142" s="1889" t="s">
        <v>779</v>
      </c>
      <c r="F142" s="1890">
        <f t="shared" ref="F142:O142" si="33">F30*F$68</f>
        <v>11.929309185847981</v>
      </c>
      <c r="G142" s="1890">
        <f t="shared" si="33"/>
        <v>12.618050905742493</v>
      </c>
      <c r="H142" s="1890">
        <f t="shared" si="33"/>
        <v>9.6710174774760613</v>
      </c>
      <c r="I142" s="1890">
        <f t="shared" si="33"/>
        <v>6.7205228891551041</v>
      </c>
      <c r="J142" s="1890">
        <f t="shared" si="33"/>
        <v>7.4628253241752391</v>
      </c>
      <c r="K142" s="1890">
        <f t="shared" si="33"/>
        <v>8.2871173475242923</v>
      </c>
      <c r="L142" s="1890">
        <f t="shared" si="33"/>
        <v>9.2024549615500835</v>
      </c>
      <c r="M142" s="1890">
        <f t="shared" si="33"/>
        <v>10.218894431928948</v>
      </c>
      <c r="N142" s="1890">
        <f>N30*N$68</f>
        <v>11.347602769828576</v>
      </c>
      <c r="O142" s="1890">
        <f t="shared" si="33"/>
        <v>12.600980417165784</v>
      </c>
      <c r="P142" s="1891"/>
    </row>
    <row r="143" spans="2:16" s="1855" customFormat="1" ht="15">
      <c r="B143" s="1888"/>
      <c r="C143" s="1860" t="s">
        <v>1755</v>
      </c>
      <c r="D143" s="1861" t="str">
        <f>INDEX(AirQualityVectors[Description],MATCH(C143,AirQualityVectors[Code],0))</f>
        <v>NOX</v>
      </c>
      <c r="E143" s="1889" t="s">
        <v>779</v>
      </c>
      <c r="F143" s="1890">
        <f t="shared" ref="F143:O143" si="34">F35*F$68</f>
        <v>308.13918773943357</v>
      </c>
      <c r="G143" s="1890">
        <f t="shared" si="34"/>
        <v>325.92968263098413</v>
      </c>
      <c r="H143" s="1890">
        <f t="shared" si="34"/>
        <v>337.7759366213653</v>
      </c>
      <c r="I143" s="1890">
        <f t="shared" si="34"/>
        <v>352.15661456781874</v>
      </c>
      <c r="J143" s="1890">
        <f t="shared" si="34"/>
        <v>391.05339638281271</v>
      </c>
      <c r="K143" s="1890">
        <f t="shared" si="34"/>
        <v>434.24644745124726</v>
      </c>
      <c r="L143" s="1890">
        <f t="shared" si="34"/>
        <v>482.21030393361571</v>
      </c>
      <c r="M143" s="1890">
        <f t="shared" si="34"/>
        <v>535.47191596968867</v>
      </c>
      <c r="N143" s="1890">
        <f t="shared" si="34"/>
        <v>594.61643696382419</v>
      </c>
      <c r="O143" s="1890">
        <f t="shared" si="34"/>
        <v>660.29365231465817</v>
      </c>
      <c r="P143" s="1891"/>
    </row>
    <row r="144" spans="2:16" s="1855" customFormat="1" ht="15">
      <c r="B144" s="1888"/>
      <c r="C144" s="1860" t="s">
        <v>1756</v>
      </c>
      <c r="D144" s="1861" t="str">
        <f>INDEX(AirQualityVectors[Description],MATCH(C144,AirQualityVectors[Code],0))</f>
        <v>SO2</v>
      </c>
      <c r="E144" s="1889" t="s">
        <v>779</v>
      </c>
      <c r="F144" s="1890">
        <f t="shared" ref="F144:O144" si="35">F40*F$68</f>
        <v>138.06141327765201</v>
      </c>
      <c r="G144" s="1890">
        <f t="shared" si="35"/>
        <v>146.03242431865368</v>
      </c>
      <c r="H144" s="1890">
        <f t="shared" si="35"/>
        <v>83.104756264667927</v>
      </c>
      <c r="I144" s="1890">
        <f t="shared" si="35"/>
        <v>19.277405521930824</v>
      </c>
      <c r="J144" s="1890">
        <f t="shared" si="35"/>
        <v>21.406654286620153</v>
      </c>
      <c r="K144" s="1890">
        <f t="shared" si="35"/>
        <v>23.771085129975297</v>
      </c>
      <c r="L144" s="1890">
        <f t="shared" si="35"/>
        <v>26.39667463634035</v>
      </c>
      <c r="M144" s="1890">
        <f t="shared" si="35"/>
        <v>29.312268583741268</v>
      </c>
      <c r="N144" s="1890">
        <f t="shared" si="35"/>
        <v>32.549898855157707</v>
      </c>
      <c r="O144" s="1890">
        <f t="shared" si="35"/>
        <v>36.145135353620191</v>
      </c>
      <c r="P144" s="1891"/>
    </row>
    <row r="145" spans="2:16" s="1855" customFormat="1" ht="15">
      <c r="B145" s="1888"/>
      <c r="C145" s="1863" t="s">
        <v>1757</v>
      </c>
      <c r="D145" s="1864" t="str">
        <f>INDEX(AirQualityVectors[Description],MATCH(C145,AirQualityVectors[Code],0))</f>
        <v>NMVOC</v>
      </c>
      <c r="E145" s="1889" t="s">
        <v>779</v>
      </c>
      <c r="F145" s="1890">
        <f t="shared" ref="F145:O145" si="36">F45*F$68</f>
        <v>11.974631442837635</v>
      </c>
      <c r="G145" s="1890">
        <f t="shared" si="36"/>
        <v>12.665989854842501</v>
      </c>
      <c r="H145" s="1890">
        <f t="shared" si="36"/>
        <v>14.125905201027107</v>
      </c>
      <c r="I145" s="1890">
        <f t="shared" si="36"/>
        <v>15.714124450729456</v>
      </c>
      <c r="J145" s="1890">
        <f t="shared" si="36"/>
        <v>17.449797855370203</v>
      </c>
      <c r="K145" s="1890">
        <f t="shared" si="36"/>
        <v>19.377181728960291</v>
      </c>
      <c r="L145" s="1890">
        <f t="shared" si="36"/>
        <v>21.517451082769956</v>
      </c>
      <c r="M145" s="1890">
        <f t="shared" si="36"/>
        <v>23.894119773228809</v>
      </c>
      <c r="N145" s="1890">
        <f t="shared" si="36"/>
        <v>26.533298834571244</v>
      </c>
      <c r="O145" s="1890">
        <f t="shared" si="36"/>
        <v>29.463983345117644</v>
      </c>
      <c r="P145" s="1891"/>
    </row>
    <row r="146" spans="2:16" s="1855" customFormat="1" ht="15">
      <c r="B146" s="1888"/>
      <c r="C146" s="1889" t="s">
        <v>132</v>
      </c>
      <c r="D146" s="1889"/>
      <c r="E146" s="1889"/>
      <c r="F146" s="1892">
        <f>SUBTOTAL(109,XII.e.AQ[2007])</f>
        <v>470.10454164577112</v>
      </c>
      <c r="G146" s="1892">
        <f>SUBTOTAL(109,XII.e.AQ[2010])</f>
        <v>497.24614771022283</v>
      </c>
      <c r="H146" s="1892">
        <f>SUBTOTAL(109,XII.e.AQ[2015])</f>
        <v>444.67761556453638</v>
      </c>
      <c r="I146" s="1892">
        <f>SUBTOTAL(109,XII.e.AQ[2020])</f>
        <v>393.86866742963412</v>
      </c>
      <c r="J146" s="1892">
        <f>SUBTOTAL(109,XII.e.AQ[2025])</f>
        <v>437.37267384897831</v>
      </c>
      <c r="K146" s="1892">
        <f>SUBTOTAL(109,XII.e.AQ[2030])</f>
        <v>485.68183165770716</v>
      </c>
      <c r="L146" s="1892">
        <f>SUBTOTAL(109,XII.e.AQ[2035])</f>
        <v>539.32688461427608</v>
      </c>
      <c r="M146" s="1892">
        <f>SUBTOTAL(109,XII.e.AQ[2040])</f>
        <v>598.89719875858759</v>
      </c>
      <c r="N146" s="1892">
        <f>SUBTOTAL(109,XII.e.AQ[2045])</f>
        <v>665.04723742338172</v>
      </c>
      <c r="O146" s="1892">
        <f>SUBTOTAL(109,XII.e.AQ[2050])</f>
        <v>738.50375143056181</v>
      </c>
      <c r="P146" s="1891"/>
    </row>
    <row r="147" spans="2:16" s="1855" customFormat="1" ht="15">
      <c r="B147" s="1888"/>
      <c r="C147" s="1889"/>
      <c r="D147" s="1889"/>
      <c r="E147" s="1889"/>
      <c r="F147" s="1892"/>
      <c r="G147" s="1892"/>
      <c r="H147" s="1892"/>
      <c r="I147" s="1892"/>
      <c r="J147" s="1892"/>
      <c r="K147" s="1892"/>
      <c r="L147" s="1892"/>
      <c r="M147" s="1892"/>
      <c r="N147" s="1892"/>
      <c r="O147" s="1892"/>
      <c r="P147" s="1891"/>
    </row>
    <row r="723" spans="6:15">
      <c r="F723" s="117">
        <f>F$683*INDEX(EF[CO2], MATCH("V.04", EF[Vector], 0))</f>
        <v>0</v>
      </c>
      <c r="G723" s="1993">
        <f>G$683*INDEX(EF[CO2], MATCH("V.04", EF[Vector], 0))</f>
        <v>0</v>
      </c>
      <c r="H723" s="1993">
        <f>H$683*INDEX(EF[CO2], MATCH("V.04", EF[Vector], 0))</f>
        <v>0</v>
      </c>
      <c r="I723" s="1993">
        <f>I$683*INDEX(EF[CO2], MATCH("V.04", EF[Vector], 0))</f>
        <v>0</v>
      </c>
      <c r="J723" s="1993">
        <f>J$683*INDEX(EF[CO2], MATCH("V.04", EF[Vector], 0))</f>
        <v>0</v>
      </c>
      <c r="K723" s="1993">
        <f>K$683*INDEX(EF[CO2], MATCH("V.04", EF[Vector], 0))</f>
        <v>0</v>
      </c>
      <c r="L723" s="1993">
        <f>L$683*INDEX(EF[CO2], MATCH("V.04", EF[Vector], 0))</f>
        <v>0</v>
      </c>
      <c r="M723" s="1993">
        <f>M$683*INDEX(EF[CO2], MATCH("V.04", EF[Vector], 0))</f>
        <v>0</v>
      </c>
      <c r="N723" s="1993">
        <f>N$683*INDEX(EF[CO2], MATCH("V.04", EF[Vector], 0))</f>
        <v>0</v>
      </c>
      <c r="O723" s="1993">
        <f>O$683*INDEX(EF[CO2], MATCH("V.04", EF[Vector], 0))</f>
        <v>0</v>
      </c>
    </row>
    <row r="724" spans="6:15">
      <c r="F724" s="1993">
        <f>F$683*INDEX(EF[CH4], MATCH("V.04", EF[Vector], 0))</f>
        <v>0</v>
      </c>
      <c r="G724" s="1993">
        <f>G$683*INDEX(EF[CH4], MATCH("V.04", EF[Vector], 0))</f>
        <v>0</v>
      </c>
      <c r="H724" s="1993">
        <f>H$683*INDEX(EF[CH4], MATCH("V.04", EF[Vector], 0))</f>
        <v>0</v>
      </c>
      <c r="I724" s="1993">
        <f>I$683*INDEX(EF[CH4], MATCH("V.04", EF[Vector], 0))</f>
        <v>0</v>
      </c>
      <c r="J724" s="1993">
        <f>J$683*INDEX(EF[CH4], MATCH("V.04", EF[Vector], 0))</f>
        <v>0</v>
      </c>
      <c r="K724" s="1993">
        <f>K$683*INDEX(EF[CH4], MATCH("V.04", EF[Vector], 0))</f>
        <v>0</v>
      </c>
      <c r="L724" s="1993">
        <f>L$683*INDEX(EF[CH4], MATCH("V.04", EF[Vector], 0))</f>
        <v>0</v>
      </c>
      <c r="M724" s="1993">
        <f>M$683*INDEX(EF[CH4], MATCH("V.04", EF[Vector], 0))</f>
        <v>0</v>
      </c>
      <c r="N724" s="1993">
        <f>N$683*INDEX(EF[CH4], MATCH("V.04", EF[Vector], 0))</f>
        <v>0</v>
      </c>
      <c r="O724" s="1993">
        <f>O$683*INDEX(EF[CH4], MATCH("V.04", EF[Vector], 0))</f>
        <v>0</v>
      </c>
    </row>
    <row r="725" spans="6:15">
      <c r="F725" s="117">
        <f>F$683*INDEX(EF[N2O], MATCH("V.04", EF[Vector], 0))</f>
        <v>0</v>
      </c>
      <c r="G725" s="1993">
        <f>G$683*INDEX(EF[N2O], MATCH("V.04", EF[Vector], 0))</f>
        <v>0</v>
      </c>
      <c r="H725" s="1993">
        <f>H$683*INDEX(EF[N2O], MATCH("V.04", EF[Vector], 0))</f>
        <v>0</v>
      </c>
      <c r="I725" s="1993">
        <f>I$683*INDEX(EF[N2O], MATCH("V.04", EF[Vector], 0))</f>
        <v>0</v>
      </c>
      <c r="J725" s="1993">
        <f>J$683*INDEX(EF[N2O], MATCH("V.04", EF[Vector], 0))</f>
        <v>0</v>
      </c>
      <c r="K725" s="1993">
        <f>K$683*INDEX(EF[N2O], MATCH("V.04", EF[Vector], 0))</f>
        <v>0</v>
      </c>
      <c r="L725" s="1993">
        <f>L$683*INDEX(EF[N2O], MATCH("V.04", EF[Vector], 0))</f>
        <v>0</v>
      </c>
      <c r="M725" s="1993">
        <f>M$683*INDEX(EF[N2O], MATCH("V.04", EF[Vector], 0))</f>
        <v>0</v>
      </c>
      <c r="N725" s="1993">
        <f>N$683*INDEX(EF[N2O], MATCH("V.04", EF[Vector], 0))</f>
        <v>0</v>
      </c>
      <c r="O725" s="1993">
        <f>O$683*INDEX(EF[N2O], MATCH("V.04", EF[Vector], 0))</f>
        <v>0</v>
      </c>
    </row>
  </sheetData>
  <mergeCells count="2">
    <mergeCell ref="G50:H50"/>
    <mergeCell ref="I50:J50"/>
  </mergeCells>
  <hyperlinks>
    <hyperlink ref="E2" r:id="rId1"/>
  </hyperlinks>
  <pageMargins left="0.7" right="0.7" top="0.75" bottom="0.75" header="0.3" footer="0.3"/>
  <pageSetup paperSize="9" orientation="portrait"/>
  <legacyDrawing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enableFormatConditionsCalculation="0">
    <tabColor theme="6" tint="0.39997558519241921"/>
    <pageSetUpPr autoPageBreaks="0"/>
  </sheetPr>
  <dimension ref="A1:DH148"/>
  <sheetViews>
    <sheetView workbookViewId="0"/>
  </sheetViews>
  <sheetFormatPr baseColWidth="10" defaultColWidth="8.83203125" defaultRowHeight="13" outlineLevelRow="2" outlineLevelCol="2" x14ac:dyDescent="0"/>
  <cols>
    <col min="1" max="1" width="1.6640625" customWidth="1"/>
    <col min="2" max="2" width="1.5" style="117" customWidth="1"/>
    <col min="3" max="3" width="4.5" style="494" customWidth="1"/>
    <col min="4" max="4" width="3.83203125" style="495" customWidth="1"/>
    <col min="5" max="5" width="41.6640625" style="495" customWidth="1"/>
    <col min="6" max="6" width="1.1640625" customWidth="1" outlineLevel="1"/>
    <col min="7" max="10" width="10" style="495" customWidth="1" outlineLevel="2"/>
    <col min="11" max="11" width="10" style="509" customWidth="1" outlineLevel="2"/>
    <col min="12" max="16" width="10" style="495" customWidth="1" outlineLevel="2"/>
    <col min="17" max="17" width="10" style="495" customWidth="1" outlineLevel="1"/>
    <col min="18" max="18" width="1.1640625" customWidth="1" outlineLevel="1"/>
    <col min="19" max="19" width="11.6640625" style="495" customWidth="1" outlineLevel="2"/>
    <col min="20" max="36" width="10" style="495" customWidth="1" outlineLevel="2"/>
    <col min="37" max="37" width="10" style="495" customWidth="1" outlineLevel="1"/>
    <col min="38" max="38" width="1.1640625" customWidth="1" outlineLevel="1"/>
    <col min="39" max="57" width="10" style="495" customWidth="1" outlineLevel="2"/>
    <col min="58" max="58" width="10" style="495" customWidth="1" outlineLevel="1"/>
    <col min="59" max="59" width="1.1640625" customWidth="1" outlineLevel="1"/>
    <col min="60" max="61" width="10" style="495" customWidth="1" outlineLevel="2"/>
    <col min="62" max="62" width="10" style="495" customWidth="1" outlineLevel="1"/>
    <col min="63" max="63" width="1.1640625" customWidth="1" outlineLevel="1"/>
    <col min="64" max="64" width="11" style="495" customWidth="1" outlineLevel="1"/>
    <col min="65" max="65" width="5.33203125" style="495" customWidth="1"/>
    <col min="66" max="66" width="8.83203125" style="117"/>
    <col min="67" max="67" width="7.5" style="117" customWidth="1"/>
    <col min="68" max="110" width="7.5" customWidth="1"/>
    <col min="111" max="111" width="2.5" customWidth="1"/>
  </cols>
  <sheetData>
    <row r="1" spans="1:112" ht="6" customHeight="1"/>
    <row r="2" spans="1:112" ht="21" customHeight="1">
      <c r="D2" s="487"/>
      <c r="E2" s="640">
        <v>2007</v>
      </c>
      <c r="G2"/>
      <c r="H2"/>
      <c r="I2"/>
      <c r="J2"/>
      <c r="K2"/>
      <c r="L2"/>
      <c r="M2"/>
      <c r="N2" s="117"/>
      <c r="O2" s="117"/>
      <c r="P2"/>
      <c r="Q2"/>
      <c r="S2" s="1125"/>
      <c r="T2" s="1125"/>
      <c r="U2" s="1125"/>
      <c r="V2" s="1125"/>
      <c r="W2" s="1125"/>
      <c r="X2"/>
      <c r="Y2"/>
      <c r="Z2"/>
      <c r="AA2"/>
      <c r="AB2"/>
      <c r="AC2"/>
      <c r="AD2" s="117"/>
      <c r="AE2" s="117"/>
      <c r="AF2"/>
      <c r="AG2" s="117"/>
      <c r="AH2" s="117"/>
      <c r="AI2" s="117"/>
      <c r="AJ2"/>
      <c r="AK2"/>
      <c r="AM2" s="117"/>
      <c r="AN2" s="117"/>
      <c r="AO2" s="117"/>
      <c r="AP2"/>
      <c r="AQ2"/>
      <c r="AR2"/>
      <c r="AS2" s="117"/>
      <c r="AT2" s="117"/>
      <c r="AU2" s="117"/>
      <c r="AV2"/>
      <c r="AW2"/>
      <c r="AX2"/>
      <c r="AY2"/>
      <c r="AZ2"/>
      <c r="BA2"/>
      <c r="BB2"/>
      <c r="BC2"/>
      <c r="BD2" s="117"/>
      <c r="BE2"/>
      <c r="BF2"/>
      <c r="BH2"/>
      <c r="BI2"/>
      <c r="BJ2"/>
      <c r="BL2"/>
      <c r="BM2" s="516"/>
    </row>
    <row r="3" spans="1:112" ht="39" customHeight="1">
      <c r="A3" s="534"/>
      <c r="B3" s="534"/>
      <c r="C3" s="534"/>
      <c r="D3" s="488"/>
      <c r="E3" s="560" t="str">
        <f>Preferences.EnergyUnits</f>
        <v>TWh</v>
      </c>
      <c r="G3" s="669" t="s">
        <v>626</v>
      </c>
      <c r="H3" s="669"/>
      <c r="I3" s="669"/>
      <c r="J3" s="669"/>
      <c r="K3" s="669"/>
      <c r="L3" s="669"/>
      <c r="M3" s="669"/>
      <c r="N3" s="669"/>
      <c r="O3" s="669"/>
      <c r="P3" s="669"/>
      <c r="Q3" s="669"/>
      <c r="S3" s="768" t="s">
        <v>578</v>
      </c>
      <c r="T3" s="769"/>
      <c r="U3" s="769"/>
      <c r="V3" s="769"/>
      <c r="W3" s="769"/>
      <c r="X3" s="773"/>
      <c r="Y3" s="769"/>
      <c r="Z3" s="769"/>
      <c r="AA3" s="769"/>
      <c r="AB3" s="769"/>
      <c r="AC3" s="769"/>
      <c r="AD3" s="769"/>
      <c r="AE3" s="769"/>
      <c r="AF3" s="769"/>
      <c r="AG3" s="769"/>
      <c r="AH3" s="769"/>
      <c r="AI3" s="769"/>
      <c r="AJ3" s="769"/>
      <c r="AK3" s="772"/>
      <c r="AM3" s="770" t="s">
        <v>777</v>
      </c>
      <c r="AN3" s="771"/>
      <c r="AO3" s="771"/>
      <c r="AP3" s="774"/>
      <c r="AQ3" s="771"/>
      <c r="AR3" s="771"/>
      <c r="AS3" s="771"/>
      <c r="AT3" s="771"/>
      <c r="AU3" s="771"/>
      <c r="AV3" s="771"/>
      <c r="AW3" s="771"/>
      <c r="AX3" s="771"/>
      <c r="AY3" s="771"/>
      <c r="AZ3" s="771"/>
      <c r="BA3" s="771"/>
      <c r="BB3" s="771"/>
      <c r="BC3" s="771"/>
      <c r="BD3" s="771"/>
      <c r="BE3" s="771"/>
      <c r="BF3" s="775"/>
      <c r="BH3" s="699" t="s">
        <v>700</v>
      </c>
      <c r="BI3" s="678"/>
      <c r="BJ3" s="678"/>
      <c r="BL3" s="491"/>
      <c r="BM3" s="491"/>
      <c r="BN3" s="534"/>
      <c r="BO3" s="777" t="s">
        <v>781</v>
      </c>
      <c r="BP3" s="778"/>
      <c r="BQ3" s="778"/>
      <c r="BR3" s="778"/>
      <c r="BS3" s="778"/>
      <c r="BT3" s="778"/>
      <c r="BU3" s="778"/>
      <c r="BV3" s="778"/>
      <c r="BW3" s="778"/>
      <c r="BX3" s="778"/>
      <c r="BY3" s="778"/>
      <c r="BZ3" s="778"/>
      <c r="CA3" s="778"/>
      <c r="CB3" s="778"/>
      <c r="CC3" s="778"/>
      <c r="CD3" s="778"/>
      <c r="CE3" s="778"/>
      <c r="CF3" s="778"/>
      <c r="CG3" s="778"/>
      <c r="CH3" s="778"/>
      <c r="CI3" s="778"/>
      <c r="CJ3" s="778"/>
      <c r="CK3" s="778"/>
      <c r="CL3" s="778"/>
      <c r="CM3" s="778"/>
      <c r="CN3" s="778"/>
      <c r="CO3" s="778"/>
      <c r="CP3" s="778"/>
      <c r="CQ3" s="778"/>
      <c r="CR3" s="778"/>
      <c r="CS3" s="778"/>
      <c r="CT3" s="778"/>
      <c r="CU3" s="778"/>
      <c r="CV3" s="778"/>
      <c r="CW3" s="778"/>
      <c r="CX3" s="778"/>
      <c r="CY3" s="778"/>
      <c r="CZ3" s="778"/>
      <c r="DA3" s="778"/>
      <c r="DB3" s="778"/>
      <c r="DC3" s="859"/>
      <c r="DD3" s="859"/>
      <c r="DE3" s="859"/>
      <c r="DF3" s="859"/>
    </row>
    <row r="4" spans="1:112" ht="36.75" customHeight="1">
      <c r="C4" s="492"/>
      <c r="D4" s="492"/>
      <c r="G4" s="641" t="str">
        <f>INDEX(Vectors[Description], MATCH(G$5,Vectors[Code],FALSE))</f>
        <v>Heating &amp; cooling</v>
      </c>
      <c r="H4" s="641" t="str">
        <f>INDEX(Vectors[Description], MATCH(H$5,Vectors[Code],FALSE))</f>
        <v>Lighting &amp; appliances</v>
      </c>
      <c r="I4" s="641" t="str">
        <f>INDEX(Vectors[Description], MATCH(I$5,Vectors[Code],FALSE))</f>
        <v>Industry</v>
      </c>
      <c r="J4" s="641" t="str">
        <f>INDEX(Vectors[Description], MATCH(J$5,Vectors[Code],FALSE))</f>
        <v>Road transport</v>
      </c>
      <c r="K4" s="641" t="str">
        <f>INDEX(Vectors[Description], MATCH(K$5,Vectors[Code],FALSE))</f>
        <v>Rail transport</v>
      </c>
      <c r="L4" s="641" t="str">
        <f>INDEX(Vectors[Description], MATCH(L$5,Vectors[Code],FALSE))</f>
        <v>Domestic aviation</v>
      </c>
      <c r="M4" s="641" t="str">
        <f>INDEX(Vectors[Description], MATCH(M$5,Vectors[Code],FALSE))</f>
        <v>National navigation</v>
      </c>
      <c r="N4" s="641" t="str">
        <f>INDEX(Vectors[Description], MATCH(N$5,Vectors[Code],FALSE))</f>
        <v>International aviation</v>
      </c>
      <c r="O4" s="641" t="str">
        <f>INDEX(Vectors[Description], MATCH(O$5,Vectors[Code],FALSE))</f>
        <v>International shipping</v>
      </c>
      <c r="P4" s="641" t="str">
        <f>INDEX(Vectors[Description], MATCH(P$5,Vectors[Code],FALSE))</f>
        <v>Food consumption [UNUSED]</v>
      </c>
      <c r="Q4" s="658" t="s">
        <v>705</v>
      </c>
      <c r="S4" s="642" t="str">
        <f>INDEX(Vectors[Description], MATCH(S$5,Vectors[Code],FALSE))</f>
        <v>Electricity (delivered to end user)</v>
      </c>
      <c r="T4" s="642" t="str">
        <f>INDEX(Vectors[Description], MATCH(T$5,Vectors[Code],FALSE))</f>
        <v>Electricity (supplied to grid)</v>
      </c>
      <c r="U4" s="642" t="str">
        <f>INDEX(Vectors[Description], MATCH(U$5,Vectors[Code],FALSE))</f>
        <v>Solid hydrocarbons</v>
      </c>
      <c r="V4" s="642" t="str">
        <f>INDEX(Vectors[Description], MATCH(V$5,Vectors[Code],FALSE))</f>
        <v>Liquid hydrocarbons</v>
      </c>
      <c r="W4" s="642" t="str">
        <f>INDEX(Vectors[Description], MATCH(W$5,Vectors[Code],FALSE))</f>
        <v>Gaseous hydrocarbons</v>
      </c>
      <c r="X4" s="642" t="str">
        <f>INDEX(Vectors[Description], MATCH(X$5,Vectors[Code],FALSE))</f>
        <v>Coal and fossil waste</v>
      </c>
      <c r="Y4" s="642" t="str">
        <f>INDEX(Vectors[Description], MATCH(Y$5,Vectors[Code],FALSE))</f>
        <v>Oil and petroleum products</v>
      </c>
      <c r="Z4" s="642" t="str">
        <f>INDEX(Vectors[Description], MATCH(Z$5,Vectors[Code],FALSE))</f>
        <v>Natural gas</v>
      </c>
      <c r="AA4" s="642" t="str">
        <f>INDEX(Vectors[Description], MATCH(AA$5,Vectors[Code],FALSE))</f>
        <v>Blast furnace gas</v>
      </c>
      <c r="AB4" s="642" t="str">
        <f>INDEX(Vectors[Description], MATCH(AB$5,Vectors[Code],FALSE))</f>
        <v>Heat transport</v>
      </c>
      <c r="AC4" s="642" t="str">
        <f>INDEX(Vectors[Description], MATCH(AC$5,Vectors[Code],FALSE))</f>
        <v>Edible biomass</v>
      </c>
      <c r="AD4" s="642" t="str">
        <f>INDEX(Vectors[Description], MATCH(AD$5,Vectors[Code],FALSE))</f>
        <v>Energy crops (second generation)</v>
      </c>
      <c r="AE4" s="642" t="str">
        <f>INDEX(Vectors[Description], MATCH(AE$5,Vectors[Code],FALSE))</f>
        <v>Energy crops (first generation)</v>
      </c>
      <c r="AF4" s="642" t="str">
        <f>INDEX(Vectors[Description], MATCH(AF$5,Vectors[Code],FALSE))</f>
        <v>Dry biomass and waste</v>
      </c>
      <c r="AG4" s="642" t="str">
        <f>INDEX(Vectors[Description], MATCH(AG$5,Vectors[Code],FALSE))</f>
        <v>Wet biomass and waste</v>
      </c>
      <c r="AH4" s="642" t="str">
        <f>INDEX(Vectors[Description], MATCH(AH$5,Vectors[Code],FALSE))</f>
        <v>Gaseous waste</v>
      </c>
      <c r="AI4" s="642" t="str">
        <f>INDEX(Vectors[Description], MATCH(AI$5,Vectors[Code],FALSE))</f>
        <v>Domestic solar thermal</v>
      </c>
      <c r="AJ4" s="642" t="str">
        <f>INDEX(Vectors[Description], MATCH(AJ$5,Vectors[Code],FALSE))</f>
        <v>H2</v>
      </c>
      <c r="AK4" s="672" t="s">
        <v>576</v>
      </c>
      <c r="AM4" s="656" t="str">
        <f>INDEX(Vectors[Description], MATCH(AM$5,Vectors[Code],FALSE))</f>
        <v>Coal reserves</v>
      </c>
      <c r="AN4" s="656" t="str">
        <f>INDEX(Vectors[Description], MATCH(AN$5,Vectors[Code],FALSE))</f>
        <v>Oil reserves</v>
      </c>
      <c r="AO4" s="656" t="str">
        <f>INDEX(Vectors[Description], MATCH(AO$5,Vectors[Code],FALSE))</f>
        <v>Gas reserves</v>
      </c>
      <c r="AP4" s="656" t="str">
        <f>INDEX(Vectors[Description], MATCH(AP$5,Vectors[Code],FALSE))</f>
        <v>Biomass oversupply (imports)</v>
      </c>
      <c r="AQ4" s="656" t="str">
        <f>INDEX(Vectors[Description], MATCH(AQ$5,Vectors[Code],FALSE))</f>
        <v>Electricity oversupply (imports)</v>
      </c>
      <c r="AR4" s="656" t="str">
        <f>INDEX(Vectors[Description], MATCH(AR$5,Vectors[Code],FALSE))</f>
        <v>Petroleum products oversupply</v>
      </c>
      <c r="AS4" s="656" t="str">
        <f>INDEX(Vectors[Description], MATCH(AS$5,Vectors[Code],FALSE))</f>
        <v>Coal oversupply (imports)</v>
      </c>
      <c r="AT4" s="656" t="str">
        <f>INDEX(Vectors[Description], MATCH(AT$5,Vectors[Code],FALSE))</f>
        <v>Oil and petroleum products oversupply (imports)</v>
      </c>
      <c r="AU4" s="656" t="str">
        <f>INDEX(Vectors[Description], MATCH(AU$5,Vectors[Code],FALSE))</f>
        <v>Gas oversupply (imports)</v>
      </c>
      <c r="AV4" s="656" t="str">
        <f>INDEX(Vectors[Description], MATCH(AV$5,Vectors[Code],FALSE))</f>
        <v>Nuclear fission</v>
      </c>
      <c r="AW4" s="656" t="str">
        <f>INDEX(Vectors[Description], MATCH(AW$5,Vectors[Code],FALSE))</f>
        <v>Solar</v>
      </c>
      <c r="AX4" s="656" t="str">
        <f>INDEX(Vectors[Description], MATCH(AX$5,Vectors[Code],FALSE))</f>
        <v>Wind</v>
      </c>
      <c r="AY4" s="656" t="str">
        <f>INDEX(Vectors[Description], MATCH(AY$5,Vectors[Code],FALSE))</f>
        <v>Tidal</v>
      </c>
      <c r="AZ4" s="656" t="str">
        <f>INDEX(Vectors[Description], MATCH(AZ$5,Vectors[Code],FALSE))</f>
        <v>Wave</v>
      </c>
      <c r="BA4" s="656" t="str">
        <f>INDEX(Vectors[Description], MATCH(BA$5,Vectors[Code],FALSE))</f>
        <v>Geothermal</v>
      </c>
      <c r="BB4" s="656" t="str">
        <f>INDEX(Vectors[Description], MATCH(BB$5,Vectors[Code],FALSE))</f>
        <v>Hydro</v>
      </c>
      <c r="BC4" s="656" t="str">
        <f>INDEX(Vectors[Description], MATCH(BC$5,Vectors[Code],FALSE))</f>
        <v>Environmental heat</v>
      </c>
      <c r="BD4" s="656" t="str">
        <f>INDEX(Vectors[Description], MATCH(BD$5,Vectors[Code],FALSE))</f>
        <v>Agriculture</v>
      </c>
      <c r="BE4" s="656" t="str">
        <f>INDEX(Vectors[Description], MATCH(BE$5,Vectors[Code],FALSE))</f>
        <v>Waste</v>
      </c>
      <c r="BF4" s="674" t="s">
        <v>577</v>
      </c>
      <c r="BH4" s="661" t="str">
        <f>INDEX(Vectors[Description], MATCH(BH$5,Vectors[Code],FALSE))</f>
        <v>Conversion losses</v>
      </c>
      <c r="BI4" s="661" t="str">
        <f>INDEX(Vectors[Description], MATCH(BI$5,Vectors[Code],FALSE))</f>
        <v>Distribution losses and own use</v>
      </c>
      <c r="BJ4" s="676" t="s">
        <v>699</v>
      </c>
      <c r="BL4" s="493" t="str">
        <f>INDEX(Vectors[Description], MATCH(BL$5,Vectors[Code],FALSE))</f>
        <v>Unallocated</v>
      </c>
      <c r="BM4" s="493"/>
      <c r="BO4" s="782" t="str">
        <f>INDEX(IPCC[Sector_description], MATCH(BO$5, IPCC[Sector_code], 0))</f>
        <v>Fuel Combustion</v>
      </c>
      <c r="BP4" s="783"/>
      <c r="BQ4" s="783"/>
      <c r="BR4" s="784"/>
      <c r="BS4" s="782" t="str">
        <f>INDEX(IPCC[Sector_description], MATCH(BS$5, IPCC[Sector_code], 0))</f>
        <v>Fugitive Emissions from Fuels</v>
      </c>
      <c r="BT4" s="783"/>
      <c r="BU4" s="783"/>
      <c r="BV4" s="784"/>
      <c r="BW4" s="782" t="str">
        <f>INDEX(IPCC[Sector_description], MATCH(BW$5, IPCC[Sector_code], 0))</f>
        <v>Industrial Processes</v>
      </c>
      <c r="BX4" s="783"/>
      <c r="BY4" s="783"/>
      <c r="BZ4" s="784"/>
      <c r="CA4" s="782" t="str">
        <f>INDEX(IPCC[Sector_description], MATCH(CA$5, IPCC[Sector_code], 0))</f>
        <v>Solvent and Other Product Use</v>
      </c>
      <c r="CB4" s="783"/>
      <c r="CC4" s="783"/>
      <c r="CD4" s="784"/>
      <c r="CE4" s="782" t="str">
        <f>INDEX(IPCC[Sector_description], MATCH(CE$5, IPCC[Sector_code], 0))</f>
        <v>Agriculture</v>
      </c>
      <c r="CF4" s="783"/>
      <c r="CG4" s="783"/>
      <c r="CH4" s="784"/>
      <c r="CI4" s="782" t="str">
        <f>INDEX(IPCC[Sector_description], MATCH(CI$5, IPCC[Sector_code], 0))</f>
        <v>LULUCF</v>
      </c>
      <c r="CJ4" s="783"/>
      <c r="CK4" s="783"/>
      <c r="CL4" s="784"/>
      <c r="CM4" s="782" t="str">
        <f>INDEX(IPCC[Sector_description], MATCH(CM$5, IPCC[Sector_code], 0))</f>
        <v>Waste</v>
      </c>
      <c r="CN4" s="783"/>
      <c r="CO4" s="783"/>
      <c r="CP4" s="784"/>
      <c r="CQ4" s="782" t="str">
        <f>INDEX(IPCC[Sector_description], MATCH(CQ$5, IPCC[Sector_code], 0))</f>
        <v>Other</v>
      </c>
      <c r="CR4" s="783"/>
      <c r="CS4" s="783"/>
      <c r="CT4" s="784"/>
      <c r="CU4" s="782" t="str">
        <f>INDEX(IPCC[Sector_description], MATCH(CU$5, IPCC[Sector_code], 0))</f>
        <v>Int'l Aviation &amp; Shipping</v>
      </c>
      <c r="CV4" s="783"/>
      <c r="CW4" s="783"/>
      <c r="CX4" s="784"/>
      <c r="CY4" s="782" t="str">
        <f>INDEX(IPCC[Sector_description], MATCH(CY$5, IPCC[Sector_code], 0))</f>
        <v>Bioenergy credit</v>
      </c>
      <c r="CZ4" s="783"/>
      <c r="DA4" s="783"/>
      <c r="DB4" s="784"/>
      <c r="DC4" s="782" t="str">
        <f>INDEX(IPCC[Sector_description], MATCH(DC$5, IPCC[Sector_code], 0))</f>
        <v>Carbon capture</v>
      </c>
      <c r="DD4" s="783"/>
      <c r="DE4" s="783"/>
      <c r="DF4" s="784"/>
      <c r="DH4" s="1015" t="s">
        <v>132</v>
      </c>
    </row>
    <row r="5" spans="1:112" ht="14">
      <c r="D5" s="628" t="s">
        <v>184</v>
      </c>
      <c r="G5" s="659" t="s">
        <v>6</v>
      </c>
      <c r="H5" s="659" t="s">
        <v>51</v>
      </c>
      <c r="I5" s="659" t="s">
        <v>13</v>
      </c>
      <c r="J5" s="659" t="s">
        <v>33</v>
      </c>
      <c r="K5" s="659" t="s">
        <v>34</v>
      </c>
      <c r="L5" s="659" t="s">
        <v>35</v>
      </c>
      <c r="M5" s="659" t="s">
        <v>36</v>
      </c>
      <c r="N5" s="659" t="s">
        <v>721</v>
      </c>
      <c r="O5" s="659" t="s">
        <v>722</v>
      </c>
      <c r="P5" s="659" t="s">
        <v>37</v>
      </c>
      <c r="Q5" s="659"/>
      <c r="S5" s="660" t="s">
        <v>40</v>
      </c>
      <c r="T5" s="660" t="s">
        <v>41</v>
      </c>
      <c r="U5" s="660" t="s">
        <v>42</v>
      </c>
      <c r="V5" s="660" t="s">
        <v>44</v>
      </c>
      <c r="W5" s="660" t="s">
        <v>45</v>
      </c>
      <c r="X5" s="660" t="s">
        <v>58</v>
      </c>
      <c r="Y5" s="660" t="s">
        <v>59</v>
      </c>
      <c r="Z5" s="660" t="s">
        <v>60</v>
      </c>
      <c r="AA5" s="660" t="s">
        <v>101</v>
      </c>
      <c r="AB5" s="660" t="s">
        <v>627</v>
      </c>
      <c r="AC5" s="660" t="s">
        <v>628</v>
      </c>
      <c r="AD5" s="660" t="s">
        <v>1076</v>
      </c>
      <c r="AE5" s="660" t="s">
        <v>1188</v>
      </c>
      <c r="AF5" s="660" t="s">
        <v>629</v>
      </c>
      <c r="AG5" s="660" t="s">
        <v>696</v>
      </c>
      <c r="AH5" s="660" t="s">
        <v>1191</v>
      </c>
      <c r="AI5" s="660" t="s">
        <v>897</v>
      </c>
      <c r="AJ5" s="660" t="s">
        <v>985</v>
      </c>
      <c r="AK5" s="660"/>
      <c r="AM5" s="657" t="s">
        <v>736</v>
      </c>
      <c r="AN5" s="657" t="s">
        <v>737</v>
      </c>
      <c r="AO5" s="657" t="s">
        <v>738</v>
      </c>
      <c r="AP5" s="657" t="s">
        <v>53</v>
      </c>
      <c r="AQ5" s="657" t="s">
        <v>54</v>
      </c>
      <c r="AR5" s="657" t="s">
        <v>638</v>
      </c>
      <c r="AS5" s="657" t="s">
        <v>732</v>
      </c>
      <c r="AT5" s="657" t="s">
        <v>733</v>
      </c>
      <c r="AU5" s="657" t="s">
        <v>734</v>
      </c>
      <c r="AV5" s="657" t="s">
        <v>7</v>
      </c>
      <c r="AW5" s="657" t="s">
        <v>30</v>
      </c>
      <c r="AX5" s="657" t="s">
        <v>8</v>
      </c>
      <c r="AY5" s="657" t="s">
        <v>9</v>
      </c>
      <c r="AZ5" s="657" t="s">
        <v>10</v>
      </c>
      <c r="BA5" s="657" t="s">
        <v>11</v>
      </c>
      <c r="BB5" s="657" t="s">
        <v>12</v>
      </c>
      <c r="BC5" s="657" t="s">
        <v>98</v>
      </c>
      <c r="BD5" s="657" t="s">
        <v>751</v>
      </c>
      <c r="BE5" s="657" t="s">
        <v>49</v>
      </c>
      <c r="BF5" s="657"/>
      <c r="BH5" s="662" t="s">
        <v>31</v>
      </c>
      <c r="BI5" s="662" t="s">
        <v>32</v>
      </c>
      <c r="BJ5" s="662"/>
      <c r="BL5" s="490" t="s">
        <v>55</v>
      </c>
      <c r="BM5" s="490"/>
      <c r="BO5" s="785" t="s">
        <v>779</v>
      </c>
      <c r="BP5" s="786" t="s">
        <v>779</v>
      </c>
      <c r="BQ5" s="786" t="s">
        <v>779</v>
      </c>
      <c r="BR5" s="787" t="s">
        <v>779</v>
      </c>
      <c r="BS5" s="785" t="s">
        <v>778</v>
      </c>
      <c r="BT5" s="786" t="s">
        <v>778</v>
      </c>
      <c r="BU5" s="786" t="s">
        <v>778</v>
      </c>
      <c r="BV5" s="787" t="s">
        <v>778</v>
      </c>
      <c r="BW5" s="785">
        <v>2</v>
      </c>
      <c r="BX5" s="786">
        <v>2</v>
      </c>
      <c r="BY5" s="786">
        <v>2</v>
      </c>
      <c r="BZ5" s="787">
        <v>2</v>
      </c>
      <c r="CA5" s="785">
        <v>3</v>
      </c>
      <c r="CB5" s="786">
        <v>3</v>
      </c>
      <c r="CC5" s="786">
        <v>3</v>
      </c>
      <c r="CD5" s="787">
        <v>3</v>
      </c>
      <c r="CE5" s="785">
        <v>4</v>
      </c>
      <c r="CF5" s="786">
        <v>4</v>
      </c>
      <c r="CG5" s="786">
        <v>4</v>
      </c>
      <c r="CH5" s="787">
        <v>4</v>
      </c>
      <c r="CI5" s="785">
        <v>5</v>
      </c>
      <c r="CJ5" s="786">
        <v>5</v>
      </c>
      <c r="CK5" s="786">
        <v>5</v>
      </c>
      <c r="CL5" s="787">
        <v>5</v>
      </c>
      <c r="CM5" s="785">
        <v>6</v>
      </c>
      <c r="CN5" s="786">
        <v>6</v>
      </c>
      <c r="CO5" s="786">
        <v>6</v>
      </c>
      <c r="CP5" s="787">
        <v>6</v>
      </c>
      <c r="CQ5" s="785">
        <v>7</v>
      </c>
      <c r="CR5" s="786">
        <v>7</v>
      </c>
      <c r="CS5" s="786">
        <v>7</v>
      </c>
      <c r="CT5" s="787">
        <v>7</v>
      </c>
      <c r="CU5" s="785" t="s">
        <v>764</v>
      </c>
      <c r="CV5" s="786" t="s">
        <v>764</v>
      </c>
      <c r="CW5" s="786" t="s">
        <v>764</v>
      </c>
      <c r="CX5" s="787" t="s">
        <v>764</v>
      </c>
      <c r="CY5" s="785" t="s">
        <v>765</v>
      </c>
      <c r="CZ5" s="786" t="s">
        <v>765</v>
      </c>
      <c r="DA5" s="786" t="s">
        <v>765</v>
      </c>
      <c r="DB5" s="787" t="s">
        <v>765</v>
      </c>
      <c r="DC5" s="785" t="s">
        <v>790</v>
      </c>
      <c r="DD5" s="786" t="s">
        <v>790</v>
      </c>
      <c r="DE5" s="786" t="s">
        <v>790</v>
      </c>
      <c r="DF5" s="787" t="s">
        <v>790</v>
      </c>
    </row>
    <row r="6" spans="1:112" ht="15.75" customHeight="1">
      <c r="G6" s="630"/>
      <c r="H6" s="630"/>
      <c r="I6" s="630"/>
      <c r="J6" s="630"/>
      <c r="K6" s="631"/>
      <c r="L6" s="630"/>
      <c r="M6" s="630"/>
      <c r="N6" s="630"/>
      <c r="O6" s="630"/>
      <c r="P6" s="630"/>
      <c r="Q6" s="630"/>
      <c r="S6" s="643"/>
      <c r="T6" s="643"/>
      <c r="U6" s="643"/>
      <c r="V6" s="643"/>
      <c r="W6" s="643"/>
      <c r="X6" s="643"/>
      <c r="Y6" s="643"/>
      <c r="Z6" s="643"/>
      <c r="AA6" s="643"/>
      <c r="AB6" s="643"/>
      <c r="AC6" s="643"/>
      <c r="AD6" s="643"/>
      <c r="AE6" s="643"/>
      <c r="AF6" s="643"/>
      <c r="AG6" s="643"/>
      <c r="AH6" s="643"/>
      <c r="AI6" s="643"/>
      <c r="AJ6" s="643"/>
      <c r="AK6" s="643"/>
      <c r="AM6" s="649"/>
      <c r="AN6" s="649"/>
      <c r="AO6" s="649"/>
      <c r="AP6" s="649"/>
      <c r="AQ6" s="649"/>
      <c r="AR6" s="649"/>
      <c r="AS6" s="649"/>
      <c r="AT6" s="649"/>
      <c r="AU6" s="649"/>
      <c r="AV6" s="649"/>
      <c r="AW6" s="649"/>
      <c r="AX6" s="649"/>
      <c r="AY6" s="649"/>
      <c r="AZ6" s="649"/>
      <c r="BA6" s="649"/>
      <c r="BB6" s="649"/>
      <c r="BC6" s="649"/>
      <c r="BD6" s="649"/>
      <c r="BE6" s="649"/>
      <c r="BF6" s="649"/>
      <c r="BH6" s="663"/>
      <c r="BI6" s="663"/>
      <c r="BJ6" s="663"/>
      <c r="BL6" s="496"/>
      <c r="BM6" s="496"/>
      <c r="BO6" s="779" t="s">
        <v>769</v>
      </c>
      <c r="BP6" s="779" t="s">
        <v>770</v>
      </c>
      <c r="BQ6" s="779" t="s">
        <v>771</v>
      </c>
      <c r="BR6" s="779" t="s">
        <v>772</v>
      </c>
      <c r="BS6" s="779" t="s">
        <v>769</v>
      </c>
      <c r="BT6" s="779" t="s">
        <v>770</v>
      </c>
      <c r="BU6" s="779" t="s">
        <v>771</v>
      </c>
      <c r="BV6" s="779" t="s">
        <v>772</v>
      </c>
      <c r="BW6" s="779" t="s">
        <v>769</v>
      </c>
      <c r="BX6" s="779" t="s">
        <v>770</v>
      </c>
      <c r="BY6" s="779" t="s">
        <v>771</v>
      </c>
      <c r="BZ6" s="779" t="s">
        <v>772</v>
      </c>
      <c r="CA6" s="779" t="s">
        <v>769</v>
      </c>
      <c r="CB6" s="779" t="s">
        <v>770</v>
      </c>
      <c r="CC6" s="779" t="s">
        <v>771</v>
      </c>
      <c r="CD6" s="779" t="s">
        <v>772</v>
      </c>
      <c r="CE6" s="779" t="s">
        <v>769</v>
      </c>
      <c r="CF6" s="779" t="s">
        <v>770</v>
      </c>
      <c r="CG6" s="779" t="s">
        <v>771</v>
      </c>
      <c r="CH6" s="779" t="s">
        <v>772</v>
      </c>
      <c r="CI6" s="779" t="s">
        <v>769</v>
      </c>
      <c r="CJ6" s="779" t="s">
        <v>770</v>
      </c>
      <c r="CK6" s="779" t="s">
        <v>771</v>
      </c>
      <c r="CL6" s="779" t="s">
        <v>772</v>
      </c>
      <c r="CM6" s="779" t="s">
        <v>769</v>
      </c>
      <c r="CN6" s="779" t="s">
        <v>770</v>
      </c>
      <c r="CO6" s="779" t="s">
        <v>771</v>
      </c>
      <c r="CP6" s="779" t="s">
        <v>772</v>
      </c>
      <c r="CQ6" s="779" t="s">
        <v>769</v>
      </c>
      <c r="CR6" s="779" t="s">
        <v>770</v>
      </c>
      <c r="CS6" s="779" t="s">
        <v>771</v>
      </c>
      <c r="CT6" s="779" t="s">
        <v>772</v>
      </c>
      <c r="CU6" s="779" t="s">
        <v>769</v>
      </c>
      <c r="CV6" s="779" t="s">
        <v>770</v>
      </c>
      <c r="CW6" s="779" t="s">
        <v>771</v>
      </c>
      <c r="CX6" s="779" t="s">
        <v>772</v>
      </c>
      <c r="CY6" s="779" t="s">
        <v>769</v>
      </c>
      <c r="CZ6" s="779" t="s">
        <v>770</v>
      </c>
      <c r="DA6" s="779" t="s">
        <v>771</v>
      </c>
      <c r="DB6" s="779" t="s">
        <v>772</v>
      </c>
      <c r="DC6" s="779" t="s">
        <v>769</v>
      </c>
      <c r="DD6" s="779" t="s">
        <v>770</v>
      </c>
      <c r="DE6" s="779" t="s">
        <v>771</v>
      </c>
      <c r="DF6" s="779" t="s">
        <v>772</v>
      </c>
    </row>
    <row r="7" spans="1:112" ht="18" customHeight="1">
      <c r="C7" s="489" t="s">
        <v>528</v>
      </c>
      <c r="D7" s="489"/>
      <c r="E7" s="512"/>
      <c r="G7" s="632"/>
      <c r="H7" s="632"/>
      <c r="I7" s="632"/>
      <c r="J7" s="632"/>
      <c r="K7" s="632"/>
      <c r="L7" s="632"/>
      <c r="M7" s="632"/>
      <c r="N7" s="632"/>
      <c r="O7" s="632"/>
      <c r="P7" s="632"/>
      <c r="Q7" s="632"/>
      <c r="S7" s="644"/>
      <c r="T7" s="644"/>
      <c r="U7" s="644"/>
      <c r="V7" s="644"/>
      <c r="W7" s="644"/>
      <c r="X7" s="644"/>
      <c r="Y7" s="644"/>
      <c r="Z7" s="644"/>
      <c r="AA7" s="644"/>
      <c r="AB7" s="644"/>
      <c r="AC7" s="644"/>
      <c r="AD7" s="644"/>
      <c r="AE7" s="644"/>
      <c r="AF7" s="644"/>
      <c r="AG7" s="644"/>
      <c r="AH7" s="644"/>
      <c r="AI7" s="644"/>
      <c r="AJ7" s="644"/>
      <c r="AK7" s="644"/>
      <c r="AM7" s="650"/>
      <c r="AN7" s="650"/>
      <c r="AO7" s="650"/>
      <c r="AP7" s="650"/>
      <c r="AQ7" s="650"/>
      <c r="AR7" s="650"/>
      <c r="AS7" s="650"/>
      <c r="AT7" s="650"/>
      <c r="AU7" s="650"/>
      <c r="AV7" s="650"/>
      <c r="AW7" s="650"/>
      <c r="AX7" s="650"/>
      <c r="AY7" s="650"/>
      <c r="AZ7" s="650"/>
      <c r="BA7" s="650"/>
      <c r="BB7" s="650"/>
      <c r="BC7" s="650"/>
      <c r="BD7" s="650"/>
      <c r="BE7" s="650"/>
      <c r="BF7" s="650"/>
      <c r="BH7" s="664"/>
      <c r="BI7" s="664"/>
      <c r="BJ7" s="664"/>
      <c r="BL7" s="498"/>
      <c r="BM7" s="498"/>
      <c r="BO7" s="780"/>
      <c r="BP7" s="780"/>
      <c r="BQ7" s="780"/>
      <c r="BR7" s="780"/>
      <c r="BS7" s="780"/>
      <c r="BT7" s="780"/>
      <c r="BU7" s="780"/>
      <c r="BV7" s="780"/>
      <c r="BW7" s="780"/>
      <c r="BX7" s="780"/>
      <c r="BY7" s="780"/>
      <c r="BZ7" s="780"/>
      <c r="CA7" s="780"/>
      <c r="CB7" s="780"/>
      <c r="CC7" s="780"/>
      <c r="CD7" s="780"/>
      <c r="CE7" s="780"/>
      <c r="CF7" s="780"/>
      <c r="CG7" s="780"/>
      <c r="CH7" s="780"/>
      <c r="CI7" s="780"/>
      <c r="CJ7" s="780"/>
      <c r="CK7" s="780"/>
      <c r="CL7" s="780"/>
      <c r="CM7" s="780"/>
      <c r="CN7" s="780"/>
      <c r="CO7" s="780"/>
      <c r="CP7" s="780"/>
      <c r="CQ7" s="780"/>
      <c r="CR7" s="780"/>
      <c r="CS7" s="780"/>
      <c r="CT7" s="780"/>
      <c r="CU7" s="780"/>
      <c r="CV7" s="780"/>
      <c r="CW7" s="780"/>
      <c r="CX7" s="780"/>
      <c r="CY7" s="780"/>
      <c r="CZ7" s="780"/>
      <c r="DA7" s="780"/>
      <c r="DB7" s="780"/>
      <c r="DC7" s="780"/>
      <c r="DD7" s="780"/>
      <c r="DE7" s="780"/>
      <c r="DF7" s="780"/>
    </row>
    <row r="8" spans="1:112" ht="6" customHeight="1" outlineLevel="1">
      <c r="G8" s="633"/>
      <c r="H8" s="633"/>
      <c r="I8" s="633"/>
      <c r="J8" s="633"/>
      <c r="K8" s="634"/>
      <c r="L8" s="633"/>
      <c r="M8" s="633"/>
      <c r="N8" s="633"/>
      <c r="O8" s="633"/>
      <c r="P8" s="633"/>
      <c r="Q8" s="633"/>
      <c r="S8" s="645"/>
      <c r="T8" s="645"/>
      <c r="U8" s="645"/>
      <c r="V8" s="645"/>
      <c r="W8" s="645"/>
      <c r="X8" s="645"/>
      <c r="Y8" s="645"/>
      <c r="Z8" s="645"/>
      <c r="AA8" s="645"/>
      <c r="AB8" s="645"/>
      <c r="AC8" s="645"/>
      <c r="AD8" s="645"/>
      <c r="AE8" s="645"/>
      <c r="AF8" s="645"/>
      <c r="AG8" s="645"/>
      <c r="AH8" s="645"/>
      <c r="AI8" s="645"/>
      <c r="AJ8" s="645"/>
      <c r="AK8" s="645"/>
      <c r="AM8" s="651"/>
      <c r="AN8" s="651"/>
      <c r="AO8" s="651"/>
      <c r="AP8" s="651"/>
      <c r="AQ8" s="651"/>
      <c r="AR8" s="651"/>
      <c r="AS8" s="651"/>
      <c r="AT8" s="651"/>
      <c r="AU8" s="651"/>
      <c r="AV8" s="651"/>
      <c r="AW8" s="651"/>
      <c r="AX8" s="651"/>
      <c r="AY8" s="651"/>
      <c r="AZ8" s="651"/>
      <c r="BA8" s="651"/>
      <c r="BB8" s="651"/>
      <c r="BC8" s="651"/>
      <c r="BD8" s="651"/>
      <c r="BE8" s="651"/>
      <c r="BF8" s="651"/>
      <c r="BH8" s="665"/>
      <c r="BI8" s="665"/>
      <c r="BJ8" s="665"/>
      <c r="BL8" s="499"/>
      <c r="BM8" s="499"/>
      <c r="BO8" s="781"/>
      <c r="BP8" s="781"/>
      <c r="BQ8" s="781"/>
      <c r="BR8" s="781"/>
      <c r="BS8" s="781"/>
      <c r="BT8" s="781"/>
      <c r="BU8" s="781"/>
      <c r="BV8" s="781"/>
      <c r="BW8" s="781"/>
      <c r="BX8" s="781"/>
      <c r="BY8" s="781"/>
      <c r="BZ8" s="781"/>
      <c r="CA8" s="781"/>
      <c r="CB8" s="781"/>
      <c r="CC8" s="781"/>
      <c r="CD8" s="781"/>
      <c r="CE8" s="781"/>
      <c r="CF8" s="781"/>
      <c r="CG8" s="781"/>
      <c r="CH8" s="781"/>
      <c r="CI8" s="781"/>
      <c r="CJ8" s="781"/>
      <c r="CK8" s="781"/>
      <c r="CL8" s="781"/>
      <c r="CM8" s="781"/>
      <c r="CN8" s="781"/>
      <c r="CO8" s="781"/>
      <c r="CP8" s="781"/>
      <c r="CQ8" s="781"/>
      <c r="CR8" s="781"/>
      <c r="CS8" s="781"/>
      <c r="CT8" s="781"/>
      <c r="CU8" s="781"/>
      <c r="CV8" s="781"/>
      <c r="CW8" s="781"/>
      <c r="CX8" s="781"/>
      <c r="CY8" s="781"/>
      <c r="CZ8" s="781"/>
      <c r="DA8" s="781"/>
      <c r="DB8" s="781"/>
      <c r="DC8" s="781"/>
      <c r="DD8" s="781"/>
      <c r="DE8" s="781"/>
      <c r="DF8" s="781"/>
    </row>
    <row r="9" spans="1:112" s="528" customFormat="1" ht="10.5" customHeight="1" outlineLevel="2">
      <c r="A9" s="1016"/>
      <c r="B9" s="1016"/>
      <c r="C9" s="530" t="s">
        <v>655</v>
      </c>
      <c r="D9" s="1016" t="str">
        <f>INDEX(Modules[Module], MATCH($C9, Modules[Code], 0))</f>
        <v>Domestic space heating and hot water</v>
      </c>
      <c r="E9" s="505"/>
      <c r="G9" s="691">
        <f ca="1">IFERROR(INDEX(INDIRECT($C9&amp;".Outputs["&amp;this.Year&amp;"]"), MATCH(G$5, INDIRECT($C9&amp;".Outputs[Vector]"), 0)), 0)</f>
        <v>0</v>
      </c>
      <c r="H9" s="691">
        <f t="shared" ref="G9:P13" ca="1" si="0">IFERROR(INDEX(INDIRECT($C9&amp;".Outputs["&amp;this.Year&amp;"]"), MATCH(H$5, INDIRECT($C9&amp;".Outputs[Vector]"), 0)), 0)</f>
        <v>0</v>
      </c>
      <c r="I9" s="691">
        <f t="shared" ca="1" si="0"/>
        <v>0</v>
      </c>
      <c r="J9" s="691">
        <f t="shared" ca="1" si="0"/>
        <v>0</v>
      </c>
      <c r="K9" s="691">
        <f t="shared" ca="1" si="0"/>
        <v>0</v>
      </c>
      <c r="L9" s="691">
        <f t="shared" ca="1" si="0"/>
        <v>0</v>
      </c>
      <c r="M9" s="691">
        <f t="shared" ca="1" si="0"/>
        <v>0</v>
      </c>
      <c r="N9" s="691">
        <f t="shared" ca="1" si="0"/>
        <v>0</v>
      </c>
      <c r="O9" s="691">
        <f t="shared" ca="1" si="0"/>
        <v>0</v>
      </c>
      <c r="P9" s="691">
        <f t="shared" ca="1" si="0"/>
        <v>0</v>
      </c>
      <c r="Q9" s="693">
        <f t="shared" ref="Q9:Q15" ca="1" si="1">SUM(G9:P9)</f>
        <v>0</v>
      </c>
      <c r="S9" s="700">
        <f t="shared" ref="S9:BE13" ca="1" si="2">IFERROR(INDEX(INDIRECT($C9&amp;".Outputs["&amp;this.Year&amp;"]"), MATCH(S$5, INDIRECT($C9&amp;".Outputs[Vector]"), 0)), 0)</f>
        <v>0</v>
      </c>
      <c r="T9" s="700">
        <f t="shared" ca="1" si="2"/>
        <v>0</v>
      </c>
      <c r="U9" s="700">
        <f t="shared" ca="1" si="2"/>
        <v>0</v>
      </c>
      <c r="V9" s="700">
        <f t="shared" ca="1" si="2"/>
        <v>0</v>
      </c>
      <c r="W9" s="700">
        <f t="shared" ca="1" si="2"/>
        <v>0</v>
      </c>
      <c r="X9" s="700">
        <f t="shared" ref="X9:Z10" ca="1" si="3">IFERROR(INDEX(INDIRECT($C9&amp;".Outputs["&amp;this.Year&amp;"]"), MATCH(X$5, INDIRECT($C9&amp;".Outputs[Vector]"), 0)), 0)</f>
        <v>0</v>
      </c>
      <c r="Y9" s="700">
        <f t="shared" ca="1" si="3"/>
        <v>0</v>
      </c>
      <c r="Z9" s="700">
        <f t="shared" ca="1" si="3"/>
        <v>0</v>
      </c>
      <c r="AA9" s="700">
        <f t="shared" ca="1" si="2"/>
        <v>0</v>
      </c>
      <c r="AB9" s="700">
        <f t="shared" ca="1" si="2"/>
        <v>0</v>
      </c>
      <c r="AC9" s="700">
        <f t="shared" ca="1" si="2"/>
        <v>0</v>
      </c>
      <c r="AD9" s="700">
        <f t="shared" ca="1" si="2"/>
        <v>0</v>
      </c>
      <c r="AE9" s="700">
        <f t="shared" ca="1" si="2"/>
        <v>0</v>
      </c>
      <c r="AF9" s="700">
        <f t="shared" ca="1" si="2"/>
        <v>0</v>
      </c>
      <c r="AG9" s="700">
        <f t="shared" ca="1" si="2"/>
        <v>0</v>
      </c>
      <c r="AH9" s="700">
        <f t="shared" ca="1" si="2"/>
        <v>0</v>
      </c>
      <c r="AI9" s="700">
        <f t="shared" ca="1" si="2"/>
        <v>0</v>
      </c>
      <c r="AJ9" s="700">
        <f t="shared" ca="1" si="2"/>
        <v>0</v>
      </c>
      <c r="AK9" s="701">
        <f t="shared" ref="AK9:AK15" ca="1" si="4">SUM(S9:AJ9)</f>
        <v>0</v>
      </c>
      <c r="AM9" s="712">
        <f t="shared" ref="AM9:AU10" ca="1" si="5">IFERROR(INDEX(INDIRECT($C9&amp;".Outputs["&amp;this.Year&amp;"]"), MATCH(AM$5, INDIRECT($C9&amp;".Outputs[Vector]"), 0)), 0)</f>
        <v>0</v>
      </c>
      <c r="AN9" s="712">
        <f t="shared" ca="1" si="5"/>
        <v>0</v>
      </c>
      <c r="AO9" s="712">
        <f t="shared" ca="1" si="5"/>
        <v>0</v>
      </c>
      <c r="AP9" s="712">
        <f t="shared" ca="1" si="5"/>
        <v>0</v>
      </c>
      <c r="AQ9" s="712">
        <f t="shared" ca="1" si="5"/>
        <v>0</v>
      </c>
      <c r="AR9" s="712">
        <f t="shared" ca="1" si="5"/>
        <v>0</v>
      </c>
      <c r="AS9" s="712">
        <f t="shared" ca="1" si="5"/>
        <v>0</v>
      </c>
      <c r="AT9" s="712">
        <f t="shared" ca="1" si="5"/>
        <v>0</v>
      </c>
      <c r="AU9" s="712">
        <f t="shared" ca="1" si="5"/>
        <v>0</v>
      </c>
      <c r="AV9" s="712">
        <f t="shared" ca="1" si="2"/>
        <v>0</v>
      </c>
      <c r="AW9" s="712">
        <f t="shared" ca="1" si="2"/>
        <v>0</v>
      </c>
      <c r="AX9" s="712">
        <f t="shared" ca="1" si="2"/>
        <v>0</v>
      </c>
      <c r="AY9" s="712">
        <f t="shared" ca="1" si="2"/>
        <v>0</v>
      </c>
      <c r="AZ9" s="712">
        <f t="shared" ca="1" si="2"/>
        <v>0</v>
      </c>
      <c r="BA9" s="712">
        <f t="shared" ca="1" si="2"/>
        <v>0</v>
      </c>
      <c r="BB9" s="712">
        <f t="shared" ca="1" si="2"/>
        <v>0</v>
      </c>
      <c r="BC9" s="712">
        <f t="shared" ca="1" si="2"/>
        <v>0</v>
      </c>
      <c r="BD9" s="712">
        <f t="shared" ca="1" si="2"/>
        <v>0</v>
      </c>
      <c r="BE9" s="712">
        <f t="shared" ca="1" si="2"/>
        <v>0</v>
      </c>
      <c r="BF9" s="652">
        <f t="shared" ref="BF9:BF15" ca="1" si="6">SUM(AM9:BE9)</f>
        <v>0</v>
      </c>
      <c r="BH9" s="706">
        <f t="shared" ref="BH9:BI13" ca="1" si="7">IFERROR(INDEX(INDIRECT($C9&amp;".Outputs["&amp;this.Year&amp;"]"), MATCH(BH$5, INDIRECT($C9&amp;".Outputs[Vector]"), 0)), 0)</f>
        <v>0</v>
      </c>
      <c r="BI9" s="706">
        <f t="shared" ca="1" si="7"/>
        <v>0</v>
      </c>
      <c r="BJ9" s="708">
        <f t="shared" ref="BJ9:BJ15" ca="1" si="8">SUM(BH9:BI9)</f>
        <v>0</v>
      </c>
      <c r="BL9" s="508">
        <f t="shared" ref="BL9:BL44" ca="1" si="9">Q9+AK9+BF9+BJ9</f>
        <v>0</v>
      </c>
      <c r="BM9" s="508"/>
      <c r="BN9" s="574"/>
      <c r="BO9" s="1017">
        <f t="shared" ref="BO9:BX10" ca="1" si="10">IFERROR(SUMIFS(INDIRECT($C9&amp;".Emissions["&amp;this.Year&amp;"]"), INDIRECT($C9&amp;".Emissions[GHG]"), BO$6, INDIRECT($C9&amp;".Emissions[IPCC Sector]"), BO$5),0)</f>
        <v>0</v>
      </c>
      <c r="BP9" s="1018">
        <f t="shared" ca="1" si="10"/>
        <v>0</v>
      </c>
      <c r="BQ9" s="1018">
        <f t="shared" ca="1" si="10"/>
        <v>0</v>
      </c>
      <c r="BR9" s="1018">
        <f t="shared" ca="1" si="10"/>
        <v>0</v>
      </c>
      <c r="BS9" s="1018">
        <f t="shared" ca="1" si="10"/>
        <v>0</v>
      </c>
      <c r="BT9" s="1018">
        <f t="shared" ca="1" si="10"/>
        <v>0</v>
      </c>
      <c r="BU9" s="1018">
        <f t="shared" ca="1" si="10"/>
        <v>0</v>
      </c>
      <c r="BV9" s="1018">
        <f t="shared" ca="1" si="10"/>
        <v>0</v>
      </c>
      <c r="BW9" s="1018">
        <f t="shared" ca="1" si="10"/>
        <v>0</v>
      </c>
      <c r="BX9" s="1018">
        <f t="shared" ca="1" si="10"/>
        <v>0</v>
      </c>
      <c r="BY9" s="1018">
        <f t="shared" ref="BY9:CH10" ca="1" si="11">IFERROR(SUMIFS(INDIRECT($C9&amp;".Emissions["&amp;this.Year&amp;"]"), INDIRECT($C9&amp;".Emissions[GHG]"), BY$6, INDIRECT($C9&amp;".Emissions[IPCC Sector]"), BY$5),0)</f>
        <v>0</v>
      </c>
      <c r="BZ9" s="1018">
        <f t="shared" ca="1" si="11"/>
        <v>0</v>
      </c>
      <c r="CA9" s="1018">
        <f t="shared" ca="1" si="11"/>
        <v>0</v>
      </c>
      <c r="CB9" s="1018">
        <f t="shared" ca="1" si="11"/>
        <v>0</v>
      </c>
      <c r="CC9" s="1018">
        <f t="shared" ca="1" si="11"/>
        <v>0</v>
      </c>
      <c r="CD9" s="1018">
        <f t="shared" ca="1" si="11"/>
        <v>0</v>
      </c>
      <c r="CE9" s="1018">
        <f t="shared" ca="1" si="11"/>
        <v>0</v>
      </c>
      <c r="CF9" s="1018">
        <f t="shared" ca="1" si="11"/>
        <v>0</v>
      </c>
      <c r="CG9" s="1018">
        <f t="shared" ca="1" si="11"/>
        <v>0</v>
      </c>
      <c r="CH9" s="1018">
        <f t="shared" ca="1" si="11"/>
        <v>0</v>
      </c>
      <c r="CI9" s="1018">
        <f t="shared" ref="CI9:CR10" ca="1" si="12">IFERROR(SUMIFS(INDIRECT($C9&amp;".Emissions["&amp;this.Year&amp;"]"), INDIRECT($C9&amp;".Emissions[GHG]"), CI$6, INDIRECT($C9&amp;".Emissions[IPCC Sector]"), CI$5),0)</f>
        <v>0</v>
      </c>
      <c r="CJ9" s="1018">
        <f t="shared" ca="1" si="12"/>
        <v>0</v>
      </c>
      <c r="CK9" s="1018">
        <f t="shared" ca="1" si="12"/>
        <v>0</v>
      </c>
      <c r="CL9" s="1018">
        <f t="shared" ca="1" si="12"/>
        <v>0</v>
      </c>
      <c r="CM9" s="1018">
        <f t="shared" ca="1" si="12"/>
        <v>0</v>
      </c>
      <c r="CN9" s="1018">
        <f t="shared" ca="1" si="12"/>
        <v>0</v>
      </c>
      <c r="CO9" s="1018">
        <f t="shared" ca="1" si="12"/>
        <v>0</v>
      </c>
      <c r="CP9" s="1018">
        <f t="shared" ca="1" si="12"/>
        <v>0</v>
      </c>
      <c r="CQ9" s="1018">
        <f t="shared" ca="1" si="12"/>
        <v>0</v>
      </c>
      <c r="CR9" s="1018">
        <f t="shared" ca="1" si="12"/>
        <v>0</v>
      </c>
      <c r="CS9" s="1018">
        <f t="shared" ref="CS9:DF10" ca="1" si="13">IFERROR(SUMIFS(INDIRECT($C9&amp;".Emissions["&amp;this.Year&amp;"]"), INDIRECT($C9&amp;".Emissions[GHG]"), CS$6, INDIRECT($C9&amp;".Emissions[IPCC Sector]"), CS$5),0)</f>
        <v>0</v>
      </c>
      <c r="CT9" s="1018">
        <f t="shared" ca="1" si="13"/>
        <v>0</v>
      </c>
      <c r="CU9" s="1018">
        <f t="shared" ca="1" si="13"/>
        <v>0</v>
      </c>
      <c r="CV9" s="1018">
        <f t="shared" ca="1" si="13"/>
        <v>0</v>
      </c>
      <c r="CW9" s="1018">
        <f t="shared" ca="1" si="13"/>
        <v>0</v>
      </c>
      <c r="CX9" s="1018">
        <f t="shared" ca="1" si="13"/>
        <v>0</v>
      </c>
      <c r="CY9" s="1018">
        <f t="shared" ca="1" si="13"/>
        <v>0</v>
      </c>
      <c r="CZ9" s="1018">
        <f t="shared" ca="1" si="13"/>
        <v>0</v>
      </c>
      <c r="DA9" s="1018">
        <f t="shared" ca="1" si="13"/>
        <v>0</v>
      </c>
      <c r="DB9" s="1018">
        <f t="shared" ca="1" si="13"/>
        <v>0</v>
      </c>
      <c r="DC9" s="1018">
        <f t="shared" ca="1" si="13"/>
        <v>0</v>
      </c>
      <c r="DD9" s="1018">
        <f t="shared" ca="1" si="13"/>
        <v>0</v>
      </c>
      <c r="DE9" s="1018">
        <f t="shared" ca="1" si="13"/>
        <v>0</v>
      </c>
      <c r="DF9" s="1018">
        <f t="shared" ca="1" si="13"/>
        <v>0</v>
      </c>
      <c r="DH9" s="572"/>
    </row>
    <row r="10" spans="1:112" s="528" customFormat="1" ht="10.5" customHeight="1" outlineLevel="2">
      <c r="A10" s="1019"/>
      <c r="B10" s="1019"/>
      <c r="C10" s="683" t="s">
        <v>668</v>
      </c>
      <c r="D10" s="1019" t="str">
        <f>INDEX(Modules[Module], MATCH($C10, Modules[Code], 0))</f>
        <v>Domestic hot water [UNUSED - See IX.a]</v>
      </c>
      <c r="E10" s="680"/>
      <c r="G10" s="692">
        <f t="shared" ca="1" si="0"/>
        <v>0</v>
      </c>
      <c r="H10" s="692">
        <f t="shared" ca="1" si="0"/>
        <v>0</v>
      </c>
      <c r="I10" s="692">
        <f t="shared" ca="1" si="0"/>
        <v>0</v>
      </c>
      <c r="J10" s="692">
        <f t="shared" ca="1" si="0"/>
        <v>0</v>
      </c>
      <c r="K10" s="692">
        <f t="shared" ca="1" si="0"/>
        <v>0</v>
      </c>
      <c r="L10" s="692">
        <f t="shared" ca="1" si="0"/>
        <v>0</v>
      </c>
      <c r="M10" s="692">
        <f t="shared" ca="1" si="0"/>
        <v>0</v>
      </c>
      <c r="N10" s="692">
        <f t="shared" ca="1" si="0"/>
        <v>0</v>
      </c>
      <c r="O10" s="692">
        <f t="shared" ca="1" si="0"/>
        <v>0</v>
      </c>
      <c r="P10" s="692">
        <f t="shared" ca="1" si="0"/>
        <v>0</v>
      </c>
      <c r="Q10" s="698">
        <f t="shared" ca="1" si="1"/>
        <v>0</v>
      </c>
      <c r="S10" s="702">
        <f t="shared" ca="1" si="2"/>
        <v>0</v>
      </c>
      <c r="T10" s="702">
        <f t="shared" ca="1" si="2"/>
        <v>0</v>
      </c>
      <c r="U10" s="702">
        <f t="shared" ca="1" si="2"/>
        <v>0</v>
      </c>
      <c r="V10" s="702">
        <f t="shared" ca="1" si="2"/>
        <v>0</v>
      </c>
      <c r="W10" s="702">
        <f t="shared" ca="1" si="2"/>
        <v>0</v>
      </c>
      <c r="X10" s="702">
        <f t="shared" ca="1" si="3"/>
        <v>0</v>
      </c>
      <c r="Y10" s="702">
        <f t="shared" ca="1" si="3"/>
        <v>0</v>
      </c>
      <c r="Z10" s="702">
        <f t="shared" ca="1" si="3"/>
        <v>0</v>
      </c>
      <c r="AA10" s="702">
        <f t="shared" ca="1" si="2"/>
        <v>0</v>
      </c>
      <c r="AB10" s="702">
        <f t="shared" ca="1" si="2"/>
        <v>0</v>
      </c>
      <c r="AC10" s="702">
        <f t="shared" ca="1" si="2"/>
        <v>0</v>
      </c>
      <c r="AD10" s="702">
        <f t="shared" ca="1" si="2"/>
        <v>0</v>
      </c>
      <c r="AE10" s="702">
        <f t="shared" ca="1" si="2"/>
        <v>0</v>
      </c>
      <c r="AF10" s="702">
        <f t="shared" ca="1" si="2"/>
        <v>0</v>
      </c>
      <c r="AG10" s="702">
        <f t="shared" ca="1" si="2"/>
        <v>0</v>
      </c>
      <c r="AH10" s="702">
        <f t="shared" ca="1" si="2"/>
        <v>0</v>
      </c>
      <c r="AI10" s="702">
        <f t="shared" ca="1" si="2"/>
        <v>0</v>
      </c>
      <c r="AJ10" s="702">
        <f t="shared" ca="1" si="2"/>
        <v>0</v>
      </c>
      <c r="AK10" s="703">
        <f t="shared" ca="1" si="4"/>
        <v>0</v>
      </c>
      <c r="AM10" s="713">
        <f t="shared" ca="1" si="5"/>
        <v>0</v>
      </c>
      <c r="AN10" s="713">
        <f t="shared" ca="1" si="5"/>
        <v>0</v>
      </c>
      <c r="AO10" s="713">
        <f t="shared" ca="1" si="5"/>
        <v>0</v>
      </c>
      <c r="AP10" s="713">
        <f t="shared" ca="1" si="5"/>
        <v>0</v>
      </c>
      <c r="AQ10" s="713">
        <f t="shared" ca="1" si="5"/>
        <v>0</v>
      </c>
      <c r="AR10" s="713">
        <f t="shared" ca="1" si="5"/>
        <v>0</v>
      </c>
      <c r="AS10" s="713">
        <f t="shared" ca="1" si="5"/>
        <v>0</v>
      </c>
      <c r="AT10" s="713">
        <f t="shared" ca="1" si="5"/>
        <v>0</v>
      </c>
      <c r="AU10" s="713">
        <f t="shared" ca="1" si="5"/>
        <v>0</v>
      </c>
      <c r="AV10" s="713">
        <f t="shared" ca="1" si="2"/>
        <v>0</v>
      </c>
      <c r="AW10" s="713">
        <f t="shared" ca="1" si="2"/>
        <v>0</v>
      </c>
      <c r="AX10" s="713">
        <f t="shared" ca="1" si="2"/>
        <v>0</v>
      </c>
      <c r="AY10" s="713">
        <f t="shared" ca="1" si="2"/>
        <v>0</v>
      </c>
      <c r="AZ10" s="713">
        <f t="shared" ca="1" si="2"/>
        <v>0</v>
      </c>
      <c r="BA10" s="713">
        <f t="shared" ca="1" si="2"/>
        <v>0</v>
      </c>
      <c r="BB10" s="713">
        <f t="shared" ca="1" si="2"/>
        <v>0</v>
      </c>
      <c r="BC10" s="713">
        <f t="shared" ca="1" si="2"/>
        <v>0</v>
      </c>
      <c r="BD10" s="713">
        <f t="shared" ca="1" si="2"/>
        <v>0</v>
      </c>
      <c r="BE10" s="713">
        <f t="shared" ca="1" si="2"/>
        <v>0</v>
      </c>
      <c r="BF10" s="682">
        <f t="shared" ca="1" si="6"/>
        <v>0</v>
      </c>
      <c r="BH10" s="707">
        <f t="shared" ca="1" si="7"/>
        <v>0</v>
      </c>
      <c r="BI10" s="707">
        <f t="shared" ca="1" si="7"/>
        <v>0</v>
      </c>
      <c r="BJ10" s="718">
        <f t="shared" ca="1" si="8"/>
        <v>0</v>
      </c>
      <c r="BL10" s="681">
        <f t="shared" ca="1" si="9"/>
        <v>0</v>
      </c>
      <c r="BM10" s="681"/>
      <c r="BN10" s="574"/>
      <c r="BO10" s="1017">
        <f t="shared" ca="1" si="10"/>
        <v>0</v>
      </c>
      <c r="BP10" s="1018">
        <f t="shared" ca="1" si="10"/>
        <v>0</v>
      </c>
      <c r="BQ10" s="1018">
        <f t="shared" ca="1" si="10"/>
        <v>0</v>
      </c>
      <c r="BR10" s="1018">
        <f t="shared" ca="1" si="10"/>
        <v>0</v>
      </c>
      <c r="BS10" s="1018">
        <f t="shared" ca="1" si="10"/>
        <v>0</v>
      </c>
      <c r="BT10" s="1018">
        <f t="shared" ca="1" si="10"/>
        <v>0</v>
      </c>
      <c r="BU10" s="1018">
        <f t="shared" ca="1" si="10"/>
        <v>0</v>
      </c>
      <c r="BV10" s="1018">
        <f t="shared" ca="1" si="10"/>
        <v>0</v>
      </c>
      <c r="BW10" s="1018">
        <f t="shared" ca="1" si="10"/>
        <v>0</v>
      </c>
      <c r="BX10" s="1018">
        <f t="shared" ca="1" si="10"/>
        <v>0</v>
      </c>
      <c r="BY10" s="1018">
        <f t="shared" ca="1" si="11"/>
        <v>0</v>
      </c>
      <c r="BZ10" s="1018">
        <f t="shared" ca="1" si="11"/>
        <v>0</v>
      </c>
      <c r="CA10" s="1018">
        <f t="shared" ca="1" si="11"/>
        <v>0</v>
      </c>
      <c r="CB10" s="1018">
        <f t="shared" ca="1" si="11"/>
        <v>0</v>
      </c>
      <c r="CC10" s="1018">
        <f t="shared" ca="1" si="11"/>
        <v>0</v>
      </c>
      <c r="CD10" s="1018">
        <f t="shared" ca="1" si="11"/>
        <v>0</v>
      </c>
      <c r="CE10" s="1018">
        <f t="shared" ca="1" si="11"/>
        <v>0</v>
      </c>
      <c r="CF10" s="1018">
        <f t="shared" ca="1" si="11"/>
        <v>0</v>
      </c>
      <c r="CG10" s="1018">
        <f t="shared" ca="1" si="11"/>
        <v>0</v>
      </c>
      <c r="CH10" s="1018">
        <f t="shared" ca="1" si="11"/>
        <v>0</v>
      </c>
      <c r="CI10" s="1018">
        <f t="shared" ca="1" si="12"/>
        <v>0</v>
      </c>
      <c r="CJ10" s="1018">
        <f t="shared" ca="1" si="12"/>
        <v>0</v>
      </c>
      <c r="CK10" s="1018">
        <f t="shared" ca="1" si="12"/>
        <v>0</v>
      </c>
      <c r="CL10" s="1018">
        <f t="shared" ca="1" si="12"/>
        <v>0</v>
      </c>
      <c r="CM10" s="1018">
        <f t="shared" ca="1" si="12"/>
        <v>0</v>
      </c>
      <c r="CN10" s="1018">
        <f t="shared" ca="1" si="12"/>
        <v>0</v>
      </c>
      <c r="CO10" s="1018">
        <f t="shared" ca="1" si="12"/>
        <v>0</v>
      </c>
      <c r="CP10" s="1018">
        <f t="shared" ca="1" si="12"/>
        <v>0</v>
      </c>
      <c r="CQ10" s="1018">
        <f t="shared" ca="1" si="12"/>
        <v>0</v>
      </c>
      <c r="CR10" s="1018">
        <f t="shared" ca="1" si="12"/>
        <v>0</v>
      </c>
      <c r="CS10" s="1018">
        <f t="shared" ca="1" si="13"/>
        <v>0</v>
      </c>
      <c r="CT10" s="1018">
        <f t="shared" ca="1" si="13"/>
        <v>0</v>
      </c>
      <c r="CU10" s="1018">
        <f t="shared" ca="1" si="13"/>
        <v>0</v>
      </c>
      <c r="CV10" s="1018">
        <f t="shared" ca="1" si="13"/>
        <v>0</v>
      </c>
      <c r="CW10" s="1018">
        <f t="shared" ca="1" si="13"/>
        <v>0</v>
      </c>
      <c r="CX10" s="1018">
        <f t="shared" ca="1" si="13"/>
        <v>0</v>
      </c>
      <c r="CY10" s="1018">
        <f t="shared" ca="1" si="13"/>
        <v>0</v>
      </c>
      <c r="CZ10" s="1018">
        <f t="shared" ca="1" si="13"/>
        <v>0</v>
      </c>
      <c r="DA10" s="1018">
        <f t="shared" ca="1" si="13"/>
        <v>0</v>
      </c>
      <c r="DB10" s="1018">
        <f t="shared" ca="1" si="13"/>
        <v>0</v>
      </c>
      <c r="DC10" s="1018">
        <f t="shared" ca="1" si="13"/>
        <v>0</v>
      </c>
      <c r="DD10" s="1018">
        <f t="shared" ca="1" si="13"/>
        <v>0</v>
      </c>
      <c r="DE10" s="1018">
        <f t="shared" ca="1" si="13"/>
        <v>0</v>
      </c>
      <c r="DF10" s="1018">
        <f t="shared" ca="1" si="13"/>
        <v>0</v>
      </c>
      <c r="DH10" s="572"/>
    </row>
    <row r="11" spans="1:112" s="528" customFormat="1" ht="12.75" customHeight="1" outlineLevel="1">
      <c r="A11" s="1020"/>
      <c r="B11" s="1020"/>
      <c r="C11" s="530"/>
      <c r="D11" s="1020" t="s">
        <v>703</v>
      </c>
      <c r="E11" s="505"/>
      <c r="G11" s="693">
        <f ca="1">SUM(G9:G10)</f>
        <v>0</v>
      </c>
      <c r="H11" s="693">
        <f t="shared" ref="H11:P11" ca="1" si="14">SUM(H9:H10)</f>
        <v>0</v>
      </c>
      <c r="I11" s="693">
        <f t="shared" ca="1" si="14"/>
        <v>0</v>
      </c>
      <c r="J11" s="693">
        <f t="shared" ca="1" si="14"/>
        <v>0</v>
      </c>
      <c r="K11" s="693">
        <f t="shared" ca="1" si="14"/>
        <v>0</v>
      </c>
      <c r="L11" s="693">
        <f t="shared" ca="1" si="14"/>
        <v>0</v>
      </c>
      <c r="M11" s="693">
        <f t="shared" ca="1" si="14"/>
        <v>0</v>
      </c>
      <c r="N11" s="693">
        <f ca="1">SUM(N9:N10)</f>
        <v>0</v>
      </c>
      <c r="O11" s="693">
        <f ca="1">SUM(O9:O10)</f>
        <v>0</v>
      </c>
      <c r="P11" s="693">
        <f t="shared" ca="1" si="14"/>
        <v>0</v>
      </c>
      <c r="Q11" s="693">
        <f t="shared" ca="1" si="1"/>
        <v>0</v>
      </c>
      <c r="S11" s="701">
        <f ca="1">SUM(S9:S10)</f>
        <v>0</v>
      </c>
      <c r="T11" s="701">
        <f t="shared" ref="T11:AJ11" ca="1" si="15">SUM(T9:T10)</f>
        <v>0</v>
      </c>
      <c r="U11" s="701">
        <f t="shared" ca="1" si="15"/>
        <v>0</v>
      </c>
      <c r="V11" s="701">
        <f t="shared" ca="1" si="15"/>
        <v>0</v>
      </c>
      <c r="W11" s="701">
        <f t="shared" ca="1" si="15"/>
        <v>0</v>
      </c>
      <c r="X11" s="701">
        <f ca="1">SUM(X9:X10)</f>
        <v>0</v>
      </c>
      <c r="Y11" s="701">
        <f ca="1">SUM(Y9:Y10)</f>
        <v>0</v>
      </c>
      <c r="Z11" s="701">
        <f ca="1">SUM(Z9:Z10)</f>
        <v>0</v>
      </c>
      <c r="AA11" s="701">
        <f t="shared" ca="1" si="15"/>
        <v>0</v>
      </c>
      <c r="AB11" s="701">
        <f t="shared" ca="1" si="15"/>
        <v>0</v>
      </c>
      <c r="AC11" s="701">
        <f t="shared" ca="1" si="15"/>
        <v>0</v>
      </c>
      <c r="AD11" s="701">
        <f ca="1">SUM(AD9:AD10)</f>
        <v>0</v>
      </c>
      <c r="AE11" s="701">
        <f ca="1">SUM(AE9:AE10)</f>
        <v>0</v>
      </c>
      <c r="AF11" s="701">
        <f t="shared" ca="1" si="15"/>
        <v>0</v>
      </c>
      <c r="AG11" s="701">
        <f ca="1">SUM(AG9:AG10)</f>
        <v>0</v>
      </c>
      <c r="AH11" s="701">
        <f ca="1">SUM(AH9:AH10)</f>
        <v>0</v>
      </c>
      <c r="AI11" s="701">
        <f ca="1">SUM(AI9:AI10)</f>
        <v>0</v>
      </c>
      <c r="AJ11" s="701">
        <f t="shared" ca="1" si="15"/>
        <v>0</v>
      </c>
      <c r="AK11" s="701">
        <f t="shared" ca="1" si="4"/>
        <v>0</v>
      </c>
      <c r="AM11" s="714">
        <f t="shared" ref="AM11:AU11" ca="1" si="16">SUM(AM9:AM10)</f>
        <v>0</v>
      </c>
      <c r="AN11" s="714">
        <f t="shared" ca="1" si="16"/>
        <v>0</v>
      </c>
      <c r="AO11" s="714">
        <f t="shared" ca="1" si="16"/>
        <v>0</v>
      </c>
      <c r="AP11" s="714">
        <f t="shared" ca="1" si="16"/>
        <v>0</v>
      </c>
      <c r="AQ11" s="714">
        <f t="shared" ca="1" si="16"/>
        <v>0</v>
      </c>
      <c r="AR11" s="714">
        <f t="shared" ca="1" si="16"/>
        <v>0</v>
      </c>
      <c r="AS11" s="714">
        <f t="shared" ca="1" si="16"/>
        <v>0</v>
      </c>
      <c r="AT11" s="714">
        <f t="shared" ca="1" si="16"/>
        <v>0</v>
      </c>
      <c r="AU11" s="714">
        <f t="shared" ca="1" si="16"/>
        <v>0</v>
      </c>
      <c r="AV11" s="714">
        <f t="shared" ref="AV11:BE11" ca="1" si="17">SUM(AV9:AV10)</f>
        <v>0</v>
      </c>
      <c r="AW11" s="714">
        <f t="shared" ca="1" si="17"/>
        <v>0</v>
      </c>
      <c r="AX11" s="714">
        <f t="shared" ca="1" si="17"/>
        <v>0</v>
      </c>
      <c r="AY11" s="714">
        <f t="shared" ca="1" si="17"/>
        <v>0</v>
      </c>
      <c r="AZ11" s="714">
        <f t="shared" ca="1" si="17"/>
        <v>0</v>
      </c>
      <c r="BA11" s="714">
        <f t="shared" ca="1" si="17"/>
        <v>0</v>
      </c>
      <c r="BB11" s="714">
        <f t="shared" ca="1" si="17"/>
        <v>0</v>
      </c>
      <c r="BC11" s="714">
        <f t="shared" ca="1" si="17"/>
        <v>0</v>
      </c>
      <c r="BD11" s="714">
        <f ca="1">SUM(BD9:BD10)</f>
        <v>0</v>
      </c>
      <c r="BE11" s="714">
        <f t="shared" ca="1" si="17"/>
        <v>0</v>
      </c>
      <c r="BF11" s="654">
        <f t="shared" ca="1" si="6"/>
        <v>0</v>
      </c>
      <c r="BH11" s="708">
        <f ca="1">SUM(BH9:BH10)</f>
        <v>0</v>
      </c>
      <c r="BI11" s="708">
        <f ca="1">SUM(BI9:BI10)</f>
        <v>0</v>
      </c>
      <c r="BJ11" s="708">
        <f t="shared" ca="1" si="8"/>
        <v>0</v>
      </c>
      <c r="BL11" s="562">
        <f t="shared" ca="1" si="9"/>
        <v>0</v>
      </c>
      <c r="BM11" s="562"/>
      <c r="BN11" s="574"/>
      <c r="BO11" s="1017">
        <f t="shared" ref="BO11:DF11" ca="1" si="18">SUM(BO9:BO10)</f>
        <v>0</v>
      </c>
      <c r="BP11" s="1018">
        <f t="shared" ca="1" si="18"/>
        <v>0</v>
      </c>
      <c r="BQ11" s="1018">
        <f t="shared" ca="1" si="18"/>
        <v>0</v>
      </c>
      <c r="BR11" s="1018">
        <f t="shared" ca="1" si="18"/>
        <v>0</v>
      </c>
      <c r="BS11" s="1018">
        <f t="shared" ca="1" si="18"/>
        <v>0</v>
      </c>
      <c r="BT11" s="1018">
        <f t="shared" ca="1" si="18"/>
        <v>0</v>
      </c>
      <c r="BU11" s="1018">
        <f t="shared" ca="1" si="18"/>
        <v>0</v>
      </c>
      <c r="BV11" s="1018">
        <f t="shared" ca="1" si="18"/>
        <v>0</v>
      </c>
      <c r="BW11" s="1018">
        <f t="shared" ca="1" si="18"/>
        <v>0</v>
      </c>
      <c r="BX11" s="1018">
        <f t="shared" ca="1" si="18"/>
        <v>0</v>
      </c>
      <c r="BY11" s="1018">
        <f t="shared" ca="1" si="18"/>
        <v>0</v>
      </c>
      <c r="BZ11" s="1018">
        <f t="shared" ca="1" si="18"/>
        <v>0</v>
      </c>
      <c r="CA11" s="1018">
        <f t="shared" ca="1" si="18"/>
        <v>0</v>
      </c>
      <c r="CB11" s="1018">
        <f t="shared" ca="1" si="18"/>
        <v>0</v>
      </c>
      <c r="CC11" s="1018">
        <f t="shared" ca="1" si="18"/>
        <v>0</v>
      </c>
      <c r="CD11" s="1018">
        <f t="shared" ca="1" si="18"/>
        <v>0</v>
      </c>
      <c r="CE11" s="1018">
        <f t="shared" ca="1" si="18"/>
        <v>0</v>
      </c>
      <c r="CF11" s="1018">
        <f t="shared" ca="1" si="18"/>
        <v>0</v>
      </c>
      <c r="CG11" s="1018">
        <f t="shared" ca="1" si="18"/>
        <v>0</v>
      </c>
      <c r="CH11" s="1018">
        <f t="shared" ca="1" si="18"/>
        <v>0</v>
      </c>
      <c r="CI11" s="1018">
        <f t="shared" ca="1" si="18"/>
        <v>0</v>
      </c>
      <c r="CJ11" s="1018">
        <f t="shared" ca="1" si="18"/>
        <v>0</v>
      </c>
      <c r="CK11" s="1018">
        <f t="shared" ca="1" si="18"/>
        <v>0</v>
      </c>
      <c r="CL11" s="1018">
        <f t="shared" ca="1" si="18"/>
        <v>0</v>
      </c>
      <c r="CM11" s="1018">
        <f t="shared" ca="1" si="18"/>
        <v>0</v>
      </c>
      <c r="CN11" s="1018">
        <f t="shared" ca="1" si="18"/>
        <v>0</v>
      </c>
      <c r="CO11" s="1018">
        <f t="shared" ca="1" si="18"/>
        <v>0</v>
      </c>
      <c r="CP11" s="1018">
        <f t="shared" ca="1" si="18"/>
        <v>0</v>
      </c>
      <c r="CQ11" s="1018">
        <f t="shared" ca="1" si="18"/>
        <v>0</v>
      </c>
      <c r="CR11" s="1018">
        <f t="shared" ca="1" si="18"/>
        <v>0</v>
      </c>
      <c r="CS11" s="1018">
        <f t="shared" ca="1" si="18"/>
        <v>0</v>
      </c>
      <c r="CT11" s="1018">
        <f t="shared" ca="1" si="18"/>
        <v>0</v>
      </c>
      <c r="CU11" s="1018">
        <f t="shared" ca="1" si="18"/>
        <v>0</v>
      </c>
      <c r="CV11" s="1018">
        <f t="shared" ca="1" si="18"/>
        <v>0</v>
      </c>
      <c r="CW11" s="1018">
        <f t="shared" ca="1" si="18"/>
        <v>0</v>
      </c>
      <c r="CX11" s="1018">
        <f t="shared" ca="1" si="18"/>
        <v>0</v>
      </c>
      <c r="CY11" s="1018">
        <f t="shared" ca="1" si="18"/>
        <v>0</v>
      </c>
      <c r="CZ11" s="1018">
        <f t="shared" ca="1" si="18"/>
        <v>0</v>
      </c>
      <c r="DA11" s="1018">
        <f t="shared" ca="1" si="18"/>
        <v>0</v>
      </c>
      <c r="DB11" s="1018">
        <f t="shared" ca="1" si="18"/>
        <v>0</v>
      </c>
      <c r="DC11" s="1018">
        <f t="shared" ca="1" si="18"/>
        <v>0</v>
      </c>
      <c r="DD11" s="1018">
        <f t="shared" ca="1" si="18"/>
        <v>0</v>
      </c>
      <c r="DE11" s="1018">
        <f t="shared" ca="1" si="18"/>
        <v>0</v>
      </c>
      <c r="DF11" s="1018">
        <f t="shared" ca="1" si="18"/>
        <v>0</v>
      </c>
      <c r="DH11" s="572"/>
    </row>
    <row r="12" spans="1:112" s="528" customFormat="1" ht="10.5" customHeight="1" outlineLevel="2">
      <c r="A12" s="1016"/>
      <c r="B12" s="1016"/>
      <c r="C12" s="530" t="s">
        <v>701</v>
      </c>
      <c r="D12" s="1016" t="str">
        <f>INDEX(Modules[Module], MATCH($C12, Modules[Code], 0))</f>
        <v>Commercial heating and cooling</v>
      </c>
      <c r="E12" s="680"/>
      <c r="G12" s="691">
        <f t="shared" ca="1" si="0"/>
        <v>0</v>
      </c>
      <c r="H12" s="691">
        <f t="shared" ca="1" si="0"/>
        <v>0</v>
      </c>
      <c r="I12" s="691">
        <f t="shared" ca="1" si="0"/>
        <v>0</v>
      </c>
      <c r="J12" s="691">
        <f t="shared" ca="1" si="0"/>
        <v>0</v>
      </c>
      <c r="K12" s="691">
        <f t="shared" ca="1" si="0"/>
        <v>0</v>
      </c>
      <c r="L12" s="691">
        <f t="shared" ca="1" si="0"/>
        <v>0</v>
      </c>
      <c r="M12" s="691">
        <f t="shared" ca="1" si="0"/>
        <v>0</v>
      </c>
      <c r="N12" s="691">
        <f t="shared" ca="1" si="0"/>
        <v>0</v>
      </c>
      <c r="O12" s="691">
        <f t="shared" ca="1" si="0"/>
        <v>0</v>
      </c>
      <c r="P12" s="691">
        <f t="shared" ca="1" si="0"/>
        <v>0</v>
      </c>
      <c r="Q12" s="693">
        <f t="shared" ca="1" si="1"/>
        <v>0</v>
      </c>
      <c r="S12" s="700">
        <f t="shared" ca="1" si="2"/>
        <v>0</v>
      </c>
      <c r="T12" s="700">
        <f t="shared" ca="1" si="2"/>
        <v>0</v>
      </c>
      <c r="U12" s="700">
        <f t="shared" ca="1" si="2"/>
        <v>0</v>
      </c>
      <c r="V12" s="700">
        <f t="shared" ca="1" si="2"/>
        <v>0</v>
      </c>
      <c r="W12" s="700">
        <f t="shared" ca="1" si="2"/>
        <v>0</v>
      </c>
      <c r="X12" s="700">
        <f t="shared" ref="X12:Z13" ca="1" si="19">IFERROR(INDEX(INDIRECT($C12&amp;".Outputs["&amp;this.Year&amp;"]"), MATCH(X$5, INDIRECT($C12&amp;".Outputs[Vector]"), 0)), 0)</f>
        <v>0</v>
      </c>
      <c r="Y12" s="700">
        <f t="shared" ca="1" si="19"/>
        <v>0</v>
      </c>
      <c r="Z12" s="700">
        <f t="shared" ca="1" si="19"/>
        <v>0</v>
      </c>
      <c r="AA12" s="700">
        <f t="shared" ca="1" si="2"/>
        <v>0</v>
      </c>
      <c r="AB12" s="700">
        <f t="shared" ca="1" si="2"/>
        <v>0</v>
      </c>
      <c r="AC12" s="700">
        <f t="shared" ca="1" si="2"/>
        <v>0</v>
      </c>
      <c r="AD12" s="700">
        <f t="shared" ca="1" si="2"/>
        <v>0</v>
      </c>
      <c r="AE12" s="700">
        <f t="shared" ca="1" si="2"/>
        <v>0</v>
      </c>
      <c r="AF12" s="700">
        <f t="shared" ca="1" si="2"/>
        <v>0</v>
      </c>
      <c r="AG12" s="700">
        <f t="shared" ca="1" si="2"/>
        <v>0</v>
      </c>
      <c r="AH12" s="700">
        <f t="shared" ca="1" si="2"/>
        <v>0</v>
      </c>
      <c r="AI12" s="700">
        <f t="shared" ca="1" si="2"/>
        <v>0</v>
      </c>
      <c r="AJ12" s="700">
        <f t="shared" ca="1" si="2"/>
        <v>0</v>
      </c>
      <c r="AK12" s="701">
        <f t="shared" ca="1" si="4"/>
        <v>0</v>
      </c>
      <c r="AM12" s="712">
        <f t="shared" ref="AM12:AU13" ca="1" si="20">IFERROR(INDEX(INDIRECT($C12&amp;".Outputs["&amp;this.Year&amp;"]"), MATCH(AM$5, INDIRECT($C12&amp;".Outputs[Vector]"), 0)), 0)</f>
        <v>0</v>
      </c>
      <c r="AN12" s="712">
        <f t="shared" ca="1" si="20"/>
        <v>0</v>
      </c>
      <c r="AO12" s="712">
        <f t="shared" ca="1" si="20"/>
        <v>0</v>
      </c>
      <c r="AP12" s="712">
        <f t="shared" ca="1" si="20"/>
        <v>0</v>
      </c>
      <c r="AQ12" s="712">
        <f t="shared" ca="1" si="20"/>
        <v>0</v>
      </c>
      <c r="AR12" s="712">
        <f t="shared" ca="1" si="20"/>
        <v>0</v>
      </c>
      <c r="AS12" s="712">
        <f t="shared" ca="1" si="20"/>
        <v>0</v>
      </c>
      <c r="AT12" s="712">
        <f t="shared" ca="1" si="20"/>
        <v>0</v>
      </c>
      <c r="AU12" s="712">
        <f t="shared" ca="1" si="20"/>
        <v>0</v>
      </c>
      <c r="AV12" s="712">
        <f t="shared" ca="1" si="2"/>
        <v>0</v>
      </c>
      <c r="AW12" s="712">
        <f t="shared" ca="1" si="2"/>
        <v>0</v>
      </c>
      <c r="AX12" s="712">
        <f t="shared" ca="1" si="2"/>
        <v>0</v>
      </c>
      <c r="AY12" s="712">
        <f t="shared" ca="1" si="2"/>
        <v>0</v>
      </c>
      <c r="AZ12" s="712">
        <f t="shared" ca="1" si="2"/>
        <v>0</v>
      </c>
      <c r="BA12" s="712">
        <f t="shared" ca="1" si="2"/>
        <v>0</v>
      </c>
      <c r="BB12" s="712">
        <f t="shared" ca="1" si="2"/>
        <v>0</v>
      </c>
      <c r="BC12" s="712">
        <f t="shared" ca="1" si="2"/>
        <v>0</v>
      </c>
      <c r="BD12" s="712">
        <f t="shared" ca="1" si="2"/>
        <v>0</v>
      </c>
      <c r="BE12" s="712">
        <f t="shared" ca="1" si="2"/>
        <v>0</v>
      </c>
      <c r="BF12" s="652">
        <f t="shared" ca="1" si="6"/>
        <v>0</v>
      </c>
      <c r="BH12" s="706">
        <f t="shared" ca="1" si="7"/>
        <v>0</v>
      </c>
      <c r="BI12" s="706">
        <f t="shared" ca="1" si="7"/>
        <v>0</v>
      </c>
      <c r="BJ12" s="708">
        <f t="shared" ca="1" si="8"/>
        <v>0</v>
      </c>
      <c r="BL12" s="508">
        <f t="shared" ca="1" si="9"/>
        <v>0</v>
      </c>
      <c r="BM12" s="508"/>
      <c r="BN12" s="574"/>
      <c r="BO12" s="1017">
        <f t="shared" ref="BO12:BX13" ca="1" si="21">IFERROR(SUMIFS(INDIRECT($C12&amp;".Emissions["&amp;this.Year&amp;"]"), INDIRECT($C12&amp;".Emissions[GHG]"), BO$6, INDIRECT($C12&amp;".Emissions[IPCC Sector]"), BO$5),0)</f>
        <v>0</v>
      </c>
      <c r="BP12" s="1018">
        <f t="shared" ca="1" si="21"/>
        <v>0</v>
      </c>
      <c r="BQ12" s="1018">
        <f t="shared" ca="1" si="21"/>
        <v>0</v>
      </c>
      <c r="BR12" s="1018">
        <f t="shared" ca="1" si="21"/>
        <v>0</v>
      </c>
      <c r="BS12" s="1018">
        <f t="shared" ca="1" si="21"/>
        <v>0</v>
      </c>
      <c r="BT12" s="1018">
        <f t="shared" ca="1" si="21"/>
        <v>0</v>
      </c>
      <c r="BU12" s="1018">
        <f t="shared" ca="1" si="21"/>
        <v>0</v>
      </c>
      <c r="BV12" s="1018">
        <f t="shared" ca="1" si="21"/>
        <v>0</v>
      </c>
      <c r="BW12" s="1018">
        <f t="shared" ca="1" si="21"/>
        <v>0</v>
      </c>
      <c r="BX12" s="1018">
        <f t="shared" ca="1" si="21"/>
        <v>0</v>
      </c>
      <c r="BY12" s="1018">
        <f t="shared" ref="BY12:CH13" ca="1" si="22">IFERROR(SUMIFS(INDIRECT($C12&amp;".Emissions["&amp;this.Year&amp;"]"), INDIRECT($C12&amp;".Emissions[GHG]"), BY$6, INDIRECT($C12&amp;".Emissions[IPCC Sector]"), BY$5),0)</f>
        <v>0</v>
      </c>
      <c r="BZ12" s="1018">
        <f t="shared" ca="1" si="22"/>
        <v>0</v>
      </c>
      <c r="CA12" s="1018">
        <f t="shared" ca="1" si="22"/>
        <v>0</v>
      </c>
      <c r="CB12" s="1018">
        <f t="shared" ca="1" si="22"/>
        <v>0</v>
      </c>
      <c r="CC12" s="1018">
        <f t="shared" ca="1" si="22"/>
        <v>0</v>
      </c>
      <c r="CD12" s="1018">
        <f t="shared" ca="1" si="22"/>
        <v>0</v>
      </c>
      <c r="CE12" s="1018">
        <f t="shared" ca="1" si="22"/>
        <v>0</v>
      </c>
      <c r="CF12" s="1018">
        <f t="shared" ca="1" si="22"/>
        <v>0</v>
      </c>
      <c r="CG12" s="1018">
        <f t="shared" ca="1" si="22"/>
        <v>0</v>
      </c>
      <c r="CH12" s="1018">
        <f t="shared" ca="1" si="22"/>
        <v>0</v>
      </c>
      <c r="CI12" s="1018">
        <f t="shared" ref="CI12:CR13" ca="1" si="23">IFERROR(SUMIFS(INDIRECT($C12&amp;".Emissions["&amp;this.Year&amp;"]"), INDIRECT($C12&amp;".Emissions[GHG]"), CI$6, INDIRECT($C12&amp;".Emissions[IPCC Sector]"), CI$5),0)</f>
        <v>0</v>
      </c>
      <c r="CJ12" s="1018">
        <f t="shared" ca="1" si="23"/>
        <v>0</v>
      </c>
      <c r="CK12" s="1018">
        <f t="shared" ca="1" si="23"/>
        <v>0</v>
      </c>
      <c r="CL12" s="1018">
        <f t="shared" ca="1" si="23"/>
        <v>0</v>
      </c>
      <c r="CM12" s="1018">
        <f t="shared" ca="1" si="23"/>
        <v>0</v>
      </c>
      <c r="CN12" s="1018">
        <f t="shared" ca="1" si="23"/>
        <v>0</v>
      </c>
      <c r="CO12" s="1018">
        <f t="shared" ca="1" si="23"/>
        <v>0</v>
      </c>
      <c r="CP12" s="1018">
        <f t="shared" ca="1" si="23"/>
        <v>0</v>
      </c>
      <c r="CQ12" s="1018">
        <f t="shared" ca="1" si="23"/>
        <v>0</v>
      </c>
      <c r="CR12" s="1018">
        <f t="shared" ca="1" si="23"/>
        <v>0</v>
      </c>
      <c r="CS12" s="1018">
        <f t="shared" ref="CS12:DF13" ca="1" si="24">IFERROR(SUMIFS(INDIRECT($C12&amp;".Emissions["&amp;this.Year&amp;"]"), INDIRECT($C12&amp;".Emissions[GHG]"), CS$6, INDIRECT($C12&amp;".Emissions[IPCC Sector]"), CS$5),0)</f>
        <v>0</v>
      </c>
      <c r="CT12" s="1018">
        <f t="shared" ca="1" si="24"/>
        <v>0</v>
      </c>
      <c r="CU12" s="1018">
        <f t="shared" ca="1" si="24"/>
        <v>0</v>
      </c>
      <c r="CV12" s="1018">
        <f t="shared" ca="1" si="24"/>
        <v>0</v>
      </c>
      <c r="CW12" s="1018">
        <f t="shared" ca="1" si="24"/>
        <v>0</v>
      </c>
      <c r="CX12" s="1018">
        <f t="shared" ca="1" si="24"/>
        <v>0</v>
      </c>
      <c r="CY12" s="1018">
        <f t="shared" ca="1" si="24"/>
        <v>0</v>
      </c>
      <c r="CZ12" s="1018">
        <f t="shared" ca="1" si="24"/>
        <v>0</v>
      </c>
      <c r="DA12" s="1018">
        <f t="shared" ca="1" si="24"/>
        <v>0</v>
      </c>
      <c r="DB12" s="1018">
        <f t="shared" ca="1" si="24"/>
        <v>0</v>
      </c>
      <c r="DC12" s="1018">
        <f t="shared" ca="1" si="24"/>
        <v>0</v>
      </c>
      <c r="DD12" s="1018">
        <f t="shared" ca="1" si="24"/>
        <v>0</v>
      </c>
      <c r="DE12" s="1018">
        <f t="shared" ca="1" si="24"/>
        <v>0</v>
      </c>
      <c r="DF12" s="1018">
        <f t="shared" ca="1" si="24"/>
        <v>0</v>
      </c>
      <c r="DH12" s="572"/>
    </row>
    <row r="13" spans="1:112" s="528" customFormat="1" ht="10.5" customHeight="1" outlineLevel="2">
      <c r="A13" s="1019"/>
      <c r="B13" s="1019"/>
      <c r="C13" s="683" t="s">
        <v>702</v>
      </c>
      <c r="D13" s="1019" t="str">
        <f>INDEX(Modules[Module], MATCH($C13, Modules[Code], 0))</f>
        <v>Commercial hot water [UNUSED - See IX.c]</v>
      </c>
      <c r="E13" s="680"/>
      <c r="G13" s="692">
        <f t="shared" ca="1" si="0"/>
        <v>0</v>
      </c>
      <c r="H13" s="692">
        <f t="shared" ca="1" si="0"/>
        <v>0</v>
      </c>
      <c r="I13" s="692">
        <f t="shared" ca="1" si="0"/>
        <v>0</v>
      </c>
      <c r="J13" s="692">
        <f t="shared" ca="1" si="0"/>
        <v>0</v>
      </c>
      <c r="K13" s="692">
        <f t="shared" ca="1" si="0"/>
        <v>0</v>
      </c>
      <c r="L13" s="692">
        <f t="shared" ca="1" si="0"/>
        <v>0</v>
      </c>
      <c r="M13" s="692">
        <f t="shared" ca="1" si="0"/>
        <v>0</v>
      </c>
      <c r="N13" s="692">
        <f t="shared" ca="1" si="0"/>
        <v>0</v>
      </c>
      <c r="O13" s="692">
        <f t="shared" ca="1" si="0"/>
        <v>0</v>
      </c>
      <c r="P13" s="692">
        <f t="shared" ca="1" si="0"/>
        <v>0</v>
      </c>
      <c r="Q13" s="698">
        <f t="shared" ca="1" si="1"/>
        <v>0</v>
      </c>
      <c r="S13" s="702">
        <f t="shared" ca="1" si="2"/>
        <v>0</v>
      </c>
      <c r="T13" s="702">
        <f t="shared" ca="1" si="2"/>
        <v>0</v>
      </c>
      <c r="U13" s="702">
        <f t="shared" ca="1" si="2"/>
        <v>0</v>
      </c>
      <c r="V13" s="702">
        <f t="shared" ca="1" si="2"/>
        <v>0</v>
      </c>
      <c r="W13" s="702">
        <f t="shared" ca="1" si="2"/>
        <v>0</v>
      </c>
      <c r="X13" s="702">
        <f t="shared" ca="1" si="19"/>
        <v>0</v>
      </c>
      <c r="Y13" s="702">
        <f t="shared" ca="1" si="19"/>
        <v>0</v>
      </c>
      <c r="Z13" s="702">
        <f t="shared" ca="1" si="19"/>
        <v>0</v>
      </c>
      <c r="AA13" s="702">
        <f t="shared" ca="1" si="2"/>
        <v>0</v>
      </c>
      <c r="AB13" s="702">
        <f t="shared" ca="1" si="2"/>
        <v>0</v>
      </c>
      <c r="AC13" s="702">
        <f t="shared" ca="1" si="2"/>
        <v>0</v>
      </c>
      <c r="AD13" s="702">
        <f t="shared" ca="1" si="2"/>
        <v>0</v>
      </c>
      <c r="AE13" s="702">
        <f t="shared" ca="1" si="2"/>
        <v>0</v>
      </c>
      <c r="AF13" s="702">
        <f t="shared" ca="1" si="2"/>
        <v>0</v>
      </c>
      <c r="AG13" s="702">
        <f t="shared" ca="1" si="2"/>
        <v>0</v>
      </c>
      <c r="AH13" s="702">
        <f t="shared" ca="1" si="2"/>
        <v>0</v>
      </c>
      <c r="AI13" s="702">
        <f t="shared" ca="1" si="2"/>
        <v>0</v>
      </c>
      <c r="AJ13" s="702">
        <f t="shared" ca="1" si="2"/>
        <v>0</v>
      </c>
      <c r="AK13" s="703">
        <f t="shared" ca="1" si="4"/>
        <v>0</v>
      </c>
      <c r="AM13" s="713">
        <f t="shared" ca="1" si="20"/>
        <v>0</v>
      </c>
      <c r="AN13" s="713">
        <f t="shared" ca="1" si="20"/>
        <v>0</v>
      </c>
      <c r="AO13" s="713">
        <f t="shared" ca="1" si="20"/>
        <v>0</v>
      </c>
      <c r="AP13" s="713">
        <f t="shared" ca="1" si="20"/>
        <v>0</v>
      </c>
      <c r="AQ13" s="713">
        <f t="shared" ca="1" si="20"/>
        <v>0</v>
      </c>
      <c r="AR13" s="713">
        <f t="shared" ca="1" si="20"/>
        <v>0</v>
      </c>
      <c r="AS13" s="713">
        <f t="shared" ca="1" si="20"/>
        <v>0</v>
      </c>
      <c r="AT13" s="713">
        <f t="shared" ca="1" si="20"/>
        <v>0</v>
      </c>
      <c r="AU13" s="713">
        <f t="shared" ca="1" si="20"/>
        <v>0</v>
      </c>
      <c r="AV13" s="713">
        <f t="shared" ca="1" si="2"/>
        <v>0</v>
      </c>
      <c r="AW13" s="713">
        <f t="shared" ca="1" si="2"/>
        <v>0</v>
      </c>
      <c r="AX13" s="713">
        <f t="shared" ca="1" si="2"/>
        <v>0</v>
      </c>
      <c r="AY13" s="713">
        <f t="shared" ca="1" si="2"/>
        <v>0</v>
      </c>
      <c r="AZ13" s="713">
        <f t="shared" ca="1" si="2"/>
        <v>0</v>
      </c>
      <c r="BA13" s="713">
        <f t="shared" ca="1" si="2"/>
        <v>0</v>
      </c>
      <c r="BB13" s="713">
        <f t="shared" ca="1" si="2"/>
        <v>0</v>
      </c>
      <c r="BC13" s="713">
        <f t="shared" ca="1" si="2"/>
        <v>0</v>
      </c>
      <c r="BD13" s="713">
        <f t="shared" ca="1" si="2"/>
        <v>0</v>
      </c>
      <c r="BE13" s="713">
        <f t="shared" ca="1" si="2"/>
        <v>0</v>
      </c>
      <c r="BF13" s="682">
        <f t="shared" ca="1" si="6"/>
        <v>0</v>
      </c>
      <c r="BH13" s="707">
        <f t="shared" ca="1" si="7"/>
        <v>0</v>
      </c>
      <c r="BI13" s="707">
        <f t="shared" ca="1" si="7"/>
        <v>0</v>
      </c>
      <c r="BJ13" s="718">
        <f t="shared" ca="1" si="8"/>
        <v>0</v>
      </c>
      <c r="BL13" s="681">
        <f t="shared" ca="1" si="9"/>
        <v>0</v>
      </c>
      <c r="BM13" s="681"/>
      <c r="BN13" s="574"/>
      <c r="BO13" s="1017">
        <f t="shared" ca="1" si="21"/>
        <v>0</v>
      </c>
      <c r="BP13" s="1018">
        <f t="shared" ca="1" si="21"/>
        <v>0</v>
      </c>
      <c r="BQ13" s="1018">
        <f t="shared" ca="1" si="21"/>
        <v>0</v>
      </c>
      <c r="BR13" s="1018">
        <f t="shared" ca="1" si="21"/>
        <v>0</v>
      </c>
      <c r="BS13" s="1018">
        <f t="shared" ca="1" si="21"/>
        <v>0</v>
      </c>
      <c r="BT13" s="1018">
        <f t="shared" ca="1" si="21"/>
        <v>0</v>
      </c>
      <c r="BU13" s="1018">
        <f t="shared" ca="1" si="21"/>
        <v>0</v>
      </c>
      <c r="BV13" s="1018">
        <f t="shared" ca="1" si="21"/>
        <v>0</v>
      </c>
      <c r="BW13" s="1018">
        <f t="shared" ca="1" si="21"/>
        <v>0</v>
      </c>
      <c r="BX13" s="1018">
        <f t="shared" ca="1" si="21"/>
        <v>0</v>
      </c>
      <c r="BY13" s="1018">
        <f t="shared" ca="1" si="22"/>
        <v>0</v>
      </c>
      <c r="BZ13" s="1018">
        <f t="shared" ca="1" si="22"/>
        <v>0</v>
      </c>
      <c r="CA13" s="1018">
        <f t="shared" ca="1" si="22"/>
        <v>0</v>
      </c>
      <c r="CB13" s="1018">
        <f t="shared" ca="1" si="22"/>
        <v>0</v>
      </c>
      <c r="CC13" s="1018">
        <f t="shared" ca="1" si="22"/>
        <v>0</v>
      </c>
      <c r="CD13" s="1018">
        <f t="shared" ca="1" si="22"/>
        <v>0</v>
      </c>
      <c r="CE13" s="1018">
        <f t="shared" ca="1" si="22"/>
        <v>0</v>
      </c>
      <c r="CF13" s="1018">
        <f t="shared" ca="1" si="22"/>
        <v>0</v>
      </c>
      <c r="CG13" s="1018">
        <f t="shared" ca="1" si="22"/>
        <v>0</v>
      </c>
      <c r="CH13" s="1018">
        <f t="shared" ca="1" si="22"/>
        <v>0</v>
      </c>
      <c r="CI13" s="1018">
        <f t="shared" ca="1" si="23"/>
        <v>0</v>
      </c>
      <c r="CJ13" s="1018">
        <f t="shared" ca="1" si="23"/>
        <v>0</v>
      </c>
      <c r="CK13" s="1018">
        <f t="shared" ca="1" si="23"/>
        <v>0</v>
      </c>
      <c r="CL13" s="1018">
        <f t="shared" ca="1" si="23"/>
        <v>0</v>
      </c>
      <c r="CM13" s="1018">
        <f t="shared" ca="1" si="23"/>
        <v>0</v>
      </c>
      <c r="CN13" s="1018">
        <f t="shared" ca="1" si="23"/>
        <v>0</v>
      </c>
      <c r="CO13" s="1018">
        <f t="shared" ca="1" si="23"/>
        <v>0</v>
      </c>
      <c r="CP13" s="1018">
        <f t="shared" ca="1" si="23"/>
        <v>0</v>
      </c>
      <c r="CQ13" s="1018">
        <f t="shared" ca="1" si="23"/>
        <v>0</v>
      </c>
      <c r="CR13" s="1018">
        <f t="shared" ca="1" si="23"/>
        <v>0</v>
      </c>
      <c r="CS13" s="1018">
        <f t="shared" ca="1" si="24"/>
        <v>0</v>
      </c>
      <c r="CT13" s="1018">
        <f t="shared" ca="1" si="24"/>
        <v>0</v>
      </c>
      <c r="CU13" s="1018">
        <f t="shared" ca="1" si="24"/>
        <v>0</v>
      </c>
      <c r="CV13" s="1018">
        <f t="shared" ca="1" si="24"/>
        <v>0</v>
      </c>
      <c r="CW13" s="1018">
        <f t="shared" ca="1" si="24"/>
        <v>0</v>
      </c>
      <c r="CX13" s="1018">
        <f t="shared" ca="1" si="24"/>
        <v>0</v>
      </c>
      <c r="CY13" s="1018">
        <f t="shared" ca="1" si="24"/>
        <v>0</v>
      </c>
      <c r="CZ13" s="1018">
        <f t="shared" ca="1" si="24"/>
        <v>0</v>
      </c>
      <c r="DA13" s="1018">
        <f t="shared" ca="1" si="24"/>
        <v>0</v>
      </c>
      <c r="DB13" s="1018">
        <f t="shared" ca="1" si="24"/>
        <v>0</v>
      </c>
      <c r="DC13" s="1018">
        <f t="shared" ca="1" si="24"/>
        <v>0</v>
      </c>
      <c r="DD13" s="1018">
        <f t="shared" ca="1" si="24"/>
        <v>0</v>
      </c>
      <c r="DE13" s="1018">
        <f t="shared" ca="1" si="24"/>
        <v>0</v>
      </c>
      <c r="DF13" s="1018">
        <f t="shared" ca="1" si="24"/>
        <v>0</v>
      </c>
      <c r="DH13" s="572"/>
    </row>
    <row r="14" spans="1:112" s="528" customFormat="1" ht="12.75" customHeight="1" outlineLevel="1">
      <c r="A14" s="1020"/>
      <c r="B14" s="1020"/>
      <c r="C14" s="530"/>
      <c r="D14" s="684" t="s">
        <v>704</v>
      </c>
      <c r="E14" s="684"/>
      <c r="G14" s="694">
        <f ca="1">SUM(G12:G13)</f>
        <v>0</v>
      </c>
      <c r="H14" s="694">
        <f t="shared" ref="H14:P14" ca="1" si="25">SUM(H12:H13)</f>
        <v>0</v>
      </c>
      <c r="I14" s="694">
        <f t="shared" ca="1" si="25"/>
        <v>0</v>
      </c>
      <c r="J14" s="694">
        <f t="shared" ca="1" si="25"/>
        <v>0</v>
      </c>
      <c r="K14" s="694">
        <f t="shared" ca="1" si="25"/>
        <v>0</v>
      </c>
      <c r="L14" s="694">
        <f t="shared" ca="1" si="25"/>
        <v>0</v>
      </c>
      <c r="M14" s="694">
        <f t="shared" ca="1" si="25"/>
        <v>0</v>
      </c>
      <c r="N14" s="694">
        <f ca="1">SUM(N12:N13)</f>
        <v>0</v>
      </c>
      <c r="O14" s="694">
        <f ca="1">SUM(O12:O13)</f>
        <v>0</v>
      </c>
      <c r="P14" s="694">
        <f t="shared" ca="1" si="25"/>
        <v>0</v>
      </c>
      <c r="Q14" s="694">
        <f t="shared" ca="1" si="1"/>
        <v>0</v>
      </c>
      <c r="S14" s="704">
        <f t="shared" ref="S14:AJ14" ca="1" si="26">SUM(S12:S13)</f>
        <v>0</v>
      </c>
      <c r="T14" s="704">
        <f t="shared" ca="1" si="26"/>
        <v>0</v>
      </c>
      <c r="U14" s="704">
        <f t="shared" ca="1" si="26"/>
        <v>0</v>
      </c>
      <c r="V14" s="704">
        <f t="shared" ca="1" si="26"/>
        <v>0</v>
      </c>
      <c r="W14" s="704">
        <f t="shared" ca="1" si="26"/>
        <v>0</v>
      </c>
      <c r="X14" s="704">
        <f ca="1">SUM(X12:X13)</f>
        <v>0</v>
      </c>
      <c r="Y14" s="704">
        <f ca="1">SUM(Y12:Y13)</f>
        <v>0</v>
      </c>
      <c r="Z14" s="704">
        <f ca="1">SUM(Z12:Z13)</f>
        <v>0</v>
      </c>
      <c r="AA14" s="704">
        <f t="shared" ca="1" si="26"/>
        <v>0</v>
      </c>
      <c r="AB14" s="704">
        <f t="shared" ca="1" si="26"/>
        <v>0</v>
      </c>
      <c r="AC14" s="704">
        <f t="shared" ca="1" si="26"/>
        <v>0</v>
      </c>
      <c r="AD14" s="704">
        <f ca="1">SUM(AD12:AD13)</f>
        <v>0</v>
      </c>
      <c r="AE14" s="704">
        <f ca="1">SUM(AE12:AE13)</f>
        <v>0</v>
      </c>
      <c r="AF14" s="704">
        <f t="shared" ca="1" si="26"/>
        <v>0</v>
      </c>
      <c r="AG14" s="704">
        <f ca="1">SUM(AG12:AG13)</f>
        <v>0</v>
      </c>
      <c r="AH14" s="704">
        <f ca="1">SUM(AH12:AH13)</f>
        <v>0</v>
      </c>
      <c r="AI14" s="704">
        <f ca="1">SUM(AI12:AI13)</f>
        <v>0</v>
      </c>
      <c r="AJ14" s="704">
        <f t="shared" ca="1" si="26"/>
        <v>0</v>
      </c>
      <c r="AK14" s="704">
        <f t="shared" ca="1" si="4"/>
        <v>0</v>
      </c>
      <c r="AM14" s="715">
        <f t="shared" ref="AM14:AU14" ca="1" si="27">SUM(AM12:AM13)</f>
        <v>0</v>
      </c>
      <c r="AN14" s="715">
        <f t="shared" ca="1" si="27"/>
        <v>0</v>
      </c>
      <c r="AO14" s="715">
        <f t="shared" ca="1" si="27"/>
        <v>0</v>
      </c>
      <c r="AP14" s="715">
        <f t="shared" ca="1" si="27"/>
        <v>0</v>
      </c>
      <c r="AQ14" s="715">
        <f t="shared" ca="1" si="27"/>
        <v>0</v>
      </c>
      <c r="AR14" s="715">
        <f t="shared" ca="1" si="27"/>
        <v>0</v>
      </c>
      <c r="AS14" s="715">
        <f t="shared" ca="1" si="27"/>
        <v>0</v>
      </c>
      <c r="AT14" s="715">
        <f t="shared" ca="1" si="27"/>
        <v>0</v>
      </c>
      <c r="AU14" s="715">
        <f t="shared" ca="1" si="27"/>
        <v>0</v>
      </c>
      <c r="AV14" s="715">
        <f t="shared" ref="AV14:BE14" ca="1" si="28">SUM(AV12:AV13)</f>
        <v>0</v>
      </c>
      <c r="AW14" s="715">
        <f t="shared" ca="1" si="28"/>
        <v>0</v>
      </c>
      <c r="AX14" s="715">
        <f t="shared" ca="1" si="28"/>
        <v>0</v>
      </c>
      <c r="AY14" s="715">
        <f t="shared" ca="1" si="28"/>
        <v>0</v>
      </c>
      <c r="AZ14" s="715">
        <f t="shared" ca="1" si="28"/>
        <v>0</v>
      </c>
      <c r="BA14" s="715">
        <f t="shared" ca="1" si="28"/>
        <v>0</v>
      </c>
      <c r="BB14" s="715">
        <f t="shared" ca="1" si="28"/>
        <v>0</v>
      </c>
      <c r="BC14" s="715">
        <f t="shared" ca="1" si="28"/>
        <v>0</v>
      </c>
      <c r="BD14" s="715">
        <f ca="1">SUM(BD12:BD13)</f>
        <v>0</v>
      </c>
      <c r="BE14" s="715">
        <f t="shared" ca="1" si="28"/>
        <v>0</v>
      </c>
      <c r="BF14" s="686">
        <f t="shared" ca="1" si="6"/>
        <v>0</v>
      </c>
      <c r="BH14" s="709">
        <f ca="1">SUM(BH12:BH13)</f>
        <v>0</v>
      </c>
      <c r="BI14" s="709">
        <f ca="1">SUM(BI12:BI13)</f>
        <v>0</v>
      </c>
      <c r="BJ14" s="709">
        <f t="shared" ca="1" si="8"/>
        <v>0</v>
      </c>
      <c r="BL14" s="562">
        <f t="shared" ca="1" si="9"/>
        <v>0</v>
      </c>
      <c r="BM14" s="562"/>
      <c r="BN14" s="574"/>
      <c r="BO14" s="1021">
        <f t="shared" ref="BO14:DF14" ca="1" si="29">SUM(BO12:BO13)</f>
        <v>0</v>
      </c>
      <c r="BP14" s="1022">
        <f t="shared" ca="1" si="29"/>
        <v>0</v>
      </c>
      <c r="BQ14" s="1022">
        <f t="shared" ca="1" si="29"/>
        <v>0</v>
      </c>
      <c r="BR14" s="1022">
        <f t="shared" ca="1" si="29"/>
        <v>0</v>
      </c>
      <c r="BS14" s="1022">
        <f t="shared" ca="1" si="29"/>
        <v>0</v>
      </c>
      <c r="BT14" s="1022">
        <f t="shared" ca="1" si="29"/>
        <v>0</v>
      </c>
      <c r="BU14" s="1022">
        <f t="shared" ca="1" si="29"/>
        <v>0</v>
      </c>
      <c r="BV14" s="1022">
        <f t="shared" ca="1" si="29"/>
        <v>0</v>
      </c>
      <c r="BW14" s="1022">
        <f t="shared" ca="1" si="29"/>
        <v>0</v>
      </c>
      <c r="BX14" s="1022">
        <f t="shared" ca="1" si="29"/>
        <v>0</v>
      </c>
      <c r="BY14" s="1022">
        <f t="shared" ca="1" si="29"/>
        <v>0</v>
      </c>
      <c r="BZ14" s="1022">
        <f t="shared" ca="1" si="29"/>
        <v>0</v>
      </c>
      <c r="CA14" s="1022">
        <f t="shared" ca="1" si="29"/>
        <v>0</v>
      </c>
      <c r="CB14" s="1022">
        <f t="shared" ca="1" si="29"/>
        <v>0</v>
      </c>
      <c r="CC14" s="1022">
        <f t="shared" ca="1" si="29"/>
        <v>0</v>
      </c>
      <c r="CD14" s="1022">
        <f t="shared" ca="1" si="29"/>
        <v>0</v>
      </c>
      <c r="CE14" s="1022">
        <f t="shared" ca="1" si="29"/>
        <v>0</v>
      </c>
      <c r="CF14" s="1022">
        <f t="shared" ca="1" si="29"/>
        <v>0</v>
      </c>
      <c r="CG14" s="1022">
        <f t="shared" ca="1" si="29"/>
        <v>0</v>
      </c>
      <c r="CH14" s="1022">
        <f t="shared" ca="1" si="29"/>
        <v>0</v>
      </c>
      <c r="CI14" s="1022">
        <f t="shared" ca="1" si="29"/>
        <v>0</v>
      </c>
      <c r="CJ14" s="1022">
        <f t="shared" ca="1" si="29"/>
        <v>0</v>
      </c>
      <c r="CK14" s="1022">
        <f t="shared" ca="1" si="29"/>
        <v>0</v>
      </c>
      <c r="CL14" s="1022">
        <f t="shared" ca="1" si="29"/>
        <v>0</v>
      </c>
      <c r="CM14" s="1022">
        <f t="shared" ca="1" si="29"/>
        <v>0</v>
      </c>
      <c r="CN14" s="1022">
        <f t="shared" ca="1" si="29"/>
        <v>0</v>
      </c>
      <c r="CO14" s="1022">
        <f t="shared" ca="1" si="29"/>
        <v>0</v>
      </c>
      <c r="CP14" s="1022">
        <f t="shared" ca="1" si="29"/>
        <v>0</v>
      </c>
      <c r="CQ14" s="1022">
        <f t="shared" ca="1" si="29"/>
        <v>0</v>
      </c>
      <c r="CR14" s="1022">
        <f t="shared" ca="1" si="29"/>
        <v>0</v>
      </c>
      <c r="CS14" s="1022">
        <f t="shared" ca="1" si="29"/>
        <v>0</v>
      </c>
      <c r="CT14" s="1022">
        <f t="shared" ca="1" si="29"/>
        <v>0</v>
      </c>
      <c r="CU14" s="1022">
        <f t="shared" ca="1" si="29"/>
        <v>0</v>
      </c>
      <c r="CV14" s="1022">
        <f t="shared" ca="1" si="29"/>
        <v>0</v>
      </c>
      <c r="CW14" s="1022">
        <f t="shared" ca="1" si="29"/>
        <v>0</v>
      </c>
      <c r="CX14" s="1022">
        <f t="shared" ca="1" si="29"/>
        <v>0</v>
      </c>
      <c r="CY14" s="1022">
        <f t="shared" ca="1" si="29"/>
        <v>0</v>
      </c>
      <c r="CZ14" s="1022">
        <f t="shared" ca="1" si="29"/>
        <v>0</v>
      </c>
      <c r="DA14" s="1022">
        <f t="shared" ca="1" si="29"/>
        <v>0</v>
      </c>
      <c r="DB14" s="1022">
        <f t="shared" ca="1" si="29"/>
        <v>0</v>
      </c>
      <c r="DC14" s="1022">
        <f t="shared" ca="1" si="29"/>
        <v>0</v>
      </c>
      <c r="DD14" s="1022">
        <f t="shared" ca="1" si="29"/>
        <v>0</v>
      </c>
      <c r="DE14" s="1022">
        <f t="shared" ca="1" si="29"/>
        <v>0</v>
      </c>
      <c r="DF14" s="1022">
        <f t="shared" ca="1" si="29"/>
        <v>0</v>
      </c>
      <c r="DH14" s="572"/>
    </row>
    <row r="15" spans="1:112" s="528" customFormat="1" ht="15">
      <c r="A15" s="18"/>
      <c r="B15" s="533"/>
      <c r="C15" s="529" t="s">
        <v>569</v>
      </c>
      <c r="D15" s="501" t="str">
        <f>INDEX(Workstreams[Workstream], MATCH($C15, Workstreams[Code], 0))</f>
        <v>Heating</v>
      </c>
      <c r="E15" s="497"/>
      <c r="G15" s="695">
        <f t="shared" ref="G15:P15" ca="1" si="30">G14+G11</f>
        <v>0</v>
      </c>
      <c r="H15" s="695">
        <f t="shared" ca="1" si="30"/>
        <v>0</v>
      </c>
      <c r="I15" s="695">
        <f t="shared" ca="1" si="30"/>
        <v>0</v>
      </c>
      <c r="J15" s="695">
        <f t="shared" ca="1" si="30"/>
        <v>0</v>
      </c>
      <c r="K15" s="695">
        <f t="shared" ca="1" si="30"/>
        <v>0</v>
      </c>
      <c r="L15" s="695">
        <f t="shared" ca="1" si="30"/>
        <v>0</v>
      </c>
      <c r="M15" s="695">
        <f t="shared" ca="1" si="30"/>
        <v>0</v>
      </c>
      <c r="N15" s="695">
        <f t="shared" ca="1" si="30"/>
        <v>0</v>
      </c>
      <c r="O15" s="695">
        <f t="shared" ca="1" si="30"/>
        <v>0</v>
      </c>
      <c r="P15" s="695">
        <f t="shared" ca="1" si="30"/>
        <v>0</v>
      </c>
      <c r="Q15" s="695">
        <f t="shared" ca="1" si="1"/>
        <v>0</v>
      </c>
      <c r="S15" s="645">
        <f t="shared" ref="S15:AJ15" ca="1" si="31">S14+S11</f>
        <v>0</v>
      </c>
      <c r="T15" s="645">
        <f t="shared" ca="1" si="31"/>
        <v>0</v>
      </c>
      <c r="U15" s="645">
        <f t="shared" ca="1" si="31"/>
        <v>0</v>
      </c>
      <c r="V15" s="645">
        <f t="shared" ca="1" si="31"/>
        <v>0</v>
      </c>
      <c r="W15" s="645">
        <f t="shared" ca="1" si="31"/>
        <v>0</v>
      </c>
      <c r="X15" s="645">
        <f t="shared" ca="1" si="31"/>
        <v>0</v>
      </c>
      <c r="Y15" s="645">
        <f t="shared" ca="1" si="31"/>
        <v>0</v>
      </c>
      <c r="Z15" s="645">
        <f t="shared" ca="1" si="31"/>
        <v>0</v>
      </c>
      <c r="AA15" s="645">
        <f t="shared" ca="1" si="31"/>
        <v>0</v>
      </c>
      <c r="AB15" s="645">
        <f t="shared" ca="1" si="31"/>
        <v>0</v>
      </c>
      <c r="AC15" s="645">
        <f t="shared" ca="1" si="31"/>
        <v>0</v>
      </c>
      <c r="AD15" s="645">
        <f t="shared" ca="1" si="31"/>
        <v>0</v>
      </c>
      <c r="AE15" s="645">
        <f ca="1">AE14+AE11</f>
        <v>0</v>
      </c>
      <c r="AF15" s="645">
        <f t="shared" ca="1" si="31"/>
        <v>0</v>
      </c>
      <c r="AG15" s="645">
        <f t="shared" ca="1" si="31"/>
        <v>0</v>
      </c>
      <c r="AH15" s="645">
        <f ca="1">AH14+AH11</f>
        <v>0</v>
      </c>
      <c r="AI15" s="645">
        <f t="shared" ca="1" si="31"/>
        <v>0</v>
      </c>
      <c r="AJ15" s="645">
        <f t="shared" ca="1" si="31"/>
        <v>0</v>
      </c>
      <c r="AK15" s="645">
        <f t="shared" ca="1" si="4"/>
        <v>0</v>
      </c>
      <c r="AM15" s="651">
        <f t="shared" ref="AM15:AU15" ca="1" si="32">AM14+AM11</f>
        <v>0</v>
      </c>
      <c r="AN15" s="651">
        <f t="shared" ca="1" si="32"/>
        <v>0</v>
      </c>
      <c r="AO15" s="651">
        <f t="shared" ca="1" si="32"/>
        <v>0</v>
      </c>
      <c r="AP15" s="651">
        <f t="shared" ca="1" si="32"/>
        <v>0</v>
      </c>
      <c r="AQ15" s="651">
        <f t="shared" ca="1" si="32"/>
        <v>0</v>
      </c>
      <c r="AR15" s="651">
        <f t="shared" ca="1" si="32"/>
        <v>0</v>
      </c>
      <c r="AS15" s="651">
        <f t="shared" ca="1" si="32"/>
        <v>0</v>
      </c>
      <c r="AT15" s="651">
        <f t="shared" ca="1" si="32"/>
        <v>0</v>
      </c>
      <c r="AU15" s="651">
        <f t="shared" ca="1" si="32"/>
        <v>0</v>
      </c>
      <c r="AV15" s="651">
        <f t="shared" ref="AV15:BE15" ca="1" si="33">AV14+AV11</f>
        <v>0</v>
      </c>
      <c r="AW15" s="651">
        <f t="shared" ca="1" si="33"/>
        <v>0</v>
      </c>
      <c r="AX15" s="651">
        <f t="shared" ca="1" si="33"/>
        <v>0</v>
      </c>
      <c r="AY15" s="651">
        <f t="shared" ca="1" si="33"/>
        <v>0</v>
      </c>
      <c r="AZ15" s="651">
        <f t="shared" ca="1" si="33"/>
        <v>0</v>
      </c>
      <c r="BA15" s="651">
        <f t="shared" ca="1" si="33"/>
        <v>0</v>
      </c>
      <c r="BB15" s="651">
        <f t="shared" ca="1" si="33"/>
        <v>0</v>
      </c>
      <c r="BC15" s="651">
        <f t="shared" ca="1" si="33"/>
        <v>0</v>
      </c>
      <c r="BD15" s="651">
        <f ca="1">BD14+BD11</f>
        <v>0</v>
      </c>
      <c r="BE15" s="651">
        <f t="shared" ca="1" si="33"/>
        <v>0</v>
      </c>
      <c r="BF15" s="651">
        <f t="shared" ca="1" si="6"/>
        <v>0</v>
      </c>
      <c r="BH15" s="665">
        <f ca="1">BH14+BH11</f>
        <v>0</v>
      </c>
      <c r="BI15" s="665">
        <f ca="1">BI14+BI11</f>
        <v>0</v>
      </c>
      <c r="BJ15" s="665">
        <f t="shared" ca="1" si="8"/>
        <v>0</v>
      </c>
      <c r="BL15" s="499">
        <f t="shared" ca="1" si="9"/>
        <v>0</v>
      </c>
      <c r="BM15" s="499"/>
      <c r="BN15" s="574"/>
      <c r="BO15" s="1018">
        <f t="shared" ref="BO15:DF15" ca="1" si="34">BO14+BO11</f>
        <v>0</v>
      </c>
      <c r="BP15" s="1018">
        <f t="shared" ca="1" si="34"/>
        <v>0</v>
      </c>
      <c r="BQ15" s="1018">
        <f t="shared" ca="1" si="34"/>
        <v>0</v>
      </c>
      <c r="BR15" s="1018">
        <f t="shared" ca="1" si="34"/>
        <v>0</v>
      </c>
      <c r="BS15" s="1018">
        <f t="shared" ca="1" si="34"/>
        <v>0</v>
      </c>
      <c r="BT15" s="1018">
        <f t="shared" ca="1" si="34"/>
        <v>0</v>
      </c>
      <c r="BU15" s="1018">
        <f t="shared" ca="1" si="34"/>
        <v>0</v>
      </c>
      <c r="BV15" s="1018">
        <f t="shared" ca="1" si="34"/>
        <v>0</v>
      </c>
      <c r="BW15" s="1018">
        <f t="shared" ca="1" si="34"/>
        <v>0</v>
      </c>
      <c r="BX15" s="1018">
        <f t="shared" ca="1" si="34"/>
        <v>0</v>
      </c>
      <c r="BY15" s="1018">
        <f t="shared" ca="1" si="34"/>
        <v>0</v>
      </c>
      <c r="BZ15" s="1018">
        <f t="shared" ca="1" si="34"/>
        <v>0</v>
      </c>
      <c r="CA15" s="1018">
        <f t="shared" ca="1" si="34"/>
        <v>0</v>
      </c>
      <c r="CB15" s="1018">
        <f t="shared" ca="1" si="34"/>
        <v>0</v>
      </c>
      <c r="CC15" s="1018">
        <f t="shared" ca="1" si="34"/>
        <v>0</v>
      </c>
      <c r="CD15" s="1018">
        <f t="shared" ca="1" si="34"/>
        <v>0</v>
      </c>
      <c r="CE15" s="1018">
        <f t="shared" ca="1" si="34"/>
        <v>0</v>
      </c>
      <c r="CF15" s="1018">
        <f t="shared" ca="1" si="34"/>
        <v>0</v>
      </c>
      <c r="CG15" s="1018">
        <f t="shared" ca="1" si="34"/>
        <v>0</v>
      </c>
      <c r="CH15" s="1018">
        <f t="shared" ca="1" si="34"/>
        <v>0</v>
      </c>
      <c r="CI15" s="1018">
        <f t="shared" ca="1" si="34"/>
        <v>0</v>
      </c>
      <c r="CJ15" s="1018">
        <f t="shared" ca="1" si="34"/>
        <v>0</v>
      </c>
      <c r="CK15" s="1018">
        <f t="shared" ca="1" si="34"/>
        <v>0</v>
      </c>
      <c r="CL15" s="1018">
        <f t="shared" ca="1" si="34"/>
        <v>0</v>
      </c>
      <c r="CM15" s="1018">
        <f t="shared" ca="1" si="34"/>
        <v>0</v>
      </c>
      <c r="CN15" s="1018">
        <f t="shared" ca="1" si="34"/>
        <v>0</v>
      </c>
      <c r="CO15" s="1018">
        <f t="shared" ca="1" si="34"/>
        <v>0</v>
      </c>
      <c r="CP15" s="1018">
        <f t="shared" ca="1" si="34"/>
        <v>0</v>
      </c>
      <c r="CQ15" s="1018">
        <f t="shared" ca="1" si="34"/>
        <v>0</v>
      </c>
      <c r="CR15" s="1018">
        <f t="shared" ca="1" si="34"/>
        <v>0</v>
      </c>
      <c r="CS15" s="1018">
        <f t="shared" ca="1" si="34"/>
        <v>0</v>
      </c>
      <c r="CT15" s="1018">
        <f t="shared" ca="1" si="34"/>
        <v>0</v>
      </c>
      <c r="CU15" s="1018">
        <f t="shared" ca="1" si="34"/>
        <v>0</v>
      </c>
      <c r="CV15" s="1018">
        <f t="shared" ca="1" si="34"/>
        <v>0</v>
      </c>
      <c r="CW15" s="1018">
        <f t="shared" ca="1" si="34"/>
        <v>0</v>
      </c>
      <c r="CX15" s="1018">
        <f t="shared" ca="1" si="34"/>
        <v>0</v>
      </c>
      <c r="CY15" s="1018">
        <f t="shared" ca="1" si="34"/>
        <v>0</v>
      </c>
      <c r="CZ15" s="1018">
        <f t="shared" ca="1" si="34"/>
        <v>0</v>
      </c>
      <c r="DA15" s="1018">
        <f t="shared" ca="1" si="34"/>
        <v>0</v>
      </c>
      <c r="DB15" s="1018">
        <f t="shared" ca="1" si="34"/>
        <v>0</v>
      </c>
      <c r="DC15" s="1018">
        <f t="shared" ca="1" si="34"/>
        <v>0</v>
      </c>
      <c r="DD15" s="1018">
        <f t="shared" ca="1" si="34"/>
        <v>0</v>
      </c>
      <c r="DE15" s="1018">
        <f t="shared" ca="1" si="34"/>
        <v>0</v>
      </c>
      <c r="DF15" s="1018">
        <f t="shared" ca="1" si="34"/>
        <v>0</v>
      </c>
      <c r="DH15" s="572">
        <f t="shared" ref="DH15:DH38" ca="1" si="35">SUM(BO15:DF15)</f>
        <v>0</v>
      </c>
    </row>
    <row r="16" spans="1:112" s="528" customFormat="1" outlineLevel="1">
      <c r="A16" s="1020"/>
      <c r="B16" s="1020"/>
      <c r="C16" s="530"/>
      <c r="D16" s="505"/>
      <c r="E16" s="505"/>
      <c r="G16" s="693"/>
      <c r="H16" s="693"/>
      <c r="I16" s="693"/>
      <c r="J16" s="693"/>
      <c r="K16" s="693"/>
      <c r="L16" s="693"/>
      <c r="M16" s="693"/>
      <c r="N16" s="693"/>
      <c r="O16" s="693"/>
      <c r="P16" s="693"/>
      <c r="Q16" s="693"/>
      <c r="S16" s="701"/>
      <c r="T16" s="701"/>
      <c r="U16" s="701"/>
      <c r="V16" s="701"/>
      <c r="W16" s="701"/>
      <c r="X16" s="701"/>
      <c r="Y16" s="701"/>
      <c r="Z16" s="701"/>
      <c r="AA16" s="701"/>
      <c r="AB16" s="701"/>
      <c r="AC16" s="701"/>
      <c r="AD16" s="701"/>
      <c r="AE16" s="701"/>
      <c r="AF16" s="701"/>
      <c r="AG16" s="701"/>
      <c r="AH16" s="701"/>
      <c r="AI16" s="701"/>
      <c r="AJ16" s="701"/>
      <c r="AK16" s="701"/>
      <c r="AM16" s="714"/>
      <c r="AN16" s="714"/>
      <c r="AO16" s="714"/>
      <c r="AP16" s="714"/>
      <c r="AQ16" s="714"/>
      <c r="AR16" s="714"/>
      <c r="AS16" s="714"/>
      <c r="AT16" s="714"/>
      <c r="AU16" s="714"/>
      <c r="AV16" s="714"/>
      <c r="AW16" s="714"/>
      <c r="AX16" s="714"/>
      <c r="AY16" s="714"/>
      <c r="AZ16" s="714"/>
      <c r="BA16" s="714"/>
      <c r="BB16" s="714"/>
      <c r="BC16" s="714"/>
      <c r="BD16" s="714"/>
      <c r="BE16" s="714"/>
      <c r="BF16" s="654"/>
      <c r="BH16" s="708"/>
      <c r="BI16" s="708"/>
      <c r="BJ16" s="708"/>
      <c r="BL16" s="562">
        <f t="shared" si="9"/>
        <v>0</v>
      </c>
      <c r="BM16" s="562"/>
      <c r="BN16" s="1020"/>
      <c r="BO16" s="1017"/>
      <c r="BP16" s="1018"/>
      <c r="BQ16" s="1018"/>
      <c r="BR16" s="1018"/>
      <c r="BS16" s="1018"/>
      <c r="BT16" s="1018"/>
      <c r="BU16" s="1018"/>
      <c r="BV16" s="1018"/>
      <c r="BW16" s="1018"/>
      <c r="BX16" s="1018"/>
      <c r="BY16" s="1018"/>
      <c r="BZ16" s="1018"/>
      <c r="CA16" s="1018"/>
      <c r="CB16" s="1018"/>
      <c r="CC16" s="1018"/>
      <c r="CD16" s="1018"/>
      <c r="CE16" s="1018"/>
      <c r="CF16" s="1018"/>
      <c r="CG16" s="1018"/>
      <c r="CH16" s="1018"/>
      <c r="CI16" s="1018"/>
      <c r="CJ16" s="1018"/>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H16" s="572">
        <f t="shared" si="35"/>
        <v>0</v>
      </c>
    </row>
    <row r="17" spans="1:112" s="528" customFormat="1" ht="12.75" customHeight="1" outlineLevel="1">
      <c r="A17" s="1020"/>
      <c r="B17" s="1020"/>
      <c r="C17" s="530" t="s">
        <v>706</v>
      </c>
      <c r="D17" s="1016" t="str">
        <f>INDEX(Modules[Module], MATCH($C17, Modules[Code], 0))</f>
        <v>Domestic lighting, appliances, and cooking</v>
      </c>
      <c r="E17" s="680"/>
      <c r="G17" s="691">
        <f t="shared" ref="G17:P18" ca="1" si="36">IFERROR(INDEX(INDIRECT($C17&amp;".Outputs["&amp;this.Year&amp;"]"), MATCH(G$5, INDIRECT($C17&amp;".Outputs[Vector]"), 0)), 0)</f>
        <v>0</v>
      </c>
      <c r="H17" s="691">
        <f t="shared" ca="1" si="36"/>
        <v>0</v>
      </c>
      <c r="I17" s="691">
        <f t="shared" ca="1" si="36"/>
        <v>0</v>
      </c>
      <c r="J17" s="691">
        <f t="shared" ca="1" si="36"/>
        <v>0</v>
      </c>
      <c r="K17" s="691">
        <f t="shared" ca="1" si="36"/>
        <v>0</v>
      </c>
      <c r="L17" s="691">
        <f t="shared" ca="1" si="36"/>
        <v>0</v>
      </c>
      <c r="M17" s="691">
        <f t="shared" ca="1" si="36"/>
        <v>0</v>
      </c>
      <c r="N17" s="691">
        <f t="shared" ca="1" si="36"/>
        <v>0</v>
      </c>
      <c r="O17" s="691">
        <f t="shared" ca="1" si="36"/>
        <v>0</v>
      </c>
      <c r="P17" s="691">
        <f t="shared" ca="1" si="36"/>
        <v>0</v>
      </c>
      <c r="Q17" s="693">
        <f ca="1">SUM(G17:P17)</f>
        <v>0</v>
      </c>
      <c r="S17" s="700">
        <f t="shared" ref="S17:BE18" ca="1" si="37">IFERROR(INDEX(INDIRECT($C17&amp;".Outputs["&amp;this.Year&amp;"]"), MATCH(S$5, INDIRECT($C17&amp;".Outputs[Vector]"), 0)), 0)</f>
        <v>0</v>
      </c>
      <c r="T17" s="700">
        <f t="shared" ca="1" si="37"/>
        <v>0</v>
      </c>
      <c r="U17" s="700">
        <f t="shared" ca="1" si="37"/>
        <v>0</v>
      </c>
      <c r="V17" s="700">
        <f t="shared" ca="1" si="37"/>
        <v>0</v>
      </c>
      <c r="W17" s="700">
        <f t="shared" ca="1" si="37"/>
        <v>0</v>
      </c>
      <c r="X17" s="700">
        <f t="shared" ref="X17:Z18" ca="1" si="38">IFERROR(INDEX(INDIRECT($C17&amp;".Outputs["&amp;this.Year&amp;"]"), MATCH(X$5, INDIRECT($C17&amp;".Outputs[Vector]"), 0)), 0)</f>
        <v>0</v>
      </c>
      <c r="Y17" s="700">
        <f t="shared" ca="1" si="38"/>
        <v>0</v>
      </c>
      <c r="Z17" s="700">
        <f t="shared" ca="1" si="38"/>
        <v>0</v>
      </c>
      <c r="AA17" s="700">
        <f t="shared" ca="1" si="37"/>
        <v>0</v>
      </c>
      <c r="AB17" s="700">
        <f t="shared" ca="1" si="37"/>
        <v>0</v>
      </c>
      <c r="AC17" s="700">
        <f t="shared" ca="1" si="37"/>
        <v>0</v>
      </c>
      <c r="AD17" s="700">
        <f t="shared" ca="1" si="37"/>
        <v>0</v>
      </c>
      <c r="AE17" s="700">
        <f t="shared" ca="1" si="37"/>
        <v>0</v>
      </c>
      <c r="AF17" s="700">
        <f t="shared" ca="1" si="37"/>
        <v>0</v>
      </c>
      <c r="AG17" s="700">
        <f t="shared" ca="1" si="37"/>
        <v>0</v>
      </c>
      <c r="AH17" s="700">
        <f t="shared" ca="1" si="37"/>
        <v>0</v>
      </c>
      <c r="AI17" s="700">
        <f t="shared" ca="1" si="37"/>
        <v>0</v>
      </c>
      <c r="AJ17" s="700">
        <f t="shared" ca="1" si="37"/>
        <v>0</v>
      </c>
      <c r="AK17" s="701">
        <f ca="1">SUM(S17:AJ17)</f>
        <v>0</v>
      </c>
      <c r="AM17" s="712">
        <f t="shared" ref="AM17:AU18" ca="1" si="39">IFERROR(INDEX(INDIRECT($C17&amp;".Outputs["&amp;this.Year&amp;"]"), MATCH(AM$5, INDIRECT($C17&amp;".Outputs[Vector]"), 0)), 0)</f>
        <v>0</v>
      </c>
      <c r="AN17" s="712">
        <f t="shared" ca="1" si="39"/>
        <v>0</v>
      </c>
      <c r="AO17" s="712">
        <f t="shared" ca="1" si="39"/>
        <v>0</v>
      </c>
      <c r="AP17" s="712">
        <f t="shared" ca="1" si="39"/>
        <v>0</v>
      </c>
      <c r="AQ17" s="712">
        <f t="shared" ca="1" si="39"/>
        <v>0</v>
      </c>
      <c r="AR17" s="712">
        <f t="shared" ca="1" si="39"/>
        <v>0</v>
      </c>
      <c r="AS17" s="712">
        <f t="shared" ca="1" si="39"/>
        <v>0</v>
      </c>
      <c r="AT17" s="712">
        <f t="shared" ca="1" si="39"/>
        <v>0</v>
      </c>
      <c r="AU17" s="712">
        <f t="shared" ca="1" si="39"/>
        <v>0</v>
      </c>
      <c r="AV17" s="712">
        <f t="shared" ca="1" si="37"/>
        <v>0</v>
      </c>
      <c r="AW17" s="712">
        <f t="shared" ca="1" si="37"/>
        <v>0</v>
      </c>
      <c r="AX17" s="712">
        <f t="shared" ca="1" si="37"/>
        <v>0</v>
      </c>
      <c r="AY17" s="712">
        <f t="shared" ca="1" si="37"/>
        <v>0</v>
      </c>
      <c r="AZ17" s="712">
        <f t="shared" ca="1" si="37"/>
        <v>0</v>
      </c>
      <c r="BA17" s="712">
        <f t="shared" ca="1" si="37"/>
        <v>0</v>
      </c>
      <c r="BB17" s="712">
        <f t="shared" ca="1" si="37"/>
        <v>0</v>
      </c>
      <c r="BC17" s="712">
        <f t="shared" ca="1" si="37"/>
        <v>0</v>
      </c>
      <c r="BD17" s="712">
        <f t="shared" ca="1" si="37"/>
        <v>0</v>
      </c>
      <c r="BE17" s="712">
        <f t="shared" ca="1" si="37"/>
        <v>0</v>
      </c>
      <c r="BF17" s="654">
        <f ca="1">SUM(AM17:BE17)</f>
        <v>0</v>
      </c>
      <c r="BH17" s="706">
        <f ca="1">IFERROR(INDEX(INDIRECT($C17&amp;".Outputs["&amp;this.Year&amp;"]"), MATCH(BH$5, INDIRECT($C17&amp;".Outputs[Vector]"), 0)), 0)</f>
        <v>0</v>
      </c>
      <c r="BI17" s="706">
        <f ca="1">IFERROR(INDEX(INDIRECT($C17&amp;".Outputs["&amp;this.Year&amp;"]"), MATCH(BI$5, INDIRECT($C17&amp;".Outputs[Vector]"), 0)), 0)</f>
        <v>0</v>
      </c>
      <c r="BJ17" s="708">
        <f ca="1">SUM(BH17:BI17)</f>
        <v>0</v>
      </c>
      <c r="BL17" s="562">
        <f t="shared" ca="1" si="9"/>
        <v>0</v>
      </c>
      <c r="BM17" s="562"/>
      <c r="BN17" s="574"/>
      <c r="BO17" s="1017">
        <f t="shared" ref="BO17:BX18" ca="1" si="40">IFERROR(SUMIFS(INDIRECT($C17&amp;".Emissions["&amp;this.Year&amp;"]"), INDIRECT($C17&amp;".Emissions[GHG]"), BO$6, INDIRECT($C17&amp;".Emissions[IPCC Sector]"), BO$5),0)</f>
        <v>0</v>
      </c>
      <c r="BP17" s="1018">
        <f t="shared" ca="1" si="40"/>
        <v>0</v>
      </c>
      <c r="BQ17" s="1018">
        <f t="shared" ca="1" si="40"/>
        <v>0</v>
      </c>
      <c r="BR17" s="1018">
        <f t="shared" ca="1" si="40"/>
        <v>0</v>
      </c>
      <c r="BS17" s="1018">
        <f t="shared" ca="1" si="40"/>
        <v>0</v>
      </c>
      <c r="BT17" s="1018">
        <f t="shared" ca="1" si="40"/>
        <v>0</v>
      </c>
      <c r="BU17" s="1018">
        <f t="shared" ca="1" si="40"/>
        <v>0</v>
      </c>
      <c r="BV17" s="1018">
        <f t="shared" ca="1" si="40"/>
        <v>0</v>
      </c>
      <c r="BW17" s="1018">
        <f t="shared" ca="1" si="40"/>
        <v>0</v>
      </c>
      <c r="BX17" s="1018">
        <f t="shared" ca="1" si="40"/>
        <v>0</v>
      </c>
      <c r="BY17" s="1018">
        <f t="shared" ref="BY17:CH18" ca="1" si="41">IFERROR(SUMIFS(INDIRECT($C17&amp;".Emissions["&amp;this.Year&amp;"]"), INDIRECT($C17&amp;".Emissions[GHG]"), BY$6, INDIRECT($C17&amp;".Emissions[IPCC Sector]"), BY$5),0)</f>
        <v>0</v>
      </c>
      <c r="BZ17" s="1018">
        <f t="shared" ca="1" si="41"/>
        <v>0</v>
      </c>
      <c r="CA17" s="1018">
        <f t="shared" ca="1" si="41"/>
        <v>0</v>
      </c>
      <c r="CB17" s="1018">
        <f t="shared" ca="1" si="41"/>
        <v>0</v>
      </c>
      <c r="CC17" s="1018">
        <f t="shared" ca="1" si="41"/>
        <v>0</v>
      </c>
      <c r="CD17" s="1018">
        <f t="shared" ca="1" si="41"/>
        <v>0</v>
      </c>
      <c r="CE17" s="1018">
        <f t="shared" ca="1" si="41"/>
        <v>0</v>
      </c>
      <c r="CF17" s="1018">
        <f t="shared" ca="1" si="41"/>
        <v>0</v>
      </c>
      <c r="CG17" s="1018">
        <f t="shared" ca="1" si="41"/>
        <v>0</v>
      </c>
      <c r="CH17" s="1018">
        <f t="shared" ca="1" si="41"/>
        <v>0</v>
      </c>
      <c r="CI17" s="1018">
        <f t="shared" ref="CI17:CR18" ca="1" si="42">IFERROR(SUMIFS(INDIRECT($C17&amp;".Emissions["&amp;this.Year&amp;"]"), INDIRECT($C17&amp;".Emissions[GHG]"), CI$6, INDIRECT($C17&amp;".Emissions[IPCC Sector]"), CI$5),0)</f>
        <v>0</v>
      </c>
      <c r="CJ17" s="1018">
        <f t="shared" ca="1" si="42"/>
        <v>0</v>
      </c>
      <c r="CK17" s="1018">
        <f t="shared" ca="1" si="42"/>
        <v>0</v>
      </c>
      <c r="CL17" s="1018">
        <f t="shared" ca="1" si="42"/>
        <v>0</v>
      </c>
      <c r="CM17" s="1018">
        <f t="shared" ca="1" si="42"/>
        <v>0</v>
      </c>
      <c r="CN17" s="1018">
        <f t="shared" ca="1" si="42"/>
        <v>0</v>
      </c>
      <c r="CO17" s="1018">
        <f t="shared" ca="1" si="42"/>
        <v>0</v>
      </c>
      <c r="CP17" s="1018">
        <f t="shared" ca="1" si="42"/>
        <v>0</v>
      </c>
      <c r="CQ17" s="1018">
        <f t="shared" ca="1" si="42"/>
        <v>0</v>
      </c>
      <c r="CR17" s="1018">
        <f t="shared" ca="1" si="42"/>
        <v>0</v>
      </c>
      <c r="CS17" s="1018">
        <f t="shared" ref="CS17:DF18" ca="1" si="43">IFERROR(SUMIFS(INDIRECT($C17&amp;".Emissions["&amp;this.Year&amp;"]"), INDIRECT($C17&amp;".Emissions[GHG]"), CS$6, INDIRECT($C17&amp;".Emissions[IPCC Sector]"), CS$5),0)</f>
        <v>0</v>
      </c>
      <c r="CT17" s="1018">
        <f t="shared" ca="1" si="43"/>
        <v>0</v>
      </c>
      <c r="CU17" s="1018">
        <f t="shared" ca="1" si="43"/>
        <v>0</v>
      </c>
      <c r="CV17" s="1018">
        <f t="shared" ca="1" si="43"/>
        <v>0</v>
      </c>
      <c r="CW17" s="1018">
        <f t="shared" ca="1" si="43"/>
        <v>0</v>
      </c>
      <c r="CX17" s="1018">
        <f t="shared" ca="1" si="43"/>
        <v>0</v>
      </c>
      <c r="CY17" s="1018">
        <f t="shared" ca="1" si="43"/>
        <v>0</v>
      </c>
      <c r="CZ17" s="1018">
        <f t="shared" ca="1" si="43"/>
        <v>0</v>
      </c>
      <c r="DA17" s="1018">
        <f t="shared" ca="1" si="43"/>
        <v>0</v>
      </c>
      <c r="DB17" s="1018">
        <f t="shared" ca="1" si="43"/>
        <v>0</v>
      </c>
      <c r="DC17" s="1018">
        <f t="shared" ca="1" si="43"/>
        <v>0</v>
      </c>
      <c r="DD17" s="1018">
        <f t="shared" ca="1" si="43"/>
        <v>0</v>
      </c>
      <c r="DE17" s="1018">
        <f t="shared" ca="1" si="43"/>
        <v>0</v>
      </c>
      <c r="DF17" s="1018">
        <f t="shared" ca="1" si="43"/>
        <v>0</v>
      </c>
      <c r="DH17" s="572">
        <f t="shared" ca="1" si="35"/>
        <v>0</v>
      </c>
    </row>
    <row r="18" spans="1:112" s="528" customFormat="1" ht="12.75" customHeight="1" outlineLevel="1">
      <c r="A18" s="1020"/>
      <c r="B18" s="1020"/>
      <c r="C18" s="530" t="s">
        <v>707</v>
      </c>
      <c r="D18" s="684" t="str">
        <f>INDEX(Modules[Module], MATCH($C18, Modules[Code], 0))</f>
        <v>Commercial lighting, appliances, and catering</v>
      </c>
      <c r="E18" s="684"/>
      <c r="G18" s="696">
        <f t="shared" ca="1" si="36"/>
        <v>0</v>
      </c>
      <c r="H18" s="696">
        <f t="shared" ca="1" si="36"/>
        <v>0</v>
      </c>
      <c r="I18" s="696">
        <f t="shared" ca="1" si="36"/>
        <v>0</v>
      </c>
      <c r="J18" s="696">
        <f t="shared" ca="1" si="36"/>
        <v>0</v>
      </c>
      <c r="K18" s="696">
        <f t="shared" ca="1" si="36"/>
        <v>0</v>
      </c>
      <c r="L18" s="696">
        <f t="shared" ca="1" si="36"/>
        <v>0</v>
      </c>
      <c r="M18" s="696">
        <f t="shared" ca="1" si="36"/>
        <v>0</v>
      </c>
      <c r="N18" s="696">
        <f t="shared" ca="1" si="36"/>
        <v>0</v>
      </c>
      <c r="O18" s="696">
        <f t="shared" ca="1" si="36"/>
        <v>0</v>
      </c>
      <c r="P18" s="696">
        <f t="shared" ca="1" si="36"/>
        <v>0</v>
      </c>
      <c r="Q18" s="694">
        <f ca="1">SUM(G18:P18)</f>
        <v>0</v>
      </c>
      <c r="S18" s="705">
        <f t="shared" ca="1" si="37"/>
        <v>0</v>
      </c>
      <c r="T18" s="705">
        <f t="shared" ca="1" si="37"/>
        <v>0</v>
      </c>
      <c r="U18" s="705">
        <f t="shared" ca="1" si="37"/>
        <v>0</v>
      </c>
      <c r="V18" s="705">
        <f t="shared" ca="1" si="37"/>
        <v>0</v>
      </c>
      <c r="W18" s="705">
        <f t="shared" ca="1" si="37"/>
        <v>0</v>
      </c>
      <c r="X18" s="705">
        <f t="shared" ca="1" si="38"/>
        <v>0</v>
      </c>
      <c r="Y18" s="705">
        <f t="shared" ca="1" si="38"/>
        <v>0</v>
      </c>
      <c r="Z18" s="705">
        <f t="shared" ca="1" si="38"/>
        <v>0</v>
      </c>
      <c r="AA18" s="705">
        <f t="shared" ca="1" si="37"/>
        <v>0</v>
      </c>
      <c r="AB18" s="705">
        <f t="shared" ca="1" si="37"/>
        <v>0</v>
      </c>
      <c r="AC18" s="705">
        <f t="shared" ca="1" si="37"/>
        <v>0</v>
      </c>
      <c r="AD18" s="705">
        <f t="shared" ca="1" si="37"/>
        <v>0</v>
      </c>
      <c r="AE18" s="705">
        <f t="shared" ca="1" si="37"/>
        <v>0</v>
      </c>
      <c r="AF18" s="705">
        <f t="shared" ca="1" si="37"/>
        <v>0</v>
      </c>
      <c r="AG18" s="705">
        <f t="shared" ca="1" si="37"/>
        <v>0</v>
      </c>
      <c r="AH18" s="705">
        <f t="shared" ca="1" si="37"/>
        <v>0</v>
      </c>
      <c r="AI18" s="705">
        <f t="shared" ca="1" si="37"/>
        <v>0</v>
      </c>
      <c r="AJ18" s="705">
        <f t="shared" ca="1" si="37"/>
        <v>0</v>
      </c>
      <c r="AK18" s="704">
        <f ca="1">SUM(S18:AJ18)</f>
        <v>0</v>
      </c>
      <c r="AM18" s="716">
        <f t="shared" ca="1" si="39"/>
        <v>0</v>
      </c>
      <c r="AN18" s="716">
        <f t="shared" ca="1" si="39"/>
        <v>0</v>
      </c>
      <c r="AO18" s="716">
        <f t="shared" ca="1" si="39"/>
        <v>0</v>
      </c>
      <c r="AP18" s="716">
        <f t="shared" ca="1" si="39"/>
        <v>0</v>
      </c>
      <c r="AQ18" s="716">
        <f t="shared" ca="1" si="39"/>
        <v>0</v>
      </c>
      <c r="AR18" s="716">
        <f t="shared" ca="1" si="39"/>
        <v>0</v>
      </c>
      <c r="AS18" s="716">
        <f t="shared" ca="1" si="39"/>
        <v>0</v>
      </c>
      <c r="AT18" s="716">
        <f t="shared" ca="1" si="39"/>
        <v>0</v>
      </c>
      <c r="AU18" s="716">
        <f t="shared" ca="1" si="39"/>
        <v>0</v>
      </c>
      <c r="AV18" s="716">
        <f t="shared" ca="1" si="37"/>
        <v>0</v>
      </c>
      <c r="AW18" s="716">
        <f t="shared" ca="1" si="37"/>
        <v>0</v>
      </c>
      <c r="AX18" s="716">
        <f t="shared" ca="1" si="37"/>
        <v>0</v>
      </c>
      <c r="AY18" s="716">
        <f t="shared" ca="1" si="37"/>
        <v>0</v>
      </c>
      <c r="AZ18" s="716">
        <f t="shared" ca="1" si="37"/>
        <v>0</v>
      </c>
      <c r="BA18" s="716">
        <f t="shared" ca="1" si="37"/>
        <v>0</v>
      </c>
      <c r="BB18" s="716">
        <f t="shared" ca="1" si="37"/>
        <v>0</v>
      </c>
      <c r="BC18" s="716">
        <f t="shared" ca="1" si="37"/>
        <v>0</v>
      </c>
      <c r="BD18" s="716">
        <f t="shared" ca="1" si="37"/>
        <v>0</v>
      </c>
      <c r="BE18" s="716">
        <f t="shared" ca="1" si="37"/>
        <v>0</v>
      </c>
      <c r="BF18" s="686">
        <f ca="1">SUM(AM18:BE18)</f>
        <v>0</v>
      </c>
      <c r="BH18" s="710">
        <f ca="1">IFERROR(INDEX(INDIRECT($C18&amp;".Outputs["&amp;this.Year&amp;"]"), MATCH(BH$5, INDIRECT($C18&amp;".Outputs[Vector]"), 0)), 0)</f>
        <v>0</v>
      </c>
      <c r="BI18" s="710">
        <f ca="1">IFERROR(INDEX(INDIRECT($C18&amp;".Outputs["&amp;this.Year&amp;"]"), MATCH(BI$5, INDIRECT($C18&amp;".Outputs[Vector]"), 0)), 0)</f>
        <v>0</v>
      </c>
      <c r="BJ18" s="709">
        <f ca="1">SUM(BH18:BI18)</f>
        <v>0</v>
      </c>
      <c r="BL18" s="562">
        <f t="shared" ca="1" si="9"/>
        <v>0</v>
      </c>
      <c r="BM18" s="562"/>
      <c r="BN18" s="574"/>
      <c r="BO18" s="1021">
        <f t="shared" ca="1" si="40"/>
        <v>0</v>
      </c>
      <c r="BP18" s="1022">
        <f t="shared" ca="1" si="40"/>
        <v>0</v>
      </c>
      <c r="BQ18" s="1022">
        <f t="shared" ca="1" si="40"/>
        <v>0</v>
      </c>
      <c r="BR18" s="1022">
        <f t="shared" ca="1" si="40"/>
        <v>0</v>
      </c>
      <c r="BS18" s="1022">
        <f t="shared" ca="1" si="40"/>
        <v>0</v>
      </c>
      <c r="BT18" s="1022">
        <f t="shared" ca="1" si="40"/>
        <v>0</v>
      </c>
      <c r="BU18" s="1022">
        <f t="shared" ca="1" si="40"/>
        <v>0</v>
      </c>
      <c r="BV18" s="1022">
        <f t="shared" ca="1" si="40"/>
        <v>0</v>
      </c>
      <c r="BW18" s="1022">
        <f t="shared" ca="1" si="40"/>
        <v>0</v>
      </c>
      <c r="BX18" s="1022">
        <f t="shared" ca="1" si="40"/>
        <v>0</v>
      </c>
      <c r="BY18" s="1022">
        <f t="shared" ca="1" si="41"/>
        <v>0</v>
      </c>
      <c r="BZ18" s="1022">
        <f t="shared" ca="1" si="41"/>
        <v>0</v>
      </c>
      <c r="CA18" s="1022">
        <f t="shared" ca="1" si="41"/>
        <v>0</v>
      </c>
      <c r="CB18" s="1022">
        <f t="shared" ca="1" si="41"/>
        <v>0</v>
      </c>
      <c r="CC18" s="1022">
        <f t="shared" ca="1" si="41"/>
        <v>0</v>
      </c>
      <c r="CD18" s="1022">
        <f t="shared" ca="1" si="41"/>
        <v>0</v>
      </c>
      <c r="CE18" s="1022">
        <f t="shared" ca="1" si="41"/>
        <v>0</v>
      </c>
      <c r="CF18" s="1022">
        <f t="shared" ca="1" si="41"/>
        <v>0</v>
      </c>
      <c r="CG18" s="1022">
        <f t="shared" ca="1" si="41"/>
        <v>0</v>
      </c>
      <c r="CH18" s="1022">
        <f t="shared" ca="1" si="41"/>
        <v>0</v>
      </c>
      <c r="CI18" s="1022">
        <f t="shared" ca="1" si="42"/>
        <v>0</v>
      </c>
      <c r="CJ18" s="1022">
        <f t="shared" ca="1" si="42"/>
        <v>0</v>
      </c>
      <c r="CK18" s="1022">
        <f t="shared" ca="1" si="42"/>
        <v>0</v>
      </c>
      <c r="CL18" s="1022">
        <f t="shared" ca="1" si="42"/>
        <v>0</v>
      </c>
      <c r="CM18" s="1022">
        <f t="shared" ca="1" si="42"/>
        <v>0</v>
      </c>
      <c r="CN18" s="1022">
        <f t="shared" ca="1" si="42"/>
        <v>0</v>
      </c>
      <c r="CO18" s="1022">
        <f t="shared" ca="1" si="42"/>
        <v>0</v>
      </c>
      <c r="CP18" s="1022">
        <f t="shared" ca="1" si="42"/>
        <v>0</v>
      </c>
      <c r="CQ18" s="1022">
        <f t="shared" ca="1" si="42"/>
        <v>0</v>
      </c>
      <c r="CR18" s="1022">
        <f t="shared" ca="1" si="42"/>
        <v>0</v>
      </c>
      <c r="CS18" s="1022">
        <f t="shared" ca="1" si="43"/>
        <v>0</v>
      </c>
      <c r="CT18" s="1022">
        <f t="shared" ca="1" si="43"/>
        <v>0</v>
      </c>
      <c r="CU18" s="1022">
        <f t="shared" ca="1" si="43"/>
        <v>0</v>
      </c>
      <c r="CV18" s="1022">
        <f t="shared" ca="1" si="43"/>
        <v>0</v>
      </c>
      <c r="CW18" s="1022">
        <f t="shared" ca="1" si="43"/>
        <v>0</v>
      </c>
      <c r="CX18" s="1022">
        <f t="shared" ca="1" si="43"/>
        <v>0</v>
      </c>
      <c r="CY18" s="1022">
        <f t="shared" ca="1" si="43"/>
        <v>0</v>
      </c>
      <c r="CZ18" s="1022">
        <f t="shared" ca="1" si="43"/>
        <v>0</v>
      </c>
      <c r="DA18" s="1022">
        <f t="shared" ca="1" si="43"/>
        <v>0</v>
      </c>
      <c r="DB18" s="1022">
        <f t="shared" ca="1" si="43"/>
        <v>0</v>
      </c>
      <c r="DC18" s="1022">
        <f t="shared" ca="1" si="43"/>
        <v>0</v>
      </c>
      <c r="DD18" s="1022">
        <f t="shared" ca="1" si="43"/>
        <v>0</v>
      </c>
      <c r="DE18" s="1022">
        <f t="shared" ca="1" si="43"/>
        <v>0</v>
      </c>
      <c r="DF18" s="1022">
        <f t="shared" ca="1" si="43"/>
        <v>0</v>
      </c>
      <c r="DH18" s="572">
        <f t="shared" ca="1" si="35"/>
        <v>0</v>
      </c>
    </row>
    <row r="19" spans="1:112" s="528" customFormat="1" ht="15">
      <c r="A19" s="18"/>
      <c r="B19" s="533"/>
      <c r="C19" s="529" t="s">
        <v>570</v>
      </c>
      <c r="D19" s="501" t="str">
        <f>INDEX(Workstreams[Workstream], MATCH($C19, Workstreams[Code], 0))</f>
        <v>Lighting &amp; appliances</v>
      </c>
      <c r="E19" s="497"/>
      <c r="G19" s="695">
        <f ca="1">G17+G18</f>
        <v>0</v>
      </c>
      <c r="H19" s="695">
        <f t="shared" ref="H19:P19" ca="1" si="44">H17+H18</f>
        <v>0</v>
      </c>
      <c r="I19" s="695">
        <f t="shared" ca="1" si="44"/>
        <v>0</v>
      </c>
      <c r="J19" s="695">
        <f t="shared" ca="1" si="44"/>
        <v>0</v>
      </c>
      <c r="K19" s="695">
        <f t="shared" ca="1" si="44"/>
        <v>0</v>
      </c>
      <c r="L19" s="695">
        <f t="shared" ca="1" si="44"/>
        <v>0</v>
      </c>
      <c r="M19" s="695">
        <f t="shared" ca="1" si="44"/>
        <v>0</v>
      </c>
      <c r="N19" s="695">
        <f ca="1">N17+N18</f>
        <v>0</v>
      </c>
      <c r="O19" s="695">
        <f ca="1">O17+O18</f>
        <v>0</v>
      </c>
      <c r="P19" s="695">
        <f t="shared" ca="1" si="44"/>
        <v>0</v>
      </c>
      <c r="Q19" s="695">
        <f ca="1">SUM(G19:P19)</f>
        <v>0</v>
      </c>
      <c r="S19" s="645">
        <f ca="1">S17+S18</f>
        <v>0</v>
      </c>
      <c r="T19" s="645">
        <f t="shared" ref="T19:AJ19" ca="1" si="45">T17+T18</f>
        <v>0</v>
      </c>
      <c r="U19" s="645">
        <f t="shared" ca="1" si="45"/>
        <v>0</v>
      </c>
      <c r="V19" s="645">
        <f t="shared" ca="1" si="45"/>
        <v>0</v>
      </c>
      <c r="W19" s="645">
        <f t="shared" ca="1" si="45"/>
        <v>0</v>
      </c>
      <c r="X19" s="645">
        <f ca="1">X17+X18</f>
        <v>0</v>
      </c>
      <c r="Y19" s="645">
        <f ca="1">Y17+Y18</f>
        <v>0</v>
      </c>
      <c r="Z19" s="645">
        <f ca="1">Z17+Z18</f>
        <v>0</v>
      </c>
      <c r="AA19" s="645">
        <f t="shared" ca="1" si="45"/>
        <v>0</v>
      </c>
      <c r="AB19" s="645">
        <f t="shared" ca="1" si="45"/>
        <v>0</v>
      </c>
      <c r="AC19" s="645">
        <f t="shared" ca="1" si="45"/>
        <v>0</v>
      </c>
      <c r="AD19" s="645">
        <f ca="1">AD17+AD18</f>
        <v>0</v>
      </c>
      <c r="AE19" s="645">
        <f ca="1">AE17+AE18</f>
        <v>0</v>
      </c>
      <c r="AF19" s="645">
        <f t="shared" ca="1" si="45"/>
        <v>0</v>
      </c>
      <c r="AG19" s="645">
        <f ca="1">AG17+AG18</f>
        <v>0</v>
      </c>
      <c r="AH19" s="645">
        <f ca="1">AH17+AH18</f>
        <v>0</v>
      </c>
      <c r="AI19" s="645">
        <f ca="1">AI17+AI18</f>
        <v>0</v>
      </c>
      <c r="AJ19" s="645">
        <f t="shared" ca="1" si="45"/>
        <v>0</v>
      </c>
      <c r="AK19" s="645">
        <f ca="1">SUM(S19:AJ19)</f>
        <v>0</v>
      </c>
      <c r="AM19" s="651">
        <f t="shared" ref="AM19:AU19" ca="1" si="46">AM17+AM18</f>
        <v>0</v>
      </c>
      <c r="AN19" s="651">
        <f t="shared" ca="1" si="46"/>
        <v>0</v>
      </c>
      <c r="AO19" s="651">
        <f t="shared" ca="1" si="46"/>
        <v>0</v>
      </c>
      <c r="AP19" s="651">
        <f t="shared" ca="1" si="46"/>
        <v>0</v>
      </c>
      <c r="AQ19" s="651">
        <f t="shared" ca="1" si="46"/>
        <v>0</v>
      </c>
      <c r="AR19" s="651">
        <f t="shared" ca="1" si="46"/>
        <v>0</v>
      </c>
      <c r="AS19" s="651">
        <f t="shared" ca="1" si="46"/>
        <v>0</v>
      </c>
      <c r="AT19" s="651">
        <f t="shared" ca="1" si="46"/>
        <v>0</v>
      </c>
      <c r="AU19" s="651">
        <f t="shared" ca="1" si="46"/>
        <v>0</v>
      </c>
      <c r="AV19" s="651">
        <f t="shared" ref="AV19:BE19" ca="1" si="47">AV17+AV18</f>
        <v>0</v>
      </c>
      <c r="AW19" s="651">
        <f t="shared" ca="1" si="47"/>
        <v>0</v>
      </c>
      <c r="AX19" s="651">
        <f t="shared" ca="1" si="47"/>
        <v>0</v>
      </c>
      <c r="AY19" s="651">
        <f t="shared" ca="1" si="47"/>
        <v>0</v>
      </c>
      <c r="AZ19" s="651">
        <f t="shared" ca="1" si="47"/>
        <v>0</v>
      </c>
      <c r="BA19" s="651">
        <f t="shared" ca="1" si="47"/>
        <v>0</v>
      </c>
      <c r="BB19" s="651">
        <f t="shared" ca="1" si="47"/>
        <v>0</v>
      </c>
      <c r="BC19" s="651">
        <f t="shared" ca="1" si="47"/>
        <v>0</v>
      </c>
      <c r="BD19" s="651">
        <f ca="1">BD17+BD18</f>
        <v>0</v>
      </c>
      <c r="BE19" s="651">
        <f t="shared" ca="1" si="47"/>
        <v>0</v>
      </c>
      <c r="BF19" s="651">
        <f ca="1">SUM(AM19:BE19)</f>
        <v>0</v>
      </c>
      <c r="BH19" s="665">
        <f ca="1">BH17+BH18</f>
        <v>0</v>
      </c>
      <c r="BI19" s="665">
        <f ca="1">BI17+BI18</f>
        <v>0</v>
      </c>
      <c r="BJ19" s="665">
        <f ca="1">SUM(BH19:BI19)</f>
        <v>0</v>
      </c>
      <c r="BL19" s="499">
        <f t="shared" ca="1" si="9"/>
        <v>0</v>
      </c>
      <c r="BM19" s="499"/>
      <c r="BN19" s="574"/>
      <c r="BO19" s="1018">
        <f t="shared" ref="BO19:DF19" ca="1" si="48">BO17+BO18</f>
        <v>0</v>
      </c>
      <c r="BP19" s="1018">
        <f t="shared" ca="1" si="48"/>
        <v>0</v>
      </c>
      <c r="BQ19" s="1018">
        <f t="shared" ca="1" si="48"/>
        <v>0</v>
      </c>
      <c r="BR19" s="1018">
        <f t="shared" ca="1" si="48"/>
        <v>0</v>
      </c>
      <c r="BS19" s="1018">
        <f t="shared" ca="1" si="48"/>
        <v>0</v>
      </c>
      <c r="BT19" s="1018">
        <f t="shared" ca="1" si="48"/>
        <v>0</v>
      </c>
      <c r="BU19" s="1018">
        <f t="shared" ca="1" si="48"/>
        <v>0</v>
      </c>
      <c r="BV19" s="1018">
        <f t="shared" ca="1" si="48"/>
        <v>0</v>
      </c>
      <c r="BW19" s="1018">
        <f t="shared" ca="1" si="48"/>
        <v>0</v>
      </c>
      <c r="BX19" s="1018">
        <f t="shared" ca="1" si="48"/>
        <v>0</v>
      </c>
      <c r="BY19" s="1018">
        <f t="shared" ca="1" si="48"/>
        <v>0</v>
      </c>
      <c r="BZ19" s="1018">
        <f t="shared" ca="1" si="48"/>
        <v>0</v>
      </c>
      <c r="CA19" s="1018">
        <f t="shared" ca="1" si="48"/>
        <v>0</v>
      </c>
      <c r="CB19" s="1018">
        <f t="shared" ca="1" si="48"/>
        <v>0</v>
      </c>
      <c r="CC19" s="1018">
        <f t="shared" ca="1" si="48"/>
        <v>0</v>
      </c>
      <c r="CD19" s="1018">
        <f t="shared" ca="1" si="48"/>
        <v>0</v>
      </c>
      <c r="CE19" s="1018">
        <f t="shared" ca="1" si="48"/>
        <v>0</v>
      </c>
      <c r="CF19" s="1018">
        <f t="shared" ca="1" si="48"/>
        <v>0</v>
      </c>
      <c r="CG19" s="1018">
        <f t="shared" ca="1" si="48"/>
        <v>0</v>
      </c>
      <c r="CH19" s="1018">
        <f t="shared" ca="1" si="48"/>
        <v>0</v>
      </c>
      <c r="CI19" s="1018">
        <f t="shared" ca="1" si="48"/>
        <v>0</v>
      </c>
      <c r="CJ19" s="1018">
        <f t="shared" ca="1" si="48"/>
        <v>0</v>
      </c>
      <c r="CK19" s="1018">
        <f t="shared" ca="1" si="48"/>
        <v>0</v>
      </c>
      <c r="CL19" s="1018">
        <f t="shared" ca="1" si="48"/>
        <v>0</v>
      </c>
      <c r="CM19" s="1018">
        <f t="shared" ca="1" si="48"/>
        <v>0</v>
      </c>
      <c r="CN19" s="1018">
        <f t="shared" ca="1" si="48"/>
        <v>0</v>
      </c>
      <c r="CO19" s="1018">
        <f t="shared" ca="1" si="48"/>
        <v>0</v>
      </c>
      <c r="CP19" s="1018">
        <f t="shared" ca="1" si="48"/>
        <v>0</v>
      </c>
      <c r="CQ19" s="1018">
        <f t="shared" ca="1" si="48"/>
        <v>0</v>
      </c>
      <c r="CR19" s="1018">
        <f t="shared" ca="1" si="48"/>
        <v>0</v>
      </c>
      <c r="CS19" s="1018">
        <f t="shared" ca="1" si="48"/>
        <v>0</v>
      </c>
      <c r="CT19" s="1018">
        <f t="shared" ca="1" si="48"/>
        <v>0</v>
      </c>
      <c r="CU19" s="1018">
        <f t="shared" ca="1" si="48"/>
        <v>0</v>
      </c>
      <c r="CV19" s="1018">
        <f t="shared" ca="1" si="48"/>
        <v>0</v>
      </c>
      <c r="CW19" s="1018">
        <f t="shared" ca="1" si="48"/>
        <v>0</v>
      </c>
      <c r="CX19" s="1018">
        <f t="shared" ca="1" si="48"/>
        <v>0</v>
      </c>
      <c r="CY19" s="1018">
        <f t="shared" ca="1" si="48"/>
        <v>0</v>
      </c>
      <c r="CZ19" s="1018">
        <f t="shared" ca="1" si="48"/>
        <v>0</v>
      </c>
      <c r="DA19" s="1018">
        <f t="shared" ca="1" si="48"/>
        <v>0</v>
      </c>
      <c r="DB19" s="1018">
        <f t="shared" ca="1" si="48"/>
        <v>0</v>
      </c>
      <c r="DC19" s="1018">
        <f t="shared" ca="1" si="48"/>
        <v>0</v>
      </c>
      <c r="DD19" s="1018">
        <f t="shared" ca="1" si="48"/>
        <v>0</v>
      </c>
      <c r="DE19" s="1018">
        <f t="shared" ca="1" si="48"/>
        <v>0</v>
      </c>
      <c r="DF19" s="1018">
        <f t="shared" ca="1" si="48"/>
        <v>0</v>
      </c>
      <c r="DH19" s="572">
        <f t="shared" ca="1" si="35"/>
        <v>0</v>
      </c>
    </row>
    <row r="20" spans="1:112" s="528" customFormat="1" ht="12.75" customHeight="1" outlineLevel="1">
      <c r="A20" s="1020"/>
      <c r="B20" s="1020"/>
      <c r="C20" s="530"/>
      <c r="D20" s="505"/>
      <c r="E20" s="505"/>
      <c r="G20" s="693"/>
      <c r="H20" s="693"/>
      <c r="I20" s="693"/>
      <c r="J20" s="693"/>
      <c r="K20" s="693"/>
      <c r="L20" s="693"/>
      <c r="M20" s="693"/>
      <c r="N20" s="693"/>
      <c r="O20" s="693"/>
      <c r="P20" s="693"/>
      <c r="Q20" s="693"/>
      <c r="S20" s="701"/>
      <c r="T20" s="701"/>
      <c r="U20" s="701"/>
      <c r="V20" s="701"/>
      <c r="W20" s="701"/>
      <c r="X20" s="701"/>
      <c r="Y20" s="701"/>
      <c r="Z20" s="701"/>
      <c r="AA20" s="701"/>
      <c r="AB20" s="701"/>
      <c r="AC20" s="701"/>
      <c r="AD20" s="701"/>
      <c r="AE20" s="701"/>
      <c r="AF20" s="701"/>
      <c r="AG20" s="701"/>
      <c r="AH20" s="701"/>
      <c r="AI20" s="701"/>
      <c r="AJ20" s="701"/>
      <c r="AK20" s="701"/>
      <c r="AM20" s="714"/>
      <c r="AN20" s="714"/>
      <c r="AO20" s="714"/>
      <c r="AP20" s="714"/>
      <c r="AQ20" s="714"/>
      <c r="AR20" s="714"/>
      <c r="AS20" s="714"/>
      <c r="AT20" s="714"/>
      <c r="AU20" s="714"/>
      <c r="AV20" s="714"/>
      <c r="AW20" s="714"/>
      <c r="AX20" s="714"/>
      <c r="AY20" s="714"/>
      <c r="AZ20" s="714"/>
      <c r="BA20" s="714"/>
      <c r="BB20" s="714"/>
      <c r="BC20" s="714"/>
      <c r="BD20" s="714"/>
      <c r="BE20" s="714"/>
      <c r="BF20" s="654"/>
      <c r="BH20" s="708"/>
      <c r="BI20" s="708"/>
      <c r="BJ20" s="708"/>
      <c r="BL20" s="562">
        <f t="shared" si="9"/>
        <v>0</v>
      </c>
      <c r="BM20" s="562"/>
      <c r="BN20" s="1020"/>
      <c r="BO20" s="1017"/>
      <c r="BP20" s="1018"/>
      <c r="BQ20" s="1018"/>
      <c r="BR20" s="1018"/>
      <c r="BS20" s="1018"/>
      <c r="BT20" s="1018"/>
      <c r="BU20" s="1018"/>
      <c r="BV20" s="1018"/>
      <c r="BW20" s="1018"/>
      <c r="BX20" s="1018"/>
      <c r="BY20" s="1018"/>
      <c r="BZ20" s="1018"/>
      <c r="CA20" s="1018"/>
      <c r="CB20" s="1018"/>
      <c r="CC20" s="1018"/>
      <c r="CD20" s="1018"/>
      <c r="CE20" s="1018"/>
      <c r="CF20" s="1018"/>
      <c r="CG20" s="1018"/>
      <c r="CH20" s="1018"/>
      <c r="CI20" s="1018"/>
      <c r="CJ20" s="1018"/>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H20" s="572">
        <f t="shared" si="35"/>
        <v>0</v>
      </c>
    </row>
    <row r="21" spans="1:112" s="528" customFormat="1" ht="12.75" customHeight="1" outlineLevel="1">
      <c r="A21" s="1020"/>
      <c r="B21" s="1020"/>
      <c r="C21" s="530" t="s">
        <v>669</v>
      </c>
      <c r="D21" s="684" t="str">
        <f>INDEX(Modules[Module], MATCH($C21, Modules[Code], 0))</f>
        <v>Industrial processes</v>
      </c>
      <c r="E21" s="684"/>
      <c r="G21" s="696">
        <f t="shared" ref="G21:P21" ca="1" si="49">IFERROR(INDEX(INDIRECT($C21&amp;".Outputs["&amp;this.Year&amp;"]"), MATCH(G$5, INDIRECT($C21&amp;".Outputs[Vector]"), 0)), 0)</f>
        <v>0</v>
      </c>
      <c r="H21" s="696">
        <f t="shared" ca="1" si="49"/>
        <v>0</v>
      </c>
      <c r="I21" s="696">
        <f t="shared" ca="1" si="49"/>
        <v>0</v>
      </c>
      <c r="J21" s="696">
        <f t="shared" ca="1" si="49"/>
        <v>0</v>
      </c>
      <c r="K21" s="696">
        <f t="shared" ca="1" si="49"/>
        <v>0</v>
      </c>
      <c r="L21" s="696">
        <f t="shared" ca="1" si="49"/>
        <v>0</v>
      </c>
      <c r="M21" s="696">
        <f t="shared" ca="1" si="49"/>
        <v>0</v>
      </c>
      <c r="N21" s="696">
        <f t="shared" ca="1" si="49"/>
        <v>0</v>
      </c>
      <c r="O21" s="696">
        <f t="shared" ca="1" si="49"/>
        <v>0</v>
      </c>
      <c r="P21" s="696">
        <f t="shared" ca="1" si="49"/>
        <v>0</v>
      </c>
      <c r="Q21" s="694">
        <f ca="1">SUM(G21:P21)</f>
        <v>0</v>
      </c>
      <c r="S21" s="705">
        <f t="shared" ref="S21:BE21" ca="1" si="50">IFERROR(INDEX(INDIRECT($C21&amp;".Outputs["&amp;this.Year&amp;"]"), MATCH(S$5, INDIRECT($C21&amp;".Outputs[Vector]"), 0)), 0)</f>
        <v>0</v>
      </c>
      <c r="T21" s="705">
        <f t="shared" ca="1" si="50"/>
        <v>0</v>
      </c>
      <c r="U21" s="705">
        <f t="shared" ca="1" si="50"/>
        <v>0</v>
      </c>
      <c r="V21" s="705">
        <f t="shared" ca="1" si="50"/>
        <v>0</v>
      </c>
      <c r="W21" s="705">
        <f t="shared" ca="1" si="50"/>
        <v>0</v>
      </c>
      <c r="X21" s="705">
        <f ca="1">IFERROR(INDEX(INDIRECT($C21&amp;".Outputs["&amp;this.Year&amp;"]"), MATCH(X$5, INDIRECT($C21&amp;".Outputs[Vector]"), 0)), 0)</f>
        <v>0</v>
      </c>
      <c r="Y21" s="705">
        <f ca="1">IFERROR(INDEX(INDIRECT($C21&amp;".Outputs["&amp;this.Year&amp;"]"), MATCH(Y$5, INDIRECT($C21&amp;".Outputs[Vector]"), 0)), 0)</f>
        <v>0</v>
      </c>
      <c r="Z21" s="705">
        <f ca="1">IFERROR(INDEX(INDIRECT($C21&amp;".Outputs["&amp;this.Year&amp;"]"), MATCH(Z$5, INDIRECT($C21&amp;".Outputs[Vector]"), 0)), 0)</f>
        <v>0</v>
      </c>
      <c r="AA21" s="705">
        <f t="shared" ca="1" si="50"/>
        <v>0</v>
      </c>
      <c r="AB21" s="705">
        <f t="shared" ca="1" si="50"/>
        <v>0</v>
      </c>
      <c r="AC21" s="705">
        <f t="shared" ca="1" si="50"/>
        <v>0</v>
      </c>
      <c r="AD21" s="705">
        <f t="shared" ca="1" si="50"/>
        <v>0</v>
      </c>
      <c r="AE21" s="705">
        <f t="shared" ca="1" si="50"/>
        <v>0</v>
      </c>
      <c r="AF21" s="705">
        <f t="shared" ca="1" si="50"/>
        <v>0</v>
      </c>
      <c r="AG21" s="705">
        <f t="shared" ca="1" si="50"/>
        <v>0</v>
      </c>
      <c r="AH21" s="705">
        <f t="shared" ca="1" si="50"/>
        <v>0</v>
      </c>
      <c r="AI21" s="705">
        <f t="shared" ca="1" si="50"/>
        <v>0</v>
      </c>
      <c r="AJ21" s="705">
        <f t="shared" ca="1" si="50"/>
        <v>0</v>
      </c>
      <c r="AK21" s="704">
        <f ca="1">SUM(S21:AJ21)</f>
        <v>0</v>
      </c>
      <c r="AM21" s="716">
        <f t="shared" ref="AM21:AU21" ca="1" si="51">IFERROR(INDEX(INDIRECT($C21&amp;".Outputs["&amp;this.Year&amp;"]"), MATCH(AM$5, INDIRECT($C21&amp;".Outputs[Vector]"), 0)), 0)</f>
        <v>0</v>
      </c>
      <c r="AN21" s="716">
        <f t="shared" ca="1" si="51"/>
        <v>0</v>
      </c>
      <c r="AO21" s="716">
        <f t="shared" ca="1" si="51"/>
        <v>0</v>
      </c>
      <c r="AP21" s="716">
        <f t="shared" ca="1" si="51"/>
        <v>0</v>
      </c>
      <c r="AQ21" s="716">
        <f t="shared" ca="1" si="51"/>
        <v>0</v>
      </c>
      <c r="AR21" s="716">
        <f t="shared" ca="1" si="51"/>
        <v>0</v>
      </c>
      <c r="AS21" s="716">
        <f t="shared" ca="1" si="51"/>
        <v>0</v>
      </c>
      <c r="AT21" s="716">
        <f t="shared" ca="1" si="51"/>
        <v>0</v>
      </c>
      <c r="AU21" s="716">
        <f t="shared" ca="1" si="51"/>
        <v>0</v>
      </c>
      <c r="AV21" s="716">
        <f t="shared" ca="1" si="50"/>
        <v>0</v>
      </c>
      <c r="AW21" s="716">
        <f t="shared" ca="1" si="50"/>
        <v>0</v>
      </c>
      <c r="AX21" s="716">
        <f t="shared" ca="1" si="50"/>
        <v>0</v>
      </c>
      <c r="AY21" s="716">
        <f t="shared" ca="1" si="50"/>
        <v>0</v>
      </c>
      <c r="AZ21" s="716">
        <f t="shared" ca="1" si="50"/>
        <v>0</v>
      </c>
      <c r="BA21" s="716">
        <f t="shared" ca="1" si="50"/>
        <v>0</v>
      </c>
      <c r="BB21" s="716">
        <f t="shared" ca="1" si="50"/>
        <v>0</v>
      </c>
      <c r="BC21" s="716">
        <f t="shared" ca="1" si="50"/>
        <v>0</v>
      </c>
      <c r="BD21" s="716">
        <f t="shared" ca="1" si="50"/>
        <v>0</v>
      </c>
      <c r="BE21" s="716">
        <f t="shared" ca="1" si="50"/>
        <v>0</v>
      </c>
      <c r="BF21" s="686">
        <f ca="1">SUM(AM21:BE21)</f>
        <v>0</v>
      </c>
      <c r="BH21" s="710">
        <f ca="1">IFERROR(INDEX(INDIRECT($C21&amp;".Outputs["&amp;this.Year&amp;"]"), MATCH(BH$5, INDIRECT($C21&amp;".Outputs[Vector]"), 0)), 0)</f>
        <v>0</v>
      </c>
      <c r="BI21" s="710">
        <f ca="1">IFERROR(INDEX(INDIRECT($C21&amp;".Outputs["&amp;this.Year&amp;"]"), MATCH(BI$5, INDIRECT($C21&amp;".Outputs[Vector]"), 0)), 0)</f>
        <v>0</v>
      </c>
      <c r="BJ21" s="709">
        <f ca="1">SUM(BH21:BI21)</f>
        <v>0</v>
      </c>
      <c r="BL21" s="562">
        <f t="shared" ca="1" si="9"/>
        <v>0</v>
      </c>
      <c r="BM21" s="562"/>
      <c r="BN21" s="574"/>
      <c r="BO21" s="1021">
        <f t="shared" ref="BO21:DF21" ca="1" si="52">IFERROR(SUMIFS(INDIRECT($C21&amp;".Emissions["&amp;this.Year&amp;"]"), INDIRECT($C21&amp;".Emissions[GHG]"), BO$6, INDIRECT($C21&amp;".Emissions[IPCC Sector]"), BO$5),0)</f>
        <v>0</v>
      </c>
      <c r="BP21" s="1022">
        <f t="shared" ca="1" si="52"/>
        <v>0</v>
      </c>
      <c r="BQ21" s="1022">
        <f t="shared" ca="1" si="52"/>
        <v>0</v>
      </c>
      <c r="BR21" s="1022">
        <f t="shared" ca="1" si="52"/>
        <v>0</v>
      </c>
      <c r="BS21" s="1022">
        <f t="shared" ca="1" si="52"/>
        <v>0</v>
      </c>
      <c r="BT21" s="1022">
        <f t="shared" ca="1" si="52"/>
        <v>0</v>
      </c>
      <c r="BU21" s="1022">
        <f t="shared" ca="1" si="52"/>
        <v>0</v>
      </c>
      <c r="BV21" s="1022">
        <f t="shared" ca="1" si="52"/>
        <v>0</v>
      </c>
      <c r="BW21" s="1022">
        <f t="shared" ca="1" si="52"/>
        <v>0</v>
      </c>
      <c r="BX21" s="1022">
        <f t="shared" ca="1" si="52"/>
        <v>0</v>
      </c>
      <c r="BY21" s="1022">
        <f t="shared" ca="1" si="52"/>
        <v>0</v>
      </c>
      <c r="BZ21" s="1022">
        <f t="shared" ca="1" si="52"/>
        <v>0</v>
      </c>
      <c r="CA21" s="1022">
        <f t="shared" ca="1" si="52"/>
        <v>0</v>
      </c>
      <c r="CB21" s="1022">
        <f t="shared" ca="1" si="52"/>
        <v>0</v>
      </c>
      <c r="CC21" s="1022">
        <f t="shared" ca="1" si="52"/>
        <v>0</v>
      </c>
      <c r="CD21" s="1022">
        <f t="shared" ca="1" si="52"/>
        <v>0</v>
      </c>
      <c r="CE21" s="1022">
        <f t="shared" ca="1" si="52"/>
        <v>0</v>
      </c>
      <c r="CF21" s="1022">
        <f t="shared" ca="1" si="52"/>
        <v>0</v>
      </c>
      <c r="CG21" s="1022">
        <f t="shared" ca="1" si="52"/>
        <v>0</v>
      </c>
      <c r="CH21" s="1022">
        <f t="shared" ca="1" si="52"/>
        <v>0</v>
      </c>
      <c r="CI21" s="1022">
        <f t="shared" ca="1" si="52"/>
        <v>0</v>
      </c>
      <c r="CJ21" s="1022">
        <f t="shared" ca="1" si="52"/>
        <v>0</v>
      </c>
      <c r="CK21" s="1022">
        <f t="shared" ca="1" si="52"/>
        <v>0</v>
      </c>
      <c r="CL21" s="1022">
        <f t="shared" ca="1" si="52"/>
        <v>0</v>
      </c>
      <c r="CM21" s="1022">
        <f t="shared" ca="1" si="52"/>
        <v>0</v>
      </c>
      <c r="CN21" s="1022">
        <f t="shared" ca="1" si="52"/>
        <v>0</v>
      </c>
      <c r="CO21" s="1022">
        <f t="shared" ca="1" si="52"/>
        <v>0</v>
      </c>
      <c r="CP21" s="1022">
        <f t="shared" ca="1" si="52"/>
        <v>0</v>
      </c>
      <c r="CQ21" s="1022">
        <f t="shared" ca="1" si="52"/>
        <v>0</v>
      </c>
      <c r="CR21" s="1022">
        <f t="shared" ca="1" si="52"/>
        <v>0</v>
      </c>
      <c r="CS21" s="1022">
        <f t="shared" ca="1" si="52"/>
        <v>0</v>
      </c>
      <c r="CT21" s="1022">
        <f t="shared" ca="1" si="52"/>
        <v>0</v>
      </c>
      <c r="CU21" s="1022">
        <f t="shared" ca="1" si="52"/>
        <v>0</v>
      </c>
      <c r="CV21" s="1022">
        <f t="shared" ca="1" si="52"/>
        <v>0</v>
      </c>
      <c r="CW21" s="1022">
        <f t="shared" ca="1" si="52"/>
        <v>0</v>
      </c>
      <c r="CX21" s="1022">
        <f t="shared" ca="1" si="52"/>
        <v>0</v>
      </c>
      <c r="CY21" s="1022">
        <f t="shared" ca="1" si="52"/>
        <v>0</v>
      </c>
      <c r="CZ21" s="1022">
        <f t="shared" ca="1" si="52"/>
        <v>0</v>
      </c>
      <c r="DA21" s="1022">
        <f t="shared" ca="1" si="52"/>
        <v>0</v>
      </c>
      <c r="DB21" s="1022">
        <f t="shared" ca="1" si="52"/>
        <v>0</v>
      </c>
      <c r="DC21" s="1022">
        <f t="shared" ca="1" si="52"/>
        <v>0</v>
      </c>
      <c r="DD21" s="1022">
        <f t="shared" ca="1" si="52"/>
        <v>0</v>
      </c>
      <c r="DE21" s="1022">
        <f t="shared" ca="1" si="52"/>
        <v>0</v>
      </c>
      <c r="DF21" s="1022">
        <f t="shared" ca="1" si="52"/>
        <v>0</v>
      </c>
      <c r="DH21" s="572">
        <f t="shared" ca="1" si="35"/>
        <v>0</v>
      </c>
    </row>
    <row r="22" spans="1:112" s="528" customFormat="1" ht="15">
      <c r="A22" s="18"/>
      <c r="B22" s="533"/>
      <c r="C22" s="529" t="s">
        <v>571</v>
      </c>
      <c r="D22" s="501" t="str">
        <f>INDEX(Workstreams[Workstream], MATCH($C22, Workstreams[Code], 0))</f>
        <v>Industry</v>
      </c>
      <c r="E22" s="497"/>
      <c r="G22" s="695">
        <f ca="1">G21</f>
        <v>0</v>
      </c>
      <c r="H22" s="695">
        <f t="shared" ref="H22:P22" ca="1" si="53">H21</f>
        <v>0</v>
      </c>
      <c r="I22" s="695">
        <f t="shared" ca="1" si="53"/>
        <v>0</v>
      </c>
      <c r="J22" s="695">
        <f t="shared" ca="1" si="53"/>
        <v>0</v>
      </c>
      <c r="K22" s="695">
        <f t="shared" ca="1" si="53"/>
        <v>0</v>
      </c>
      <c r="L22" s="695">
        <f t="shared" ca="1" si="53"/>
        <v>0</v>
      </c>
      <c r="M22" s="695">
        <f t="shared" ca="1" si="53"/>
        <v>0</v>
      </c>
      <c r="N22" s="695">
        <f t="shared" ca="1" si="53"/>
        <v>0</v>
      </c>
      <c r="O22" s="695">
        <f t="shared" ca="1" si="53"/>
        <v>0</v>
      </c>
      <c r="P22" s="695">
        <f t="shared" ca="1" si="53"/>
        <v>0</v>
      </c>
      <c r="Q22" s="695">
        <f ca="1">SUM(G22:P22)</f>
        <v>0</v>
      </c>
      <c r="S22" s="645">
        <f t="shared" ref="S22:AJ22" ca="1" si="54">S21</f>
        <v>0</v>
      </c>
      <c r="T22" s="645">
        <f t="shared" ca="1" si="54"/>
        <v>0</v>
      </c>
      <c r="U22" s="645">
        <f t="shared" ca="1" si="54"/>
        <v>0</v>
      </c>
      <c r="V22" s="645">
        <f t="shared" ca="1" si="54"/>
        <v>0</v>
      </c>
      <c r="W22" s="645">
        <f t="shared" ca="1" si="54"/>
        <v>0</v>
      </c>
      <c r="X22" s="645">
        <f t="shared" ca="1" si="54"/>
        <v>0</v>
      </c>
      <c r="Y22" s="645">
        <f t="shared" ca="1" si="54"/>
        <v>0</v>
      </c>
      <c r="Z22" s="645">
        <f t="shared" ca="1" si="54"/>
        <v>0</v>
      </c>
      <c r="AA22" s="645">
        <f t="shared" ca="1" si="54"/>
        <v>0</v>
      </c>
      <c r="AB22" s="645">
        <f t="shared" ca="1" si="54"/>
        <v>0</v>
      </c>
      <c r="AC22" s="645">
        <f t="shared" ca="1" si="54"/>
        <v>0</v>
      </c>
      <c r="AD22" s="645">
        <f t="shared" ca="1" si="54"/>
        <v>0</v>
      </c>
      <c r="AE22" s="645">
        <f ca="1">AE21</f>
        <v>0</v>
      </c>
      <c r="AF22" s="645">
        <f t="shared" ca="1" si="54"/>
        <v>0</v>
      </c>
      <c r="AG22" s="645">
        <f t="shared" ca="1" si="54"/>
        <v>0</v>
      </c>
      <c r="AH22" s="645">
        <f ca="1">AH21</f>
        <v>0</v>
      </c>
      <c r="AI22" s="645">
        <f t="shared" ca="1" si="54"/>
        <v>0</v>
      </c>
      <c r="AJ22" s="645">
        <f t="shared" ca="1" si="54"/>
        <v>0</v>
      </c>
      <c r="AK22" s="645">
        <f ca="1">SUM(S22:AJ22)</f>
        <v>0</v>
      </c>
      <c r="AM22" s="651">
        <f t="shared" ref="AM22:AU22" ca="1" si="55">AM21</f>
        <v>0</v>
      </c>
      <c r="AN22" s="651">
        <f t="shared" ca="1" si="55"/>
        <v>0</v>
      </c>
      <c r="AO22" s="651">
        <f t="shared" ca="1" si="55"/>
        <v>0</v>
      </c>
      <c r="AP22" s="651">
        <f t="shared" ca="1" si="55"/>
        <v>0</v>
      </c>
      <c r="AQ22" s="651">
        <f t="shared" ca="1" si="55"/>
        <v>0</v>
      </c>
      <c r="AR22" s="651">
        <f t="shared" ca="1" si="55"/>
        <v>0</v>
      </c>
      <c r="AS22" s="651">
        <f t="shared" ca="1" si="55"/>
        <v>0</v>
      </c>
      <c r="AT22" s="651">
        <f t="shared" ca="1" si="55"/>
        <v>0</v>
      </c>
      <c r="AU22" s="651">
        <f t="shared" ca="1" si="55"/>
        <v>0</v>
      </c>
      <c r="AV22" s="651">
        <f t="shared" ref="AV22:BE22" ca="1" si="56">AV21</f>
        <v>0</v>
      </c>
      <c r="AW22" s="651">
        <f t="shared" ca="1" si="56"/>
        <v>0</v>
      </c>
      <c r="AX22" s="651">
        <f t="shared" ca="1" si="56"/>
        <v>0</v>
      </c>
      <c r="AY22" s="651">
        <f t="shared" ca="1" si="56"/>
        <v>0</v>
      </c>
      <c r="AZ22" s="651">
        <f t="shared" ca="1" si="56"/>
        <v>0</v>
      </c>
      <c r="BA22" s="651">
        <f t="shared" ca="1" si="56"/>
        <v>0</v>
      </c>
      <c r="BB22" s="651">
        <f t="shared" ca="1" si="56"/>
        <v>0</v>
      </c>
      <c r="BC22" s="651">
        <f t="shared" ca="1" si="56"/>
        <v>0</v>
      </c>
      <c r="BD22" s="651">
        <f ca="1">BD21</f>
        <v>0</v>
      </c>
      <c r="BE22" s="651">
        <f t="shared" ca="1" si="56"/>
        <v>0</v>
      </c>
      <c r="BF22" s="651">
        <f ca="1">SUM(AM22:BE22)</f>
        <v>0</v>
      </c>
      <c r="BH22" s="665">
        <f ca="1">BH21</f>
        <v>0</v>
      </c>
      <c r="BI22" s="665">
        <f ca="1">BI21</f>
        <v>0</v>
      </c>
      <c r="BJ22" s="665">
        <f ca="1">SUM(BH22:BI22)</f>
        <v>0</v>
      </c>
      <c r="BL22" s="499">
        <f t="shared" ca="1" si="9"/>
        <v>0</v>
      </c>
      <c r="BM22" s="499"/>
      <c r="BN22" s="574"/>
      <c r="BO22" s="1018">
        <f t="shared" ref="BO22:DF22" ca="1" si="57">BO21</f>
        <v>0</v>
      </c>
      <c r="BP22" s="1018">
        <f t="shared" ca="1" si="57"/>
        <v>0</v>
      </c>
      <c r="BQ22" s="1018">
        <f t="shared" ca="1" si="57"/>
        <v>0</v>
      </c>
      <c r="BR22" s="1018">
        <f t="shared" ca="1" si="57"/>
        <v>0</v>
      </c>
      <c r="BS22" s="1018">
        <f t="shared" ca="1" si="57"/>
        <v>0</v>
      </c>
      <c r="BT22" s="1018">
        <f t="shared" ca="1" si="57"/>
        <v>0</v>
      </c>
      <c r="BU22" s="1018">
        <f t="shared" ca="1" si="57"/>
        <v>0</v>
      </c>
      <c r="BV22" s="1018">
        <f t="shared" ca="1" si="57"/>
        <v>0</v>
      </c>
      <c r="BW22" s="1018">
        <f t="shared" ca="1" si="57"/>
        <v>0</v>
      </c>
      <c r="BX22" s="1018">
        <f t="shared" ca="1" si="57"/>
        <v>0</v>
      </c>
      <c r="BY22" s="1018">
        <f t="shared" ca="1" si="57"/>
        <v>0</v>
      </c>
      <c r="BZ22" s="1018">
        <f t="shared" ca="1" si="57"/>
        <v>0</v>
      </c>
      <c r="CA22" s="1018">
        <f t="shared" ca="1" si="57"/>
        <v>0</v>
      </c>
      <c r="CB22" s="1018">
        <f t="shared" ca="1" si="57"/>
        <v>0</v>
      </c>
      <c r="CC22" s="1018">
        <f t="shared" ca="1" si="57"/>
        <v>0</v>
      </c>
      <c r="CD22" s="1018">
        <f t="shared" ca="1" si="57"/>
        <v>0</v>
      </c>
      <c r="CE22" s="1018">
        <f t="shared" ca="1" si="57"/>
        <v>0</v>
      </c>
      <c r="CF22" s="1018">
        <f t="shared" ca="1" si="57"/>
        <v>0</v>
      </c>
      <c r="CG22" s="1018">
        <f t="shared" ca="1" si="57"/>
        <v>0</v>
      </c>
      <c r="CH22" s="1018">
        <f t="shared" ca="1" si="57"/>
        <v>0</v>
      </c>
      <c r="CI22" s="1018">
        <f t="shared" ca="1" si="57"/>
        <v>0</v>
      </c>
      <c r="CJ22" s="1018">
        <f t="shared" ca="1" si="57"/>
        <v>0</v>
      </c>
      <c r="CK22" s="1018">
        <f t="shared" ca="1" si="57"/>
        <v>0</v>
      </c>
      <c r="CL22" s="1018">
        <f t="shared" ca="1" si="57"/>
        <v>0</v>
      </c>
      <c r="CM22" s="1018">
        <f t="shared" ca="1" si="57"/>
        <v>0</v>
      </c>
      <c r="CN22" s="1018">
        <f t="shared" ca="1" si="57"/>
        <v>0</v>
      </c>
      <c r="CO22" s="1018">
        <f t="shared" ca="1" si="57"/>
        <v>0</v>
      </c>
      <c r="CP22" s="1018">
        <f t="shared" ca="1" si="57"/>
        <v>0</v>
      </c>
      <c r="CQ22" s="1018">
        <f t="shared" ca="1" si="57"/>
        <v>0</v>
      </c>
      <c r="CR22" s="1018">
        <f t="shared" ca="1" si="57"/>
        <v>0</v>
      </c>
      <c r="CS22" s="1018">
        <f t="shared" ca="1" si="57"/>
        <v>0</v>
      </c>
      <c r="CT22" s="1018">
        <f t="shared" ca="1" si="57"/>
        <v>0</v>
      </c>
      <c r="CU22" s="1018">
        <f t="shared" ca="1" si="57"/>
        <v>0</v>
      </c>
      <c r="CV22" s="1018">
        <f t="shared" ca="1" si="57"/>
        <v>0</v>
      </c>
      <c r="CW22" s="1018">
        <f t="shared" ca="1" si="57"/>
        <v>0</v>
      </c>
      <c r="CX22" s="1018">
        <f t="shared" ca="1" si="57"/>
        <v>0</v>
      </c>
      <c r="CY22" s="1018">
        <f t="shared" ca="1" si="57"/>
        <v>0</v>
      </c>
      <c r="CZ22" s="1018">
        <f t="shared" ca="1" si="57"/>
        <v>0</v>
      </c>
      <c r="DA22" s="1018">
        <f t="shared" ca="1" si="57"/>
        <v>0</v>
      </c>
      <c r="DB22" s="1018">
        <f t="shared" ca="1" si="57"/>
        <v>0</v>
      </c>
      <c r="DC22" s="1018">
        <f t="shared" ca="1" si="57"/>
        <v>0</v>
      </c>
      <c r="DD22" s="1018">
        <f t="shared" ca="1" si="57"/>
        <v>0</v>
      </c>
      <c r="DE22" s="1018">
        <f t="shared" ca="1" si="57"/>
        <v>0</v>
      </c>
      <c r="DF22" s="1018">
        <f t="shared" ca="1" si="57"/>
        <v>0</v>
      </c>
      <c r="DH22" s="572">
        <f t="shared" ca="1" si="35"/>
        <v>0</v>
      </c>
    </row>
    <row r="23" spans="1:112" s="528" customFormat="1" ht="12.75" customHeight="1" outlineLevel="1">
      <c r="A23" s="18"/>
      <c r="B23" s="18"/>
      <c r="C23" s="531"/>
      <c r="D23" s="497"/>
      <c r="E23" s="497"/>
      <c r="G23" s="695"/>
      <c r="H23" s="695"/>
      <c r="I23" s="695"/>
      <c r="J23" s="695"/>
      <c r="K23" s="695"/>
      <c r="L23" s="695"/>
      <c r="M23" s="695"/>
      <c r="N23" s="695"/>
      <c r="O23" s="695"/>
      <c r="P23" s="695"/>
      <c r="Q23" s="695"/>
      <c r="S23" s="645"/>
      <c r="T23" s="645"/>
      <c r="U23" s="645"/>
      <c r="V23" s="645"/>
      <c r="W23" s="645"/>
      <c r="X23" s="645"/>
      <c r="Y23" s="645"/>
      <c r="Z23" s="645"/>
      <c r="AA23" s="645"/>
      <c r="AB23" s="645"/>
      <c r="AC23" s="645"/>
      <c r="AD23" s="645"/>
      <c r="AE23" s="645"/>
      <c r="AF23" s="645"/>
      <c r="AG23" s="645"/>
      <c r="AH23" s="645"/>
      <c r="AI23" s="645"/>
      <c r="AJ23" s="645"/>
      <c r="AK23" s="645"/>
      <c r="AM23" s="651"/>
      <c r="AN23" s="651"/>
      <c r="AO23" s="651"/>
      <c r="AP23" s="651"/>
      <c r="AQ23" s="651"/>
      <c r="AR23" s="651"/>
      <c r="AS23" s="651"/>
      <c r="AT23" s="651"/>
      <c r="AU23" s="651"/>
      <c r="AV23" s="651"/>
      <c r="AW23" s="651"/>
      <c r="AX23" s="651"/>
      <c r="AY23" s="651"/>
      <c r="AZ23" s="651"/>
      <c r="BA23" s="651"/>
      <c r="BB23" s="651"/>
      <c r="BC23" s="651"/>
      <c r="BD23" s="651"/>
      <c r="BE23" s="651"/>
      <c r="BF23" s="651"/>
      <c r="BH23" s="665"/>
      <c r="BI23" s="665"/>
      <c r="BJ23" s="665"/>
      <c r="BL23" s="499">
        <f t="shared" si="9"/>
        <v>0</v>
      </c>
      <c r="BM23" s="499"/>
      <c r="BN23" s="18"/>
      <c r="BO23" s="1018"/>
      <c r="BP23" s="1018"/>
      <c r="BQ23" s="1018"/>
      <c r="BR23" s="1018"/>
      <c r="BS23" s="1018"/>
      <c r="BT23" s="1018"/>
      <c r="BU23" s="1018"/>
      <c r="BV23" s="1018"/>
      <c r="BW23" s="1018"/>
      <c r="BX23" s="1018"/>
      <c r="BY23" s="1018"/>
      <c r="BZ23" s="1018"/>
      <c r="CA23" s="1018"/>
      <c r="CB23" s="1018"/>
      <c r="CC23" s="1018"/>
      <c r="CD23" s="1018"/>
      <c r="CE23" s="1018"/>
      <c r="CF23" s="1018"/>
      <c r="CG23" s="1018"/>
      <c r="CH23" s="1018"/>
      <c r="CI23" s="1018"/>
      <c r="CJ23" s="1018"/>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H23" s="572">
        <f t="shared" si="35"/>
        <v>0</v>
      </c>
    </row>
    <row r="24" spans="1:112" s="528" customFormat="1" ht="12.75" customHeight="1" outlineLevel="1">
      <c r="A24" s="1020"/>
      <c r="B24" s="1020"/>
      <c r="C24" s="530" t="s">
        <v>671</v>
      </c>
      <c r="D24" s="507" t="str">
        <f>INDEX(Modules[Module], MATCH($C24, Modules[Code], 0))</f>
        <v>Domestic passenger transport</v>
      </c>
      <c r="E24" s="680"/>
      <c r="G24" s="691">
        <f t="shared" ref="G24:P27" ca="1" si="58">IFERROR(INDEX(INDIRECT($C24&amp;".Outputs["&amp;this.Year&amp;"]"), MATCH(G$5, INDIRECT($C24&amp;".Outputs[Vector]"), 0)), 0)</f>
        <v>0</v>
      </c>
      <c r="H24" s="691">
        <f t="shared" ca="1" si="58"/>
        <v>0</v>
      </c>
      <c r="I24" s="691">
        <f t="shared" ca="1" si="58"/>
        <v>0</v>
      </c>
      <c r="J24" s="691">
        <f t="shared" ca="1" si="58"/>
        <v>403.19918225742038</v>
      </c>
      <c r="K24" s="691">
        <f t="shared" ca="1" si="58"/>
        <v>13.441593847982816</v>
      </c>
      <c r="L24" s="691">
        <f t="shared" ca="1" si="58"/>
        <v>9.0198346087095516</v>
      </c>
      <c r="M24" s="691">
        <f t="shared" ca="1" si="58"/>
        <v>0</v>
      </c>
      <c r="N24" s="691">
        <f t="shared" ca="1" si="58"/>
        <v>0</v>
      </c>
      <c r="O24" s="691">
        <f t="shared" ca="1" si="58"/>
        <v>0</v>
      </c>
      <c r="P24" s="691">
        <f t="shared" ca="1" si="58"/>
        <v>0</v>
      </c>
      <c r="Q24" s="693">
        <f t="shared" ref="Q24:Q32" ca="1" si="59">SUM(G24:P24)</f>
        <v>425.66061071411275</v>
      </c>
      <c r="S24" s="700">
        <f t="shared" ref="S24:BE30" ca="1" si="60">IFERROR(INDEX(INDIRECT($C24&amp;".Outputs["&amp;this.Year&amp;"]"), MATCH(S$5, INDIRECT($C24&amp;".Outputs[Vector]"), 0)), 0)</f>
        <v>-8.5803924571345469</v>
      </c>
      <c r="T24" s="700">
        <f t="shared" ca="1" si="60"/>
        <v>0</v>
      </c>
      <c r="U24" s="700">
        <f t="shared" ca="1" si="60"/>
        <v>0</v>
      </c>
      <c r="V24" s="700">
        <f t="shared" ca="1" si="60"/>
        <v>-417.08021825697824</v>
      </c>
      <c r="W24" s="700">
        <f t="shared" ca="1" si="60"/>
        <v>0</v>
      </c>
      <c r="X24" s="700">
        <f t="shared" ref="X24:Z27" ca="1" si="61">IFERROR(INDEX(INDIRECT($C24&amp;".Outputs["&amp;this.Year&amp;"]"), MATCH(X$5, INDIRECT($C24&amp;".Outputs[Vector]"), 0)), 0)</f>
        <v>0</v>
      </c>
      <c r="Y24" s="700">
        <f t="shared" ca="1" si="61"/>
        <v>0</v>
      </c>
      <c r="Z24" s="700">
        <f t="shared" ca="1" si="61"/>
        <v>0</v>
      </c>
      <c r="AA24" s="700">
        <f t="shared" ca="1" si="60"/>
        <v>0</v>
      </c>
      <c r="AB24" s="700">
        <f t="shared" ca="1" si="60"/>
        <v>0</v>
      </c>
      <c r="AC24" s="700">
        <f t="shared" ca="1" si="60"/>
        <v>0</v>
      </c>
      <c r="AD24" s="700">
        <f t="shared" ca="1" si="60"/>
        <v>0</v>
      </c>
      <c r="AE24" s="700">
        <f t="shared" ca="1" si="60"/>
        <v>0</v>
      </c>
      <c r="AF24" s="700">
        <f t="shared" ca="1" si="60"/>
        <v>0</v>
      </c>
      <c r="AG24" s="700">
        <f t="shared" ca="1" si="60"/>
        <v>0</v>
      </c>
      <c r="AH24" s="700">
        <f t="shared" ca="1" si="60"/>
        <v>0</v>
      </c>
      <c r="AI24" s="700">
        <f t="shared" ca="1" si="60"/>
        <v>0</v>
      </c>
      <c r="AJ24" s="700">
        <f t="shared" ca="1" si="60"/>
        <v>0</v>
      </c>
      <c r="AK24" s="701">
        <f t="shared" ref="AK24:AK32" ca="1" si="62">SUM(S24:AJ24)</f>
        <v>-425.66061071411281</v>
      </c>
      <c r="AM24" s="712">
        <f t="shared" ref="AM24:AU27" ca="1" si="63">IFERROR(INDEX(INDIRECT($C24&amp;".Outputs["&amp;this.Year&amp;"]"), MATCH(AM$5, INDIRECT($C24&amp;".Outputs[Vector]"), 0)), 0)</f>
        <v>0</v>
      </c>
      <c r="AN24" s="712">
        <f t="shared" ca="1" si="63"/>
        <v>0</v>
      </c>
      <c r="AO24" s="712">
        <f t="shared" ca="1" si="63"/>
        <v>0</v>
      </c>
      <c r="AP24" s="712">
        <f t="shared" ca="1" si="63"/>
        <v>0</v>
      </c>
      <c r="AQ24" s="712">
        <f t="shared" ca="1" si="63"/>
        <v>0</v>
      </c>
      <c r="AR24" s="712">
        <f t="shared" ca="1" si="63"/>
        <v>0</v>
      </c>
      <c r="AS24" s="712">
        <f t="shared" ca="1" si="63"/>
        <v>0</v>
      </c>
      <c r="AT24" s="712">
        <f t="shared" ca="1" si="63"/>
        <v>0</v>
      </c>
      <c r="AU24" s="712">
        <f t="shared" ca="1" si="63"/>
        <v>0</v>
      </c>
      <c r="AV24" s="712">
        <f t="shared" ca="1" si="60"/>
        <v>0</v>
      </c>
      <c r="AW24" s="712">
        <f t="shared" ca="1" si="60"/>
        <v>0</v>
      </c>
      <c r="AX24" s="712">
        <f t="shared" ca="1" si="60"/>
        <v>0</v>
      </c>
      <c r="AY24" s="712">
        <f t="shared" ca="1" si="60"/>
        <v>0</v>
      </c>
      <c r="AZ24" s="712">
        <f t="shared" ca="1" si="60"/>
        <v>0</v>
      </c>
      <c r="BA24" s="712">
        <f t="shared" ca="1" si="60"/>
        <v>0</v>
      </c>
      <c r="BB24" s="712">
        <f t="shared" ca="1" si="60"/>
        <v>0</v>
      </c>
      <c r="BC24" s="712">
        <f t="shared" ca="1" si="60"/>
        <v>0</v>
      </c>
      <c r="BD24" s="712">
        <f t="shared" ca="1" si="60"/>
        <v>0</v>
      </c>
      <c r="BE24" s="712">
        <f t="shared" ca="1" si="60"/>
        <v>0</v>
      </c>
      <c r="BF24" s="654">
        <f t="shared" ref="BF24:BF32" ca="1" si="64">SUM(AM24:BE24)</f>
        <v>0</v>
      </c>
      <c r="BH24" s="706">
        <f t="shared" ref="BH24:BI30" ca="1" si="65">IFERROR(INDEX(INDIRECT($C24&amp;".Outputs["&amp;this.Year&amp;"]"), MATCH(BH$5, INDIRECT($C24&amp;".Outputs[Vector]"), 0)), 0)</f>
        <v>0</v>
      </c>
      <c r="BI24" s="706">
        <f t="shared" ca="1" si="65"/>
        <v>0</v>
      </c>
      <c r="BJ24" s="708">
        <f t="shared" ref="BJ24:BJ32" ca="1" si="66">SUM(BH24:BI24)</f>
        <v>0</v>
      </c>
      <c r="BL24" s="562">
        <f t="shared" ca="1" si="9"/>
        <v>-5.6843418860808015E-14</v>
      </c>
      <c r="BM24" s="562"/>
      <c r="BN24" s="574"/>
      <c r="BO24" s="1017">
        <f t="shared" ref="BO24:BX27" ca="1" si="67">IFERROR(SUMIFS(INDIRECT($C24&amp;".Emissions["&amp;this.Year&amp;"]"), INDIRECT($C24&amp;".Emissions[GHG]"), BO$6, INDIRECT($C24&amp;".Emissions[IPCC Sector]"), BO$5),0)</f>
        <v>104.27005456424456</v>
      </c>
      <c r="BP24" s="1018">
        <f t="shared" ca="1" si="67"/>
        <v>0.12981580630025488</v>
      </c>
      <c r="BQ24" s="1018">
        <f t="shared" ca="1" si="67"/>
        <v>1.8760319404027712</v>
      </c>
      <c r="BR24" s="1018">
        <f t="shared" ca="1" si="67"/>
        <v>0</v>
      </c>
      <c r="BS24" s="1018">
        <f t="shared" ca="1" si="67"/>
        <v>0</v>
      </c>
      <c r="BT24" s="1018">
        <f t="shared" ca="1" si="67"/>
        <v>0</v>
      </c>
      <c r="BU24" s="1018">
        <f t="shared" ca="1" si="67"/>
        <v>0</v>
      </c>
      <c r="BV24" s="1018">
        <f t="shared" ca="1" si="67"/>
        <v>0</v>
      </c>
      <c r="BW24" s="1018">
        <f t="shared" ca="1" si="67"/>
        <v>0</v>
      </c>
      <c r="BX24" s="1018">
        <f t="shared" ca="1" si="67"/>
        <v>0</v>
      </c>
      <c r="BY24" s="1018">
        <f t="shared" ref="BY24:CH27" ca="1" si="68">IFERROR(SUMIFS(INDIRECT($C24&amp;".Emissions["&amp;this.Year&amp;"]"), INDIRECT($C24&amp;".Emissions[GHG]"), BY$6, INDIRECT($C24&amp;".Emissions[IPCC Sector]"), BY$5),0)</f>
        <v>0</v>
      </c>
      <c r="BZ24" s="1018">
        <f t="shared" ca="1" si="68"/>
        <v>0</v>
      </c>
      <c r="CA24" s="1018">
        <f t="shared" ca="1" si="68"/>
        <v>0</v>
      </c>
      <c r="CB24" s="1018">
        <f t="shared" ca="1" si="68"/>
        <v>0</v>
      </c>
      <c r="CC24" s="1018">
        <f t="shared" ca="1" si="68"/>
        <v>0</v>
      </c>
      <c r="CD24" s="1018">
        <f t="shared" ca="1" si="68"/>
        <v>0</v>
      </c>
      <c r="CE24" s="1018">
        <f t="shared" ca="1" si="68"/>
        <v>0</v>
      </c>
      <c r="CF24" s="1018">
        <f t="shared" ca="1" si="68"/>
        <v>0</v>
      </c>
      <c r="CG24" s="1018">
        <f t="shared" ca="1" si="68"/>
        <v>0</v>
      </c>
      <c r="CH24" s="1018">
        <f t="shared" ca="1" si="68"/>
        <v>0</v>
      </c>
      <c r="CI24" s="1018">
        <f t="shared" ref="CI24:CR27" ca="1" si="69">IFERROR(SUMIFS(INDIRECT($C24&amp;".Emissions["&amp;this.Year&amp;"]"), INDIRECT($C24&amp;".Emissions[GHG]"), CI$6, INDIRECT($C24&amp;".Emissions[IPCC Sector]"), CI$5),0)</f>
        <v>0</v>
      </c>
      <c r="CJ24" s="1018">
        <f t="shared" ca="1" si="69"/>
        <v>0</v>
      </c>
      <c r="CK24" s="1018">
        <f t="shared" ca="1" si="69"/>
        <v>0</v>
      </c>
      <c r="CL24" s="1018">
        <f t="shared" ca="1" si="69"/>
        <v>0</v>
      </c>
      <c r="CM24" s="1018">
        <f t="shared" ca="1" si="69"/>
        <v>0</v>
      </c>
      <c r="CN24" s="1018">
        <f t="shared" ca="1" si="69"/>
        <v>0</v>
      </c>
      <c r="CO24" s="1018">
        <f t="shared" ca="1" si="69"/>
        <v>0</v>
      </c>
      <c r="CP24" s="1018">
        <f t="shared" ca="1" si="69"/>
        <v>0</v>
      </c>
      <c r="CQ24" s="1018">
        <f t="shared" ca="1" si="69"/>
        <v>0</v>
      </c>
      <c r="CR24" s="1018">
        <f t="shared" ca="1" si="69"/>
        <v>0</v>
      </c>
      <c r="CS24" s="1018">
        <f t="shared" ref="CS24:DF27" ca="1" si="70">IFERROR(SUMIFS(INDIRECT($C24&amp;".Emissions["&amp;this.Year&amp;"]"), INDIRECT($C24&amp;".Emissions[GHG]"), CS$6, INDIRECT($C24&amp;".Emissions[IPCC Sector]"), CS$5),0)</f>
        <v>0</v>
      </c>
      <c r="CT24" s="1018">
        <f t="shared" ca="1" si="70"/>
        <v>0</v>
      </c>
      <c r="CU24" s="1018">
        <f t="shared" ca="1" si="70"/>
        <v>0</v>
      </c>
      <c r="CV24" s="1018">
        <f t="shared" ca="1" si="70"/>
        <v>0</v>
      </c>
      <c r="CW24" s="1018">
        <f t="shared" ca="1" si="70"/>
        <v>0</v>
      </c>
      <c r="CX24" s="1018">
        <f t="shared" ca="1" si="70"/>
        <v>0</v>
      </c>
      <c r="CY24" s="1018">
        <f t="shared" ca="1" si="70"/>
        <v>0</v>
      </c>
      <c r="CZ24" s="1018">
        <f t="shared" ca="1" si="70"/>
        <v>0</v>
      </c>
      <c r="DA24" s="1018">
        <f t="shared" ca="1" si="70"/>
        <v>0</v>
      </c>
      <c r="DB24" s="1018">
        <f t="shared" ca="1" si="70"/>
        <v>0</v>
      </c>
      <c r="DC24" s="1018">
        <f t="shared" ca="1" si="70"/>
        <v>0</v>
      </c>
      <c r="DD24" s="1018">
        <f t="shared" ca="1" si="70"/>
        <v>0</v>
      </c>
      <c r="DE24" s="1018">
        <f t="shared" ca="1" si="70"/>
        <v>0</v>
      </c>
      <c r="DF24" s="1018">
        <f t="shared" ca="1" si="70"/>
        <v>0</v>
      </c>
      <c r="DH24" s="572">
        <f t="shared" ca="1" si="35"/>
        <v>106.27590231094759</v>
      </c>
    </row>
    <row r="25" spans="1:112" s="528" customFormat="1" ht="12.75" customHeight="1" outlineLevel="1">
      <c r="A25" s="1020"/>
      <c r="B25" s="1020"/>
      <c r="C25" s="530" t="s">
        <v>684</v>
      </c>
      <c r="D25" s="507" t="str">
        <f>INDEX(Modules[Module], MATCH($C25, Modules[Code], 0))</f>
        <v>Domestic freight</v>
      </c>
      <c r="E25" s="680"/>
      <c r="G25" s="691">
        <f t="shared" ca="1" si="58"/>
        <v>0</v>
      </c>
      <c r="H25" s="691">
        <f t="shared" ca="1" si="58"/>
        <v>0</v>
      </c>
      <c r="I25" s="691">
        <f t="shared" ca="1" si="58"/>
        <v>0</v>
      </c>
      <c r="J25" s="691">
        <f t="shared" ca="1" si="58"/>
        <v>87.654867521058719</v>
      </c>
      <c r="K25" s="691">
        <f t="shared" ca="1" si="58"/>
        <v>2.4108529550428361</v>
      </c>
      <c r="L25" s="691">
        <f t="shared" ca="1" si="58"/>
        <v>0</v>
      </c>
      <c r="M25" s="691">
        <f t="shared" ca="1" si="58"/>
        <v>18.817339999999998</v>
      </c>
      <c r="N25" s="691">
        <f t="shared" ca="1" si="58"/>
        <v>0</v>
      </c>
      <c r="O25" s="691">
        <f t="shared" ca="1" si="58"/>
        <v>0</v>
      </c>
      <c r="P25" s="691">
        <f t="shared" ca="1" si="58"/>
        <v>0</v>
      </c>
      <c r="Q25" s="693">
        <f t="shared" ca="1" si="59"/>
        <v>108.88306047610156</v>
      </c>
      <c r="S25" s="700">
        <f t="shared" ca="1" si="60"/>
        <v>-0.10120000000000001</v>
      </c>
      <c r="T25" s="700">
        <f t="shared" ca="1" si="60"/>
        <v>0</v>
      </c>
      <c r="U25" s="700">
        <f t="shared" ca="1" si="60"/>
        <v>0</v>
      </c>
      <c r="V25" s="700">
        <f t="shared" ca="1" si="60"/>
        <v>-108.78186047610156</v>
      </c>
      <c r="W25" s="700">
        <f t="shared" ca="1" si="60"/>
        <v>0</v>
      </c>
      <c r="X25" s="700">
        <f t="shared" ca="1" si="61"/>
        <v>0</v>
      </c>
      <c r="Y25" s="700">
        <f t="shared" ca="1" si="61"/>
        <v>0</v>
      </c>
      <c r="Z25" s="700">
        <f t="shared" ca="1" si="61"/>
        <v>0</v>
      </c>
      <c r="AA25" s="700">
        <f t="shared" ca="1" si="60"/>
        <v>0</v>
      </c>
      <c r="AB25" s="700">
        <f t="shared" ca="1" si="60"/>
        <v>0</v>
      </c>
      <c r="AC25" s="700">
        <f t="shared" ca="1" si="60"/>
        <v>0</v>
      </c>
      <c r="AD25" s="700">
        <f t="shared" ca="1" si="60"/>
        <v>0</v>
      </c>
      <c r="AE25" s="700">
        <f t="shared" ca="1" si="60"/>
        <v>0</v>
      </c>
      <c r="AF25" s="700">
        <f t="shared" ca="1" si="60"/>
        <v>0</v>
      </c>
      <c r="AG25" s="700">
        <f t="shared" ca="1" si="60"/>
        <v>0</v>
      </c>
      <c r="AH25" s="700">
        <f t="shared" ca="1" si="60"/>
        <v>0</v>
      </c>
      <c r="AI25" s="700">
        <f t="shared" ca="1" si="60"/>
        <v>0</v>
      </c>
      <c r="AJ25" s="700">
        <f t="shared" ca="1" si="60"/>
        <v>0</v>
      </c>
      <c r="AK25" s="701">
        <f t="shared" ca="1" si="62"/>
        <v>-108.88306047610156</v>
      </c>
      <c r="AM25" s="712">
        <f t="shared" ca="1" si="63"/>
        <v>0</v>
      </c>
      <c r="AN25" s="712">
        <f t="shared" ca="1" si="63"/>
        <v>0</v>
      </c>
      <c r="AO25" s="712">
        <f t="shared" ca="1" si="63"/>
        <v>0</v>
      </c>
      <c r="AP25" s="712">
        <f t="shared" ca="1" si="63"/>
        <v>0</v>
      </c>
      <c r="AQ25" s="712">
        <f t="shared" ca="1" si="63"/>
        <v>0</v>
      </c>
      <c r="AR25" s="712">
        <f t="shared" ca="1" si="63"/>
        <v>0</v>
      </c>
      <c r="AS25" s="712">
        <f t="shared" ca="1" si="63"/>
        <v>0</v>
      </c>
      <c r="AT25" s="712">
        <f t="shared" ca="1" si="63"/>
        <v>0</v>
      </c>
      <c r="AU25" s="712">
        <f t="shared" ca="1" si="63"/>
        <v>0</v>
      </c>
      <c r="AV25" s="712">
        <f t="shared" ca="1" si="60"/>
        <v>0</v>
      </c>
      <c r="AW25" s="712">
        <f t="shared" ca="1" si="60"/>
        <v>0</v>
      </c>
      <c r="AX25" s="712">
        <f t="shared" ca="1" si="60"/>
        <v>0</v>
      </c>
      <c r="AY25" s="712">
        <f t="shared" ca="1" si="60"/>
        <v>0</v>
      </c>
      <c r="AZ25" s="712">
        <f t="shared" ca="1" si="60"/>
        <v>0</v>
      </c>
      <c r="BA25" s="712">
        <f t="shared" ca="1" si="60"/>
        <v>0</v>
      </c>
      <c r="BB25" s="712">
        <f t="shared" ca="1" si="60"/>
        <v>0</v>
      </c>
      <c r="BC25" s="712">
        <f t="shared" ca="1" si="60"/>
        <v>0</v>
      </c>
      <c r="BD25" s="712">
        <f t="shared" ca="1" si="60"/>
        <v>0</v>
      </c>
      <c r="BE25" s="712">
        <f t="shared" ca="1" si="60"/>
        <v>0</v>
      </c>
      <c r="BF25" s="654">
        <f t="shared" ca="1" si="64"/>
        <v>0</v>
      </c>
      <c r="BH25" s="706">
        <f t="shared" ca="1" si="65"/>
        <v>0</v>
      </c>
      <c r="BI25" s="706">
        <f t="shared" ca="1" si="65"/>
        <v>0</v>
      </c>
      <c r="BJ25" s="708">
        <f t="shared" ca="1" si="66"/>
        <v>0</v>
      </c>
      <c r="BL25" s="562">
        <f t="shared" ca="1" si="9"/>
        <v>0</v>
      </c>
      <c r="BM25" s="562"/>
      <c r="BN25" s="574"/>
      <c r="BO25" s="1017">
        <f t="shared" ca="1" si="67"/>
        <v>27.195465119025389</v>
      </c>
      <c r="BP25" s="1018">
        <f t="shared" ca="1" si="67"/>
        <v>3.3858246712257449E-2</v>
      </c>
      <c r="BQ25" s="1018">
        <f t="shared" ca="1" si="67"/>
        <v>0.48930214346407658</v>
      </c>
      <c r="BR25" s="1018">
        <f t="shared" ca="1" si="67"/>
        <v>0</v>
      </c>
      <c r="BS25" s="1018">
        <f t="shared" ca="1" si="67"/>
        <v>0</v>
      </c>
      <c r="BT25" s="1018">
        <f t="shared" ca="1" si="67"/>
        <v>0</v>
      </c>
      <c r="BU25" s="1018">
        <f t="shared" ca="1" si="67"/>
        <v>0</v>
      </c>
      <c r="BV25" s="1018">
        <f t="shared" ca="1" si="67"/>
        <v>0</v>
      </c>
      <c r="BW25" s="1018">
        <f t="shared" ca="1" si="67"/>
        <v>0</v>
      </c>
      <c r="BX25" s="1018">
        <f t="shared" ca="1" si="67"/>
        <v>0</v>
      </c>
      <c r="BY25" s="1018">
        <f t="shared" ca="1" si="68"/>
        <v>0</v>
      </c>
      <c r="BZ25" s="1018">
        <f t="shared" ca="1" si="68"/>
        <v>0</v>
      </c>
      <c r="CA25" s="1018">
        <f t="shared" ca="1" si="68"/>
        <v>0</v>
      </c>
      <c r="CB25" s="1018">
        <f t="shared" ca="1" si="68"/>
        <v>0</v>
      </c>
      <c r="CC25" s="1018">
        <f t="shared" ca="1" si="68"/>
        <v>0</v>
      </c>
      <c r="CD25" s="1018">
        <f t="shared" ca="1" si="68"/>
        <v>0</v>
      </c>
      <c r="CE25" s="1018">
        <f t="shared" ca="1" si="68"/>
        <v>0</v>
      </c>
      <c r="CF25" s="1018">
        <f t="shared" ca="1" si="68"/>
        <v>0</v>
      </c>
      <c r="CG25" s="1018">
        <f t="shared" ca="1" si="68"/>
        <v>0</v>
      </c>
      <c r="CH25" s="1018">
        <f t="shared" ca="1" si="68"/>
        <v>0</v>
      </c>
      <c r="CI25" s="1018">
        <f t="shared" ca="1" si="69"/>
        <v>0</v>
      </c>
      <c r="CJ25" s="1018">
        <f t="shared" ca="1" si="69"/>
        <v>0</v>
      </c>
      <c r="CK25" s="1018">
        <f t="shared" ca="1" si="69"/>
        <v>0</v>
      </c>
      <c r="CL25" s="1018">
        <f t="shared" ca="1" si="69"/>
        <v>0</v>
      </c>
      <c r="CM25" s="1018">
        <f t="shared" ca="1" si="69"/>
        <v>0</v>
      </c>
      <c r="CN25" s="1018">
        <f t="shared" ca="1" si="69"/>
        <v>0</v>
      </c>
      <c r="CO25" s="1018">
        <f t="shared" ca="1" si="69"/>
        <v>0</v>
      </c>
      <c r="CP25" s="1018">
        <f t="shared" ca="1" si="69"/>
        <v>0</v>
      </c>
      <c r="CQ25" s="1018">
        <f t="shared" ca="1" si="69"/>
        <v>0</v>
      </c>
      <c r="CR25" s="1018">
        <f t="shared" ca="1" si="69"/>
        <v>0</v>
      </c>
      <c r="CS25" s="1018">
        <f t="shared" ca="1" si="70"/>
        <v>0</v>
      </c>
      <c r="CT25" s="1018">
        <f t="shared" ca="1" si="70"/>
        <v>0</v>
      </c>
      <c r="CU25" s="1018">
        <f t="shared" ca="1" si="70"/>
        <v>0</v>
      </c>
      <c r="CV25" s="1018">
        <f t="shared" ca="1" si="70"/>
        <v>0</v>
      </c>
      <c r="CW25" s="1018">
        <f t="shared" ca="1" si="70"/>
        <v>0</v>
      </c>
      <c r="CX25" s="1018">
        <f t="shared" ca="1" si="70"/>
        <v>0</v>
      </c>
      <c r="CY25" s="1018">
        <f t="shared" ca="1" si="70"/>
        <v>0</v>
      </c>
      <c r="CZ25" s="1018">
        <f t="shared" ca="1" si="70"/>
        <v>0</v>
      </c>
      <c r="DA25" s="1018">
        <f t="shared" ca="1" si="70"/>
        <v>0</v>
      </c>
      <c r="DB25" s="1018">
        <f t="shared" ca="1" si="70"/>
        <v>0</v>
      </c>
      <c r="DC25" s="1018">
        <f t="shared" ca="1" si="70"/>
        <v>0</v>
      </c>
      <c r="DD25" s="1018">
        <f t="shared" ca="1" si="70"/>
        <v>0</v>
      </c>
      <c r="DE25" s="1018">
        <f t="shared" ca="1" si="70"/>
        <v>0</v>
      </c>
      <c r="DF25" s="1018">
        <f t="shared" ca="1" si="70"/>
        <v>0</v>
      </c>
      <c r="DH25" s="572">
        <f t="shared" ca="1" si="35"/>
        <v>27.718625509201722</v>
      </c>
    </row>
    <row r="26" spans="1:112" s="528" customFormat="1" ht="10.5" customHeight="1" outlineLevel="2">
      <c r="A26" s="1016"/>
      <c r="B26" s="1016"/>
      <c r="C26" s="530" t="s">
        <v>687</v>
      </c>
      <c r="D26" s="507" t="str">
        <f>INDEX(Modules[Module], MATCH($C26, Modules[Code], 0))</f>
        <v>International aviation</v>
      </c>
      <c r="E26" s="680"/>
      <c r="G26" s="691">
        <f t="shared" ca="1" si="58"/>
        <v>0</v>
      </c>
      <c r="H26" s="691">
        <f t="shared" ca="1" si="58"/>
        <v>0</v>
      </c>
      <c r="I26" s="691">
        <f t="shared" ca="1" si="58"/>
        <v>0</v>
      </c>
      <c r="J26" s="691">
        <f t="shared" ca="1" si="58"/>
        <v>0</v>
      </c>
      <c r="K26" s="691">
        <f t="shared" ca="1" si="58"/>
        <v>0</v>
      </c>
      <c r="L26" s="691">
        <f t="shared" ca="1" si="58"/>
        <v>0</v>
      </c>
      <c r="M26" s="691">
        <f t="shared" ca="1" si="58"/>
        <v>0</v>
      </c>
      <c r="N26" s="691">
        <f t="shared" ca="1" si="58"/>
        <v>152.80000000000001</v>
      </c>
      <c r="O26" s="691">
        <f t="shared" ca="1" si="58"/>
        <v>0</v>
      </c>
      <c r="P26" s="691">
        <f t="shared" ca="1" si="58"/>
        <v>0</v>
      </c>
      <c r="Q26" s="693">
        <f t="shared" ca="1" si="59"/>
        <v>152.80000000000001</v>
      </c>
      <c r="S26" s="700">
        <f t="shared" ca="1" si="60"/>
        <v>0</v>
      </c>
      <c r="T26" s="700">
        <f t="shared" ca="1" si="60"/>
        <v>0</v>
      </c>
      <c r="U26" s="700">
        <f t="shared" ca="1" si="60"/>
        <v>0</v>
      </c>
      <c r="V26" s="700">
        <f t="shared" ca="1" si="60"/>
        <v>-152.80000000000001</v>
      </c>
      <c r="W26" s="700">
        <f t="shared" ca="1" si="60"/>
        <v>0</v>
      </c>
      <c r="X26" s="700">
        <f t="shared" ca="1" si="61"/>
        <v>0</v>
      </c>
      <c r="Y26" s="700">
        <f t="shared" ca="1" si="61"/>
        <v>0</v>
      </c>
      <c r="Z26" s="700">
        <f t="shared" ca="1" si="61"/>
        <v>0</v>
      </c>
      <c r="AA26" s="700">
        <f t="shared" ca="1" si="60"/>
        <v>0</v>
      </c>
      <c r="AB26" s="700">
        <f t="shared" ca="1" si="60"/>
        <v>0</v>
      </c>
      <c r="AC26" s="700">
        <f t="shared" ca="1" si="60"/>
        <v>0</v>
      </c>
      <c r="AD26" s="700">
        <f t="shared" ca="1" si="60"/>
        <v>0</v>
      </c>
      <c r="AE26" s="700">
        <f t="shared" ca="1" si="60"/>
        <v>0</v>
      </c>
      <c r="AF26" s="700">
        <f t="shared" ca="1" si="60"/>
        <v>0</v>
      </c>
      <c r="AG26" s="700">
        <f t="shared" ca="1" si="60"/>
        <v>0</v>
      </c>
      <c r="AH26" s="700">
        <f t="shared" ca="1" si="60"/>
        <v>0</v>
      </c>
      <c r="AI26" s="700">
        <f t="shared" ca="1" si="60"/>
        <v>0</v>
      </c>
      <c r="AJ26" s="700">
        <f t="shared" ca="1" si="60"/>
        <v>0</v>
      </c>
      <c r="AK26" s="701">
        <f t="shared" ca="1" si="62"/>
        <v>-152.80000000000001</v>
      </c>
      <c r="AM26" s="712">
        <f t="shared" ca="1" si="63"/>
        <v>0</v>
      </c>
      <c r="AN26" s="712">
        <f t="shared" ca="1" si="63"/>
        <v>0</v>
      </c>
      <c r="AO26" s="712">
        <f t="shared" ca="1" si="63"/>
        <v>0</v>
      </c>
      <c r="AP26" s="712">
        <f t="shared" ca="1" si="63"/>
        <v>0</v>
      </c>
      <c r="AQ26" s="712">
        <f t="shared" ca="1" si="63"/>
        <v>0</v>
      </c>
      <c r="AR26" s="712">
        <f t="shared" ca="1" si="63"/>
        <v>0</v>
      </c>
      <c r="AS26" s="712">
        <f t="shared" ca="1" si="63"/>
        <v>0</v>
      </c>
      <c r="AT26" s="712">
        <f t="shared" ca="1" si="63"/>
        <v>0</v>
      </c>
      <c r="AU26" s="712">
        <f t="shared" ca="1" si="63"/>
        <v>0</v>
      </c>
      <c r="AV26" s="712">
        <f t="shared" ca="1" si="60"/>
        <v>0</v>
      </c>
      <c r="AW26" s="712">
        <f t="shared" ca="1" si="60"/>
        <v>0</v>
      </c>
      <c r="AX26" s="712">
        <f t="shared" ca="1" si="60"/>
        <v>0</v>
      </c>
      <c r="AY26" s="712">
        <f t="shared" ca="1" si="60"/>
        <v>0</v>
      </c>
      <c r="AZ26" s="712">
        <f t="shared" ca="1" si="60"/>
        <v>0</v>
      </c>
      <c r="BA26" s="712">
        <f t="shared" ca="1" si="60"/>
        <v>0</v>
      </c>
      <c r="BB26" s="712">
        <f t="shared" ca="1" si="60"/>
        <v>0</v>
      </c>
      <c r="BC26" s="712">
        <f t="shared" ca="1" si="60"/>
        <v>0</v>
      </c>
      <c r="BD26" s="712">
        <f t="shared" ca="1" si="60"/>
        <v>0</v>
      </c>
      <c r="BE26" s="712">
        <f t="shared" ca="1" si="60"/>
        <v>0</v>
      </c>
      <c r="BF26" s="652">
        <f t="shared" ca="1" si="64"/>
        <v>0</v>
      </c>
      <c r="BH26" s="706">
        <f t="shared" ca="1" si="65"/>
        <v>0</v>
      </c>
      <c r="BI26" s="706">
        <f t="shared" ca="1" si="65"/>
        <v>0</v>
      </c>
      <c r="BJ26" s="708">
        <f t="shared" ca="1" si="66"/>
        <v>0</v>
      </c>
      <c r="BL26" s="508">
        <f t="shared" ca="1" si="9"/>
        <v>0</v>
      </c>
      <c r="BM26" s="508"/>
      <c r="BN26" s="574"/>
      <c r="BO26" s="1017">
        <f t="shared" ca="1" si="67"/>
        <v>0</v>
      </c>
      <c r="BP26" s="1018">
        <f t="shared" ca="1" si="67"/>
        <v>0</v>
      </c>
      <c r="BQ26" s="1018">
        <f t="shared" ca="1" si="67"/>
        <v>0</v>
      </c>
      <c r="BR26" s="1018">
        <f t="shared" ca="1" si="67"/>
        <v>0</v>
      </c>
      <c r="BS26" s="1018">
        <f t="shared" ca="1" si="67"/>
        <v>0</v>
      </c>
      <c r="BT26" s="1018">
        <f t="shared" ca="1" si="67"/>
        <v>0</v>
      </c>
      <c r="BU26" s="1018">
        <f t="shared" ca="1" si="67"/>
        <v>0</v>
      </c>
      <c r="BV26" s="1018">
        <f t="shared" ca="1" si="67"/>
        <v>0</v>
      </c>
      <c r="BW26" s="1018">
        <f t="shared" ca="1" si="67"/>
        <v>0</v>
      </c>
      <c r="BX26" s="1018">
        <f t="shared" ca="1" si="67"/>
        <v>0</v>
      </c>
      <c r="BY26" s="1018">
        <f t="shared" ca="1" si="68"/>
        <v>0</v>
      </c>
      <c r="BZ26" s="1018">
        <f t="shared" ca="1" si="68"/>
        <v>0</v>
      </c>
      <c r="CA26" s="1018">
        <f t="shared" ca="1" si="68"/>
        <v>0</v>
      </c>
      <c r="CB26" s="1018">
        <f t="shared" ca="1" si="68"/>
        <v>0</v>
      </c>
      <c r="CC26" s="1018">
        <f t="shared" ca="1" si="68"/>
        <v>0</v>
      </c>
      <c r="CD26" s="1018">
        <f t="shared" ca="1" si="68"/>
        <v>0</v>
      </c>
      <c r="CE26" s="1018">
        <f t="shared" ca="1" si="68"/>
        <v>0</v>
      </c>
      <c r="CF26" s="1018">
        <f t="shared" ca="1" si="68"/>
        <v>0</v>
      </c>
      <c r="CG26" s="1018">
        <f t="shared" ca="1" si="68"/>
        <v>0</v>
      </c>
      <c r="CH26" s="1018">
        <f t="shared" ca="1" si="68"/>
        <v>0</v>
      </c>
      <c r="CI26" s="1018">
        <f t="shared" ca="1" si="69"/>
        <v>0</v>
      </c>
      <c r="CJ26" s="1018">
        <f t="shared" ca="1" si="69"/>
        <v>0</v>
      </c>
      <c r="CK26" s="1018">
        <f t="shared" ca="1" si="69"/>
        <v>0</v>
      </c>
      <c r="CL26" s="1018">
        <f t="shared" ca="1" si="69"/>
        <v>0</v>
      </c>
      <c r="CM26" s="1018">
        <f t="shared" ca="1" si="69"/>
        <v>0</v>
      </c>
      <c r="CN26" s="1018">
        <f t="shared" ca="1" si="69"/>
        <v>0</v>
      </c>
      <c r="CO26" s="1018">
        <f t="shared" ca="1" si="69"/>
        <v>0</v>
      </c>
      <c r="CP26" s="1018">
        <f t="shared" ca="1" si="69"/>
        <v>0</v>
      </c>
      <c r="CQ26" s="1018">
        <f t="shared" ca="1" si="69"/>
        <v>0</v>
      </c>
      <c r="CR26" s="1018">
        <f t="shared" ca="1" si="69"/>
        <v>0</v>
      </c>
      <c r="CS26" s="1018">
        <f t="shared" ca="1" si="70"/>
        <v>0</v>
      </c>
      <c r="CT26" s="1018">
        <f t="shared" ca="1" si="70"/>
        <v>0</v>
      </c>
      <c r="CU26" s="1018">
        <f t="shared" ca="1" si="70"/>
        <v>38.200000000000003</v>
      </c>
      <c r="CV26" s="1018">
        <f t="shared" ca="1" si="70"/>
        <v>4.7558849195905424E-2</v>
      </c>
      <c r="CW26" s="1018">
        <f t="shared" ca="1" si="70"/>
        <v>0.68729627526214465</v>
      </c>
      <c r="CX26" s="1018">
        <f t="shared" ca="1" si="70"/>
        <v>0</v>
      </c>
      <c r="CY26" s="1018">
        <f t="shared" ca="1" si="70"/>
        <v>0</v>
      </c>
      <c r="CZ26" s="1018">
        <f t="shared" ca="1" si="70"/>
        <v>0</v>
      </c>
      <c r="DA26" s="1018">
        <f t="shared" ca="1" si="70"/>
        <v>0</v>
      </c>
      <c r="DB26" s="1018">
        <f t="shared" ca="1" si="70"/>
        <v>0</v>
      </c>
      <c r="DC26" s="1018">
        <f t="shared" ca="1" si="70"/>
        <v>0</v>
      </c>
      <c r="DD26" s="1018">
        <f t="shared" ca="1" si="70"/>
        <v>0</v>
      </c>
      <c r="DE26" s="1018">
        <f t="shared" ca="1" si="70"/>
        <v>0</v>
      </c>
      <c r="DF26" s="1018">
        <f t="shared" ca="1" si="70"/>
        <v>0</v>
      </c>
      <c r="DH26" s="572">
        <f t="shared" ca="1" si="35"/>
        <v>38.934855124458053</v>
      </c>
    </row>
    <row r="27" spans="1:112" s="528" customFormat="1" ht="10.5" customHeight="1" outlineLevel="2">
      <c r="A27" s="1019"/>
      <c r="B27" s="1019"/>
      <c r="C27" s="683" t="s">
        <v>710</v>
      </c>
      <c r="D27" s="679" t="str">
        <f>INDEX(Modules[Module], MATCH($C27, Modules[Code], 0))</f>
        <v>Domestic aviation [UNUSED - see XII.a]</v>
      </c>
      <c r="E27" s="680"/>
      <c r="G27" s="692">
        <f t="shared" ca="1" si="58"/>
        <v>0</v>
      </c>
      <c r="H27" s="692">
        <f t="shared" ca="1" si="58"/>
        <v>0</v>
      </c>
      <c r="I27" s="692">
        <f t="shared" ca="1" si="58"/>
        <v>0</v>
      </c>
      <c r="J27" s="692">
        <f t="shared" ca="1" si="58"/>
        <v>0</v>
      </c>
      <c r="K27" s="692">
        <f t="shared" ca="1" si="58"/>
        <v>0</v>
      </c>
      <c r="L27" s="692">
        <f t="shared" ca="1" si="58"/>
        <v>0</v>
      </c>
      <c r="M27" s="692">
        <f t="shared" ca="1" si="58"/>
        <v>0</v>
      </c>
      <c r="N27" s="692">
        <f t="shared" ca="1" si="58"/>
        <v>0</v>
      </c>
      <c r="O27" s="692">
        <f t="shared" ca="1" si="58"/>
        <v>0</v>
      </c>
      <c r="P27" s="692">
        <f t="shared" ca="1" si="58"/>
        <v>0</v>
      </c>
      <c r="Q27" s="698">
        <f t="shared" ca="1" si="59"/>
        <v>0</v>
      </c>
      <c r="S27" s="702">
        <f t="shared" ca="1" si="60"/>
        <v>0</v>
      </c>
      <c r="T27" s="702">
        <f t="shared" ca="1" si="60"/>
        <v>0</v>
      </c>
      <c r="U27" s="702">
        <f t="shared" ca="1" si="60"/>
        <v>0</v>
      </c>
      <c r="V27" s="702">
        <f t="shared" ca="1" si="60"/>
        <v>0</v>
      </c>
      <c r="W27" s="702">
        <f t="shared" ca="1" si="60"/>
        <v>0</v>
      </c>
      <c r="X27" s="702">
        <f t="shared" ca="1" si="61"/>
        <v>0</v>
      </c>
      <c r="Y27" s="702">
        <f t="shared" ca="1" si="61"/>
        <v>0</v>
      </c>
      <c r="Z27" s="702">
        <f t="shared" ca="1" si="61"/>
        <v>0</v>
      </c>
      <c r="AA27" s="702">
        <f t="shared" ca="1" si="60"/>
        <v>0</v>
      </c>
      <c r="AB27" s="702">
        <f t="shared" ca="1" si="60"/>
        <v>0</v>
      </c>
      <c r="AC27" s="702">
        <f t="shared" ca="1" si="60"/>
        <v>0</v>
      </c>
      <c r="AD27" s="702">
        <f t="shared" ca="1" si="60"/>
        <v>0</v>
      </c>
      <c r="AE27" s="702">
        <f t="shared" ca="1" si="60"/>
        <v>0</v>
      </c>
      <c r="AF27" s="702">
        <f t="shared" ca="1" si="60"/>
        <v>0</v>
      </c>
      <c r="AG27" s="702">
        <f t="shared" ca="1" si="60"/>
        <v>0</v>
      </c>
      <c r="AH27" s="702">
        <f t="shared" ca="1" si="60"/>
        <v>0</v>
      </c>
      <c r="AI27" s="702">
        <f t="shared" ca="1" si="60"/>
        <v>0</v>
      </c>
      <c r="AJ27" s="702">
        <f t="shared" ca="1" si="60"/>
        <v>0</v>
      </c>
      <c r="AK27" s="703">
        <f t="shared" ca="1" si="62"/>
        <v>0</v>
      </c>
      <c r="AM27" s="713">
        <f t="shared" ca="1" si="63"/>
        <v>0</v>
      </c>
      <c r="AN27" s="713">
        <f t="shared" ca="1" si="63"/>
        <v>0</v>
      </c>
      <c r="AO27" s="713">
        <f t="shared" ca="1" si="63"/>
        <v>0</v>
      </c>
      <c r="AP27" s="713">
        <f t="shared" ca="1" si="63"/>
        <v>0</v>
      </c>
      <c r="AQ27" s="713">
        <f t="shared" ca="1" si="63"/>
        <v>0</v>
      </c>
      <c r="AR27" s="713">
        <f t="shared" ca="1" si="63"/>
        <v>0</v>
      </c>
      <c r="AS27" s="713">
        <f t="shared" ca="1" si="63"/>
        <v>0</v>
      </c>
      <c r="AT27" s="713">
        <f t="shared" ca="1" si="63"/>
        <v>0</v>
      </c>
      <c r="AU27" s="713">
        <f t="shared" ca="1" si="63"/>
        <v>0</v>
      </c>
      <c r="AV27" s="713">
        <f t="shared" ca="1" si="60"/>
        <v>0</v>
      </c>
      <c r="AW27" s="713">
        <f t="shared" ca="1" si="60"/>
        <v>0</v>
      </c>
      <c r="AX27" s="713">
        <f t="shared" ca="1" si="60"/>
        <v>0</v>
      </c>
      <c r="AY27" s="713">
        <f t="shared" ca="1" si="60"/>
        <v>0</v>
      </c>
      <c r="AZ27" s="713">
        <f t="shared" ca="1" si="60"/>
        <v>0</v>
      </c>
      <c r="BA27" s="713">
        <f t="shared" ca="1" si="60"/>
        <v>0</v>
      </c>
      <c r="BB27" s="713">
        <f t="shared" ca="1" si="60"/>
        <v>0</v>
      </c>
      <c r="BC27" s="713">
        <f t="shared" ca="1" si="60"/>
        <v>0</v>
      </c>
      <c r="BD27" s="713">
        <f t="shared" ca="1" si="60"/>
        <v>0</v>
      </c>
      <c r="BE27" s="713">
        <f t="shared" ca="1" si="60"/>
        <v>0</v>
      </c>
      <c r="BF27" s="682">
        <f t="shared" ca="1" si="64"/>
        <v>0</v>
      </c>
      <c r="BH27" s="707">
        <f t="shared" ca="1" si="65"/>
        <v>0</v>
      </c>
      <c r="BI27" s="707">
        <f t="shared" ca="1" si="65"/>
        <v>0</v>
      </c>
      <c r="BJ27" s="718">
        <f t="shared" ca="1" si="66"/>
        <v>0</v>
      </c>
      <c r="BL27" s="681">
        <f t="shared" ca="1" si="9"/>
        <v>0</v>
      </c>
      <c r="BM27" s="681"/>
      <c r="BN27" s="574"/>
      <c r="BO27" s="1017">
        <f t="shared" ca="1" si="67"/>
        <v>0</v>
      </c>
      <c r="BP27" s="1018">
        <f t="shared" ca="1" si="67"/>
        <v>0</v>
      </c>
      <c r="BQ27" s="1018">
        <f t="shared" ca="1" si="67"/>
        <v>0</v>
      </c>
      <c r="BR27" s="1018">
        <f t="shared" ca="1" si="67"/>
        <v>0</v>
      </c>
      <c r="BS27" s="1018">
        <f t="shared" ca="1" si="67"/>
        <v>0</v>
      </c>
      <c r="BT27" s="1018">
        <f t="shared" ca="1" si="67"/>
        <v>0</v>
      </c>
      <c r="BU27" s="1018">
        <f t="shared" ca="1" si="67"/>
        <v>0</v>
      </c>
      <c r="BV27" s="1018">
        <f t="shared" ca="1" si="67"/>
        <v>0</v>
      </c>
      <c r="BW27" s="1018">
        <f t="shared" ca="1" si="67"/>
        <v>0</v>
      </c>
      <c r="BX27" s="1018">
        <f t="shared" ca="1" si="67"/>
        <v>0</v>
      </c>
      <c r="BY27" s="1018">
        <f t="shared" ca="1" si="68"/>
        <v>0</v>
      </c>
      <c r="BZ27" s="1018">
        <f t="shared" ca="1" si="68"/>
        <v>0</v>
      </c>
      <c r="CA27" s="1018">
        <f t="shared" ca="1" si="68"/>
        <v>0</v>
      </c>
      <c r="CB27" s="1018">
        <f t="shared" ca="1" si="68"/>
        <v>0</v>
      </c>
      <c r="CC27" s="1018">
        <f t="shared" ca="1" si="68"/>
        <v>0</v>
      </c>
      <c r="CD27" s="1018">
        <f t="shared" ca="1" si="68"/>
        <v>0</v>
      </c>
      <c r="CE27" s="1018">
        <f t="shared" ca="1" si="68"/>
        <v>0</v>
      </c>
      <c r="CF27" s="1018">
        <f t="shared" ca="1" si="68"/>
        <v>0</v>
      </c>
      <c r="CG27" s="1018">
        <f t="shared" ca="1" si="68"/>
        <v>0</v>
      </c>
      <c r="CH27" s="1018">
        <f t="shared" ca="1" si="68"/>
        <v>0</v>
      </c>
      <c r="CI27" s="1018">
        <f t="shared" ca="1" si="69"/>
        <v>0</v>
      </c>
      <c r="CJ27" s="1018">
        <f t="shared" ca="1" si="69"/>
        <v>0</v>
      </c>
      <c r="CK27" s="1018">
        <f t="shared" ca="1" si="69"/>
        <v>0</v>
      </c>
      <c r="CL27" s="1018">
        <f t="shared" ca="1" si="69"/>
        <v>0</v>
      </c>
      <c r="CM27" s="1018">
        <f t="shared" ca="1" si="69"/>
        <v>0</v>
      </c>
      <c r="CN27" s="1018">
        <f t="shared" ca="1" si="69"/>
        <v>0</v>
      </c>
      <c r="CO27" s="1018">
        <f t="shared" ca="1" si="69"/>
        <v>0</v>
      </c>
      <c r="CP27" s="1018">
        <f t="shared" ca="1" si="69"/>
        <v>0</v>
      </c>
      <c r="CQ27" s="1018">
        <f t="shared" ca="1" si="69"/>
        <v>0</v>
      </c>
      <c r="CR27" s="1018">
        <f t="shared" ca="1" si="69"/>
        <v>0</v>
      </c>
      <c r="CS27" s="1018">
        <f t="shared" ca="1" si="70"/>
        <v>0</v>
      </c>
      <c r="CT27" s="1018">
        <f t="shared" ca="1" si="70"/>
        <v>0</v>
      </c>
      <c r="CU27" s="1018">
        <f t="shared" ca="1" si="70"/>
        <v>0</v>
      </c>
      <c r="CV27" s="1018">
        <f t="shared" ca="1" si="70"/>
        <v>0</v>
      </c>
      <c r="CW27" s="1018">
        <f t="shared" ca="1" si="70"/>
        <v>0</v>
      </c>
      <c r="CX27" s="1018">
        <f t="shared" ca="1" si="70"/>
        <v>0</v>
      </c>
      <c r="CY27" s="1018">
        <f t="shared" ca="1" si="70"/>
        <v>0</v>
      </c>
      <c r="CZ27" s="1018">
        <f t="shared" ca="1" si="70"/>
        <v>0</v>
      </c>
      <c r="DA27" s="1018">
        <f t="shared" ca="1" si="70"/>
        <v>0</v>
      </c>
      <c r="DB27" s="1018">
        <f t="shared" ca="1" si="70"/>
        <v>0</v>
      </c>
      <c r="DC27" s="1018">
        <f t="shared" ca="1" si="70"/>
        <v>0</v>
      </c>
      <c r="DD27" s="1018">
        <f t="shared" ca="1" si="70"/>
        <v>0</v>
      </c>
      <c r="DE27" s="1018">
        <f t="shared" ca="1" si="70"/>
        <v>0</v>
      </c>
      <c r="DF27" s="1018">
        <f t="shared" ca="1" si="70"/>
        <v>0</v>
      </c>
      <c r="DH27" s="572">
        <f t="shared" ca="1" si="35"/>
        <v>0</v>
      </c>
    </row>
    <row r="28" spans="1:112" s="528" customFormat="1" ht="10.5" customHeight="1" outlineLevel="1">
      <c r="A28" s="1020"/>
      <c r="B28" s="1020"/>
      <c r="C28" s="530"/>
      <c r="D28" s="507" t="s">
        <v>716</v>
      </c>
      <c r="E28" s="680"/>
      <c r="G28" s="693">
        <f ca="1">SUM(G26:G27)</f>
        <v>0</v>
      </c>
      <c r="H28" s="693">
        <f t="shared" ref="H28:P28" ca="1" si="71">SUM(H26:H27)</f>
        <v>0</v>
      </c>
      <c r="I28" s="693">
        <f t="shared" ca="1" si="71"/>
        <v>0</v>
      </c>
      <c r="J28" s="693">
        <f t="shared" ca="1" si="71"/>
        <v>0</v>
      </c>
      <c r="K28" s="693">
        <f t="shared" ca="1" si="71"/>
        <v>0</v>
      </c>
      <c r="L28" s="693">
        <f t="shared" ca="1" si="71"/>
        <v>0</v>
      </c>
      <c r="M28" s="693">
        <f t="shared" ca="1" si="71"/>
        <v>0</v>
      </c>
      <c r="N28" s="693">
        <f ca="1">SUM(N26:N27)</f>
        <v>152.80000000000001</v>
      </c>
      <c r="O28" s="693">
        <f ca="1">SUM(O26:O27)</f>
        <v>0</v>
      </c>
      <c r="P28" s="693">
        <f t="shared" ca="1" si="71"/>
        <v>0</v>
      </c>
      <c r="Q28" s="693">
        <f t="shared" ca="1" si="59"/>
        <v>152.80000000000001</v>
      </c>
      <c r="S28" s="701">
        <f t="shared" ref="S28:AJ28" ca="1" si="72">SUM(S26:S27)</f>
        <v>0</v>
      </c>
      <c r="T28" s="701">
        <f t="shared" ca="1" si="72"/>
        <v>0</v>
      </c>
      <c r="U28" s="701">
        <f t="shared" ca="1" si="72"/>
        <v>0</v>
      </c>
      <c r="V28" s="701">
        <f t="shared" ca="1" si="72"/>
        <v>-152.80000000000001</v>
      </c>
      <c r="W28" s="701">
        <f t="shared" ca="1" si="72"/>
        <v>0</v>
      </c>
      <c r="X28" s="701">
        <f t="shared" ca="1" si="72"/>
        <v>0</v>
      </c>
      <c r="Y28" s="701">
        <f t="shared" ca="1" si="72"/>
        <v>0</v>
      </c>
      <c r="Z28" s="701">
        <f t="shared" ca="1" si="72"/>
        <v>0</v>
      </c>
      <c r="AA28" s="701">
        <f t="shared" ca="1" si="72"/>
        <v>0</v>
      </c>
      <c r="AB28" s="701">
        <f t="shared" ca="1" si="72"/>
        <v>0</v>
      </c>
      <c r="AC28" s="701">
        <f t="shared" ca="1" si="72"/>
        <v>0</v>
      </c>
      <c r="AD28" s="701">
        <f t="shared" ca="1" si="72"/>
        <v>0</v>
      </c>
      <c r="AE28" s="701">
        <f ca="1">SUM(AE26:AE27)</f>
        <v>0</v>
      </c>
      <c r="AF28" s="701">
        <f t="shared" ca="1" si="72"/>
        <v>0</v>
      </c>
      <c r="AG28" s="701">
        <f t="shared" ca="1" si="72"/>
        <v>0</v>
      </c>
      <c r="AH28" s="701">
        <f ca="1">SUM(AH26:AH27)</f>
        <v>0</v>
      </c>
      <c r="AI28" s="701">
        <f t="shared" ca="1" si="72"/>
        <v>0</v>
      </c>
      <c r="AJ28" s="701">
        <f t="shared" ca="1" si="72"/>
        <v>0</v>
      </c>
      <c r="AK28" s="701">
        <f t="shared" ca="1" si="62"/>
        <v>-152.80000000000001</v>
      </c>
      <c r="AM28" s="714">
        <f t="shared" ref="AM28:AU28" ca="1" si="73">SUM(AM26:AM27)</f>
        <v>0</v>
      </c>
      <c r="AN28" s="714">
        <f t="shared" ca="1" si="73"/>
        <v>0</v>
      </c>
      <c r="AO28" s="714">
        <f t="shared" ca="1" si="73"/>
        <v>0</v>
      </c>
      <c r="AP28" s="714">
        <f t="shared" ca="1" si="73"/>
        <v>0</v>
      </c>
      <c r="AQ28" s="714">
        <f t="shared" ca="1" si="73"/>
        <v>0</v>
      </c>
      <c r="AR28" s="714">
        <f t="shared" ca="1" si="73"/>
        <v>0</v>
      </c>
      <c r="AS28" s="714">
        <f t="shared" ca="1" si="73"/>
        <v>0</v>
      </c>
      <c r="AT28" s="714">
        <f t="shared" ca="1" si="73"/>
        <v>0</v>
      </c>
      <c r="AU28" s="714">
        <f t="shared" ca="1" si="73"/>
        <v>0</v>
      </c>
      <c r="AV28" s="714">
        <f t="shared" ref="AV28:BE28" ca="1" si="74">SUM(AV26:AV27)</f>
        <v>0</v>
      </c>
      <c r="AW28" s="714">
        <f t="shared" ca="1" si="74"/>
        <v>0</v>
      </c>
      <c r="AX28" s="714">
        <f t="shared" ca="1" si="74"/>
        <v>0</v>
      </c>
      <c r="AY28" s="714">
        <f t="shared" ca="1" si="74"/>
        <v>0</v>
      </c>
      <c r="AZ28" s="714">
        <f t="shared" ca="1" si="74"/>
        <v>0</v>
      </c>
      <c r="BA28" s="714">
        <f t="shared" ca="1" si="74"/>
        <v>0</v>
      </c>
      <c r="BB28" s="714">
        <f t="shared" ca="1" si="74"/>
        <v>0</v>
      </c>
      <c r="BC28" s="714">
        <f t="shared" ca="1" si="74"/>
        <v>0</v>
      </c>
      <c r="BD28" s="714">
        <f ca="1">SUM(BD26:BD27)</f>
        <v>0</v>
      </c>
      <c r="BE28" s="714">
        <f t="shared" ca="1" si="74"/>
        <v>0</v>
      </c>
      <c r="BF28" s="652">
        <f t="shared" ca="1" si="64"/>
        <v>0</v>
      </c>
      <c r="BH28" s="708">
        <f ca="1">SUM(BH26:BH27)</f>
        <v>0</v>
      </c>
      <c r="BI28" s="708">
        <f ca="1">SUM(BI26:BI27)</f>
        <v>0</v>
      </c>
      <c r="BJ28" s="708">
        <f t="shared" ca="1" si="66"/>
        <v>0</v>
      </c>
      <c r="BL28" s="508">
        <f t="shared" ca="1" si="9"/>
        <v>0</v>
      </c>
      <c r="BM28" s="508"/>
      <c r="BN28" s="574"/>
      <c r="BO28" s="1017">
        <f t="shared" ref="BO28:DF28" ca="1" si="75">SUM(BO26:BO27)</f>
        <v>0</v>
      </c>
      <c r="BP28" s="1018">
        <f t="shared" ca="1" si="75"/>
        <v>0</v>
      </c>
      <c r="BQ28" s="1018">
        <f t="shared" ca="1" si="75"/>
        <v>0</v>
      </c>
      <c r="BR28" s="1018">
        <f t="shared" ca="1" si="75"/>
        <v>0</v>
      </c>
      <c r="BS28" s="1018">
        <f t="shared" ca="1" si="75"/>
        <v>0</v>
      </c>
      <c r="BT28" s="1018">
        <f t="shared" ca="1" si="75"/>
        <v>0</v>
      </c>
      <c r="BU28" s="1018">
        <f t="shared" ca="1" si="75"/>
        <v>0</v>
      </c>
      <c r="BV28" s="1018">
        <f t="shared" ca="1" si="75"/>
        <v>0</v>
      </c>
      <c r="BW28" s="1018">
        <f t="shared" ca="1" si="75"/>
        <v>0</v>
      </c>
      <c r="BX28" s="1018">
        <f t="shared" ca="1" si="75"/>
        <v>0</v>
      </c>
      <c r="BY28" s="1018">
        <f t="shared" ca="1" si="75"/>
        <v>0</v>
      </c>
      <c r="BZ28" s="1018">
        <f t="shared" ca="1" si="75"/>
        <v>0</v>
      </c>
      <c r="CA28" s="1018">
        <f t="shared" ca="1" si="75"/>
        <v>0</v>
      </c>
      <c r="CB28" s="1018">
        <f t="shared" ca="1" si="75"/>
        <v>0</v>
      </c>
      <c r="CC28" s="1018">
        <f t="shared" ca="1" si="75"/>
        <v>0</v>
      </c>
      <c r="CD28" s="1018">
        <f t="shared" ca="1" si="75"/>
        <v>0</v>
      </c>
      <c r="CE28" s="1018">
        <f t="shared" ca="1" si="75"/>
        <v>0</v>
      </c>
      <c r="CF28" s="1018">
        <f t="shared" ca="1" si="75"/>
        <v>0</v>
      </c>
      <c r="CG28" s="1018">
        <f t="shared" ca="1" si="75"/>
        <v>0</v>
      </c>
      <c r="CH28" s="1018">
        <f t="shared" ca="1" si="75"/>
        <v>0</v>
      </c>
      <c r="CI28" s="1018">
        <f t="shared" ca="1" si="75"/>
        <v>0</v>
      </c>
      <c r="CJ28" s="1018">
        <f t="shared" ca="1" si="75"/>
        <v>0</v>
      </c>
      <c r="CK28" s="1018">
        <f t="shared" ca="1" si="75"/>
        <v>0</v>
      </c>
      <c r="CL28" s="1018">
        <f t="shared" ca="1" si="75"/>
        <v>0</v>
      </c>
      <c r="CM28" s="1018">
        <f t="shared" ca="1" si="75"/>
        <v>0</v>
      </c>
      <c r="CN28" s="1018">
        <f t="shared" ca="1" si="75"/>
        <v>0</v>
      </c>
      <c r="CO28" s="1018">
        <f t="shared" ca="1" si="75"/>
        <v>0</v>
      </c>
      <c r="CP28" s="1018">
        <f t="shared" ca="1" si="75"/>
        <v>0</v>
      </c>
      <c r="CQ28" s="1018">
        <f t="shared" ca="1" si="75"/>
        <v>0</v>
      </c>
      <c r="CR28" s="1018">
        <f t="shared" ca="1" si="75"/>
        <v>0</v>
      </c>
      <c r="CS28" s="1018">
        <f t="shared" ca="1" si="75"/>
        <v>0</v>
      </c>
      <c r="CT28" s="1018">
        <f t="shared" ca="1" si="75"/>
        <v>0</v>
      </c>
      <c r="CU28" s="1018">
        <f t="shared" ca="1" si="75"/>
        <v>38.200000000000003</v>
      </c>
      <c r="CV28" s="1018">
        <f t="shared" ca="1" si="75"/>
        <v>4.7558849195905424E-2</v>
      </c>
      <c r="CW28" s="1018">
        <f t="shared" ca="1" si="75"/>
        <v>0.68729627526214465</v>
      </c>
      <c r="CX28" s="1018">
        <f t="shared" ca="1" si="75"/>
        <v>0</v>
      </c>
      <c r="CY28" s="1018">
        <f t="shared" ca="1" si="75"/>
        <v>0</v>
      </c>
      <c r="CZ28" s="1018">
        <f t="shared" ca="1" si="75"/>
        <v>0</v>
      </c>
      <c r="DA28" s="1018">
        <f t="shared" ca="1" si="75"/>
        <v>0</v>
      </c>
      <c r="DB28" s="1018">
        <f t="shared" ca="1" si="75"/>
        <v>0</v>
      </c>
      <c r="DC28" s="1018">
        <f t="shared" ca="1" si="75"/>
        <v>0</v>
      </c>
      <c r="DD28" s="1018">
        <f t="shared" ca="1" si="75"/>
        <v>0</v>
      </c>
      <c r="DE28" s="1018">
        <f t="shared" ca="1" si="75"/>
        <v>0</v>
      </c>
      <c r="DF28" s="1018">
        <f t="shared" ca="1" si="75"/>
        <v>0</v>
      </c>
      <c r="DH28" s="572">
        <f t="shared" ca="1" si="35"/>
        <v>38.934855124458053</v>
      </c>
    </row>
    <row r="29" spans="1:112" s="528" customFormat="1" ht="12.75" customHeight="1" outlineLevel="2">
      <c r="A29" s="1016"/>
      <c r="B29" s="1016"/>
      <c r="C29" s="530" t="s">
        <v>713</v>
      </c>
      <c r="D29" s="507" t="str">
        <f>INDEX(Modules[Module], MATCH($C29, Modules[Code], 0))</f>
        <v>International shipping</v>
      </c>
      <c r="E29" s="680"/>
      <c r="G29" s="691">
        <f t="shared" ref="G29:P30" ca="1" si="76">IFERROR(INDEX(INDIRECT($C29&amp;".Outputs["&amp;this.Year&amp;"]"), MATCH(G$5, INDIRECT($C29&amp;".Outputs[Vector]"), 0)), 0)</f>
        <v>0</v>
      </c>
      <c r="H29" s="691">
        <f t="shared" ca="1" si="76"/>
        <v>0</v>
      </c>
      <c r="I29" s="691">
        <f t="shared" ca="1" si="76"/>
        <v>0</v>
      </c>
      <c r="J29" s="691">
        <f t="shared" ca="1" si="76"/>
        <v>0</v>
      </c>
      <c r="K29" s="691">
        <f t="shared" ca="1" si="76"/>
        <v>0</v>
      </c>
      <c r="L29" s="691">
        <f t="shared" ca="1" si="76"/>
        <v>0</v>
      </c>
      <c r="M29" s="691">
        <f t="shared" ca="1" si="76"/>
        <v>0</v>
      </c>
      <c r="N29" s="691">
        <f t="shared" ca="1" si="76"/>
        <v>0</v>
      </c>
      <c r="O29" s="691">
        <f t="shared" ca="1" si="76"/>
        <v>54.158157087257202</v>
      </c>
      <c r="P29" s="691">
        <f t="shared" ca="1" si="76"/>
        <v>0</v>
      </c>
      <c r="Q29" s="693">
        <f t="shared" ca="1" si="59"/>
        <v>54.158157087257202</v>
      </c>
      <c r="S29" s="700">
        <f t="shared" ca="1" si="60"/>
        <v>0</v>
      </c>
      <c r="T29" s="700">
        <f t="shared" ca="1" si="60"/>
        <v>0</v>
      </c>
      <c r="U29" s="700">
        <f t="shared" ca="1" si="60"/>
        <v>0</v>
      </c>
      <c r="V29" s="700">
        <f t="shared" ca="1" si="60"/>
        <v>-54.158157087257202</v>
      </c>
      <c r="W29" s="700">
        <f t="shared" ca="1" si="60"/>
        <v>0</v>
      </c>
      <c r="X29" s="700">
        <f t="shared" ref="X29:Z30" ca="1" si="77">IFERROR(INDEX(INDIRECT($C29&amp;".Outputs["&amp;this.Year&amp;"]"), MATCH(X$5, INDIRECT($C29&amp;".Outputs[Vector]"), 0)), 0)</f>
        <v>0</v>
      </c>
      <c r="Y29" s="700">
        <f t="shared" ca="1" si="77"/>
        <v>0</v>
      </c>
      <c r="Z29" s="700">
        <f t="shared" ca="1" si="77"/>
        <v>0</v>
      </c>
      <c r="AA29" s="700">
        <f t="shared" ca="1" si="60"/>
        <v>0</v>
      </c>
      <c r="AB29" s="700">
        <f t="shared" ca="1" si="60"/>
        <v>0</v>
      </c>
      <c r="AC29" s="700">
        <f t="shared" ca="1" si="60"/>
        <v>0</v>
      </c>
      <c r="AD29" s="700">
        <f t="shared" ca="1" si="60"/>
        <v>0</v>
      </c>
      <c r="AE29" s="700">
        <f t="shared" ca="1" si="60"/>
        <v>0</v>
      </c>
      <c r="AF29" s="700">
        <f t="shared" ca="1" si="60"/>
        <v>0</v>
      </c>
      <c r="AG29" s="700">
        <f t="shared" ca="1" si="60"/>
        <v>0</v>
      </c>
      <c r="AH29" s="700">
        <f t="shared" ca="1" si="60"/>
        <v>0</v>
      </c>
      <c r="AI29" s="700">
        <f t="shared" ca="1" si="60"/>
        <v>0</v>
      </c>
      <c r="AJ29" s="700">
        <f t="shared" ca="1" si="60"/>
        <v>0</v>
      </c>
      <c r="AK29" s="701">
        <f t="shared" ca="1" si="62"/>
        <v>-54.158157087257202</v>
      </c>
      <c r="AM29" s="712">
        <f t="shared" ref="AM29:AU30" ca="1" si="78">IFERROR(INDEX(INDIRECT($C29&amp;".Outputs["&amp;this.Year&amp;"]"), MATCH(AM$5, INDIRECT($C29&amp;".Outputs[Vector]"), 0)), 0)</f>
        <v>0</v>
      </c>
      <c r="AN29" s="712">
        <f t="shared" ca="1" si="78"/>
        <v>0</v>
      </c>
      <c r="AO29" s="712">
        <f t="shared" ca="1" si="78"/>
        <v>0</v>
      </c>
      <c r="AP29" s="712">
        <f t="shared" ca="1" si="78"/>
        <v>0</v>
      </c>
      <c r="AQ29" s="712">
        <f t="shared" ca="1" si="78"/>
        <v>0</v>
      </c>
      <c r="AR29" s="712">
        <f t="shared" ca="1" si="78"/>
        <v>0</v>
      </c>
      <c r="AS29" s="712">
        <f t="shared" ca="1" si="78"/>
        <v>0</v>
      </c>
      <c r="AT29" s="712">
        <f t="shared" ca="1" si="78"/>
        <v>0</v>
      </c>
      <c r="AU29" s="712">
        <f t="shared" ca="1" si="78"/>
        <v>0</v>
      </c>
      <c r="AV29" s="712">
        <f t="shared" ca="1" si="60"/>
        <v>0</v>
      </c>
      <c r="AW29" s="712">
        <f t="shared" ca="1" si="60"/>
        <v>0</v>
      </c>
      <c r="AX29" s="712">
        <f t="shared" ca="1" si="60"/>
        <v>0</v>
      </c>
      <c r="AY29" s="712">
        <f t="shared" ca="1" si="60"/>
        <v>0</v>
      </c>
      <c r="AZ29" s="712">
        <f t="shared" ca="1" si="60"/>
        <v>0</v>
      </c>
      <c r="BA29" s="712">
        <f t="shared" ca="1" si="60"/>
        <v>0</v>
      </c>
      <c r="BB29" s="712">
        <f t="shared" ca="1" si="60"/>
        <v>0</v>
      </c>
      <c r="BC29" s="712">
        <f t="shared" ca="1" si="60"/>
        <v>0</v>
      </c>
      <c r="BD29" s="712">
        <f t="shared" ca="1" si="60"/>
        <v>0</v>
      </c>
      <c r="BE29" s="712">
        <f t="shared" ca="1" si="60"/>
        <v>0</v>
      </c>
      <c r="BF29" s="654">
        <f t="shared" ca="1" si="64"/>
        <v>0</v>
      </c>
      <c r="BH29" s="706">
        <f t="shared" ca="1" si="65"/>
        <v>0</v>
      </c>
      <c r="BI29" s="706">
        <f t="shared" ca="1" si="65"/>
        <v>0</v>
      </c>
      <c r="BJ29" s="708">
        <f t="shared" ca="1" si="66"/>
        <v>0</v>
      </c>
      <c r="BL29" s="562">
        <f t="shared" ca="1" si="9"/>
        <v>0</v>
      </c>
      <c r="BM29" s="562"/>
      <c r="BN29" s="574"/>
      <c r="BO29" s="1017">
        <f t="shared" ref="BO29:BX30" ca="1" si="79">IFERROR(SUMIFS(INDIRECT($C29&amp;".Emissions["&amp;this.Year&amp;"]"), INDIRECT($C29&amp;".Emissions[GHG]"), BO$6, INDIRECT($C29&amp;".Emissions[IPCC Sector]"), BO$5),0)</f>
        <v>0</v>
      </c>
      <c r="BP29" s="1018">
        <f t="shared" ca="1" si="79"/>
        <v>0</v>
      </c>
      <c r="BQ29" s="1018">
        <f t="shared" ca="1" si="79"/>
        <v>0</v>
      </c>
      <c r="BR29" s="1018">
        <f t="shared" ca="1" si="79"/>
        <v>0</v>
      </c>
      <c r="BS29" s="1018">
        <f t="shared" ca="1" si="79"/>
        <v>0</v>
      </c>
      <c r="BT29" s="1018">
        <f t="shared" ca="1" si="79"/>
        <v>0</v>
      </c>
      <c r="BU29" s="1018">
        <f t="shared" ca="1" si="79"/>
        <v>0</v>
      </c>
      <c r="BV29" s="1018">
        <f t="shared" ca="1" si="79"/>
        <v>0</v>
      </c>
      <c r="BW29" s="1018">
        <f t="shared" ca="1" si="79"/>
        <v>0</v>
      </c>
      <c r="BX29" s="1018">
        <f t="shared" ca="1" si="79"/>
        <v>0</v>
      </c>
      <c r="BY29" s="1018">
        <f t="shared" ref="BY29:CH30" ca="1" si="80">IFERROR(SUMIFS(INDIRECT($C29&amp;".Emissions["&amp;this.Year&amp;"]"), INDIRECT($C29&amp;".Emissions[GHG]"), BY$6, INDIRECT($C29&amp;".Emissions[IPCC Sector]"), BY$5),0)</f>
        <v>0</v>
      </c>
      <c r="BZ29" s="1018">
        <f t="shared" ca="1" si="80"/>
        <v>0</v>
      </c>
      <c r="CA29" s="1018">
        <f t="shared" ca="1" si="80"/>
        <v>0</v>
      </c>
      <c r="CB29" s="1018">
        <f t="shared" ca="1" si="80"/>
        <v>0</v>
      </c>
      <c r="CC29" s="1018">
        <f t="shared" ca="1" si="80"/>
        <v>0</v>
      </c>
      <c r="CD29" s="1018">
        <f t="shared" ca="1" si="80"/>
        <v>0</v>
      </c>
      <c r="CE29" s="1018">
        <f t="shared" ca="1" si="80"/>
        <v>0</v>
      </c>
      <c r="CF29" s="1018">
        <f t="shared" ca="1" si="80"/>
        <v>0</v>
      </c>
      <c r="CG29" s="1018">
        <f t="shared" ca="1" si="80"/>
        <v>0</v>
      </c>
      <c r="CH29" s="1018">
        <f t="shared" ca="1" si="80"/>
        <v>0</v>
      </c>
      <c r="CI29" s="1018">
        <f t="shared" ref="CI29:CR30" ca="1" si="81">IFERROR(SUMIFS(INDIRECT($C29&amp;".Emissions["&amp;this.Year&amp;"]"), INDIRECT($C29&amp;".Emissions[GHG]"), CI$6, INDIRECT($C29&amp;".Emissions[IPCC Sector]"), CI$5),0)</f>
        <v>0</v>
      </c>
      <c r="CJ29" s="1018">
        <f t="shared" ca="1" si="81"/>
        <v>0</v>
      </c>
      <c r="CK29" s="1018">
        <f t="shared" ca="1" si="81"/>
        <v>0</v>
      </c>
      <c r="CL29" s="1018">
        <f t="shared" ca="1" si="81"/>
        <v>0</v>
      </c>
      <c r="CM29" s="1018">
        <f t="shared" ca="1" si="81"/>
        <v>0</v>
      </c>
      <c r="CN29" s="1018">
        <f t="shared" ca="1" si="81"/>
        <v>0</v>
      </c>
      <c r="CO29" s="1018">
        <f t="shared" ca="1" si="81"/>
        <v>0</v>
      </c>
      <c r="CP29" s="1018">
        <f t="shared" ca="1" si="81"/>
        <v>0</v>
      </c>
      <c r="CQ29" s="1018">
        <f t="shared" ca="1" si="81"/>
        <v>0</v>
      </c>
      <c r="CR29" s="1018">
        <f t="shared" ca="1" si="81"/>
        <v>0</v>
      </c>
      <c r="CS29" s="1018">
        <f t="shared" ref="CS29:DF30" ca="1" si="82">IFERROR(SUMIFS(INDIRECT($C29&amp;".Emissions["&amp;this.Year&amp;"]"), INDIRECT($C29&amp;".Emissions[GHG]"), CS$6, INDIRECT($C29&amp;".Emissions[IPCC Sector]"), CS$5),0)</f>
        <v>0</v>
      </c>
      <c r="CT29" s="1018">
        <f t="shared" ca="1" si="82"/>
        <v>0</v>
      </c>
      <c r="CU29" s="1018">
        <f t="shared" ca="1" si="82"/>
        <v>13.5395392718143</v>
      </c>
      <c r="CV29" s="1018">
        <f t="shared" ca="1" si="82"/>
        <v>1.6856672942676842E-2</v>
      </c>
      <c r="CW29" s="1018">
        <f t="shared" ca="1" si="82"/>
        <v>0.2436040552430235</v>
      </c>
      <c r="CX29" s="1018">
        <f t="shared" ca="1" si="82"/>
        <v>0</v>
      </c>
      <c r="CY29" s="1018">
        <f t="shared" ca="1" si="82"/>
        <v>0</v>
      </c>
      <c r="CZ29" s="1018">
        <f t="shared" ca="1" si="82"/>
        <v>0</v>
      </c>
      <c r="DA29" s="1018">
        <f t="shared" ca="1" si="82"/>
        <v>0</v>
      </c>
      <c r="DB29" s="1018">
        <f t="shared" ca="1" si="82"/>
        <v>0</v>
      </c>
      <c r="DC29" s="1018">
        <f t="shared" ca="1" si="82"/>
        <v>0</v>
      </c>
      <c r="DD29" s="1018">
        <f t="shared" ca="1" si="82"/>
        <v>0</v>
      </c>
      <c r="DE29" s="1018">
        <f t="shared" ca="1" si="82"/>
        <v>0</v>
      </c>
      <c r="DF29" s="1018">
        <f t="shared" ca="1" si="82"/>
        <v>0</v>
      </c>
      <c r="DH29" s="572">
        <f t="shared" ca="1" si="35"/>
        <v>13.8</v>
      </c>
    </row>
    <row r="30" spans="1:112" s="528" customFormat="1" ht="10.5" customHeight="1" outlineLevel="2">
      <c r="A30" s="1019"/>
      <c r="B30" s="1019"/>
      <c r="C30" s="683" t="s">
        <v>715</v>
      </c>
      <c r="D30" s="679" t="str">
        <f>INDEX(Modules[Module], MATCH($C30, Modules[Code], 0))</f>
        <v>National navigation [UNUSED - see XII.a]</v>
      </c>
      <c r="E30" s="680"/>
      <c r="G30" s="692">
        <f t="shared" ca="1" si="76"/>
        <v>0</v>
      </c>
      <c r="H30" s="692">
        <f t="shared" ca="1" si="76"/>
        <v>0</v>
      </c>
      <c r="I30" s="692">
        <f t="shared" ca="1" si="76"/>
        <v>0</v>
      </c>
      <c r="J30" s="692">
        <f t="shared" ca="1" si="76"/>
        <v>0</v>
      </c>
      <c r="K30" s="692">
        <f t="shared" ca="1" si="76"/>
        <v>0</v>
      </c>
      <c r="L30" s="692">
        <f t="shared" ca="1" si="76"/>
        <v>0</v>
      </c>
      <c r="M30" s="692">
        <f t="shared" ca="1" si="76"/>
        <v>0</v>
      </c>
      <c r="N30" s="692">
        <f t="shared" ca="1" si="76"/>
        <v>0</v>
      </c>
      <c r="O30" s="692">
        <f t="shared" ca="1" si="76"/>
        <v>0</v>
      </c>
      <c r="P30" s="692">
        <f t="shared" ca="1" si="76"/>
        <v>0</v>
      </c>
      <c r="Q30" s="698">
        <f t="shared" ca="1" si="59"/>
        <v>0</v>
      </c>
      <c r="S30" s="702">
        <f t="shared" ca="1" si="60"/>
        <v>0</v>
      </c>
      <c r="T30" s="702">
        <f t="shared" ca="1" si="60"/>
        <v>0</v>
      </c>
      <c r="U30" s="702">
        <f t="shared" ca="1" si="60"/>
        <v>0</v>
      </c>
      <c r="V30" s="702">
        <f t="shared" ca="1" si="60"/>
        <v>0</v>
      </c>
      <c r="W30" s="702">
        <f t="shared" ca="1" si="60"/>
        <v>0</v>
      </c>
      <c r="X30" s="702">
        <f t="shared" ca="1" si="77"/>
        <v>0</v>
      </c>
      <c r="Y30" s="702">
        <f t="shared" ca="1" si="77"/>
        <v>0</v>
      </c>
      <c r="Z30" s="702">
        <f t="shared" ca="1" si="77"/>
        <v>0</v>
      </c>
      <c r="AA30" s="702">
        <f t="shared" ca="1" si="60"/>
        <v>0</v>
      </c>
      <c r="AB30" s="702">
        <f t="shared" ca="1" si="60"/>
        <v>0</v>
      </c>
      <c r="AC30" s="702">
        <f t="shared" ca="1" si="60"/>
        <v>0</v>
      </c>
      <c r="AD30" s="702">
        <f t="shared" ca="1" si="60"/>
        <v>0</v>
      </c>
      <c r="AE30" s="702">
        <f t="shared" ca="1" si="60"/>
        <v>0</v>
      </c>
      <c r="AF30" s="702">
        <f t="shared" ca="1" si="60"/>
        <v>0</v>
      </c>
      <c r="AG30" s="702">
        <f t="shared" ca="1" si="60"/>
        <v>0</v>
      </c>
      <c r="AH30" s="702">
        <f t="shared" ca="1" si="60"/>
        <v>0</v>
      </c>
      <c r="AI30" s="702">
        <f t="shared" ca="1" si="60"/>
        <v>0</v>
      </c>
      <c r="AJ30" s="702">
        <f t="shared" ca="1" si="60"/>
        <v>0</v>
      </c>
      <c r="AK30" s="703">
        <f t="shared" ca="1" si="62"/>
        <v>0</v>
      </c>
      <c r="AM30" s="713">
        <f t="shared" ca="1" si="78"/>
        <v>0</v>
      </c>
      <c r="AN30" s="713">
        <f t="shared" ca="1" si="78"/>
        <v>0</v>
      </c>
      <c r="AO30" s="713">
        <f t="shared" ca="1" si="78"/>
        <v>0</v>
      </c>
      <c r="AP30" s="713">
        <f t="shared" ca="1" si="78"/>
        <v>0</v>
      </c>
      <c r="AQ30" s="713">
        <f t="shared" ca="1" si="78"/>
        <v>0</v>
      </c>
      <c r="AR30" s="713">
        <f t="shared" ca="1" si="78"/>
        <v>0</v>
      </c>
      <c r="AS30" s="713">
        <f t="shared" ca="1" si="78"/>
        <v>0</v>
      </c>
      <c r="AT30" s="713">
        <f t="shared" ca="1" si="78"/>
        <v>0</v>
      </c>
      <c r="AU30" s="713">
        <f t="shared" ca="1" si="78"/>
        <v>0</v>
      </c>
      <c r="AV30" s="713">
        <f t="shared" ca="1" si="60"/>
        <v>0</v>
      </c>
      <c r="AW30" s="713">
        <f t="shared" ca="1" si="60"/>
        <v>0</v>
      </c>
      <c r="AX30" s="713">
        <f t="shared" ca="1" si="60"/>
        <v>0</v>
      </c>
      <c r="AY30" s="713">
        <f t="shared" ca="1" si="60"/>
        <v>0</v>
      </c>
      <c r="AZ30" s="713">
        <f t="shared" ca="1" si="60"/>
        <v>0</v>
      </c>
      <c r="BA30" s="713">
        <f t="shared" ca="1" si="60"/>
        <v>0</v>
      </c>
      <c r="BB30" s="713">
        <f t="shared" ca="1" si="60"/>
        <v>0</v>
      </c>
      <c r="BC30" s="713">
        <f t="shared" ca="1" si="60"/>
        <v>0</v>
      </c>
      <c r="BD30" s="713">
        <f t="shared" ca="1" si="60"/>
        <v>0</v>
      </c>
      <c r="BE30" s="713">
        <f t="shared" ca="1" si="60"/>
        <v>0</v>
      </c>
      <c r="BF30" s="682">
        <f t="shared" ca="1" si="64"/>
        <v>0</v>
      </c>
      <c r="BH30" s="707">
        <f t="shared" ca="1" si="65"/>
        <v>0</v>
      </c>
      <c r="BI30" s="707">
        <f t="shared" ca="1" si="65"/>
        <v>0</v>
      </c>
      <c r="BJ30" s="718">
        <f t="shared" ca="1" si="66"/>
        <v>0</v>
      </c>
      <c r="BL30" s="681">
        <f t="shared" ca="1" si="9"/>
        <v>0</v>
      </c>
      <c r="BM30" s="681"/>
      <c r="BN30" s="574"/>
      <c r="BO30" s="1017">
        <f t="shared" ca="1" si="79"/>
        <v>0</v>
      </c>
      <c r="BP30" s="1018">
        <f t="shared" ca="1" si="79"/>
        <v>0</v>
      </c>
      <c r="BQ30" s="1018">
        <f t="shared" ca="1" si="79"/>
        <v>0</v>
      </c>
      <c r="BR30" s="1018">
        <f t="shared" ca="1" si="79"/>
        <v>0</v>
      </c>
      <c r="BS30" s="1018">
        <f t="shared" ca="1" si="79"/>
        <v>0</v>
      </c>
      <c r="BT30" s="1018">
        <f t="shared" ca="1" si="79"/>
        <v>0</v>
      </c>
      <c r="BU30" s="1018">
        <f t="shared" ca="1" si="79"/>
        <v>0</v>
      </c>
      <c r="BV30" s="1018">
        <f t="shared" ca="1" si="79"/>
        <v>0</v>
      </c>
      <c r="BW30" s="1018">
        <f t="shared" ca="1" si="79"/>
        <v>0</v>
      </c>
      <c r="BX30" s="1018">
        <f t="shared" ca="1" si="79"/>
        <v>0</v>
      </c>
      <c r="BY30" s="1018">
        <f t="shared" ca="1" si="80"/>
        <v>0</v>
      </c>
      <c r="BZ30" s="1018">
        <f t="shared" ca="1" si="80"/>
        <v>0</v>
      </c>
      <c r="CA30" s="1018">
        <f t="shared" ca="1" si="80"/>
        <v>0</v>
      </c>
      <c r="CB30" s="1018">
        <f t="shared" ca="1" si="80"/>
        <v>0</v>
      </c>
      <c r="CC30" s="1018">
        <f t="shared" ca="1" si="80"/>
        <v>0</v>
      </c>
      <c r="CD30" s="1018">
        <f t="shared" ca="1" si="80"/>
        <v>0</v>
      </c>
      <c r="CE30" s="1018">
        <f t="shared" ca="1" si="80"/>
        <v>0</v>
      </c>
      <c r="CF30" s="1018">
        <f t="shared" ca="1" si="80"/>
        <v>0</v>
      </c>
      <c r="CG30" s="1018">
        <f t="shared" ca="1" si="80"/>
        <v>0</v>
      </c>
      <c r="CH30" s="1018">
        <f t="shared" ca="1" si="80"/>
        <v>0</v>
      </c>
      <c r="CI30" s="1018">
        <f t="shared" ca="1" si="81"/>
        <v>0</v>
      </c>
      <c r="CJ30" s="1018">
        <f t="shared" ca="1" si="81"/>
        <v>0</v>
      </c>
      <c r="CK30" s="1018">
        <f t="shared" ca="1" si="81"/>
        <v>0</v>
      </c>
      <c r="CL30" s="1018">
        <f t="shared" ca="1" si="81"/>
        <v>0</v>
      </c>
      <c r="CM30" s="1018">
        <f t="shared" ca="1" si="81"/>
        <v>0</v>
      </c>
      <c r="CN30" s="1018">
        <f t="shared" ca="1" si="81"/>
        <v>0</v>
      </c>
      <c r="CO30" s="1018">
        <f t="shared" ca="1" si="81"/>
        <v>0</v>
      </c>
      <c r="CP30" s="1018">
        <f t="shared" ca="1" si="81"/>
        <v>0</v>
      </c>
      <c r="CQ30" s="1018">
        <f t="shared" ca="1" si="81"/>
        <v>0</v>
      </c>
      <c r="CR30" s="1018">
        <f t="shared" ca="1" si="81"/>
        <v>0</v>
      </c>
      <c r="CS30" s="1018">
        <f t="shared" ca="1" si="82"/>
        <v>0</v>
      </c>
      <c r="CT30" s="1018">
        <f t="shared" ca="1" si="82"/>
        <v>0</v>
      </c>
      <c r="CU30" s="1018">
        <f t="shared" ca="1" si="82"/>
        <v>0</v>
      </c>
      <c r="CV30" s="1018">
        <f t="shared" ca="1" si="82"/>
        <v>0</v>
      </c>
      <c r="CW30" s="1018">
        <f t="shared" ca="1" si="82"/>
        <v>0</v>
      </c>
      <c r="CX30" s="1018">
        <f t="shared" ca="1" si="82"/>
        <v>0</v>
      </c>
      <c r="CY30" s="1018">
        <f t="shared" ca="1" si="82"/>
        <v>0</v>
      </c>
      <c r="CZ30" s="1018">
        <f t="shared" ca="1" si="82"/>
        <v>0</v>
      </c>
      <c r="DA30" s="1018">
        <f t="shared" ca="1" si="82"/>
        <v>0</v>
      </c>
      <c r="DB30" s="1018">
        <f t="shared" ca="1" si="82"/>
        <v>0</v>
      </c>
      <c r="DC30" s="1018">
        <f t="shared" ca="1" si="82"/>
        <v>0</v>
      </c>
      <c r="DD30" s="1018">
        <f t="shared" ca="1" si="82"/>
        <v>0</v>
      </c>
      <c r="DE30" s="1018">
        <f t="shared" ca="1" si="82"/>
        <v>0</v>
      </c>
      <c r="DF30" s="1018">
        <f t="shared" ca="1" si="82"/>
        <v>0</v>
      </c>
      <c r="DH30" s="572">
        <f t="shared" ca="1" si="35"/>
        <v>0</v>
      </c>
    </row>
    <row r="31" spans="1:112" s="528" customFormat="1" ht="11.25" customHeight="1" outlineLevel="1">
      <c r="A31" s="1020"/>
      <c r="B31" s="1020"/>
      <c r="C31" s="530"/>
      <c r="D31" s="685" t="s">
        <v>717</v>
      </c>
      <c r="E31" s="684"/>
      <c r="G31" s="694">
        <f t="shared" ref="G31:P31" ca="1" si="83">SUM(G29:G30)</f>
        <v>0</v>
      </c>
      <c r="H31" s="694">
        <f t="shared" ca="1" si="83"/>
        <v>0</v>
      </c>
      <c r="I31" s="694">
        <f t="shared" ca="1" si="83"/>
        <v>0</v>
      </c>
      <c r="J31" s="694">
        <f t="shared" ca="1" si="83"/>
        <v>0</v>
      </c>
      <c r="K31" s="694">
        <f t="shared" ca="1" si="83"/>
        <v>0</v>
      </c>
      <c r="L31" s="694">
        <f t="shared" ca="1" si="83"/>
        <v>0</v>
      </c>
      <c r="M31" s="694">
        <f t="shared" ca="1" si="83"/>
        <v>0</v>
      </c>
      <c r="N31" s="694">
        <f t="shared" ca="1" si="83"/>
        <v>0</v>
      </c>
      <c r="O31" s="694">
        <f t="shared" ca="1" si="83"/>
        <v>54.158157087257202</v>
      </c>
      <c r="P31" s="694">
        <f t="shared" ca="1" si="83"/>
        <v>0</v>
      </c>
      <c r="Q31" s="694">
        <f t="shared" ca="1" si="59"/>
        <v>54.158157087257202</v>
      </c>
      <c r="S31" s="704">
        <f t="shared" ref="S31:AJ31" ca="1" si="84">SUM(S29:S30)</f>
        <v>0</v>
      </c>
      <c r="T31" s="704">
        <f t="shared" ca="1" si="84"/>
        <v>0</v>
      </c>
      <c r="U31" s="704">
        <f t="shared" ca="1" si="84"/>
        <v>0</v>
      </c>
      <c r="V31" s="704">
        <f t="shared" ca="1" si="84"/>
        <v>-54.158157087257202</v>
      </c>
      <c r="W31" s="704">
        <f t="shared" ca="1" si="84"/>
        <v>0</v>
      </c>
      <c r="X31" s="767">
        <f t="shared" ca="1" si="84"/>
        <v>0</v>
      </c>
      <c r="Y31" s="767">
        <f t="shared" ca="1" si="84"/>
        <v>0</v>
      </c>
      <c r="Z31" s="767">
        <f t="shared" ca="1" si="84"/>
        <v>0</v>
      </c>
      <c r="AA31" s="704">
        <f t="shared" ca="1" si="84"/>
        <v>0</v>
      </c>
      <c r="AB31" s="704">
        <f t="shared" ca="1" si="84"/>
        <v>0</v>
      </c>
      <c r="AC31" s="704">
        <f t="shared" ca="1" si="84"/>
        <v>0</v>
      </c>
      <c r="AD31" s="704">
        <f t="shared" ca="1" si="84"/>
        <v>0</v>
      </c>
      <c r="AE31" s="704">
        <f ca="1">SUM(AE29:AE30)</f>
        <v>0</v>
      </c>
      <c r="AF31" s="704">
        <f t="shared" ca="1" si="84"/>
        <v>0</v>
      </c>
      <c r="AG31" s="704">
        <f t="shared" ca="1" si="84"/>
        <v>0</v>
      </c>
      <c r="AH31" s="704">
        <f ca="1">SUM(AH29:AH30)</f>
        <v>0</v>
      </c>
      <c r="AI31" s="704">
        <f t="shared" ca="1" si="84"/>
        <v>0</v>
      </c>
      <c r="AJ31" s="704">
        <f t="shared" ca="1" si="84"/>
        <v>0</v>
      </c>
      <c r="AK31" s="704">
        <f t="shared" ca="1" si="62"/>
        <v>-54.158157087257202</v>
      </c>
      <c r="AM31" s="717">
        <f t="shared" ref="AM31:AU31" ca="1" si="85">SUM(AM29:AM30)</f>
        <v>0</v>
      </c>
      <c r="AN31" s="717">
        <f t="shared" ca="1" si="85"/>
        <v>0</v>
      </c>
      <c r="AO31" s="717">
        <f t="shared" ca="1" si="85"/>
        <v>0</v>
      </c>
      <c r="AP31" s="717">
        <f t="shared" ca="1" si="85"/>
        <v>0</v>
      </c>
      <c r="AQ31" s="717">
        <f t="shared" ca="1" si="85"/>
        <v>0</v>
      </c>
      <c r="AR31" s="717">
        <f t="shared" ca="1" si="85"/>
        <v>0</v>
      </c>
      <c r="AS31" s="717">
        <f t="shared" ca="1" si="85"/>
        <v>0</v>
      </c>
      <c r="AT31" s="717">
        <f t="shared" ca="1" si="85"/>
        <v>0</v>
      </c>
      <c r="AU31" s="717">
        <f t="shared" ca="1" si="85"/>
        <v>0</v>
      </c>
      <c r="AV31" s="717">
        <f t="shared" ref="AV31:BE31" ca="1" si="86">SUM(AV29:AV30)</f>
        <v>0</v>
      </c>
      <c r="AW31" s="717">
        <f t="shared" ca="1" si="86"/>
        <v>0</v>
      </c>
      <c r="AX31" s="717">
        <f t="shared" ca="1" si="86"/>
        <v>0</v>
      </c>
      <c r="AY31" s="717">
        <f t="shared" ca="1" si="86"/>
        <v>0</v>
      </c>
      <c r="AZ31" s="717">
        <f t="shared" ca="1" si="86"/>
        <v>0</v>
      </c>
      <c r="BA31" s="717">
        <f t="shared" ca="1" si="86"/>
        <v>0</v>
      </c>
      <c r="BB31" s="717">
        <f t="shared" ca="1" si="86"/>
        <v>0</v>
      </c>
      <c r="BC31" s="717">
        <f t="shared" ca="1" si="86"/>
        <v>0</v>
      </c>
      <c r="BD31" s="717">
        <f ca="1">SUM(BD29:BD30)</f>
        <v>0</v>
      </c>
      <c r="BE31" s="717">
        <f t="shared" ca="1" si="86"/>
        <v>0</v>
      </c>
      <c r="BF31" s="687">
        <f t="shared" ca="1" si="64"/>
        <v>0</v>
      </c>
      <c r="BH31" s="711">
        <f ca="1">SUM(BH29:BH30)</f>
        <v>0</v>
      </c>
      <c r="BI31" s="711">
        <f ca="1">SUM(BI29:BI30)</f>
        <v>0</v>
      </c>
      <c r="BJ31" s="709">
        <f t="shared" ca="1" si="66"/>
        <v>0</v>
      </c>
      <c r="BL31" s="508">
        <f t="shared" ca="1" si="9"/>
        <v>0</v>
      </c>
      <c r="BM31" s="508"/>
      <c r="BN31" s="1020"/>
      <c r="BO31" s="1021">
        <f t="shared" ref="BO31:DF31" ca="1" si="87">SUM(BO29:BO30)</f>
        <v>0</v>
      </c>
      <c r="BP31" s="1022">
        <f t="shared" ca="1" si="87"/>
        <v>0</v>
      </c>
      <c r="BQ31" s="1022">
        <f t="shared" ca="1" si="87"/>
        <v>0</v>
      </c>
      <c r="BR31" s="1022">
        <f t="shared" ca="1" si="87"/>
        <v>0</v>
      </c>
      <c r="BS31" s="1022">
        <f t="shared" ca="1" si="87"/>
        <v>0</v>
      </c>
      <c r="BT31" s="1022">
        <f t="shared" ca="1" si="87"/>
        <v>0</v>
      </c>
      <c r="BU31" s="1022">
        <f t="shared" ca="1" si="87"/>
        <v>0</v>
      </c>
      <c r="BV31" s="1022">
        <f t="shared" ca="1" si="87"/>
        <v>0</v>
      </c>
      <c r="BW31" s="1022">
        <f t="shared" ca="1" si="87"/>
        <v>0</v>
      </c>
      <c r="BX31" s="1022">
        <f t="shared" ca="1" si="87"/>
        <v>0</v>
      </c>
      <c r="BY31" s="1022">
        <f t="shared" ca="1" si="87"/>
        <v>0</v>
      </c>
      <c r="BZ31" s="1022">
        <f t="shared" ca="1" si="87"/>
        <v>0</v>
      </c>
      <c r="CA31" s="1022">
        <f t="shared" ca="1" si="87"/>
        <v>0</v>
      </c>
      <c r="CB31" s="1022">
        <f t="shared" ca="1" si="87"/>
        <v>0</v>
      </c>
      <c r="CC31" s="1022">
        <f t="shared" ca="1" si="87"/>
        <v>0</v>
      </c>
      <c r="CD31" s="1022">
        <f t="shared" ca="1" si="87"/>
        <v>0</v>
      </c>
      <c r="CE31" s="1022">
        <f t="shared" ca="1" si="87"/>
        <v>0</v>
      </c>
      <c r="CF31" s="1022">
        <f t="shared" ca="1" si="87"/>
        <v>0</v>
      </c>
      <c r="CG31" s="1022">
        <f t="shared" ca="1" si="87"/>
        <v>0</v>
      </c>
      <c r="CH31" s="1022">
        <f t="shared" ca="1" si="87"/>
        <v>0</v>
      </c>
      <c r="CI31" s="1022">
        <f t="shared" ca="1" si="87"/>
        <v>0</v>
      </c>
      <c r="CJ31" s="1022">
        <f t="shared" ca="1" si="87"/>
        <v>0</v>
      </c>
      <c r="CK31" s="1022">
        <f t="shared" ca="1" si="87"/>
        <v>0</v>
      </c>
      <c r="CL31" s="1022">
        <f t="shared" ca="1" si="87"/>
        <v>0</v>
      </c>
      <c r="CM31" s="1022">
        <f t="shared" ca="1" si="87"/>
        <v>0</v>
      </c>
      <c r="CN31" s="1022">
        <f t="shared" ca="1" si="87"/>
        <v>0</v>
      </c>
      <c r="CO31" s="1022">
        <f t="shared" ca="1" si="87"/>
        <v>0</v>
      </c>
      <c r="CP31" s="1022">
        <f t="shared" ca="1" si="87"/>
        <v>0</v>
      </c>
      <c r="CQ31" s="1022">
        <f t="shared" ca="1" si="87"/>
        <v>0</v>
      </c>
      <c r="CR31" s="1022">
        <f t="shared" ca="1" si="87"/>
        <v>0</v>
      </c>
      <c r="CS31" s="1022">
        <f t="shared" ca="1" si="87"/>
        <v>0</v>
      </c>
      <c r="CT31" s="1022">
        <f t="shared" ca="1" si="87"/>
        <v>0</v>
      </c>
      <c r="CU31" s="1022">
        <f t="shared" ca="1" si="87"/>
        <v>13.5395392718143</v>
      </c>
      <c r="CV31" s="1022">
        <f t="shared" ca="1" si="87"/>
        <v>1.6856672942676842E-2</v>
      </c>
      <c r="CW31" s="1022">
        <f t="shared" ca="1" si="87"/>
        <v>0.2436040552430235</v>
      </c>
      <c r="CX31" s="1022">
        <f t="shared" ca="1" si="87"/>
        <v>0</v>
      </c>
      <c r="CY31" s="1022">
        <f t="shared" ca="1" si="87"/>
        <v>0</v>
      </c>
      <c r="CZ31" s="1022">
        <f t="shared" ca="1" si="87"/>
        <v>0</v>
      </c>
      <c r="DA31" s="1022">
        <f t="shared" ca="1" si="87"/>
        <v>0</v>
      </c>
      <c r="DB31" s="1022">
        <f t="shared" ca="1" si="87"/>
        <v>0</v>
      </c>
      <c r="DC31" s="1022">
        <f t="shared" ca="1" si="87"/>
        <v>0</v>
      </c>
      <c r="DD31" s="1022">
        <f t="shared" ca="1" si="87"/>
        <v>0</v>
      </c>
      <c r="DE31" s="1022">
        <f t="shared" ca="1" si="87"/>
        <v>0</v>
      </c>
      <c r="DF31" s="1022">
        <f t="shared" ca="1" si="87"/>
        <v>0</v>
      </c>
      <c r="DH31" s="572">
        <f t="shared" ca="1" si="35"/>
        <v>13.8</v>
      </c>
    </row>
    <row r="32" spans="1:112" s="528" customFormat="1" ht="15">
      <c r="A32" s="18"/>
      <c r="B32" s="533"/>
      <c r="C32" s="529" t="s">
        <v>572</v>
      </c>
      <c r="D32" s="501" t="str">
        <f>INDEX(Workstreams[Workstream], MATCH($C32, Workstreams[Code], 0))</f>
        <v>Transport</v>
      </c>
      <c r="E32" s="497"/>
      <c r="G32" s="695">
        <f t="shared" ref="G32:P32" ca="1" si="88">G24+G25+G28+G31</f>
        <v>0</v>
      </c>
      <c r="H32" s="695">
        <f t="shared" ca="1" si="88"/>
        <v>0</v>
      </c>
      <c r="I32" s="695">
        <f t="shared" ca="1" si="88"/>
        <v>0</v>
      </c>
      <c r="J32" s="695">
        <f t="shared" ca="1" si="88"/>
        <v>490.85404977847907</v>
      </c>
      <c r="K32" s="695">
        <f t="shared" ca="1" si="88"/>
        <v>15.852446803025652</v>
      </c>
      <c r="L32" s="695">
        <f t="shared" ca="1" si="88"/>
        <v>9.0198346087095516</v>
      </c>
      <c r="M32" s="695">
        <f t="shared" ca="1" si="88"/>
        <v>18.817339999999998</v>
      </c>
      <c r="N32" s="695">
        <f t="shared" ca="1" si="88"/>
        <v>152.80000000000001</v>
      </c>
      <c r="O32" s="695">
        <f t="shared" ca="1" si="88"/>
        <v>54.158157087257202</v>
      </c>
      <c r="P32" s="695">
        <f t="shared" ca="1" si="88"/>
        <v>0</v>
      </c>
      <c r="Q32" s="695">
        <f t="shared" ca="1" si="59"/>
        <v>741.50182827747153</v>
      </c>
      <c r="S32" s="645">
        <f t="shared" ref="S32:AJ32" ca="1" si="89">S24+S25+S28+S31</f>
        <v>-8.6815924571345473</v>
      </c>
      <c r="T32" s="645">
        <f t="shared" ca="1" si="89"/>
        <v>0</v>
      </c>
      <c r="U32" s="645">
        <f t="shared" ca="1" si="89"/>
        <v>0</v>
      </c>
      <c r="V32" s="645">
        <f t="shared" ca="1" si="89"/>
        <v>-732.82023582033707</v>
      </c>
      <c r="W32" s="645">
        <f t="shared" ca="1" si="89"/>
        <v>0</v>
      </c>
      <c r="X32" s="645">
        <f t="shared" ca="1" si="89"/>
        <v>0</v>
      </c>
      <c r="Y32" s="645">
        <f t="shared" ca="1" si="89"/>
        <v>0</v>
      </c>
      <c r="Z32" s="645">
        <f t="shared" ca="1" si="89"/>
        <v>0</v>
      </c>
      <c r="AA32" s="645">
        <f t="shared" ca="1" si="89"/>
        <v>0</v>
      </c>
      <c r="AB32" s="645">
        <f t="shared" ca="1" si="89"/>
        <v>0</v>
      </c>
      <c r="AC32" s="645">
        <f t="shared" ca="1" si="89"/>
        <v>0</v>
      </c>
      <c r="AD32" s="645">
        <f t="shared" ca="1" si="89"/>
        <v>0</v>
      </c>
      <c r="AE32" s="645">
        <f ca="1">AE24+AE25+AE28+AE31</f>
        <v>0</v>
      </c>
      <c r="AF32" s="645">
        <f t="shared" ca="1" si="89"/>
        <v>0</v>
      </c>
      <c r="AG32" s="645">
        <f t="shared" ca="1" si="89"/>
        <v>0</v>
      </c>
      <c r="AH32" s="645">
        <f ca="1">AH24+AH25+AH28+AH31</f>
        <v>0</v>
      </c>
      <c r="AI32" s="645">
        <f t="shared" ca="1" si="89"/>
        <v>0</v>
      </c>
      <c r="AJ32" s="645">
        <f t="shared" ca="1" si="89"/>
        <v>0</v>
      </c>
      <c r="AK32" s="645">
        <f t="shared" ca="1" si="62"/>
        <v>-741.50182827747165</v>
      </c>
      <c r="AM32" s="651">
        <f t="shared" ref="AM32:AU32" ca="1" si="90">AM24+AM25+AM28+AM31</f>
        <v>0</v>
      </c>
      <c r="AN32" s="651">
        <f t="shared" ca="1" si="90"/>
        <v>0</v>
      </c>
      <c r="AO32" s="651">
        <f t="shared" ca="1" si="90"/>
        <v>0</v>
      </c>
      <c r="AP32" s="651">
        <f t="shared" ca="1" si="90"/>
        <v>0</v>
      </c>
      <c r="AQ32" s="651">
        <f t="shared" ca="1" si="90"/>
        <v>0</v>
      </c>
      <c r="AR32" s="651">
        <f t="shared" ca="1" si="90"/>
        <v>0</v>
      </c>
      <c r="AS32" s="651">
        <f t="shared" ca="1" si="90"/>
        <v>0</v>
      </c>
      <c r="AT32" s="651">
        <f t="shared" ca="1" si="90"/>
        <v>0</v>
      </c>
      <c r="AU32" s="651">
        <f t="shared" ca="1" si="90"/>
        <v>0</v>
      </c>
      <c r="AV32" s="651">
        <f t="shared" ref="AV32:BE32" ca="1" si="91">AV24+AV25+AV28+AV31</f>
        <v>0</v>
      </c>
      <c r="AW32" s="651">
        <f t="shared" ca="1" si="91"/>
        <v>0</v>
      </c>
      <c r="AX32" s="651">
        <f t="shared" ca="1" si="91"/>
        <v>0</v>
      </c>
      <c r="AY32" s="651">
        <f t="shared" ca="1" si="91"/>
        <v>0</v>
      </c>
      <c r="AZ32" s="651">
        <f t="shared" ca="1" si="91"/>
        <v>0</v>
      </c>
      <c r="BA32" s="651">
        <f t="shared" ca="1" si="91"/>
        <v>0</v>
      </c>
      <c r="BB32" s="651">
        <f t="shared" ca="1" si="91"/>
        <v>0</v>
      </c>
      <c r="BC32" s="651">
        <f t="shared" ca="1" si="91"/>
        <v>0</v>
      </c>
      <c r="BD32" s="651">
        <f ca="1">BD24+BD25+BD28+BD31</f>
        <v>0</v>
      </c>
      <c r="BE32" s="651">
        <f t="shared" ca="1" si="91"/>
        <v>0</v>
      </c>
      <c r="BF32" s="651">
        <f t="shared" ca="1" si="64"/>
        <v>0</v>
      </c>
      <c r="BH32" s="665">
        <f ca="1">BH24+BH25+BH28+BH31</f>
        <v>0</v>
      </c>
      <c r="BI32" s="665">
        <f ca="1">BI24+BI25+BI28+BI31</f>
        <v>0</v>
      </c>
      <c r="BJ32" s="665">
        <f t="shared" ca="1" si="66"/>
        <v>0</v>
      </c>
      <c r="BL32" s="499">
        <f t="shared" ca="1" si="9"/>
        <v>-1.1368683772161603E-13</v>
      </c>
      <c r="BM32" s="499"/>
      <c r="BN32" s="574"/>
      <c r="BO32" s="1018">
        <f t="shared" ref="BO32:DF32" ca="1" si="92">BO24+BO25+BO28+BO31</f>
        <v>131.46551968326995</v>
      </c>
      <c r="BP32" s="1018">
        <f t="shared" ca="1" si="92"/>
        <v>0.16367405301251234</v>
      </c>
      <c r="BQ32" s="1018">
        <f t="shared" ca="1" si="92"/>
        <v>2.365334083866848</v>
      </c>
      <c r="BR32" s="1018">
        <f t="shared" ca="1" si="92"/>
        <v>0</v>
      </c>
      <c r="BS32" s="1018">
        <f t="shared" ca="1" si="92"/>
        <v>0</v>
      </c>
      <c r="BT32" s="1018">
        <f t="shared" ca="1" si="92"/>
        <v>0</v>
      </c>
      <c r="BU32" s="1018">
        <f t="shared" ca="1" si="92"/>
        <v>0</v>
      </c>
      <c r="BV32" s="1018">
        <f t="shared" ca="1" si="92"/>
        <v>0</v>
      </c>
      <c r="BW32" s="1018">
        <f t="shared" ca="1" si="92"/>
        <v>0</v>
      </c>
      <c r="BX32" s="1018">
        <f t="shared" ca="1" si="92"/>
        <v>0</v>
      </c>
      <c r="BY32" s="1018">
        <f t="shared" ca="1" si="92"/>
        <v>0</v>
      </c>
      <c r="BZ32" s="1018">
        <f t="shared" ca="1" si="92"/>
        <v>0</v>
      </c>
      <c r="CA32" s="1018">
        <f t="shared" ca="1" si="92"/>
        <v>0</v>
      </c>
      <c r="CB32" s="1018">
        <f t="shared" ca="1" si="92"/>
        <v>0</v>
      </c>
      <c r="CC32" s="1018">
        <f t="shared" ca="1" si="92"/>
        <v>0</v>
      </c>
      <c r="CD32" s="1018">
        <f t="shared" ca="1" si="92"/>
        <v>0</v>
      </c>
      <c r="CE32" s="1018">
        <f t="shared" ca="1" si="92"/>
        <v>0</v>
      </c>
      <c r="CF32" s="1018">
        <f t="shared" ca="1" si="92"/>
        <v>0</v>
      </c>
      <c r="CG32" s="1018">
        <f t="shared" ca="1" si="92"/>
        <v>0</v>
      </c>
      <c r="CH32" s="1018">
        <f t="shared" ca="1" si="92"/>
        <v>0</v>
      </c>
      <c r="CI32" s="1018">
        <f t="shared" ca="1" si="92"/>
        <v>0</v>
      </c>
      <c r="CJ32" s="1018">
        <f t="shared" ca="1" si="92"/>
        <v>0</v>
      </c>
      <c r="CK32" s="1018">
        <f t="shared" ca="1" si="92"/>
        <v>0</v>
      </c>
      <c r="CL32" s="1018">
        <f t="shared" ca="1" si="92"/>
        <v>0</v>
      </c>
      <c r="CM32" s="1018">
        <f t="shared" ca="1" si="92"/>
        <v>0</v>
      </c>
      <c r="CN32" s="1018">
        <f t="shared" ca="1" si="92"/>
        <v>0</v>
      </c>
      <c r="CO32" s="1018">
        <f t="shared" ca="1" si="92"/>
        <v>0</v>
      </c>
      <c r="CP32" s="1018">
        <f t="shared" ca="1" si="92"/>
        <v>0</v>
      </c>
      <c r="CQ32" s="1018">
        <f t="shared" ca="1" si="92"/>
        <v>0</v>
      </c>
      <c r="CR32" s="1018">
        <f t="shared" ca="1" si="92"/>
        <v>0</v>
      </c>
      <c r="CS32" s="1018">
        <f t="shared" ca="1" si="92"/>
        <v>0</v>
      </c>
      <c r="CT32" s="1018">
        <f t="shared" ca="1" si="92"/>
        <v>0</v>
      </c>
      <c r="CU32" s="1018">
        <f t="shared" ca="1" si="92"/>
        <v>51.739539271814301</v>
      </c>
      <c r="CV32" s="1018">
        <f t="shared" ca="1" si="92"/>
        <v>6.441552213858226E-2</v>
      </c>
      <c r="CW32" s="1018">
        <f t="shared" ca="1" si="92"/>
        <v>0.93090033050516818</v>
      </c>
      <c r="CX32" s="1018">
        <f t="shared" ca="1" si="92"/>
        <v>0</v>
      </c>
      <c r="CY32" s="1018">
        <f t="shared" ca="1" si="92"/>
        <v>0</v>
      </c>
      <c r="CZ32" s="1018">
        <f t="shared" ca="1" si="92"/>
        <v>0</v>
      </c>
      <c r="DA32" s="1018">
        <f t="shared" ca="1" si="92"/>
        <v>0</v>
      </c>
      <c r="DB32" s="1018">
        <f t="shared" ca="1" si="92"/>
        <v>0</v>
      </c>
      <c r="DC32" s="1018">
        <f t="shared" ca="1" si="92"/>
        <v>0</v>
      </c>
      <c r="DD32" s="1018">
        <f t="shared" ca="1" si="92"/>
        <v>0</v>
      </c>
      <c r="DE32" s="1018">
        <f t="shared" ca="1" si="92"/>
        <v>0</v>
      </c>
      <c r="DF32" s="1018">
        <f t="shared" ca="1" si="92"/>
        <v>0</v>
      </c>
      <c r="DH32" s="572">
        <f t="shared" ca="1" si="35"/>
        <v>186.72938294460735</v>
      </c>
    </row>
    <row r="33" spans="1:112" s="528" customFormat="1" ht="12.75" customHeight="1" outlineLevel="1">
      <c r="A33" s="18"/>
      <c r="B33" s="18"/>
      <c r="C33" s="531"/>
      <c r="D33" s="497"/>
      <c r="E33" s="497"/>
      <c r="G33" s="695"/>
      <c r="H33" s="695"/>
      <c r="I33" s="695"/>
      <c r="J33" s="695"/>
      <c r="K33" s="695"/>
      <c r="L33" s="695"/>
      <c r="M33" s="695"/>
      <c r="N33" s="695"/>
      <c r="O33" s="695"/>
      <c r="P33" s="695"/>
      <c r="Q33" s="695"/>
      <c r="S33" s="645"/>
      <c r="T33" s="645"/>
      <c r="U33" s="645"/>
      <c r="V33" s="645"/>
      <c r="W33" s="645"/>
      <c r="X33" s="645"/>
      <c r="Y33" s="645"/>
      <c r="Z33" s="645"/>
      <c r="AA33" s="645"/>
      <c r="AB33" s="645"/>
      <c r="AC33" s="645"/>
      <c r="AD33" s="645"/>
      <c r="AE33" s="645"/>
      <c r="AF33" s="645"/>
      <c r="AG33" s="645"/>
      <c r="AH33" s="645"/>
      <c r="AI33" s="645"/>
      <c r="AJ33" s="645"/>
      <c r="AK33" s="645"/>
      <c r="AM33" s="651"/>
      <c r="AN33" s="651"/>
      <c r="AO33" s="651"/>
      <c r="AP33" s="651"/>
      <c r="AQ33" s="651"/>
      <c r="AR33" s="651"/>
      <c r="AS33" s="651"/>
      <c r="AT33" s="651"/>
      <c r="AU33" s="651"/>
      <c r="AV33" s="651"/>
      <c r="AW33" s="651"/>
      <c r="AX33" s="651"/>
      <c r="AY33" s="651"/>
      <c r="AZ33" s="651"/>
      <c r="BA33" s="651"/>
      <c r="BB33" s="651"/>
      <c r="BC33" s="651"/>
      <c r="BD33" s="651"/>
      <c r="BE33" s="651"/>
      <c r="BF33" s="651"/>
      <c r="BH33" s="665"/>
      <c r="BI33" s="665"/>
      <c r="BJ33" s="665"/>
      <c r="BL33" s="499">
        <f t="shared" si="9"/>
        <v>0</v>
      </c>
      <c r="BM33" s="499"/>
      <c r="BN33" s="18"/>
      <c r="BO33" s="1018"/>
      <c r="BP33" s="1018"/>
      <c r="BQ33" s="1018"/>
      <c r="BR33" s="1018"/>
      <c r="BS33" s="1018"/>
      <c r="BT33" s="1018"/>
      <c r="BU33" s="1018"/>
      <c r="BV33" s="1018"/>
      <c r="BW33" s="1018"/>
      <c r="BX33" s="1018"/>
      <c r="BY33" s="1018"/>
      <c r="BZ33" s="1018"/>
      <c r="CA33" s="1018"/>
      <c r="CB33" s="1018"/>
      <c r="CC33" s="1018"/>
      <c r="CD33" s="1018"/>
      <c r="CE33" s="1018"/>
      <c r="CF33" s="1018"/>
      <c r="CG33" s="1018"/>
      <c r="CH33" s="1018"/>
      <c r="CI33" s="1018"/>
      <c r="CJ33" s="1018"/>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H33" s="572">
        <f t="shared" si="35"/>
        <v>0</v>
      </c>
    </row>
    <row r="34" spans="1:112" s="528" customFormat="1" ht="12.75" customHeight="1" outlineLevel="1">
      <c r="A34" s="1020"/>
      <c r="B34" s="1020"/>
      <c r="C34" s="530" t="s">
        <v>697</v>
      </c>
      <c r="D34" s="684" t="str">
        <f>INDEX(Modules[Module], MATCH($C34, Modules[Code], 0))</f>
        <v>Food consumption [UNUSED]</v>
      </c>
      <c r="E34" s="684"/>
      <c r="G34" s="696">
        <f t="shared" ref="G34:P34" ca="1" si="93">IFERROR(INDEX(INDIRECT($C34&amp;".Outputs["&amp;this.Year&amp;"]"), MATCH(G$5, INDIRECT($C34&amp;".Outputs[Vector]"), 0)), 0)</f>
        <v>0</v>
      </c>
      <c r="H34" s="696">
        <f t="shared" ca="1" si="93"/>
        <v>0</v>
      </c>
      <c r="I34" s="696">
        <f t="shared" ca="1" si="93"/>
        <v>0</v>
      </c>
      <c r="J34" s="696">
        <f t="shared" ca="1" si="93"/>
        <v>0</v>
      </c>
      <c r="K34" s="696">
        <f t="shared" ca="1" si="93"/>
        <v>0</v>
      </c>
      <c r="L34" s="696">
        <f t="shared" ca="1" si="93"/>
        <v>0</v>
      </c>
      <c r="M34" s="696">
        <f t="shared" ca="1" si="93"/>
        <v>0</v>
      </c>
      <c r="N34" s="696">
        <f t="shared" ca="1" si="93"/>
        <v>0</v>
      </c>
      <c r="O34" s="696">
        <f t="shared" ca="1" si="93"/>
        <v>0</v>
      </c>
      <c r="P34" s="696">
        <f t="shared" ca="1" si="93"/>
        <v>0</v>
      </c>
      <c r="Q34" s="694">
        <f ca="1">SUM(G34:P34)</f>
        <v>0</v>
      </c>
      <c r="S34" s="705">
        <f t="shared" ref="S34:BE34" ca="1" si="94">IFERROR(INDEX(INDIRECT($C34&amp;".Outputs["&amp;this.Year&amp;"]"), MATCH(S$5, INDIRECT($C34&amp;".Outputs[Vector]"), 0)), 0)</f>
        <v>0</v>
      </c>
      <c r="T34" s="705">
        <f t="shared" ca="1" si="94"/>
        <v>0</v>
      </c>
      <c r="U34" s="705">
        <f t="shared" ca="1" si="94"/>
        <v>0</v>
      </c>
      <c r="V34" s="705">
        <f t="shared" ca="1" si="94"/>
        <v>0</v>
      </c>
      <c r="W34" s="705">
        <f t="shared" ca="1" si="94"/>
        <v>0</v>
      </c>
      <c r="X34" s="705">
        <f ca="1">IFERROR(INDEX(INDIRECT($C34&amp;".Outputs["&amp;this.Year&amp;"]"), MATCH(X$5, INDIRECT($C34&amp;".Outputs[Vector]"), 0)), 0)</f>
        <v>0</v>
      </c>
      <c r="Y34" s="705">
        <f ca="1">IFERROR(INDEX(INDIRECT($C34&amp;".Outputs["&amp;this.Year&amp;"]"), MATCH(Y$5, INDIRECT($C34&amp;".Outputs[Vector]"), 0)), 0)</f>
        <v>0</v>
      </c>
      <c r="Z34" s="705">
        <f ca="1">IFERROR(INDEX(INDIRECT($C34&amp;".Outputs["&amp;this.Year&amp;"]"), MATCH(Z$5, INDIRECT($C34&amp;".Outputs[Vector]"), 0)), 0)</f>
        <v>0</v>
      </c>
      <c r="AA34" s="705">
        <f t="shared" ca="1" si="94"/>
        <v>0</v>
      </c>
      <c r="AB34" s="705">
        <f t="shared" ca="1" si="94"/>
        <v>0</v>
      </c>
      <c r="AC34" s="705">
        <f t="shared" ca="1" si="94"/>
        <v>0</v>
      </c>
      <c r="AD34" s="705">
        <f t="shared" ca="1" si="94"/>
        <v>0</v>
      </c>
      <c r="AE34" s="705">
        <f t="shared" ca="1" si="94"/>
        <v>0</v>
      </c>
      <c r="AF34" s="705">
        <f t="shared" ca="1" si="94"/>
        <v>0</v>
      </c>
      <c r="AG34" s="705">
        <f t="shared" ca="1" si="94"/>
        <v>0</v>
      </c>
      <c r="AH34" s="705">
        <f t="shared" ca="1" si="94"/>
        <v>0</v>
      </c>
      <c r="AI34" s="705">
        <f t="shared" ca="1" si="94"/>
        <v>0</v>
      </c>
      <c r="AJ34" s="705">
        <f t="shared" ca="1" si="94"/>
        <v>0</v>
      </c>
      <c r="AK34" s="704">
        <f ca="1">SUM(S34:AJ34)</f>
        <v>0</v>
      </c>
      <c r="AM34" s="716">
        <f t="shared" ref="AM34:AU34" ca="1" si="95">IFERROR(INDEX(INDIRECT($C34&amp;".Outputs["&amp;this.Year&amp;"]"), MATCH(AM$5, INDIRECT($C34&amp;".Outputs[Vector]"), 0)), 0)</f>
        <v>0</v>
      </c>
      <c r="AN34" s="716">
        <f t="shared" ca="1" si="95"/>
        <v>0</v>
      </c>
      <c r="AO34" s="716">
        <f t="shared" ca="1" si="95"/>
        <v>0</v>
      </c>
      <c r="AP34" s="716">
        <f t="shared" ca="1" si="95"/>
        <v>0</v>
      </c>
      <c r="AQ34" s="716">
        <f t="shared" ca="1" si="95"/>
        <v>0</v>
      </c>
      <c r="AR34" s="716">
        <f t="shared" ca="1" si="95"/>
        <v>0</v>
      </c>
      <c r="AS34" s="716">
        <f t="shared" ca="1" si="95"/>
        <v>0</v>
      </c>
      <c r="AT34" s="716">
        <f t="shared" ca="1" si="95"/>
        <v>0</v>
      </c>
      <c r="AU34" s="716">
        <f t="shared" ca="1" si="95"/>
        <v>0</v>
      </c>
      <c r="AV34" s="716">
        <f t="shared" ca="1" si="94"/>
        <v>0</v>
      </c>
      <c r="AW34" s="716">
        <f t="shared" ca="1" si="94"/>
        <v>0</v>
      </c>
      <c r="AX34" s="716">
        <f t="shared" ca="1" si="94"/>
        <v>0</v>
      </c>
      <c r="AY34" s="716">
        <f t="shared" ca="1" si="94"/>
        <v>0</v>
      </c>
      <c r="AZ34" s="716">
        <f t="shared" ca="1" si="94"/>
        <v>0</v>
      </c>
      <c r="BA34" s="716">
        <f t="shared" ca="1" si="94"/>
        <v>0</v>
      </c>
      <c r="BB34" s="716">
        <f t="shared" ca="1" si="94"/>
        <v>0</v>
      </c>
      <c r="BC34" s="716">
        <f t="shared" ca="1" si="94"/>
        <v>0</v>
      </c>
      <c r="BD34" s="716">
        <f t="shared" ca="1" si="94"/>
        <v>0</v>
      </c>
      <c r="BE34" s="716">
        <f t="shared" ca="1" si="94"/>
        <v>0</v>
      </c>
      <c r="BF34" s="686">
        <f ca="1">SUM(AM34:BE34)</f>
        <v>0</v>
      </c>
      <c r="BH34" s="710">
        <f ca="1">IFERROR(INDEX(INDIRECT($C34&amp;".Outputs["&amp;this.Year&amp;"]"), MATCH(BH$5, INDIRECT($C34&amp;".Outputs[Vector]"), 0)), 0)</f>
        <v>0</v>
      </c>
      <c r="BI34" s="710">
        <f ca="1">IFERROR(INDEX(INDIRECT($C34&amp;".Outputs["&amp;this.Year&amp;"]"), MATCH(BI$5, INDIRECT($C34&amp;".Outputs[Vector]"), 0)), 0)</f>
        <v>0</v>
      </c>
      <c r="BJ34" s="709">
        <f ca="1">SUM(BH34:BI34)</f>
        <v>0</v>
      </c>
      <c r="BL34" s="562">
        <f t="shared" ca="1" si="9"/>
        <v>0</v>
      </c>
      <c r="BM34" s="562"/>
      <c r="BN34" s="574"/>
      <c r="BO34" s="1021">
        <f t="shared" ref="BO34:DF34" ca="1" si="96">IFERROR(SUMIFS(INDIRECT($C34&amp;".Emissions["&amp;this.Year&amp;"]"), INDIRECT($C34&amp;".Emissions[GHG]"), BO$6, INDIRECT($C34&amp;".Emissions[IPCC Sector]"), BO$5),0)</f>
        <v>0</v>
      </c>
      <c r="BP34" s="1022">
        <f t="shared" ca="1" si="96"/>
        <v>0</v>
      </c>
      <c r="BQ34" s="1022">
        <f t="shared" ca="1" si="96"/>
        <v>0</v>
      </c>
      <c r="BR34" s="1022">
        <f t="shared" ca="1" si="96"/>
        <v>0</v>
      </c>
      <c r="BS34" s="1022">
        <f t="shared" ca="1" si="96"/>
        <v>0</v>
      </c>
      <c r="BT34" s="1022">
        <f t="shared" ca="1" si="96"/>
        <v>0</v>
      </c>
      <c r="BU34" s="1022">
        <f t="shared" ca="1" si="96"/>
        <v>0</v>
      </c>
      <c r="BV34" s="1022">
        <f t="shared" ca="1" si="96"/>
        <v>0</v>
      </c>
      <c r="BW34" s="1022">
        <f t="shared" ca="1" si="96"/>
        <v>0</v>
      </c>
      <c r="BX34" s="1022">
        <f t="shared" ca="1" si="96"/>
        <v>0</v>
      </c>
      <c r="BY34" s="1022">
        <f t="shared" ca="1" si="96"/>
        <v>0</v>
      </c>
      <c r="BZ34" s="1022">
        <f t="shared" ca="1" si="96"/>
        <v>0</v>
      </c>
      <c r="CA34" s="1022">
        <f t="shared" ca="1" si="96"/>
        <v>0</v>
      </c>
      <c r="CB34" s="1022">
        <f t="shared" ca="1" si="96"/>
        <v>0</v>
      </c>
      <c r="CC34" s="1022">
        <f t="shared" ca="1" si="96"/>
        <v>0</v>
      </c>
      <c r="CD34" s="1022">
        <f t="shared" ca="1" si="96"/>
        <v>0</v>
      </c>
      <c r="CE34" s="1022">
        <f t="shared" ca="1" si="96"/>
        <v>0</v>
      </c>
      <c r="CF34" s="1022">
        <f t="shared" ca="1" si="96"/>
        <v>0</v>
      </c>
      <c r="CG34" s="1022">
        <f t="shared" ca="1" si="96"/>
        <v>0</v>
      </c>
      <c r="CH34" s="1022">
        <f t="shared" ca="1" si="96"/>
        <v>0</v>
      </c>
      <c r="CI34" s="1022">
        <f t="shared" ca="1" si="96"/>
        <v>0</v>
      </c>
      <c r="CJ34" s="1022">
        <f t="shared" ca="1" si="96"/>
        <v>0</v>
      </c>
      <c r="CK34" s="1022">
        <f t="shared" ca="1" si="96"/>
        <v>0</v>
      </c>
      <c r="CL34" s="1022">
        <f t="shared" ca="1" si="96"/>
        <v>0</v>
      </c>
      <c r="CM34" s="1022">
        <f t="shared" ca="1" si="96"/>
        <v>0</v>
      </c>
      <c r="CN34" s="1022">
        <f t="shared" ca="1" si="96"/>
        <v>0</v>
      </c>
      <c r="CO34" s="1022">
        <f t="shared" ca="1" si="96"/>
        <v>0</v>
      </c>
      <c r="CP34" s="1022">
        <f t="shared" ca="1" si="96"/>
        <v>0</v>
      </c>
      <c r="CQ34" s="1022">
        <f t="shared" ca="1" si="96"/>
        <v>0</v>
      </c>
      <c r="CR34" s="1022">
        <f t="shared" ca="1" si="96"/>
        <v>0</v>
      </c>
      <c r="CS34" s="1022">
        <f t="shared" ca="1" si="96"/>
        <v>0</v>
      </c>
      <c r="CT34" s="1022">
        <f t="shared" ca="1" si="96"/>
        <v>0</v>
      </c>
      <c r="CU34" s="1022">
        <f t="shared" ca="1" si="96"/>
        <v>0</v>
      </c>
      <c r="CV34" s="1022">
        <f t="shared" ca="1" si="96"/>
        <v>0</v>
      </c>
      <c r="CW34" s="1022">
        <f t="shared" ca="1" si="96"/>
        <v>0</v>
      </c>
      <c r="CX34" s="1022">
        <f t="shared" ca="1" si="96"/>
        <v>0</v>
      </c>
      <c r="CY34" s="1022">
        <f t="shared" ca="1" si="96"/>
        <v>0</v>
      </c>
      <c r="CZ34" s="1022">
        <f t="shared" ca="1" si="96"/>
        <v>0</v>
      </c>
      <c r="DA34" s="1022">
        <f t="shared" ca="1" si="96"/>
        <v>0</v>
      </c>
      <c r="DB34" s="1022">
        <f t="shared" ca="1" si="96"/>
        <v>0</v>
      </c>
      <c r="DC34" s="1022">
        <f t="shared" ca="1" si="96"/>
        <v>0</v>
      </c>
      <c r="DD34" s="1022">
        <f t="shared" ca="1" si="96"/>
        <v>0</v>
      </c>
      <c r="DE34" s="1022">
        <f t="shared" ca="1" si="96"/>
        <v>0</v>
      </c>
      <c r="DF34" s="1022">
        <f t="shared" ca="1" si="96"/>
        <v>0</v>
      </c>
      <c r="DH34" s="572">
        <f t="shared" ca="1" si="35"/>
        <v>0</v>
      </c>
    </row>
    <row r="35" spans="1:112" s="528" customFormat="1" ht="15">
      <c r="A35" s="18"/>
      <c r="B35" s="533"/>
      <c r="C35" s="529" t="s">
        <v>573</v>
      </c>
      <c r="D35" s="501" t="str">
        <f>INDEX(Workstreams[Workstream], MATCH($C35, Workstreams[Code], 0))</f>
        <v>Food consumption [UNUSED]</v>
      </c>
      <c r="E35" s="497"/>
      <c r="G35" s="695">
        <f ca="1">G34</f>
        <v>0</v>
      </c>
      <c r="H35" s="695">
        <f t="shared" ref="H35:P35" ca="1" si="97">H34</f>
        <v>0</v>
      </c>
      <c r="I35" s="695">
        <f t="shared" ca="1" si="97"/>
        <v>0</v>
      </c>
      <c r="J35" s="695">
        <f t="shared" ca="1" si="97"/>
        <v>0</v>
      </c>
      <c r="K35" s="695">
        <f t="shared" ca="1" si="97"/>
        <v>0</v>
      </c>
      <c r="L35" s="695">
        <f t="shared" ca="1" si="97"/>
        <v>0</v>
      </c>
      <c r="M35" s="695">
        <f t="shared" ca="1" si="97"/>
        <v>0</v>
      </c>
      <c r="N35" s="695">
        <f ca="1">N34</f>
        <v>0</v>
      </c>
      <c r="O35" s="695">
        <f ca="1">O34</f>
        <v>0</v>
      </c>
      <c r="P35" s="695">
        <f t="shared" ca="1" si="97"/>
        <v>0</v>
      </c>
      <c r="Q35" s="695">
        <f ca="1">SUM(G35:P35)</f>
        <v>0</v>
      </c>
      <c r="S35" s="645">
        <f ca="1">S34</f>
        <v>0</v>
      </c>
      <c r="T35" s="645">
        <f t="shared" ref="T35:AJ35" ca="1" si="98">T34</f>
        <v>0</v>
      </c>
      <c r="U35" s="645">
        <f t="shared" ca="1" si="98"/>
        <v>0</v>
      </c>
      <c r="V35" s="645">
        <f t="shared" ca="1" si="98"/>
        <v>0</v>
      </c>
      <c r="W35" s="645">
        <f t="shared" ca="1" si="98"/>
        <v>0</v>
      </c>
      <c r="X35" s="645">
        <f ca="1">X34</f>
        <v>0</v>
      </c>
      <c r="Y35" s="645">
        <f ca="1">Y34</f>
        <v>0</v>
      </c>
      <c r="Z35" s="645">
        <f ca="1">Z34</f>
        <v>0</v>
      </c>
      <c r="AA35" s="645">
        <f t="shared" ca="1" si="98"/>
        <v>0</v>
      </c>
      <c r="AB35" s="645">
        <f t="shared" ca="1" si="98"/>
        <v>0</v>
      </c>
      <c r="AC35" s="645">
        <f t="shared" ca="1" si="98"/>
        <v>0</v>
      </c>
      <c r="AD35" s="645">
        <f ca="1">AD34</f>
        <v>0</v>
      </c>
      <c r="AE35" s="645">
        <f ca="1">AE34</f>
        <v>0</v>
      </c>
      <c r="AF35" s="645">
        <f t="shared" ca="1" si="98"/>
        <v>0</v>
      </c>
      <c r="AG35" s="645">
        <f ca="1">AG34</f>
        <v>0</v>
      </c>
      <c r="AH35" s="645">
        <f ca="1">AH34</f>
        <v>0</v>
      </c>
      <c r="AI35" s="645">
        <f ca="1">AI34</f>
        <v>0</v>
      </c>
      <c r="AJ35" s="645">
        <f t="shared" ca="1" si="98"/>
        <v>0</v>
      </c>
      <c r="AK35" s="645">
        <f ca="1">SUM(S35:AJ35)</f>
        <v>0</v>
      </c>
      <c r="AM35" s="651">
        <f t="shared" ref="AM35:AU35" ca="1" si="99">AM34</f>
        <v>0</v>
      </c>
      <c r="AN35" s="651">
        <f t="shared" ca="1" si="99"/>
        <v>0</v>
      </c>
      <c r="AO35" s="651">
        <f t="shared" ca="1" si="99"/>
        <v>0</v>
      </c>
      <c r="AP35" s="651">
        <f t="shared" ca="1" si="99"/>
        <v>0</v>
      </c>
      <c r="AQ35" s="651">
        <f t="shared" ca="1" si="99"/>
        <v>0</v>
      </c>
      <c r="AR35" s="651">
        <f t="shared" ca="1" si="99"/>
        <v>0</v>
      </c>
      <c r="AS35" s="651">
        <f t="shared" ca="1" si="99"/>
        <v>0</v>
      </c>
      <c r="AT35" s="651">
        <f t="shared" ca="1" si="99"/>
        <v>0</v>
      </c>
      <c r="AU35" s="651">
        <f t="shared" ca="1" si="99"/>
        <v>0</v>
      </c>
      <c r="AV35" s="651">
        <f t="shared" ref="AV35:BE35" ca="1" si="100">AV34</f>
        <v>0</v>
      </c>
      <c r="AW35" s="651">
        <f t="shared" ca="1" si="100"/>
        <v>0</v>
      </c>
      <c r="AX35" s="651">
        <f t="shared" ca="1" si="100"/>
        <v>0</v>
      </c>
      <c r="AY35" s="651">
        <f t="shared" ca="1" si="100"/>
        <v>0</v>
      </c>
      <c r="AZ35" s="651">
        <f t="shared" ca="1" si="100"/>
        <v>0</v>
      </c>
      <c r="BA35" s="651">
        <f t="shared" ca="1" si="100"/>
        <v>0</v>
      </c>
      <c r="BB35" s="651">
        <f t="shared" ca="1" si="100"/>
        <v>0</v>
      </c>
      <c r="BC35" s="651">
        <f t="shared" ca="1" si="100"/>
        <v>0</v>
      </c>
      <c r="BD35" s="651">
        <f ca="1">BD34</f>
        <v>0</v>
      </c>
      <c r="BE35" s="651">
        <f t="shared" ca="1" si="100"/>
        <v>0</v>
      </c>
      <c r="BF35" s="651">
        <f ca="1">SUM(AM35:BE35)</f>
        <v>0</v>
      </c>
      <c r="BH35" s="665">
        <f ca="1">BH34</f>
        <v>0</v>
      </c>
      <c r="BI35" s="665">
        <f ca="1">BI34</f>
        <v>0</v>
      </c>
      <c r="BJ35" s="665">
        <f ca="1">SUM(BH35:BI35)</f>
        <v>0</v>
      </c>
      <c r="BL35" s="499">
        <f t="shared" ca="1" si="9"/>
        <v>0</v>
      </c>
      <c r="BM35" s="499"/>
      <c r="BN35" s="574"/>
      <c r="BO35" s="1018">
        <f t="shared" ref="BO35:DF35" ca="1" si="101">BO34</f>
        <v>0</v>
      </c>
      <c r="BP35" s="1018">
        <f t="shared" ca="1" si="101"/>
        <v>0</v>
      </c>
      <c r="BQ35" s="1018">
        <f t="shared" ca="1" si="101"/>
        <v>0</v>
      </c>
      <c r="BR35" s="1018">
        <f t="shared" ca="1" si="101"/>
        <v>0</v>
      </c>
      <c r="BS35" s="1018">
        <f t="shared" ca="1" si="101"/>
        <v>0</v>
      </c>
      <c r="BT35" s="1018">
        <f t="shared" ca="1" si="101"/>
        <v>0</v>
      </c>
      <c r="BU35" s="1018">
        <f t="shared" ca="1" si="101"/>
        <v>0</v>
      </c>
      <c r="BV35" s="1018">
        <f t="shared" ca="1" si="101"/>
        <v>0</v>
      </c>
      <c r="BW35" s="1018">
        <f t="shared" ca="1" si="101"/>
        <v>0</v>
      </c>
      <c r="BX35" s="1018">
        <f t="shared" ca="1" si="101"/>
        <v>0</v>
      </c>
      <c r="BY35" s="1018">
        <f t="shared" ca="1" si="101"/>
        <v>0</v>
      </c>
      <c r="BZ35" s="1018">
        <f t="shared" ca="1" si="101"/>
        <v>0</v>
      </c>
      <c r="CA35" s="1018">
        <f t="shared" ca="1" si="101"/>
        <v>0</v>
      </c>
      <c r="CB35" s="1018">
        <f t="shared" ca="1" si="101"/>
        <v>0</v>
      </c>
      <c r="CC35" s="1018">
        <f t="shared" ca="1" si="101"/>
        <v>0</v>
      </c>
      <c r="CD35" s="1018">
        <f t="shared" ca="1" si="101"/>
        <v>0</v>
      </c>
      <c r="CE35" s="1018">
        <f t="shared" ca="1" si="101"/>
        <v>0</v>
      </c>
      <c r="CF35" s="1018">
        <f t="shared" ca="1" si="101"/>
        <v>0</v>
      </c>
      <c r="CG35" s="1018">
        <f t="shared" ca="1" si="101"/>
        <v>0</v>
      </c>
      <c r="CH35" s="1018">
        <f t="shared" ca="1" si="101"/>
        <v>0</v>
      </c>
      <c r="CI35" s="1018">
        <f t="shared" ca="1" si="101"/>
        <v>0</v>
      </c>
      <c r="CJ35" s="1018">
        <f t="shared" ca="1" si="101"/>
        <v>0</v>
      </c>
      <c r="CK35" s="1018">
        <f t="shared" ca="1" si="101"/>
        <v>0</v>
      </c>
      <c r="CL35" s="1018">
        <f t="shared" ca="1" si="101"/>
        <v>0</v>
      </c>
      <c r="CM35" s="1018">
        <f t="shared" ca="1" si="101"/>
        <v>0</v>
      </c>
      <c r="CN35" s="1018">
        <f t="shared" ca="1" si="101"/>
        <v>0</v>
      </c>
      <c r="CO35" s="1018">
        <f t="shared" ca="1" si="101"/>
        <v>0</v>
      </c>
      <c r="CP35" s="1018">
        <f t="shared" ca="1" si="101"/>
        <v>0</v>
      </c>
      <c r="CQ35" s="1018">
        <f t="shared" ca="1" si="101"/>
        <v>0</v>
      </c>
      <c r="CR35" s="1018">
        <f t="shared" ca="1" si="101"/>
        <v>0</v>
      </c>
      <c r="CS35" s="1018">
        <f t="shared" ca="1" si="101"/>
        <v>0</v>
      </c>
      <c r="CT35" s="1018">
        <f t="shared" ca="1" si="101"/>
        <v>0</v>
      </c>
      <c r="CU35" s="1018">
        <f t="shared" ca="1" si="101"/>
        <v>0</v>
      </c>
      <c r="CV35" s="1018">
        <f t="shared" ca="1" si="101"/>
        <v>0</v>
      </c>
      <c r="CW35" s="1018">
        <f t="shared" ca="1" si="101"/>
        <v>0</v>
      </c>
      <c r="CX35" s="1018">
        <f t="shared" ca="1" si="101"/>
        <v>0</v>
      </c>
      <c r="CY35" s="1018">
        <f t="shared" ca="1" si="101"/>
        <v>0</v>
      </c>
      <c r="CZ35" s="1018">
        <f t="shared" ca="1" si="101"/>
        <v>0</v>
      </c>
      <c r="DA35" s="1018">
        <f t="shared" ca="1" si="101"/>
        <v>0</v>
      </c>
      <c r="DB35" s="1018">
        <f t="shared" ca="1" si="101"/>
        <v>0</v>
      </c>
      <c r="DC35" s="1018">
        <f t="shared" ca="1" si="101"/>
        <v>0</v>
      </c>
      <c r="DD35" s="1018">
        <f t="shared" ca="1" si="101"/>
        <v>0</v>
      </c>
      <c r="DE35" s="1018">
        <f t="shared" ca="1" si="101"/>
        <v>0</v>
      </c>
      <c r="DF35" s="1018">
        <f t="shared" ca="1" si="101"/>
        <v>0</v>
      </c>
      <c r="DH35" s="572">
        <f t="shared" ca="1" si="35"/>
        <v>0</v>
      </c>
    </row>
    <row r="36" spans="1:112" s="528" customFormat="1" ht="12.75" customHeight="1" outlineLevel="1">
      <c r="A36" s="18"/>
      <c r="B36" s="18"/>
      <c r="C36" s="531"/>
      <c r="D36" s="497"/>
      <c r="E36" s="497"/>
      <c r="G36" s="695"/>
      <c r="H36" s="695"/>
      <c r="I36" s="695"/>
      <c r="J36" s="695"/>
      <c r="K36" s="695"/>
      <c r="L36" s="695"/>
      <c r="M36" s="695"/>
      <c r="N36" s="695"/>
      <c r="O36" s="695"/>
      <c r="P36" s="695"/>
      <c r="Q36" s="695"/>
      <c r="S36" s="645"/>
      <c r="T36" s="645"/>
      <c r="U36" s="645"/>
      <c r="V36" s="645"/>
      <c r="W36" s="645"/>
      <c r="X36" s="645"/>
      <c r="Y36" s="645"/>
      <c r="Z36" s="645"/>
      <c r="AA36" s="645"/>
      <c r="AB36" s="645"/>
      <c r="AC36" s="645"/>
      <c r="AD36" s="645"/>
      <c r="AE36" s="645"/>
      <c r="AF36" s="645"/>
      <c r="AG36" s="645"/>
      <c r="AH36" s="645"/>
      <c r="AI36" s="645"/>
      <c r="AJ36" s="645"/>
      <c r="AK36" s="645"/>
      <c r="AM36" s="651"/>
      <c r="AN36" s="651"/>
      <c r="AO36" s="651"/>
      <c r="AP36" s="651"/>
      <c r="AQ36" s="651"/>
      <c r="AR36" s="651"/>
      <c r="AS36" s="651"/>
      <c r="AT36" s="651"/>
      <c r="AU36" s="651"/>
      <c r="AV36" s="651"/>
      <c r="AW36" s="651"/>
      <c r="AX36" s="651"/>
      <c r="AY36" s="651"/>
      <c r="AZ36" s="651"/>
      <c r="BA36" s="651"/>
      <c r="BB36" s="651"/>
      <c r="BC36" s="651"/>
      <c r="BD36" s="651"/>
      <c r="BE36" s="651"/>
      <c r="BF36" s="651"/>
      <c r="BH36" s="665"/>
      <c r="BI36" s="665"/>
      <c r="BJ36" s="665"/>
      <c r="BL36" s="499">
        <f t="shared" si="9"/>
        <v>0</v>
      </c>
      <c r="BM36" s="499"/>
      <c r="BN36" s="18"/>
      <c r="BO36" s="1017"/>
      <c r="BP36" s="1018"/>
      <c r="BQ36" s="1018"/>
      <c r="BR36" s="1018"/>
      <c r="BS36" s="1018"/>
      <c r="BT36" s="1018"/>
      <c r="BU36" s="1018"/>
      <c r="BV36" s="1018"/>
      <c r="BW36" s="1018"/>
      <c r="BX36" s="1018"/>
      <c r="BY36" s="1018"/>
      <c r="BZ36" s="1018"/>
      <c r="CA36" s="1018"/>
      <c r="CB36" s="1018"/>
      <c r="CC36" s="1018"/>
      <c r="CD36" s="1018"/>
      <c r="CE36" s="1018"/>
      <c r="CF36" s="1018"/>
      <c r="CG36" s="1018"/>
      <c r="CH36" s="1018"/>
      <c r="CI36" s="1018"/>
      <c r="CJ36" s="1018"/>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H36" s="572">
        <f t="shared" si="35"/>
        <v>0</v>
      </c>
    </row>
    <row r="37" spans="1:112" s="528" customFormat="1" ht="12.75" customHeight="1" outlineLevel="1">
      <c r="A37" s="1020"/>
      <c r="B37" s="1020"/>
      <c r="C37" s="530" t="s">
        <v>718</v>
      </c>
      <c r="D37" s="684" t="str">
        <f>INDEX(Modules[Module], MATCH($C37, Modules[Code], 0))</f>
        <v>Geosequestration</v>
      </c>
      <c r="E37" s="684"/>
      <c r="G37" s="696">
        <f t="shared" ref="G37:P37" ca="1" si="102">IFERROR(INDEX(INDIRECT($C37&amp;".Outputs["&amp;this.Year&amp;"]"), MATCH(G$5, INDIRECT($C37&amp;".Outputs[Vector]"), 0)), 0)</f>
        <v>0</v>
      </c>
      <c r="H37" s="696">
        <f t="shared" ca="1" si="102"/>
        <v>0</v>
      </c>
      <c r="I37" s="696">
        <f t="shared" ca="1" si="102"/>
        <v>0</v>
      </c>
      <c r="J37" s="696">
        <f t="shared" ca="1" si="102"/>
        <v>0</v>
      </c>
      <c r="K37" s="696">
        <f t="shared" ca="1" si="102"/>
        <v>0</v>
      </c>
      <c r="L37" s="696">
        <f t="shared" ca="1" si="102"/>
        <v>0</v>
      </c>
      <c r="M37" s="696">
        <f t="shared" ca="1" si="102"/>
        <v>0</v>
      </c>
      <c r="N37" s="696">
        <f t="shared" ca="1" si="102"/>
        <v>0</v>
      </c>
      <c r="O37" s="696">
        <f t="shared" ca="1" si="102"/>
        <v>0</v>
      </c>
      <c r="P37" s="696">
        <f t="shared" ca="1" si="102"/>
        <v>0</v>
      </c>
      <c r="Q37" s="694">
        <f ca="1">SUM(G37:P37)</f>
        <v>0</v>
      </c>
      <c r="S37" s="705">
        <f t="shared" ref="S37:BE37" ca="1" si="103">IFERROR(INDEX(INDIRECT($C37&amp;".Outputs["&amp;this.Year&amp;"]"), MATCH(S$5, INDIRECT($C37&amp;".Outputs[Vector]"), 0)), 0)</f>
        <v>0</v>
      </c>
      <c r="T37" s="705">
        <f t="shared" ca="1" si="103"/>
        <v>0</v>
      </c>
      <c r="U37" s="705">
        <f t="shared" ca="1" si="103"/>
        <v>0</v>
      </c>
      <c r="V37" s="705">
        <f t="shared" ca="1" si="103"/>
        <v>0</v>
      </c>
      <c r="W37" s="705">
        <f t="shared" ca="1" si="103"/>
        <v>0</v>
      </c>
      <c r="X37" s="705">
        <f ca="1">IFERROR(INDEX(INDIRECT($C37&amp;".Outputs["&amp;this.Year&amp;"]"), MATCH(X$5, INDIRECT($C37&amp;".Outputs[Vector]"), 0)), 0)</f>
        <v>0</v>
      </c>
      <c r="Y37" s="705">
        <f ca="1">IFERROR(INDEX(INDIRECT($C37&amp;".Outputs["&amp;this.Year&amp;"]"), MATCH(Y$5, INDIRECT($C37&amp;".Outputs[Vector]"), 0)), 0)</f>
        <v>0</v>
      </c>
      <c r="Z37" s="705">
        <f ca="1">IFERROR(INDEX(INDIRECT($C37&amp;".Outputs["&amp;this.Year&amp;"]"), MATCH(Z$5, INDIRECT($C37&amp;".Outputs[Vector]"), 0)), 0)</f>
        <v>0</v>
      </c>
      <c r="AA37" s="705">
        <f t="shared" ca="1" si="103"/>
        <v>0</v>
      </c>
      <c r="AB37" s="705">
        <f t="shared" ca="1" si="103"/>
        <v>0</v>
      </c>
      <c r="AC37" s="705">
        <f t="shared" ca="1" si="103"/>
        <v>0</v>
      </c>
      <c r="AD37" s="705">
        <f t="shared" ca="1" si="103"/>
        <v>0</v>
      </c>
      <c r="AE37" s="705">
        <f t="shared" ca="1" si="103"/>
        <v>0</v>
      </c>
      <c r="AF37" s="705">
        <f t="shared" ca="1" si="103"/>
        <v>0</v>
      </c>
      <c r="AG37" s="705">
        <f t="shared" ca="1" si="103"/>
        <v>0</v>
      </c>
      <c r="AH37" s="705">
        <f t="shared" ca="1" si="103"/>
        <v>0</v>
      </c>
      <c r="AI37" s="705">
        <f t="shared" ca="1" si="103"/>
        <v>0</v>
      </c>
      <c r="AJ37" s="705">
        <f t="shared" ca="1" si="103"/>
        <v>0</v>
      </c>
      <c r="AK37" s="704">
        <f ca="1">SUM(S37:AJ37)</f>
        <v>0</v>
      </c>
      <c r="AM37" s="716">
        <f t="shared" ref="AM37:AU37" ca="1" si="104">IFERROR(INDEX(INDIRECT($C37&amp;".Outputs["&amp;this.Year&amp;"]"), MATCH(AM$5, INDIRECT($C37&amp;".Outputs[Vector]"), 0)), 0)</f>
        <v>0</v>
      </c>
      <c r="AN37" s="716">
        <f t="shared" ca="1" si="104"/>
        <v>0</v>
      </c>
      <c r="AO37" s="716">
        <f t="shared" ca="1" si="104"/>
        <v>0</v>
      </c>
      <c r="AP37" s="716">
        <f t="shared" ca="1" si="104"/>
        <v>0</v>
      </c>
      <c r="AQ37" s="716">
        <f t="shared" ca="1" si="104"/>
        <v>0</v>
      </c>
      <c r="AR37" s="716">
        <f t="shared" ca="1" si="104"/>
        <v>0</v>
      </c>
      <c r="AS37" s="716">
        <f t="shared" ca="1" si="104"/>
        <v>0</v>
      </c>
      <c r="AT37" s="716">
        <f t="shared" ca="1" si="104"/>
        <v>0</v>
      </c>
      <c r="AU37" s="716">
        <f t="shared" ca="1" si="104"/>
        <v>0</v>
      </c>
      <c r="AV37" s="716">
        <f t="shared" ca="1" si="103"/>
        <v>0</v>
      </c>
      <c r="AW37" s="716">
        <f t="shared" ca="1" si="103"/>
        <v>0</v>
      </c>
      <c r="AX37" s="716">
        <f t="shared" ca="1" si="103"/>
        <v>0</v>
      </c>
      <c r="AY37" s="716">
        <f t="shared" ca="1" si="103"/>
        <v>0</v>
      </c>
      <c r="AZ37" s="716">
        <f t="shared" ca="1" si="103"/>
        <v>0</v>
      </c>
      <c r="BA37" s="716">
        <f t="shared" ca="1" si="103"/>
        <v>0</v>
      </c>
      <c r="BB37" s="716">
        <f t="shared" ca="1" si="103"/>
        <v>0</v>
      </c>
      <c r="BC37" s="716">
        <f t="shared" ca="1" si="103"/>
        <v>0</v>
      </c>
      <c r="BD37" s="716">
        <f t="shared" ca="1" si="103"/>
        <v>0</v>
      </c>
      <c r="BE37" s="716">
        <f t="shared" ca="1" si="103"/>
        <v>0</v>
      </c>
      <c r="BF37" s="686">
        <f ca="1">SUM(AM37:BE37)</f>
        <v>0</v>
      </c>
      <c r="BH37" s="710">
        <f ca="1">IFERROR(INDEX(INDIRECT($C37&amp;".Outputs["&amp;this.Year&amp;"]"), MATCH(BH$5, INDIRECT($C37&amp;".Outputs[Vector]"), 0)), 0)</f>
        <v>0</v>
      </c>
      <c r="BI37" s="710">
        <f ca="1">IFERROR(INDEX(INDIRECT($C37&amp;".Outputs["&amp;this.Year&amp;"]"), MATCH(BI$5, INDIRECT($C37&amp;".Outputs[Vector]"), 0)), 0)</f>
        <v>0</v>
      </c>
      <c r="BJ37" s="709">
        <f ca="1">SUM(BH37:BI37)</f>
        <v>0</v>
      </c>
      <c r="BL37" s="562">
        <f t="shared" ca="1" si="9"/>
        <v>0</v>
      </c>
      <c r="BM37" s="562"/>
      <c r="BN37" s="574"/>
      <c r="BO37" s="1021">
        <f t="shared" ref="BO37:DF37" ca="1" si="105">IFERROR(SUMIFS(INDIRECT($C37&amp;".Emissions["&amp;this.Year&amp;"]"), INDIRECT($C37&amp;".Emissions[GHG]"), BO$6, INDIRECT($C37&amp;".Emissions[IPCC Sector]"), BO$5),0)</f>
        <v>0</v>
      </c>
      <c r="BP37" s="1022">
        <f t="shared" ca="1" si="105"/>
        <v>0</v>
      </c>
      <c r="BQ37" s="1022">
        <f t="shared" ca="1" si="105"/>
        <v>0</v>
      </c>
      <c r="BR37" s="1022">
        <f t="shared" ca="1" si="105"/>
        <v>0</v>
      </c>
      <c r="BS37" s="1022">
        <f t="shared" ca="1" si="105"/>
        <v>0</v>
      </c>
      <c r="BT37" s="1022">
        <f t="shared" ca="1" si="105"/>
        <v>0</v>
      </c>
      <c r="BU37" s="1022">
        <f t="shared" ca="1" si="105"/>
        <v>0</v>
      </c>
      <c r="BV37" s="1022">
        <f t="shared" ca="1" si="105"/>
        <v>0</v>
      </c>
      <c r="BW37" s="1022">
        <f t="shared" ca="1" si="105"/>
        <v>0</v>
      </c>
      <c r="BX37" s="1022">
        <f t="shared" ca="1" si="105"/>
        <v>0</v>
      </c>
      <c r="BY37" s="1022">
        <f t="shared" ca="1" si="105"/>
        <v>0</v>
      </c>
      <c r="BZ37" s="1022">
        <f t="shared" ca="1" si="105"/>
        <v>0</v>
      </c>
      <c r="CA37" s="1022">
        <f t="shared" ca="1" si="105"/>
        <v>0</v>
      </c>
      <c r="CB37" s="1022">
        <f t="shared" ca="1" si="105"/>
        <v>0</v>
      </c>
      <c r="CC37" s="1022">
        <f t="shared" ca="1" si="105"/>
        <v>0</v>
      </c>
      <c r="CD37" s="1022">
        <f t="shared" ca="1" si="105"/>
        <v>0</v>
      </c>
      <c r="CE37" s="1022">
        <f t="shared" ca="1" si="105"/>
        <v>0</v>
      </c>
      <c r="CF37" s="1022">
        <f t="shared" ca="1" si="105"/>
        <v>0</v>
      </c>
      <c r="CG37" s="1022">
        <f t="shared" ca="1" si="105"/>
        <v>0</v>
      </c>
      <c r="CH37" s="1022">
        <f t="shared" ca="1" si="105"/>
        <v>0</v>
      </c>
      <c r="CI37" s="1022">
        <f t="shared" ca="1" si="105"/>
        <v>0</v>
      </c>
      <c r="CJ37" s="1022">
        <f t="shared" ca="1" si="105"/>
        <v>0</v>
      </c>
      <c r="CK37" s="1022">
        <f t="shared" ca="1" si="105"/>
        <v>0</v>
      </c>
      <c r="CL37" s="1022">
        <f t="shared" ca="1" si="105"/>
        <v>0</v>
      </c>
      <c r="CM37" s="1022">
        <f t="shared" ca="1" si="105"/>
        <v>0</v>
      </c>
      <c r="CN37" s="1022">
        <f t="shared" ca="1" si="105"/>
        <v>0</v>
      </c>
      <c r="CO37" s="1022">
        <f t="shared" ca="1" si="105"/>
        <v>0</v>
      </c>
      <c r="CP37" s="1022">
        <f t="shared" ca="1" si="105"/>
        <v>0</v>
      </c>
      <c r="CQ37" s="1022">
        <f t="shared" ca="1" si="105"/>
        <v>0</v>
      </c>
      <c r="CR37" s="1022">
        <f t="shared" ca="1" si="105"/>
        <v>0</v>
      </c>
      <c r="CS37" s="1022">
        <f t="shared" ca="1" si="105"/>
        <v>0</v>
      </c>
      <c r="CT37" s="1022">
        <f t="shared" ca="1" si="105"/>
        <v>0</v>
      </c>
      <c r="CU37" s="1022">
        <f t="shared" ca="1" si="105"/>
        <v>0</v>
      </c>
      <c r="CV37" s="1022">
        <f t="shared" ca="1" si="105"/>
        <v>0</v>
      </c>
      <c r="CW37" s="1022">
        <f t="shared" ca="1" si="105"/>
        <v>0</v>
      </c>
      <c r="CX37" s="1022">
        <f t="shared" ca="1" si="105"/>
        <v>0</v>
      </c>
      <c r="CY37" s="1022">
        <f t="shared" ca="1" si="105"/>
        <v>0</v>
      </c>
      <c r="CZ37" s="1022">
        <f t="shared" ca="1" si="105"/>
        <v>0</v>
      </c>
      <c r="DA37" s="1022">
        <f t="shared" ca="1" si="105"/>
        <v>0</v>
      </c>
      <c r="DB37" s="1022">
        <f t="shared" ca="1" si="105"/>
        <v>0</v>
      </c>
      <c r="DC37" s="1022">
        <f t="shared" ca="1" si="105"/>
        <v>0</v>
      </c>
      <c r="DD37" s="1022">
        <f t="shared" ca="1" si="105"/>
        <v>0</v>
      </c>
      <c r="DE37" s="1022">
        <f t="shared" ca="1" si="105"/>
        <v>0</v>
      </c>
      <c r="DF37" s="1022">
        <f t="shared" ca="1" si="105"/>
        <v>0</v>
      </c>
      <c r="DH37" s="572">
        <f t="shared" ca="1" si="35"/>
        <v>0</v>
      </c>
    </row>
    <row r="38" spans="1:112" s="528" customFormat="1" ht="15">
      <c r="A38" s="18"/>
      <c r="B38" s="533"/>
      <c r="C38" s="529" t="s">
        <v>568</v>
      </c>
      <c r="D38" s="501" t="str">
        <f>INDEX(Workstreams[Workstream], MATCH($C38, Workstreams[Code], 0))</f>
        <v>Geosequestration</v>
      </c>
      <c r="E38" s="497"/>
      <c r="G38" s="695">
        <f t="shared" ref="G38:P38" ca="1" si="106">G37</f>
        <v>0</v>
      </c>
      <c r="H38" s="695">
        <f t="shared" ca="1" si="106"/>
        <v>0</v>
      </c>
      <c r="I38" s="695">
        <f t="shared" ca="1" si="106"/>
        <v>0</v>
      </c>
      <c r="J38" s="695">
        <f t="shared" ca="1" si="106"/>
        <v>0</v>
      </c>
      <c r="K38" s="695">
        <f t="shared" ca="1" si="106"/>
        <v>0</v>
      </c>
      <c r="L38" s="695">
        <f t="shared" ca="1" si="106"/>
        <v>0</v>
      </c>
      <c r="M38" s="695">
        <f t="shared" ca="1" si="106"/>
        <v>0</v>
      </c>
      <c r="N38" s="695">
        <f t="shared" ca="1" si="106"/>
        <v>0</v>
      </c>
      <c r="O38" s="695">
        <f t="shared" ca="1" si="106"/>
        <v>0</v>
      </c>
      <c r="P38" s="695">
        <f t="shared" ca="1" si="106"/>
        <v>0</v>
      </c>
      <c r="Q38" s="695">
        <f ca="1">SUM(G38:P38)</f>
        <v>0</v>
      </c>
      <c r="S38" s="645">
        <f t="shared" ref="S38:AJ38" ca="1" si="107">S37</f>
        <v>0</v>
      </c>
      <c r="T38" s="645">
        <f t="shared" ca="1" si="107"/>
        <v>0</v>
      </c>
      <c r="U38" s="645">
        <f t="shared" ca="1" si="107"/>
        <v>0</v>
      </c>
      <c r="V38" s="645">
        <f t="shared" ca="1" si="107"/>
        <v>0</v>
      </c>
      <c r="W38" s="645">
        <f t="shared" ca="1" si="107"/>
        <v>0</v>
      </c>
      <c r="X38" s="645">
        <f ca="1">X37</f>
        <v>0</v>
      </c>
      <c r="Y38" s="645">
        <f ca="1">Y37</f>
        <v>0</v>
      </c>
      <c r="Z38" s="645">
        <f ca="1">Z37</f>
        <v>0</v>
      </c>
      <c r="AA38" s="645">
        <f t="shared" ca="1" si="107"/>
        <v>0</v>
      </c>
      <c r="AB38" s="645">
        <f t="shared" ca="1" si="107"/>
        <v>0</v>
      </c>
      <c r="AC38" s="645">
        <f t="shared" ca="1" si="107"/>
        <v>0</v>
      </c>
      <c r="AD38" s="645">
        <f ca="1">AD37</f>
        <v>0</v>
      </c>
      <c r="AE38" s="645">
        <f ca="1">AE37</f>
        <v>0</v>
      </c>
      <c r="AF38" s="645">
        <f t="shared" ca="1" si="107"/>
        <v>0</v>
      </c>
      <c r="AG38" s="645">
        <f ca="1">AG37</f>
        <v>0</v>
      </c>
      <c r="AH38" s="645">
        <f ca="1">AH37</f>
        <v>0</v>
      </c>
      <c r="AI38" s="645">
        <f ca="1">AI37</f>
        <v>0</v>
      </c>
      <c r="AJ38" s="645">
        <f t="shared" ca="1" si="107"/>
        <v>0</v>
      </c>
      <c r="AK38" s="645">
        <f ca="1">SUM(S38:AJ38)</f>
        <v>0</v>
      </c>
      <c r="AM38" s="651">
        <f t="shared" ref="AM38:AU38" ca="1" si="108">AM37</f>
        <v>0</v>
      </c>
      <c r="AN38" s="651">
        <f t="shared" ca="1" si="108"/>
        <v>0</v>
      </c>
      <c r="AO38" s="651">
        <f t="shared" ca="1" si="108"/>
        <v>0</v>
      </c>
      <c r="AP38" s="651">
        <f t="shared" ca="1" si="108"/>
        <v>0</v>
      </c>
      <c r="AQ38" s="651">
        <f t="shared" ca="1" si="108"/>
        <v>0</v>
      </c>
      <c r="AR38" s="651">
        <f t="shared" ca="1" si="108"/>
        <v>0</v>
      </c>
      <c r="AS38" s="651">
        <f t="shared" ca="1" si="108"/>
        <v>0</v>
      </c>
      <c r="AT38" s="651">
        <f t="shared" ca="1" si="108"/>
        <v>0</v>
      </c>
      <c r="AU38" s="651">
        <f t="shared" ca="1" si="108"/>
        <v>0</v>
      </c>
      <c r="AV38" s="651">
        <f t="shared" ref="AV38:BE38" ca="1" si="109">AV37</f>
        <v>0</v>
      </c>
      <c r="AW38" s="651">
        <f t="shared" ca="1" si="109"/>
        <v>0</v>
      </c>
      <c r="AX38" s="651">
        <f t="shared" ca="1" si="109"/>
        <v>0</v>
      </c>
      <c r="AY38" s="651">
        <f t="shared" ca="1" si="109"/>
        <v>0</v>
      </c>
      <c r="AZ38" s="651">
        <f t="shared" ca="1" si="109"/>
        <v>0</v>
      </c>
      <c r="BA38" s="651">
        <f t="shared" ca="1" si="109"/>
        <v>0</v>
      </c>
      <c r="BB38" s="651">
        <f t="shared" ca="1" si="109"/>
        <v>0</v>
      </c>
      <c r="BC38" s="651">
        <f t="shared" ca="1" si="109"/>
        <v>0</v>
      </c>
      <c r="BD38" s="651">
        <f ca="1">BD37</f>
        <v>0</v>
      </c>
      <c r="BE38" s="651">
        <f t="shared" ca="1" si="109"/>
        <v>0</v>
      </c>
      <c r="BF38" s="651">
        <f ca="1">SUM(AM38:BE38)</f>
        <v>0</v>
      </c>
      <c r="BH38" s="665">
        <f ca="1">BH37</f>
        <v>0</v>
      </c>
      <c r="BI38" s="665">
        <f ca="1">BI37</f>
        <v>0</v>
      </c>
      <c r="BJ38" s="665">
        <f ca="1">SUM(BH38:BI38)</f>
        <v>0</v>
      </c>
      <c r="BL38" s="499">
        <f t="shared" ca="1" si="9"/>
        <v>0</v>
      </c>
      <c r="BM38" s="499"/>
      <c r="BN38" s="574"/>
      <c r="BO38" s="1018">
        <f t="shared" ref="BO38:DF38" ca="1" si="110">BO37</f>
        <v>0</v>
      </c>
      <c r="BP38" s="1018">
        <f t="shared" ca="1" si="110"/>
        <v>0</v>
      </c>
      <c r="BQ38" s="1018">
        <f t="shared" ca="1" si="110"/>
        <v>0</v>
      </c>
      <c r="BR38" s="1018">
        <f t="shared" ca="1" si="110"/>
        <v>0</v>
      </c>
      <c r="BS38" s="1018">
        <f t="shared" ca="1" si="110"/>
        <v>0</v>
      </c>
      <c r="BT38" s="1018">
        <f t="shared" ca="1" si="110"/>
        <v>0</v>
      </c>
      <c r="BU38" s="1018">
        <f t="shared" ca="1" si="110"/>
        <v>0</v>
      </c>
      <c r="BV38" s="1018">
        <f t="shared" ca="1" si="110"/>
        <v>0</v>
      </c>
      <c r="BW38" s="1018">
        <f t="shared" ca="1" si="110"/>
        <v>0</v>
      </c>
      <c r="BX38" s="1018">
        <f t="shared" ca="1" si="110"/>
        <v>0</v>
      </c>
      <c r="BY38" s="1018">
        <f t="shared" ca="1" si="110"/>
        <v>0</v>
      </c>
      <c r="BZ38" s="1018">
        <f t="shared" ca="1" si="110"/>
        <v>0</v>
      </c>
      <c r="CA38" s="1018">
        <f t="shared" ca="1" si="110"/>
        <v>0</v>
      </c>
      <c r="CB38" s="1018">
        <f t="shared" ca="1" si="110"/>
        <v>0</v>
      </c>
      <c r="CC38" s="1018">
        <f t="shared" ca="1" si="110"/>
        <v>0</v>
      </c>
      <c r="CD38" s="1018">
        <f t="shared" ca="1" si="110"/>
        <v>0</v>
      </c>
      <c r="CE38" s="1018">
        <f t="shared" ca="1" si="110"/>
        <v>0</v>
      </c>
      <c r="CF38" s="1018">
        <f t="shared" ca="1" si="110"/>
        <v>0</v>
      </c>
      <c r="CG38" s="1018">
        <f t="shared" ca="1" si="110"/>
        <v>0</v>
      </c>
      <c r="CH38" s="1018">
        <f t="shared" ca="1" si="110"/>
        <v>0</v>
      </c>
      <c r="CI38" s="1018">
        <f t="shared" ca="1" si="110"/>
        <v>0</v>
      </c>
      <c r="CJ38" s="1018">
        <f t="shared" ca="1" si="110"/>
        <v>0</v>
      </c>
      <c r="CK38" s="1018">
        <f t="shared" ca="1" si="110"/>
        <v>0</v>
      </c>
      <c r="CL38" s="1018">
        <f t="shared" ca="1" si="110"/>
        <v>0</v>
      </c>
      <c r="CM38" s="1018">
        <f t="shared" ca="1" si="110"/>
        <v>0</v>
      </c>
      <c r="CN38" s="1018">
        <f t="shared" ca="1" si="110"/>
        <v>0</v>
      </c>
      <c r="CO38" s="1018">
        <f t="shared" ca="1" si="110"/>
        <v>0</v>
      </c>
      <c r="CP38" s="1018">
        <f t="shared" ca="1" si="110"/>
        <v>0</v>
      </c>
      <c r="CQ38" s="1018">
        <f t="shared" ca="1" si="110"/>
        <v>0</v>
      </c>
      <c r="CR38" s="1018">
        <f t="shared" ca="1" si="110"/>
        <v>0</v>
      </c>
      <c r="CS38" s="1018">
        <f t="shared" ca="1" si="110"/>
        <v>0</v>
      </c>
      <c r="CT38" s="1018">
        <f t="shared" ca="1" si="110"/>
        <v>0</v>
      </c>
      <c r="CU38" s="1018">
        <f t="shared" ca="1" si="110"/>
        <v>0</v>
      </c>
      <c r="CV38" s="1018">
        <f t="shared" ca="1" si="110"/>
        <v>0</v>
      </c>
      <c r="CW38" s="1018">
        <f t="shared" ca="1" si="110"/>
        <v>0</v>
      </c>
      <c r="CX38" s="1018">
        <f t="shared" ca="1" si="110"/>
        <v>0</v>
      </c>
      <c r="CY38" s="1018">
        <f t="shared" ca="1" si="110"/>
        <v>0</v>
      </c>
      <c r="CZ38" s="1018">
        <f t="shared" ca="1" si="110"/>
        <v>0</v>
      </c>
      <c r="DA38" s="1018">
        <f t="shared" ca="1" si="110"/>
        <v>0</v>
      </c>
      <c r="DB38" s="1018">
        <f t="shared" ca="1" si="110"/>
        <v>0</v>
      </c>
      <c r="DC38" s="1018">
        <f t="shared" ca="1" si="110"/>
        <v>0</v>
      </c>
      <c r="DD38" s="1018">
        <f t="shared" ca="1" si="110"/>
        <v>0</v>
      </c>
      <c r="DE38" s="1018">
        <f t="shared" ca="1" si="110"/>
        <v>0</v>
      </c>
      <c r="DF38" s="1018">
        <f t="shared" ca="1" si="110"/>
        <v>0</v>
      </c>
      <c r="DH38" s="572">
        <f t="shared" ca="1" si="35"/>
        <v>0</v>
      </c>
    </row>
    <row r="39" spans="1:112" s="528" customFormat="1" ht="6" customHeight="1">
      <c r="C39" s="500"/>
      <c r="D39" s="501"/>
      <c r="E39" s="495"/>
      <c r="G39" s="695"/>
      <c r="H39" s="695"/>
      <c r="I39" s="695"/>
      <c r="J39" s="695"/>
      <c r="K39" s="695"/>
      <c r="L39" s="695"/>
      <c r="M39" s="695"/>
      <c r="N39" s="695"/>
      <c r="O39" s="695"/>
      <c r="P39" s="695"/>
      <c r="Q39" s="695"/>
      <c r="S39" s="645"/>
      <c r="T39" s="645"/>
      <c r="U39" s="645"/>
      <c r="V39" s="645"/>
      <c r="W39" s="645"/>
      <c r="X39" s="645"/>
      <c r="Y39" s="645"/>
      <c r="Z39" s="645"/>
      <c r="AA39" s="645"/>
      <c r="AB39" s="645"/>
      <c r="AC39" s="645"/>
      <c r="AD39" s="645"/>
      <c r="AE39" s="645"/>
      <c r="AF39" s="645"/>
      <c r="AG39" s="645"/>
      <c r="AH39" s="645"/>
      <c r="AI39" s="645"/>
      <c r="AJ39" s="645"/>
      <c r="AK39" s="645"/>
      <c r="AM39" s="651"/>
      <c r="AN39" s="651"/>
      <c r="AO39" s="651"/>
      <c r="AP39" s="651"/>
      <c r="AQ39" s="651"/>
      <c r="AR39" s="651"/>
      <c r="AS39" s="651"/>
      <c r="AT39" s="651"/>
      <c r="AU39" s="651"/>
      <c r="AV39" s="651"/>
      <c r="AW39" s="651"/>
      <c r="AX39" s="651"/>
      <c r="AY39" s="651"/>
      <c r="AZ39" s="651"/>
      <c r="BA39" s="651"/>
      <c r="BB39" s="651"/>
      <c r="BC39" s="651"/>
      <c r="BD39" s="651"/>
      <c r="BE39" s="651"/>
      <c r="BF39" s="651">
        <f>SUM(AM39:BE39)</f>
        <v>0</v>
      </c>
      <c r="BH39" s="665"/>
      <c r="BI39" s="665"/>
      <c r="BJ39" s="665"/>
      <c r="BL39" s="499">
        <f t="shared" si="9"/>
        <v>0</v>
      </c>
      <c r="BM39" s="499"/>
      <c r="BO39" s="1018"/>
      <c r="BP39" s="1018"/>
      <c r="BQ39" s="1018"/>
      <c r="BR39" s="1018"/>
      <c r="BS39" s="1018"/>
      <c r="BT39" s="1018"/>
      <c r="BU39" s="1018"/>
      <c r="BV39" s="1018"/>
      <c r="BW39" s="1018"/>
      <c r="BX39" s="1018"/>
      <c r="BY39" s="1018"/>
      <c r="BZ39" s="1018"/>
      <c r="CA39" s="1018"/>
      <c r="CB39" s="1018"/>
      <c r="CC39" s="1018"/>
      <c r="CD39" s="1018"/>
      <c r="CE39" s="1018"/>
      <c r="CF39" s="1018"/>
      <c r="CG39" s="1018"/>
      <c r="CH39" s="1018"/>
      <c r="CI39" s="1018"/>
      <c r="CJ39" s="1018"/>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H39" s="572"/>
    </row>
    <row r="40" spans="1:112" s="528" customFormat="1" ht="15">
      <c r="B40" s="533"/>
      <c r="C40" s="1332" t="s">
        <v>1081</v>
      </c>
      <c r="D40" s="513" t="s">
        <v>530</v>
      </c>
      <c r="E40" s="514"/>
      <c r="G40" s="697">
        <f t="shared" ref="G40:Q40" ca="1" si="111">G$15+G$19+G$22+G$32+G$35+G$38</f>
        <v>0</v>
      </c>
      <c r="H40" s="697">
        <f t="shared" ca="1" si="111"/>
        <v>0</v>
      </c>
      <c r="I40" s="697">
        <f t="shared" ca="1" si="111"/>
        <v>0</v>
      </c>
      <c r="J40" s="697">
        <f t="shared" ca="1" si="111"/>
        <v>490.85404977847907</v>
      </c>
      <c r="K40" s="697">
        <f t="shared" ca="1" si="111"/>
        <v>15.852446803025652</v>
      </c>
      <c r="L40" s="697">
        <f t="shared" ca="1" si="111"/>
        <v>9.0198346087095516</v>
      </c>
      <c r="M40" s="697">
        <f t="shared" ca="1" si="111"/>
        <v>18.817339999999998</v>
      </c>
      <c r="N40" s="697">
        <f t="shared" ca="1" si="111"/>
        <v>152.80000000000001</v>
      </c>
      <c r="O40" s="697">
        <f t="shared" ca="1" si="111"/>
        <v>54.158157087257202</v>
      </c>
      <c r="P40" s="697">
        <f t="shared" ca="1" si="111"/>
        <v>0</v>
      </c>
      <c r="Q40" s="697">
        <f t="shared" ca="1" si="111"/>
        <v>741.50182827747153</v>
      </c>
      <c r="S40" s="688">
        <f t="shared" ref="S40:AJ40" ca="1" si="112">S$15+S$19+S$22+S$32+S$35+S$38</f>
        <v>-8.6815924571345473</v>
      </c>
      <c r="T40" s="688">
        <f t="shared" ca="1" si="112"/>
        <v>0</v>
      </c>
      <c r="U40" s="688">
        <f t="shared" ca="1" si="112"/>
        <v>0</v>
      </c>
      <c r="V40" s="688">
        <f t="shared" ca="1" si="112"/>
        <v>-732.82023582033707</v>
      </c>
      <c r="W40" s="688">
        <f t="shared" ca="1" si="112"/>
        <v>0</v>
      </c>
      <c r="X40" s="688">
        <f ca="1">X$15+X$19+X$22+X$32+X$35+X$38</f>
        <v>0</v>
      </c>
      <c r="Y40" s="688">
        <f ca="1">Y$15+Y$19+Y$22+Y$32+Y$35+Y$38</f>
        <v>0</v>
      </c>
      <c r="Z40" s="688">
        <f ca="1">Z$15+Z$19+Z$22+Z$32+Z$35+Z$38</f>
        <v>0</v>
      </c>
      <c r="AA40" s="688">
        <f t="shared" ca="1" si="112"/>
        <v>0</v>
      </c>
      <c r="AB40" s="688">
        <f t="shared" ca="1" si="112"/>
        <v>0</v>
      </c>
      <c r="AC40" s="688">
        <f t="shared" ca="1" si="112"/>
        <v>0</v>
      </c>
      <c r="AD40" s="688">
        <f t="shared" ca="1" si="112"/>
        <v>0</v>
      </c>
      <c r="AE40" s="688">
        <f t="shared" ca="1" si="112"/>
        <v>0</v>
      </c>
      <c r="AF40" s="688">
        <f t="shared" ca="1" si="112"/>
        <v>0</v>
      </c>
      <c r="AG40" s="688">
        <f t="shared" ca="1" si="112"/>
        <v>0</v>
      </c>
      <c r="AH40" s="688">
        <f t="shared" ca="1" si="112"/>
        <v>0</v>
      </c>
      <c r="AI40" s="688">
        <f t="shared" ca="1" si="112"/>
        <v>0</v>
      </c>
      <c r="AJ40" s="688">
        <f t="shared" ca="1" si="112"/>
        <v>0</v>
      </c>
      <c r="AK40" s="688">
        <f ca="1">SUM(S40:AJ40)</f>
        <v>-741.50182827747165</v>
      </c>
      <c r="AM40" s="689">
        <f t="shared" ref="AM40:AU40" ca="1" si="113">AM$15+AM$19+AM$22+AM$32+AM$35+AM$38</f>
        <v>0</v>
      </c>
      <c r="AN40" s="689">
        <f t="shared" ca="1" si="113"/>
        <v>0</v>
      </c>
      <c r="AO40" s="689">
        <f t="shared" ca="1" si="113"/>
        <v>0</v>
      </c>
      <c r="AP40" s="689">
        <f t="shared" ca="1" si="113"/>
        <v>0</v>
      </c>
      <c r="AQ40" s="689">
        <f t="shared" ca="1" si="113"/>
        <v>0</v>
      </c>
      <c r="AR40" s="689">
        <f t="shared" ca="1" si="113"/>
        <v>0</v>
      </c>
      <c r="AS40" s="689">
        <f t="shared" ca="1" si="113"/>
        <v>0</v>
      </c>
      <c r="AT40" s="689">
        <f t="shared" ca="1" si="113"/>
        <v>0</v>
      </c>
      <c r="AU40" s="689">
        <f t="shared" ca="1" si="113"/>
        <v>0</v>
      </c>
      <c r="AV40" s="689">
        <f t="shared" ref="AV40:BE40" ca="1" si="114">AV$15+AV$19+AV$22+AV$32+AV$35+AV$38</f>
        <v>0</v>
      </c>
      <c r="AW40" s="689">
        <f t="shared" ca="1" si="114"/>
        <v>0</v>
      </c>
      <c r="AX40" s="689">
        <f t="shared" ca="1" si="114"/>
        <v>0</v>
      </c>
      <c r="AY40" s="689">
        <f t="shared" ca="1" si="114"/>
        <v>0</v>
      </c>
      <c r="AZ40" s="689">
        <f t="shared" ca="1" si="114"/>
        <v>0</v>
      </c>
      <c r="BA40" s="689">
        <f t="shared" ca="1" si="114"/>
        <v>0</v>
      </c>
      <c r="BB40" s="689">
        <f t="shared" ca="1" si="114"/>
        <v>0</v>
      </c>
      <c r="BC40" s="689">
        <f t="shared" ca="1" si="114"/>
        <v>0</v>
      </c>
      <c r="BD40" s="689">
        <f t="shared" ca="1" si="114"/>
        <v>0</v>
      </c>
      <c r="BE40" s="689">
        <f t="shared" ca="1" si="114"/>
        <v>0</v>
      </c>
      <c r="BF40" s="689">
        <f ca="1">SUM(AM40:BE40)</f>
        <v>0</v>
      </c>
      <c r="BH40" s="690">
        <f ca="1">BH$15+BH$19+BH$22+BH$32+BH$35+BH$38</f>
        <v>0</v>
      </c>
      <c r="BI40" s="690">
        <f ca="1">BI$15+BI$19+BI$22+BI$32+BI$35+BI$38</f>
        <v>0</v>
      </c>
      <c r="BJ40" s="690">
        <f ca="1">SUM(BH40:BI40)</f>
        <v>0</v>
      </c>
      <c r="BL40" s="502">
        <f t="shared" ca="1" si="9"/>
        <v>-1.1368683772161603E-13</v>
      </c>
      <c r="BM40" s="502"/>
      <c r="BO40" s="1023">
        <f t="shared" ref="BO40:DF40" ca="1" si="115">BO$15+BO$19+BO$22+BO$32+BO$35+BO$38</f>
        <v>131.46551968326995</v>
      </c>
      <c r="BP40" s="1023">
        <f t="shared" ca="1" si="115"/>
        <v>0.16367405301251234</v>
      </c>
      <c r="BQ40" s="1023">
        <f t="shared" ca="1" si="115"/>
        <v>2.365334083866848</v>
      </c>
      <c r="BR40" s="1023">
        <f t="shared" ca="1" si="115"/>
        <v>0</v>
      </c>
      <c r="BS40" s="1023">
        <f t="shared" ca="1" si="115"/>
        <v>0</v>
      </c>
      <c r="BT40" s="1023">
        <f t="shared" ca="1" si="115"/>
        <v>0</v>
      </c>
      <c r="BU40" s="1023">
        <f t="shared" ca="1" si="115"/>
        <v>0</v>
      </c>
      <c r="BV40" s="1023">
        <f t="shared" ca="1" si="115"/>
        <v>0</v>
      </c>
      <c r="BW40" s="1023">
        <f t="shared" ca="1" si="115"/>
        <v>0</v>
      </c>
      <c r="BX40" s="1023">
        <f t="shared" ca="1" si="115"/>
        <v>0</v>
      </c>
      <c r="BY40" s="1023">
        <f t="shared" ca="1" si="115"/>
        <v>0</v>
      </c>
      <c r="BZ40" s="1023">
        <f t="shared" ca="1" si="115"/>
        <v>0</v>
      </c>
      <c r="CA40" s="1023">
        <f t="shared" ca="1" si="115"/>
        <v>0</v>
      </c>
      <c r="CB40" s="1023">
        <f t="shared" ca="1" si="115"/>
        <v>0</v>
      </c>
      <c r="CC40" s="1023">
        <f t="shared" ca="1" si="115"/>
        <v>0</v>
      </c>
      <c r="CD40" s="1023">
        <f t="shared" ca="1" si="115"/>
        <v>0</v>
      </c>
      <c r="CE40" s="1023">
        <f t="shared" ca="1" si="115"/>
        <v>0</v>
      </c>
      <c r="CF40" s="1023">
        <f t="shared" ca="1" si="115"/>
        <v>0</v>
      </c>
      <c r="CG40" s="1023">
        <f t="shared" ca="1" si="115"/>
        <v>0</v>
      </c>
      <c r="CH40" s="1023">
        <f t="shared" ca="1" si="115"/>
        <v>0</v>
      </c>
      <c r="CI40" s="1023">
        <f t="shared" ca="1" si="115"/>
        <v>0</v>
      </c>
      <c r="CJ40" s="1023">
        <f t="shared" ca="1" si="115"/>
        <v>0</v>
      </c>
      <c r="CK40" s="1023">
        <f t="shared" ca="1" si="115"/>
        <v>0</v>
      </c>
      <c r="CL40" s="1023">
        <f t="shared" ca="1" si="115"/>
        <v>0</v>
      </c>
      <c r="CM40" s="1023">
        <f t="shared" ca="1" si="115"/>
        <v>0</v>
      </c>
      <c r="CN40" s="1023">
        <f t="shared" ca="1" si="115"/>
        <v>0</v>
      </c>
      <c r="CO40" s="1023">
        <f t="shared" ca="1" si="115"/>
        <v>0</v>
      </c>
      <c r="CP40" s="1023">
        <f t="shared" ca="1" si="115"/>
        <v>0</v>
      </c>
      <c r="CQ40" s="1023">
        <f t="shared" ca="1" si="115"/>
        <v>0</v>
      </c>
      <c r="CR40" s="1023">
        <f t="shared" ca="1" si="115"/>
        <v>0</v>
      </c>
      <c r="CS40" s="1023">
        <f t="shared" ca="1" si="115"/>
        <v>0</v>
      </c>
      <c r="CT40" s="1023">
        <f t="shared" ca="1" si="115"/>
        <v>0</v>
      </c>
      <c r="CU40" s="1023">
        <f t="shared" ca="1" si="115"/>
        <v>51.739539271814301</v>
      </c>
      <c r="CV40" s="1023">
        <f t="shared" ca="1" si="115"/>
        <v>6.441552213858226E-2</v>
      </c>
      <c r="CW40" s="1023">
        <f t="shared" ca="1" si="115"/>
        <v>0.93090033050516818</v>
      </c>
      <c r="CX40" s="1023">
        <f t="shared" ca="1" si="115"/>
        <v>0</v>
      </c>
      <c r="CY40" s="1023">
        <f t="shared" ca="1" si="115"/>
        <v>0</v>
      </c>
      <c r="CZ40" s="1023">
        <f t="shared" ca="1" si="115"/>
        <v>0</v>
      </c>
      <c r="DA40" s="1023">
        <f t="shared" ca="1" si="115"/>
        <v>0</v>
      </c>
      <c r="DB40" s="1023">
        <f t="shared" ca="1" si="115"/>
        <v>0</v>
      </c>
      <c r="DC40" s="1023">
        <f t="shared" ca="1" si="115"/>
        <v>0</v>
      </c>
      <c r="DD40" s="1023">
        <f t="shared" ca="1" si="115"/>
        <v>0</v>
      </c>
      <c r="DE40" s="1023">
        <f t="shared" ca="1" si="115"/>
        <v>0</v>
      </c>
      <c r="DF40" s="1023">
        <f t="shared" ca="1" si="115"/>
        <v>0</v>
      </c>
      <c r="DH40" s="571">
        <f ca="1">SUM(BO40:DF40)</f>
        <v>186.72938294460735</v>
      </c>
    </row>
    <row r="41" spans="1:112" s="528" customFormat="1" ht="6" customHeight="1">
      <c r="C41" s="495"/>
      <c r="D41" s="495"/>
      <c r="E41" s="495"/>
      <c r="G41" s="633"/>
      <c r="H41" s="633"/>
      <c r="I41" s="633"/>
      <c r="J41" s="633"/>
      <c r="K41" s="635"/>
      <c r="L41" s="633"/>
      <c r="M41" s="633"/>
      <c r="N41" s="633"/>
      <c r="O41" s="633"/>
      <c r="P41" s="633"/>
      <c r="Q41" s="633"/>
      <c r="S41" s="645"/>
      <c r="T41" s="645"/>
      <c r="U41" s="645"/>
      <c r="V41" s="645"/>
      <c r="W41" s="645"/>
      <c r="X41" s="645"/>
      <c r="Y41" s="645"/>
      <c r="Z41" s="645"/>
      <c r="AA41" s="645"/>
      <c r="AB41" s="645"/>
      <c r="AC41" s="645"/>
      <c r="AD41" s="645"/>
      <c r="AE41" s="645"/>
      <c r="AF41" s="645"/>
      <c r="AG41" s="645"/>
      <c r="AH41" s="645"/>
      <c r="AI41" s="645"/>
      <c r="AJ41" s="645"/>
      <c r="AK41" s="645"/>
      <c r="AM41" s="651"/>
      <c r="AN41" s="651"/>
      <c r="AO41" s="651"/>
      <c r="AP41" s="651"/>
      <c r="AQ41" s="651"/>
      <c r="AR41" s="651"/>
      <c r="AS41" s="651"/>
      <c r="AT41" s="651"/>
      <c r="AU41" s="651"/>
      <c r="AV41" s="651"/>
      <c r="AW41" s="651"/>
      <c r="AX41" s="651"/>
      <c r="AY41" s="651"/>
      <c r="AZ41" s="651"/>
      <c r="BA41" s="651"/>
      <c r="BB41" s="651"/>
      <c r="BC41" s="651"/>
      <c r="BD41" s="651"/>
      <c r="BE41" s="651"/>
      <c r="BF41" s="651"/>
      <c r="BH41" s="665"/>
      <c r="BI41" s="665"/>
      <c r="BJ41" s="665"/>
      <c r="BL41" s="499">
        <f t="shared" si="9"/>
        <v>0</v>
      </c>
      <c r="BM41" s="499"/>
      <c r="BO41" s="1018"/>
      <c r="BP41" s="1018"/>
      <c r="BQ41" s="1018"/>
      <c r="BR41" s="1018"/>
      <c r="BS41" s="1018"/>
      <c r="BT41" s="1018"/>
      <c r="BU41" s="1018"/>
      <c r="BV41" s="1018"/>
      <c r="BW41" s="1018"/>
      <c r="BX41" s="1018"/>
      <c r="BY41" s="1018"/>
      <c r="BZ41" s="1018"/>
      <c r="CA41" s="1018"/>
      <c r="CB41" s="1018"/>
      <c r="CC41" s="1018"/>
      <c r="CD41" s="1018"/>
      <c r="CE41" s="1018"/>
      <c r="CF41" s="1018"/>
      <c r="CG41" s="1018"/>
      <c r="CH41" s="1018"/>
      <c r="CI41" s="1018"/>
      <c r="CJ41" s="1018"/>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H41" s="572"/>
    </row>
    <row r="42" spans="1:112" s="528" customFormat="1" ht="24" customHeight="1">
      <c r="C42" s="489" t="s">
        <v>66</v>
      </c>
      <c r="D42" s="489"/>
      <c r="E42" s="512"/>
      <c r="G42" s="632"/>
      <c r="H42" s="632"/>
      <c r="I42" s="632"/>
      <c r="J42" s="632"/>
      <c r="K42" s="632"/>
      <c r="L42" s="632"/>
      <c r="M42" s="632"/>
      <c r="N42" s="632"/>
      <c r="O42" s="632"/>
      <c r="P42" s="632"/>
      <c r="Q42" s="632"/>
      <c r="S42" s="644"/>
      <c r="T42" s="644"/>
      <c r="U42" s="644"/>
      <c r="V42" s="644"/>
      <c r="W42" s="644"/>
      <c r="X42" s="644"/>
      <c r="Y42" s="644"/>
      <c r="Z42" s="644"/>
      <c r="AA42" s="644"/>
      <c r="AB42" s="644"/>
      <c r="AC42" s="644"/>
      <c r="AD42" s="644"/>
      <c r="AE42" s="644"/>
      <c r="AF42" s="644"/>
      <c r="AG42" s="644"/>
      <c r="AH42" s="644"/>
      <c r="AI42" s="644"/>
      <c r="AJ42" s="644"/>
      <c r="AK42" s="644"/>
      <c r="AM42" s="650"/>
      <c r="AN42" s="650"/>
      <c r="AO42" s="650"/>
      <c r="AP42" s="650"/>
      <c r="AQ42" s="650"/>
      <c r="AR42" s="650"/>
      <c r="AS42" s="650"/>
      <c r="AT42" s="650"/>
      <c r="AU42" s="650"/>
      <c r="AV42" s="650"/>
      <c r="AW42" s="650"/>
      <c r="AX42" s="650"/>
      <c r="AY42" s="650"/>
      <c r="AZ42" s="650"/>
      <c r="BA42" s="650"/>
      <c r="BB42" s="650"/>
      <c r="BC42" s="650"/>
      <c r="BD42" s="650"/>
      <c r="BE42" s="650"/>
      <c r="BF42" s="650"/>
      <c r="BH42" s="664"/>
      <c r="BI42" s="664"/>
      <c r="BJ42" s="664"/>
      <c r="BL42" s="498">
        <f t="shared" si="9"/>
        <v>0</v>
      </c>
      <c r="BM42" s="498"/>
      <c r="BO42" s="1018"/>
      <c r="BP42" s="1018"/>
      <c r="BQ42" s="1018"/>
      <c r="BR42" s="1018"/>
      <c r="BS42" s="1018"/>
      <c r="BT42" s="1018"/>
      <c r="BU42" s="1018"/>
      <c r="BV42" s="1018"/>
      <c r="BW42" s="1018"/>
      <c r="BX42" s="1018"/>
      <c r="BY42" s="1018"/>
      <c r="BZ42" s="1018"/>
      <c r="CA42" s="1018"/>
      <c r="CB42" s="1018"/>
      <c r="CC42" s="1018"/>
      <c r="CD42" s="1018"/>
      <c r="CE42" s="1018"/>
      <c r="CF42" s="1018"/>
      <c r="CG42" s="1018"/>
      <c r="CH42" s="1018"/>
      <c r="CI42" s="1018"/>
      <c r="CJ42" s="1018"/>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H42" s="572"/>
    </row>
    <row r="43" spans="1:112" s="528" customFormat="1" ht="12.75" customHeight="1" outlineLevel="1">
      <c r="A43" s="18"/>
      <c r="B43" s="18"/>
      <c r="C43" s="531"/>
      <c r="D43" s="497"/>
      <c r="E43" s="497"/>
      <c r="G43" s="633"/>
      <c r="H43" s="633"/>
      <c r="I43" s="633"/>
      <c r="J43" s="633"/>
      <c r="K43" s="635"/>
      <c r="L43" s="633"/>
      <c r="M43" s="633"/>
      <c r="N43" s="633"/>
      <c r="O43" s="633"/>
      <c r="P43" s="633"/>
      <c r="Q43" s="633"/>
      <c r="S43" s="645"/>
      <c r="T43" s="645"/>
      <c r="U43" s="645"/>
      <c r="V43" s="645"/>
      <c r="W43" s="645"/>
      <c r="X43" s="645"/>
      <c r="Y43" s="645"/>
      <c r="Z43" s="645"/>
      <c r="AA43" s="645"/>
      <c r="AB43" s="645"/>
      <c r="AC43" s="645"/>
      <c r="AD43" s="645"/>
      <c r="AE43" s="645"/>
      <c r="AF43" s="645"/>
      <c r="AG43" s="645"/>
      <c r="AH43" s="645"/>
      <c r="AI43" s="645"/>
      <c r="AJ43" s="645"/>
      <c r="AK43" s="645"/>
      <c r="AM43" s="651"/>
      <c r="AN43" s="651"/>
      <c r="AO43" s="651"/>
      <c r="AP43" s="651"/>
      <c r="AQ43" s="651"/>
      <c r="AR43" s="651"/>
      <c r="AS43" s="651"/>
      <c r="AT43" s="651"/>
      <c r="AU43" s="651"/>
      <c r="AV43" s="651"/>
      <c r="AW43" s="651"/>
      <c r="AX43" s="651"/>
      <c r="AY43" s="651"/>
      <c r="AZ43" s="651"/>
      <c r="BA43" s="651"/>
      <c r="BB43" s="651"/>
      <c r="BC43" s="651"/>
      <c r="BD43" s="651"/>
      <c r="BE43" s="651"/>
      <c r="BF43" s="651"/>
      <c r="BH43" s="665"/>
      <c r="BI43" s="665"/>
      <c r="BJ43" s="665"/>
      <c r="BL43" s="499">
        <f t="shared" si="9"/>
        <v>0</v>
      </c>
      <c r="BM43" s="499"/>
      <c r="BN43" s="18"/>
      <c r="BO43" s="1018"/>
      <c r="BP43" s="1018"/>
      <c r="BQ43" s="1018"/>
      <c r="BR43" s="1018"/>
      <c r="BS43" s="1018"/>
      <c r="BT43" s="1018"/>
      <c r="BU43" s="1018"/>
      <c r="BV43" s="1018"/>
      <c r="BW43" s="1018"/>
      <c r="BX43" s="1018"/>
      <c r="BY43" s="1018"/>
      <c r="BZ43" s="1018"/>
      <c r="CA43" s="1018"/>
      <c r="CB43" s="1018"/>
      <c r="CC43" s="1018"/>
      <c r="CD43" s="1018"/>
      <c r="CE43" s="1018"/>
      <c r="CF43" s="1018"/>
      <c r="CG43" s="1018"/>
      <c r="CH43" s="1018"/>
      <c r="CI43" s="1018"/>
      <c r="CJ43" s="1018"/>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H43" s="572"/>
    </row>
    <row r="44" spans="1:112" s="1027" customFormat="1" ht="12.75" customHeight="1" outlineLevel="1">
      <c r="C44" s="1034" t="s">
        <v>1145</v>
      </c>
      <c r="D44" s="1035" t="s">
        <v>1146</v>
      </c>
      <c r="E44" s="1035"/>
      <c r="F44" s="1253"/>
      <c r="G44" s="736"/>
      <c r="H44" s="736"/>
      <c r="I44" s="736"/>
      <c r="J44" s="736"/>
      <c r="K44" s="737"/>
      <c r="L44" s="736"/>
      <c r="M44" s="736"/>
      <c r="N44" s="736"/>
      <c r="O44" s="736"/>
      <c r="P44" s="736"/>
      <c r="Q44" s="736"/>
      <c r="R44" s="1253"/>
      <c r="S44" s="738"/>
      <c r="T44" s="738"/>
      <c r="U44" s="738"/>
      <c r="V44" s="738"/>
      <c r="W44" s="738"/>
      <c r="X44" s="738"/>
      <c r="Y44" s="738"/>
      <c r="Z44" s="738"/>
      <c r="AA44" s="738"/>
      <c r="AB44" s="738"/>
      <c r="AC44" s="738"/>
      <c r="AD44" s="738"/>
      <c r="AE44" s="738"/>
      <c r="AF44" s="738"/>
      <c r="AG44" s="738"/>
      <c r="AH44" s="738"/>
      <c r="AI44" s="738"/>
      <c r="AJ44" s="738">
        <f ca="1">AJ$40</f>
        <v>0</v>
      </c>
      <c r="AK44" s="738"/>
      <c r="AL44" s="1253"/>
      <c r="AM44" s="739"/>
      <c r="AN44" s="739"/>
      <c r="AO44" s="739"/>
      <c r="AP44" s="739"/>
      <c r="AQ44" s="739"/>
      <c r="AR44" s="739"/>
      <c r="AS44" s="739"/>
      <c r="AT44" s="739"/>
      <c r="AU44" s="739"/>
      <c r="AV44" s="739"/>
      <c r="AW44" s="739"/>
      <c r="AX44" s="739"/>
      <c r="AY44" s="739"/>
      <c r="AZ44" s="739"/>
      <c r="BA44" s="739"/>
      <c r="BB44" s="739"/>
      <c r="BC44" s="739"/>
      <c r="BD44" s="739"/>
      <c r="BE44" s="739"/>
      <c r="BF44" s="739"/>
      <c r="BG44" s="1253"/>
      <c r="BH44" s="740"/>
      <c r="BI44" s="740"/>
      <c r="BJ44" s="740"/>
      <c r="BK44" s="1253"/>
      <c r="BL44" s="1036">
        <f t="shared" si="9"/>
        <v>0</v>
      </c>
      <c r="BM44" s="1036"/>
      <c r="BO44" s="1259"/>
      <c r="BP44" s="1259"/>
      <c r="BQ44" s="1259"/>
      <c r="BR44" s="1259"/>
      <c r="BS44" s="1259"/>
      <c r="BT44" s="1259"/>
      <c r="BU44" s="1259"/>
      <c r="BV44" s="1259"/>
      <c r="BW44" s="1259"/>
      <c r="BX44" s="1259"/>
      <c r="BY44" s="1259"/>
      <c r="BZ44" s="1259"/>
      <c r="CA44" s="1259"/>
      <c r="CB44" s="1259"/>
      <c r="CC44" s="1259"/>
      <c r="CD44" s="1259"/>
      <c r="CE44" s="1259"/>
      <c r="CF44" s="1259"/>
      <c r="CG44" s="1259"/>
      <c r="CH44" s="1259"/>
      <c r="CI44" s="1259"/>
      <c r="CJ44" s="1259"/>
      <c r="CK44" s="1259"/>
      <c r="CL44" s="1259"/>
      <c r="CM44" s="1259"/>
      <c r="CN44" s="1259"/>
      <c r="CO44" s="1259"/>
      <c r="CP44" s="1259"/>
      <c r="CQ44" s="1259"/>
      <c r="CR44" s="1259"/>
      <c r="CS44" s="1259"/>
      <c r="CT44" s="1259"/>
      <c r="CU44" s="1259"/>
      <c r="CV44" s="1259"/>
      <c r="CW44" s="1259"/>
      <c r="CX44" s="1259"/>
      <c r="CY44" s="1259"/>
      <c r="CZ44" s="1259"/>
      <c r="DA44" s="1259"/>
      <c r="DB44" s="1259"/>
      <c r="DC44" s="1259"/>
      <c r="DD44" s="1259"/>
      <c r="DE44" s="1259"/>
      <c r="DF44" s="1259"/>
      <c r="DH44" s="1258">
        <f>SUM(BO44:DF44)</f>
        <v>0</v>
      </c>
    </row>
    <row r="45" spans="1:112" s="528" customFormat="1" ht="12.75" customHeight="1" outlineLevel="1">
      <c r="A45" s="18"/>
      <c r="B45" s="18"/>
      <c r="C45" s="530" t="s">
        <v>728</v>
      </c>
      <c r="D45" s="684" t="str">
        <f>INDEX(Modules[Module], MATCH($C45, Modules[Code], 0))</f>
        <v>H2 Production for Transport</v>
      </c>
      <c r="E45" s="735"/>
      <c r="G45" s="696">
        <f t="shared" ref="G45:P45" ca="1" si="116">IFERROR(INDEX(INDIRECT($C45&amp;".Outputs["&amp;this.Year&amp;"]"), MATCH(G$5, INDIRECT($C45&amp;".Outputs[Vector]"), 0)), 0)</f>
        <v>0</v>
      </c>
      <c r="H45" s="696">
        <f t="shared" ca="1" si="116"/>
        <v>0</v>
      </c>
      <c r="I45" s="696">
        <f t="shared" ca="1" si="116"/>
        <v>0</v>
      </c>
      <c r="J45" s="696">
        <f t="shared" ca="1" si="116"/>
        <v>0</v>
      </c>
      <c r="K45" s="696">
        <f t="shared" ca="1" si="116"/>
        <v>0</v>
      </c>
      <c r="L45" s="696">
        <f t="shared" ca="1" si="116"/>
        <v>0</v>
      </c>
      <c r="M45" s="696">
        <f t="shared" ca="1" si="116"/>
        <v>0</v>
      </c>
      <c r="N45" s="696">
        <f t="shared" ca="1" si="116"/>
        <v>0</v>
      </c>
      <c r="O45" s="696">
        <f t="shared" ca="1" si="116"/>
        <v>0</v>
      </c>
      <c r="P45" s="696">
        <f t="shared" ca="1" si="116"/>
        <v>0</v>
      </c>
      <c r="Q45" s="694">
        <f ca="1">SUM(G45:P45)</f>
        <v>0</v>
      </c>
      <c r="S45" s="705">
        <f t="shared" ref="S45:AJ45" ca="1" si="117">IFERROR(INDEX(INDIRECT($C45&amp;".Outputs["&amp;this.Year&amp;"]"), MATCH(S$5, INDIRECT($C45&amp;".Outputs[Vector]"), 0)), 0)</f>
        <v>0</v>
      </c>
      <c r="T45" s="705">
        <f t="shared" ca="1" si="117"/>
        <v>0</v>
      </c>
      <c r="U45" s="705">
        <f t="shared" ca="1" si="117"/>
        <v>0</v>
      </c>
      <c r="V45" s="705">
        <f t="shared" ca="1" si="117"/>
        <v>0</v>
      </c>
      <c r="W45" s="705">
        <f t="shared" ca="1" si="117"/>
        <v>0</v>
      </c>
      <c r="X45" s="705">
        <f ca="1">IFERROR(INDEX(INDIRECT($C45&amp;".Outputs["&amp;this.Year&amp;"]"), MATCH(X$5, INDIRECT($C45&amp;".Outputs[Vector]"), 0)), 0)</f>
        <v>0</v>
      </c>
      <c r="Y45" s="705">
        <f ca="1">IFERROR(INDEX(INDIRECT($C45&amp;".Outputs["&amp;this.Year&amp;"]"), MATCH(Y$5, INDIRECT($C45&amp;".Outputs[Vector]"), 0)), 0)</f>
        <v>0</v>
      </c>
      <c r="Z45" s="705">
        <f ca="1">IFERROR(INDEX(INDIRECT($C45&amp;".Outputs["&amp;this.Year&amp;"]"), MATCH(Z$5, INDIRECT($C45&amp;".Outputs[Vector]"), 0)), 0)</f>
        <v>0</v>
      </c>
      <c r="AA45" s="705">
        <f t="shared" ca="1" si="117"/>
        <v>0</v>
      </c>
      <c r="AB45" s="705">
        <f t="shared" ca="1" si="117"/>
        <v>0</v>
      </c>
      <c r="AC45" s="705">
        <f t="shared" ca="1" si="117"/>
        <v>0</v>
      </c>
      <c r="AD45" s="705">
        <f t="shared" ca="1" si="117"/>
        <v>0</v>
      </c>
      <c r="AE45" s="705">
        <f t="shared" ca="1" si="117"/>
        <v>0</v>
      </c>
      <c r="AF45" s="705">
        <f t="shared" ca="1" si="117"/>
        <v>0</v>
      </c>
      <c r="AG45" s="705">
        <f t="shared" ca="1" si="117"/>
        <v>0</v>
      </c>
      <c r="AH45" s="705">
        <f t="shared" ca="1" si="117"/>
        <v>0</v>
      </c>
      <c r="AI45" s="705">
        <f t="shared" ca="1" si="117"/>
        <v>0</v>
      </c>
      <c r="AJ45" s="705">
        <f t="shared" ca="1" si="117"/>
        <v>0</v>
      </c>
      <c r="AK45" s="704">
        <f ca="1">SUM(S45:AJ45)</f>
        <v>0</v>
      </c>
      <c r="AM45" s="716">
        <f t="shared" ref="AM45:AU45" ca="1" si="118">IFERROR(INDEX(INDIRECT($C45&amp;".Outputs["&amp;this.Year&amp;"]"), MATCH(AM$5, INDIRECT($C45&amp;".Outputs[Vector]"), 0)), 0)</f>
        <v>0</v>
      </c>
      <c r="AN45" s="716">
        <f t="shared" ca="1" si="118"/>
        <v>0</v>
      </c>
      <c r="AO45" s="716">
        <f t="shared" ca="1" si="118"/>
        <v>0</v>
      </c>
      <c r="AP45" s="716">
        <f t="shared" ca="1" si="118"/>
        <v>0</v>
      </c>
      <c r="AQ45" s="716">
        <f t="shared" ca="1" si="118"/>
        <v>0</v>
      </c>
      <c r="AR45" s="716">
        <f t="shared" ca="1" si="118"/>
        <v>0</v>
      </c>
      <c r="AS45" s="716">
        <f t="shared" ca="1" si="118"/>
        <v>0</v>
      </c>
      <c r="AT45" s="716">
        <f t="shared" ca="1" si="118"/>
        <v>0</v>
      </c>
      <c r="AU45" s="716">
        <f t="shared" ca="1" si="118"/>
        <v>0</v>
      </c>
      <c r="AV45" s="716">
        <f t="shared" ref="AV45:BE45" ca="1" si="119">IFERROR(INDEX(INDIRECT($C45&amp;".Outputs["&amp;this.Year&amp;"]"), MATCH(AV$5, INDIRECT($C45&amp;".Outputs[Vector]"), 0)), 0)</f>
        <v>0</v>
      </c>
      <c r="AW45" s="716">
        <f t="shared" ca="1" si="119"/>
        <v>0</v>
      </c>
      <c r="AX45" s="716">
        <f t="shared" ca="1" si="119"/>
        <v>0</v>
      </c>
      <c r="AY45" s="716">
        <f t="shared" ca="1" si="119"/>
        <v>0</v>
      </c>
      <c r="AZ45" s="716">
        <f t="shared" ca="1" si="119"/>
        <v>0</v>
      </c>
      <c r="BA45" s="716">
        <f t="shared" ca="1" si="119"/>
        <v>0</v>
      </c>
      <c r="BB45" s="716">
        <f t="shared" ca="1" si="119"/>
        <v>0</v>
      </c>
      <c r="BC45" s="716">
        <f t="shared" ca="1" si="119"/>
        <v>0</v>
      </c>
      <c r="BD45" s="716">
        <f t="shared" ca="1" si="119"/>
        <v>0</v>
      </c>
      <c r="BE45" s="716">
        <f t="shared" ca="1" si="119"/>
        <v>0</v>
      </c>
      <c r="BF45" s="686">
        <f ca="1">SUM(AM45:BE45)</f>
        <v>0</v>
      </c>
      <c r="BH45" s="710">
        <f ca="1">IFERROR(INDEX(INDIRECT($C45&amp;".Outputs["&amp;this.Year&amp;"]"), MATCH(BH$5, INDIRECT($C45&amp;".Outputs[Vector]"), 0)), 0)</f>
        <v>0</v>
      </c>
      <c r="BI45" s="710">
        <f ca="1">IFERROR(INDEX(INDIRECT($C45&amp;".Outputs["&amp;this.Year&amp;"]"), MATCH(BI$5, INDIRECT($C45&amp;".Outputs[Vector]"), 0)), 0)</f>
        <v>0</v>
      </c>
      <c r="BJ45" s="709">
        <f ca="1">SUM(BH45:BI45)</f>
        <v>0</v>
      </c>
      <c r="BL45" s="499"/>
      <c r="BM45" s="499"/>
      <c r="BN45" s="574"/>
      <c r="BO45" s="1021">
        <f t="shared" ref="BO45:DF45" ca="1" si="120">IFERROR(SUMIFS(INDIRECT($C45&amp;".Emissions["&amp;this.Year&amp;"]"), INDIRECT($C45&amp;".Emissions[GHG]"), BO$6, INDIRECT($C45&amp;".Emissions[IPCC Sector]"), BO$5),0)</f>
        <v>0</v>
      </c>
      <c r="BP45" s="1022">
        <f t="shared" ca="1" si="120"/>
        <v>0</v>
      </c>
      <c r="BQ45" s="1022">
        <f t="shared" ca="1" si="120"/>
        <v>0</v>
      </c>
      <c r="BR45" s="1022">
        <f t="shared" ca="1" si="120"/>
        <v>0</v>
      </c>
      <c r="BS45" s="1022">
        <f t="shared" ca="1" si="120"/>
        <v>0</v>
      </c>
      <c r="BT45" s="1022">
        <f t="shared" ca="1" si="120"/>
        <v>0</v>
      </c>
      <c r="BU45" s="1022">
        <f t="shared" ca="1" si="120"/>
        <v>0</v>
      </c>
      <c r="BV45" s="1022">
        <f t="shared" ca="1" si="120"/>
        <v>0</v>
      </c>
      <c r="BW45" s="1022">
        <f t="shared" ca="1" si="120"/>
        <v>0</v>
      </c>
      <c r="BX45" s="1022">
        <f t="shared" ca="1" si="120"/>
        <v>0</v>
      </c>
      <c r="BY45" s="1022">
        <f t="shared" ca="1" si="120"/>
        <v>0</v>
      </c>
      <c r="BZ45" s="1022">
        <f t="shared" ca="1" si="120"/>
        <v>0</v>
      </c>
      <c r="CA45" s="1022">
        <f t="shared" ca="1" si="120"/>
        <v>0</v>
      </c>
      <c r="CB45" s="1022">
        <f t="shared" ca="1" si="120"/>
        <v>0</v>
      </c>
      <c r="CC45" s="1022">
        <f t="shared" ca="1" si="120"/>
        <v>0</v>
      </c>
      <c r="CD45" s="1022">
        <f t="shared" ca="1" si="120"/>
        <v>0</v>
      </c>
      <c r="CE45" s="1022">
        <f t="shared" ca="1" si="120"/>
        <v>0</v>
      </c>
      <c r="CF45" s="1022">
        <f t="shared" ca="1" si="120"/>
        <v>0</v>
      </c>
      <c r="CG45" s="1022">
        <f t="shared" ca="1" si="120"/>
        <v>0</v>
      </c>
      <c r="CH45" s="1022">
        <f t="shared" ca="1" si="120"/>
        <v>0</v>
      </c>
      <c r="CI45" s="1022">
        <f t="shared" ca="1" si="120"/>
        <v>0</v>
      </c>
      <c r="CJ45" s="1022">
        <f t="shared" ca="1" si="120"/>
        <v>0</v>
      </c>
      <c r="CK45" s="1022">
        <f t="shared" ca="1" si="120"/>
        <v>0</v>
      </c>
      <c r="CL45" s="1022">
        <f t="shared" ca="1" si="120"/>
        <v>0</v>
      </c>
      <c r="CM45" s="1022">
        <f t="shared" ca="1" si="120"/>
        <v>0</v>
      </c>
      <c r="CN45" s="1022">
        <f t="shared" ca="1" si="120"/>
        <v>0</v>
      </c>
      <c r="CO45" s="1022">
        <f t="shared" ca="1" si="120"/>
        <v>0</v>
      </c>
      <c r="CP45" s="1022">
        <f t="shared" ca="1" si="120"/>
        <v>0</v>
      </c>
      <c r="CQ45" s="1022">
        <f t="shared" ca="1" si="120"/>
        <v>0</v>
      </c>
      <c r="CR45" s="1022">
        <f t="shared" ca="1" si="120"/>
        <v>0</v>
      </c>
      <c r="CS45" s="1022">
        <f t="shared" ca="1" si="120"/>
        <v>0</v>
      </c>
      <c r="CT45" s="1022">
        <f t="shared" ca="1" si="120"/>
        <v>0</v>
      </c>
      <c r="CU45" s="1022">
        <f t="shared" ca="1" si="120"/>
        <v>0</v>
      </c>
      <c r="CV45" s="1022">
        <f t="shared" ca="1" si="120"/>
        <v>0</v>
      </c>
      <c r="CW45" s="1022">
        <f t="shared" ca="1" si="120"/>
        <v>0</v>
      </c>
      <c r="CX45" s="1022">
        <f t="shared" ca="1" si="120"/>
        <v>0</v>
      </c>
      <c r="CY45" s="1022">
        <f t="shared" ca="1" si="120"/>
        <v>0</v>
      </c>
      <c r="CZ45" s="1022">
        <f t="shared" ca="1" si="120"/>
        <v>0</v>
      </c>
      <c r="DA45" s="1022">
        <f t="shared" ca="1" si="120"/>
        <v>0</v>
      </c>
      <c r="DB45" s="1022">
        <f t="shared" ca="1" si="120"/>
        <v>0</v>
      </c>
      <c r="DC45" s="1022">
        <f t="shared" ca="1" si="120"/>
        <v>0</v>
      </c>
      <c r="DD45" s="1022">
        <f t="shared" ca="1" si="120"/>
        <v>0</v>
      </c>
      <c r="DE45" s="1022">
        <f t="shared" ca="1" si="120"/>
        <v>0</v>
      </c>
      <c r="DF45" s="1022">
        <f t="shared" ca="1" si="120"/>
        <v>0</v>
      </c>
      <c r="DH45" s="572"/>
    </row>
    <row r="46" spans="1:112" s="528" customFormat="1" ht="15">
      <c r="A46" s="18"/>
      <c r="B46" s="533"/>
      <c r="C46" s="529" t="s">
        <v>567</v>
      </c>
      <c r="D46" s="501" t="str">
        <f>INDEX(Workstreams[Workstream], MATCH($C46, Workstreams[Code], 0))</f>
        <v>H2 Production</v>
      </c>
      <c r="E46" s="497"/>
      <c r="G46" s="695">
        <f ca="1">G45</f>
        <v>0</v>
      </c>
      <c r="H46" s="695">
        <f t="shared" ref="H46:P46" ca="1" si="121">H45</f>
        <v>0</v>
      </c>
      <c r="I46" s="695">
        <f t="shared" ca="1" si="121"/>
        <v>0</v>
      </c>
      <c r="J46" s="695">
        <f t="shared" ca="1" si="121"/>
        <v>0</v>
      </c>
      <c r="K46" s="695">
        <f t="shared" ca="1" si="121"/>
        <v>0</v>
      </c>
      <c r="L46" s="695">
        <f t="shared" ca="1" si="121"/>
        <v>0</v>
      </c>
      <c r="M46" s="695">
        <f t="shared" ca="1" si="121"/>
        <v>0</v>
      </c>
      <c r="N46" s="695">
        <f t="shared" ca="1" si="121"/>
        <v>0</v>
      </c>
      <c r="O46" s="695">
        <f t="shared" ca="1" si="121"/>
        <v>0</v>
      </c>
      <c r="P46" s="695">
        <f t="shared" ca="1" si="121"/>
        <v>0</v>
      </c>
      <c r="Q46" s="695">
        <f ca="1">SUM(G46:P46)</f>
        <v>0</v>
      </c>
      <c r="S46" s="645">
        <f t="shared" ref="S46:AJ46" ca="1" si="122">S45</f>
        <v>0</v>
      </c>
      <c r="T46" s="645">
        <f t="shared" ca="1" si="122"/>
        <v>0</v>
      </c>
      <c r="U46" s="645">
        <f t="shared" ca="1" si="122"/>
        <v>0</v>
      </c>
      <c r="V46" s="645">
        <f t="shared" ca="1" si="122"/>
        <v>0</v>
      </c>
      <c r="W46" s="645">
        <f t="shared" ca="1" si="122"/>
        <v>0</v>
      </c>
      <c r="X46" s="645">
        <f t="shared" ca="1" si="122"/>
        <v>0</v>
      </c>
      <c r="Y46" s="645">
        <f t="shared" ca="1" si="122"/>
        <v>0</v>
      </c>
      <c r="Z46" s="645">
        <f t="shared" ca="1" si="122"/>
        <v>0</v>
      </c>
      <c r="AA46" s="645">
        <f t="shared" ca="1" si="122"/>
        <v>0</v>
      </c>
      <c r="AB46" s="645">
        <f t="shared" ca="1" si="122"/>
        <v>0</v>
      </c>
      <c r="AC46" s="645">
        <f t="shared" ca="1" si="122"/>
        <v>0</v>
      </c>
      <c r="AD46" s="645">
        <f t="shared" ca="1" si="122"/>
        <v>0</v>
      </c>
      <c r="AE46" s="645">
        <f ca="1">AE45</f>
        <v>0</v>
      </c>
      <c r="AF46" s="645">
        <f t="shared" ca="1" si="122"/>
        <v>0</v>
      </c>
      <c r="AG46" s="645">
        <f t="shared" ca="1" si="122"/>
        <v>0</v>
      </c>
      <c r="AH46" s="645">
        <f ca="1">AH45</f>
        <v>0</v>
      </c>
      <c r="AI46" s="645">
        <f t="shared" ca="1" si="122"/>
        <v>0</v>
      </c>
      <c r="AJ46" s="645">
        <f t="shared" ca="1" si="122"/>
        <v>0</v>
      </c>
      <c r="AK46" s="645">
        <f ca="1">SUM(S46:AJ46)</f>
        <v>0</v>
      </c>
      <c r="AM46" s="651">
        <f t="shared" ref="AM46:BE46" ca="1" si="123">AM45</f>
        <v>0</v>
      </c>
      <c r="AN46" s="651">
        <f t="shared" ca="1" si="123"/>
        <v>0</v>
      </c>
      <c r="AO46" s="651">
        <f t="shared" ca="1" si="123"/>
        <v>0</v>
      </c>
      <c r="AP46" s="651">
        <f t="shared" ca="1" si="123"/>
        <v>0</v>
      </c>
      <c r="AQ46" s="651">
        <f t="shared" ca="1" si="123"/>
        <v>0</v>
      </c>
      <c r="AR46" s="651">
        <f t="shared" ca="1" si="123"/>
        <v>0</v>
      </c>
      <c r="AS46" s="651">
        <f t="shared" ca="1" si="123"/>
        <v>0</v>
      </c>
      <c r="AT46" s="651">
        <f t="shared" ca="1" si="123"/>
        <v>0</v>
      </c>
      <c r="AU46" s="651">
        <f t="shared" ca="1" si="123"/>
        <v>0</v>
      </c>
      <c r="AV46" s="651">
        <f t="shared" ca="1" si="123"/>
        <v>0</v>
      </c>
      <c r="AW46" s="651">
        <f t="shared" ca="1" si="123"/>
        <v>0</v>
      </c>
      <c r="AX46" s="651">
        <f t="shared" ca="1" si="123"/>
        <v>0</v>
      </c>
      <c r="AY46" s="651">
        <f t="shared" ca="1" si="123"/>
        <v>0</v>
      </c>
      <c r="AZ46" s="651">
        <f t="shared" ca="1" si="123"/>
        <v>0</v>
      </c>
      <c r="BA46" s="651">
        <f t="shared" ca="1" si="123"/>
        <v>0</v>
      </c>
      <c r="BB46" s="651">
        <f t="shared" ca="1" si="123"/>
        <v>0</v>
      </c>
      <c r="BC46" s="651">
        <f t="shared" ca="1" si="123"/>
        <v>0</v>
      </c>
      <c r="BD46" s="651">
        <f t="shared" ca="1" si="123"/>
        <v>0</v>
      </c>
      <c r="BE46" s="651">
        <f t="shared" ca="1" si="123"/>
        <v>0</v>
      </c>
      <c r="BF46" s="651">
        <f ca="1">SUM(AM46:BE46)</f>
        <v>0</v>
      </c>
      <c r="BH46" s="665">
        <f ca="1">BH45</f>
        <v>0</v>
      </c>
      <c r="BI46" s="665">
        <f ca="1">BI45</f>
        <v>0</v>
      </c>
      <c r="BJ46" s="665">
        <f ca="1">SUM(BH46:BI46)</f>
        <v>0</v>
      </c>
      <c r="BL46" s="499">
        <f ca="1">Q46+AK46+BF46+BJ46</f>
        <v>0</v>
      </c>
      <c r="BM46" s="499"/>
      <c r="BN46" s="574"/>
      <c r="BO46" s="1018">
        <f t="shared" ref="BO46:DF46" ca="1" si="124">BO45</f>
        <v>0</v>
      </c>
      <c r="BP46" s="1018">
        <f t="shared" ca="1" si="124"/>
        <v>0</v>
      </c>
      <c r="BQ46" s="1018">
        <f t="shared" ca="1" si="124"/>
        <v>0</v>
      </c>
      <c r="BR46" s="1018">
        <f t="shared" ca="1" si="124"/>
        <v>0</v>
      </c>
      <c r="BS46" s="1018">
        <f t="shared" ca="1" si="124"/>
        <v>0</v>
      </c>
      <c r="BT46" s="1018">
        <f t="shared" ca="1" si="124"/>
        <v>0</v>
      </c>
      <c r="BU46" s="1018">
        <f t="shared" ca="1" si="124"/>
        <v>0</v>
      </c>
      <c r="BV46" s="1018">
        <f t="shared" ca="1" si="124"/>
        <v>0</v>
      </c>
      <c r="BW46" s="1018">
        <f t="shared" ca="1" si="124"/>
        <v>0</v>
      </c>
      <c r="BX46" s="1018">
        <f t="shared" ca="1" si="124"/>
        <v>0</v>
      </c>
      <c r="BY46" s="1018">
        <f t="shared" ca="1" si="124"/>
        <v>0</v>
      </c>
      <c r="BZ46" s="1018">
        <f t="shared" ca="1" si="124"/>
        <v>0</v>
      </c>
      <c r="CA46" s="1018">
        <f t="shared" ca="1" si="124"/>
        <v>0</v>
      </c>
      <c r="CB46" s="1018">
        <f t="shared" ca="1" si="124"/>
        <v>0</v>
      </c>
      <c r="CC46" s="1018">
        <f t="shared" ca="1" si="124"/>
        <v>0</v>
      </c>
      <c r="CD46" s="1018">
        <f t="shared" ca="1" si="124"/>
        <v>0</v>
      </c>
      <c r="CE46" s="1018">
        <f t="shared" ca="1" si="124"/>
        <v>0</v>
      </c>
      <c r="CF46" s="1018">
        <f t="shared" ca="1" si="124"/>
        <v>0</v>
      </c>
      <c r="CG46" s="1018">
        <f t="shared" ca="1" si="124"/>
        <v>0</v>
      </c>
      <c r="CH46" s="1018">
        <f t="shared" ca="1" si="124"/>
        <v>0</v>
      </c>
      <c r="CI46" s="1018">
        <f t="shared" ca="1" si="124"/>
        <v>0</v>
      </c>
      <c r="CJ46" s="1018">
        <f t="shared" ca="1" si="124"/>
        <v>0</v>
      </c>
      <c r="CK46" s="1018">
        <f t="shared" ca="1" si="124"/>
        <v>0</v>
      </c>
      <c r="CL46" s="1018">
        <f t="shared" ca="1" si="124"/>
        <v>0</v>
      </c>
      <c r="CM46" s="1018">
        <f t="shared" ca="1" si="124"/>
        <v>0</v>
      </c>
      <c r="CN46" s="1018">
        <f t="shared" ca="1" si="124"/>
        <v>0</v>
      </c>
      <c r="CO46" s="1018">
        <f t="shared" ca="1" si="124"/>
        <v>0</v>
      </c>
      <c r="CP46" s="1018">
        <f t="shared" ca="1" si="124"/>
        <v>0</v>
      </c>
      <c r="CQ46" s="1018">
        <f t="shared" ca="1" si="124"/>
        <v>0</v>
      </c>
      <c r="CR46" s="1018">
        <f t="shared" ca="1" si="124"/>
        <v>0</v>
      </c>
      <c r="CS46" s="1018">
        <f t="shared" ca="1" si="124"/>
        <v>0</v>
      </c>
      <c r="CT46" s="1018">
        <f t="shared" ca="1" si="124"/>
        <v>0</v>
      </c>
      <c r="CU46" s="1018">
        <f t="shared" ca="1" si="124"/>
        <v>0</v>
      </c>
      <c r="CV46" s="1018">
        <f t="shared" ca="1" si="124"/>
        <v>0</v>
      </c>
      <c r="CW46" s="1018">
        <f t="shared" ca="1" si="124"/>
        <v>0</v>
      </c>
      <c r="CX46" s="1018">
        <f t="shared" ca="1" si="124"/>
        <v>0</v>
      </c>
      <c r="CY46" s="1018">
        <f t="shared" ca="1" si="124"/>
        <v>0</v>
      </c>
      <c r="CZ46" s="1018">
        <f t="shared" ca="1" si="124"/>
        <v>0</v>
      </c>
      <c r="DA46" s="1018">
        <f t="shared" ca="1" si="124"/>
        <v>0</v>
      </c>
      <c r="DB46" s="1018">
        <f t="shared" ca="1" si="124"/>
        <v>0</v>
      </c>
      <c r="DC46" s="1018">
        <f t="shared" ca="1" si="124"/>
        <v>0</v>
      </c>
      <c r="DD46" s="1018">
        <f t="shared" ca="1" si="124"/>
        <v>0</v>
      </c>
      <c r="DE46" s="1018">
        <f t="shared" ca="1" si="124"/>
        <v>0</v>
      </c>
      <c r="DF46" s="1018">
        <f t="shared" ca="1" si="124"/>
        <v>0</v>
      </c>
      <c r="DH46" s="572">
        <f t="shared" ref="DH46:DH82" ca="1" si="125">SUM(BO46:DF46)</f>
        <v>0</v>
      </c>
    </row>
    <row r="47" spans="1:112" s="528" customFormat="1" outlineLevel="1">
      <c r="C47" s="494"/>
      <c r="D47" s="495"/>
      <c r="E47" s="495"/>
      <c r="G47" s="633"/>
      <c r="H47" s="633"/>
      <c r="I47" s="633"/>
      <c r="J47" s="633"/>
      <c r="K47" s="635"/>
      <c r="L47" s="633"/>
      <c r="M47" s="633"/>
      <c r="N47" s="633"/>
      <c r="O47" s="633"/>
      <c r="P47" s="633"/>
      <c r="Q47" s="633"/>
      <c r="S47" s="645"/>
      <c r="T47" s="645"/>
      <c r="U47" s="645"/>
      <c r="V47" s="645"/>
      <c r="W47" s="645"/>
      <c r="X47" s="645"/>
      <c r="Y47" s="645"/>
      <c r="Z47" s="645"/>
      <c r="AA47" s="645"/>
      <c r="AB47" s="645"/>
      <c r="AC47" s="645"/>
      <c r="AD47" s="645"/>
      <c r="AE47" s="645"/>
      <c r="AF47" s="645"/>
      <c r="AG47" s="645"/>
      <c r="AH47" s="645"/>
      <c r="AI47" s="645"/>
      <c r="AJ47" s="645"/>
      <c r="AK47" s="645"/>
      <c r="AM47" s="651"/>
      <c r="AN47" s="651"/>
      <c r="AO47" s="651"/>
      <c r="AP47" s="651"/>
      <c r="AQ47" s="651"/>
      <c r="AR47" s="651"/>
      <c r="AS47" s="651"/>
      <c r="AT47" s="651"/>
      <c r="AU47" s="651"/>
      <c r="AV47" s="651"/>
      <c r="AW47" s="651"/>
      <c r="AX47" s="651"/>
      <c r="AY47" s="651"/>
      <c r="AZ47" s="651"/>
      <c r="BA47" s="651"/>
      <c r="BB47" s="651"/>
      <c r="BC47" s="651"/>
      <c r="BD47" s="651"/>
      <c r="BE47" s="651"/>
      <c r="BF47" s="651"/>
      <c r="BH47" s="665"/>
      <c r="BI47" s="665"/>
      <c r="BJ47" s="665"/>
      <c r="BL47" s="499">
        <f>Q47+AK47+BF47+BJ47</f>
        <v>0</v>
      </c>
      <c r="BM47" s="499"/>
      <c r="BO47" s="1018"/>
      <c r="BP47" s="1018"/>
      <c r="BQ47" s="1018"/>
      <c r="BR47" s="1018"/>
      <c r="BS47" s="1018"/>
      <c r="BT47" s="1018"/>
      <c r="BU47" s="1018"/>
      <c r="BV47" s="1018"/>
      <c r="BW47" s="1018"/>
      <c r="BX47" s="1018"/>
      <c r="BY47" s="1018"/>
      <c r="BZ47" s="1018"/>
      <c r="CA47" s="1018"/>
      <c r="CB47" s="1018"/>
      <c r="CC47" s="1018"/>
      <c r="CD47" s="1018"/>
      <c r="CE47" s="1018"/>
      <c r="CF47" s="1018"/>
      <c r="CG47" s="1018"/>
      <c r="CH47" s="1018"/>
      <c r="CI47" s="1018"/>
      <c r="CJ47" s="1018"/>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H47" s="572">
        <f t="shared" si="125"/>
        <v>0</v>
      </c>
    </row>
    <row r="48" spans="1:112" s="528" customFormat="1" outlineLevel="1">
      <c r="A48" s="1020"/>
      <c r="B48" s="1020"/>
      <c r="C48" s="530" t="s">
        <v>1185</v>
      </c>
      <c r="D48" s="505" t="str">
        <f>INDEX(Modules[Module], MATCH($C48, Modules[Code], 0))</f>
        <v>Marine algae</v>
      </c>
      <c r="E48" s="505"/>
      <c r="G48" s="691">
        <f t="shared" ref="G48:P49" ca="1" si="126">IFERROR(INDEX(INDIRECT($C48&amp;".Outputs["&amp;this.Year&amp;"]"), MATCH(G$5, INDIRECT($C48&amp;".Outputs[Vector]"), 0)), 0)</f>
        <v>0</v>
      </c>
      <c r="H48" s="691">
        <f t="shared" ca="1" si="126"/>
        <v>0</v>
      </c>
      <c r="I48" s="691">
        <f t="shared" ca="1" si="126"/>
        <v>0</v>
      </c>
      <c r="J48" s="691">
        <f t="shared" ca="1" si="126"/>
        <v>0</v>
      </c>
      <c r="K48" s="691">
        <f t="shared" ca="1" si="126"/>
        <v>0</v>
      </c>
      <c r="L48" s="691">
        <f t="shared" ca="1" si="126"/>
        <v>0</v>
      </c>
      <c r="M48" s="691">
        <f t="shared" ca="1" si="126"/>
        <v>0</v>
      </c>
      <c r="N48" s="691">
        <f t="shared" ca="1" si="126"/>
        <v>0</v>
      </c>
      <c r="O48" s="691">
        <f t="shared" ca="1" si="126"/>
        <v>0</v>
      </c>
      <c r="P48" s="691">
        <f t="shared" ca="1" si="126"/>
        <v>0</v>
      </c>
      <c r="Q48" s="693">
        <f ca="1">SUM(G48:P48)</f>
        <v>0</v>
      </c>
      <c r="S48" s="700">
        <f t="shared" ref="S48:BE49" ca="1" si="127">IFERROR(INDEX(INDIRECT($C48&amp;".Outputs["&amp;this.Year&amp;"]"), MATCH(S$5, INDIRECT($C48&amp;".Outputs[Vector]"), 0)), 0)</f>
        <v>0</v>
      </c>
      <c r="T48" s="700">
        <f t="shared" ca="1" si="127"/>
        <v>0</v>
      </c>
      <c r="U48" s="700">
        <f t="shared" ca="1" si="127"/>
        <v>0</v>
      </c>
      <c r="V48" s="700">
        <f t="shared" ca="1" si="127"/>
        <v>0</v>
      </c>
      <c r="W48" s="700">
        <f t="shared" ca="1" si="127"/>
        <v>0</v>
      </c>
      <c r="X48" s="700">
        <f t="shared" ref="X48:Z50" ca="1" si="128">IFERROR(INDEX(INDIRECT($C48&amp;".Outputs["&amp;this.Year&amp;"]"), MATCH(X$5, INDIRECT($C48&amp;".Outputs[Vector]"), 0)), 0)</f>
        <v>0</v>
      </c>
      <c r="Y48" s="700">
        <f t="shared" ca="1" si="128"/>
        <v>0</v>
      </c>
      <c r="Z48" s="700">
        <f t="shared" ca="1" si="128"/>
        <v>0</v>
      </c>
      <c r="AA48" s="700">
        <f t="shared" ca="1" si="127"/>
        <v>0</v>
      </c>
      <c r="AB48" s="700">
        <f t="shared" ca="1" si="127"/>
        <v>0</v>
      </c>
      <c r="AC48" s="700">
        <f t="shared" ca="1" si="127"/>
        <v>0</v>
      </c>
      <c r="AD48" s="700">
        <f t="shared" ca="1" si="127"/>
        <v>0</v>
      </c>
      <c r="AE48" s="700">
        <f t="shared" ca="1" si="127"/>
        <v>0</v>
      </c>
      <c r="AF48" s="700">
        <f t="shared" ca="1" si="127"/>
        <v>0</v>
      </c>
      <c r="AG48" s="700">
        <f t="shared" ca="1" si="127"/>
        <v>0</v>
      </c>
      <c r="AH48" s="700">
        <f t="shared" ca="1" si="127"/>
        <v>0</v>
      </c>
      <c r="AI48" s="700">
        <f t="shared" ca="1" si="127"/>
        <v>0</v>
      </c>
      <c r="AJ48" s="700">
        <f t="shared" ca="1" si="127"/>
        <v>0</v>
      </c>
      <c r="AK48" s="701">
        <f ca="1">SUM(S48:AJ48)</f>
        <v>0</v>
      </c>
      <c r="AM48" s="712">
        <f t="shared" ref="AM48:AU50" ca="1" si="129">IFERROR(INDEX(INDIRECT($C48&amp;".Outputs["&amp;this.Year&amp;"]"), MATCH(AM$5, INDIRECT($C48&amp;".Outputs[Vector]"), 0)), 0)</f>
        <v>0</v>
      </c>
      <c r="AN48" s="712">
        <f t="shared" ca="1" si="129"/>
        <v>0</v>
      </c>
      <c r="AO48" s="712">
        <f t="shared" ca="1" si="129"/>
        <v>0</v>
      </c>
      <c r="AP48" s="712">
        <f t="shared" ca="1" si="129"/>
        <v>0</v>
      </c>
      <c r="AQ48" s="712">
        <f t="shared" ca="1" si="129"/>
        <v>0</v>
      </c>
      <c r="AR48" s="712">
        <f t="shared" ca="1" si="129"/>
        <v>0</v>
      </c>
      <c r="AS48" s="712">
        <f t="shared" ca="1" si="129"/>
        <v>0</v>
      </c>
      <c r="AT48" s="712">
        <f t="shared" ca="1" si="129"/>
        <v>0</v>
      </c>
      <c r="AU48" s="712">
        <f t="shared" ca="1" si="129"/>
        <v>0</v>
      </c>
      <c r="AV48" s="712">
        <f t="shared" ca="1" si="127"/>
        <v>0</v>
      </c>
      <c r="AW48" s="712">
        <f t="shared" ca="1" si="127"/>
        <v>0</v>
      </c>
      <c r="AX48" s="712">
        <f t="shared" ca="1" si="127"/>
        <v>0</v>
      </c>
      <c r="AY48" s="712">
        <f t="shared" ca="1" si="127"/>
        <v>0</v>
      </c>
      <c r="AZ48" s="712">
        <f t="shared" ca="1" si="127"/>
        <v>0</v>
      </c>
      <c r="BA48" s="712">
        <f t="shared" ca="1" si="127"/>
        <v>0</v>
      </c>
      <c r="BB48" s="712">
        <f t="shared" ca="1" si="127"/>
        <v>0</v>
      </c>
      <c r="BC48" s="712">
        <f t="shared" ca="1" si="127"/>
        <v>0</v>
      </c>
      <c r="BD48" s="712">
        <f t="shared" ca="1" si="127"/>
        <v>0</v>
      </c>
      <c r="BE48" s="712">
        <f t="shared" ca="1" si="127"/>
        <v>0</v>
      </c>
      <c r="BF48" s="654">
        <f ca="1">SUM(AM48:BE48)</f>
        <v>0</v>
      </c>
      <c r="BH48" s="706">
        <f t="shared" ref="BH48:BI50" ca="1" si="130">IFERROR(INDEX(INDIRECT($C48&amp;".Outputs["&amp;this.Year&amp;"]"), MATCH(BH$5, INDIRECT($C48&amp;".Outputs[Vector]"), 0)), 0)</f>
        <v>0</v>
      </c>
      <c r="BI48" s="706">
        <f t="shared" ca="1" si="130"/>
        <v>0</v>
      </c>
      <c r="BJ48" s="708">
        <f ca="1">SUM(BH48:BI48)</f>
        <v>0</v>
      </c>
      <c r="BL48" s="562"/>
      <c r="BM48" s="562"/>
      <c r="BN48" s="574"/>
      <c r="BO48" s="1017">
        <f t="shared" ref="BO48:BX50" ca="1" si="131">IFERROR(SUMIFS(INDIRECT($C48&amp;".Emissions["&amp;this.Year&amp;"]"), INDIRECT($C48&amp;".Emissions[GHG]"), BO$6, INDIRECT($C48&amp;".Emissions[IPCC Sector]"), BO$5),0)</f>
        <v>0</v>
      </c>
      <c r="BP48" s="1018">
        <f t="shared" ca="1" si="131"/>
        <v>0</v>
      </c>
      <c r="BQ48" s="1018">
        <f t="shared" ca="1" si="131"/>
        <v>0</v>
      </c>
      <c r="BR48" s="1018">
        <f t="shared" ca="1" si="131"/>
        <v>0</v>
      </c>
      <c r="BS48" s="1018">
        <f t="shared" ca="1" si="131"/>
        <v>0</v>
      </c>
      <c r="BT48" s="1018">
        <f t="shared" ca="1" si="131"/>
        <v>0</v>
      </c>
      <c r="BU48" s="1018">
        <f t="shared" ca="1" si="131"/>
        <v>0</v>
      </c>
      <c r="BV48" s="1018">
        <f t="shared" ca="1" si="131"/>
        <v>0</v>
      </c>
      <c r="BW48" s="1018">
        <f t="shared" ca="1" si="131"/>
        <v>0</v>
      </c>
      <c r="BX48" s="1018">
        <f t="shared" ca="1" si="131"/>
        <v>0</v>
      </c>
      <c r="BY48" s="1018">
        <f t="shared" ref="BY48:CH50" ca="1" si="132">IFERROR(SUMIFS(INDIRECT($C48&amp;".Emissions["&amp;this.Year&amp;"]"), INDIRECT($C48&amp;".Emissions[GHG]"), BY$6, INDIRECT($C48&amp;".Emissions[IPCC Sector]"), BY$5),0)</f>
        <v>0</v>
      </c>
      <c r="BZ48" s="1018">
        <f t="shared" ca="1" si="132"/>
        <v>0</v>
      </c>
      <c r="CA48" s="1018">
        <f t="shared" ca="1" si="132"/>
        <v>0</v>
      </c>
      <c r="CB48" s="1018">
        <f t="shared" ca="1" si="132"/>
        <v>0</v>
      </c>
      <c r="CC48" s="1018">
        <f t="shared" ca="1" si="132"/>
        <v>0</v>
      </c>
      <c r="CD48" s="1018">
        <f t="shared" ca="1" si="132"/>
        <v>0</v>
      </c>
      <c r="CE48" s="1018">
        <f t="shared" ca="1" si="132"/>
        <v>0</v>
      </c>
      <c r="CF48" s="1018">
        <f t="shared" ca="1" si="132"/>
        <v>0</v>
      </c>
      <c r="CG48" s="1018">
        <f t="shared" ca="1" si="132"/>
        <v>0</v>
      </c>
      <c r="CH48" s="1018">
        <f t="shared" ca="1" si="132"/>
        <v>0</v>
      </c>
      <c r="CI48" s="1018">
        <f t="shared" ref="CI48:CR50" ca="1" si="133">IFERROR(SUMIFS(INDIRECT($C48&amp;".Emissions["&amp;this.Year&amp;"]"), INDIRECT($C48&amp;".Emissions[GHG]"), CI$6, INDIRECT($C48&amp;".Emissions[IPCC Sector]"), CI$5),0)</f>
        <v>0</v>
      </c>
      <c r="CJ48" s="1018">
        <f t="shared" ca="1" si="133"/>
        <v>0</v>
      </c>
      <c r="CK48" s="1018">
        <f t="shared" ca="1" si="133"/>
        <v>0</v>
      </c>
      <c r="CL48" s="1018">
        <f t="shared" ca="1" si="133"/>
        <v>0</v>
      </c>
      <c r="CM48" s="1018">
        <f t="shared" ca="1" si="133"/>
        <v>0</v>
      </c>
      <c r="CN48" s="1018">
        <f t="shared" ca="1" si="133"/>
        <v>0</v>
      </c>
      <c r="CO48" s="1018">
        <f t="shared" ca="1" si="133"/>
        <v>0</v>
      </c>
      <c r="CP48" s="1018">
        <f t="shared" ca="1" si="133"/>
        <v>0</v>
      </c>
      <c r="CQ48" s="1018">
        <f t="shared" ca="1" si="133"/>
        <v>0</v>
      </c>
      <c r="CR48" s="1018">
        <f t="shared" ca="1" si="133"/>
        <v>0</v>
      </c>
      <c r="CS48" s="1018">
        <f t="shared" ref="CS48:DF50" ca="1" si="134">IFERROR(SUMIFS(INDIRECT($C48&amp;".Emissions["&amp;this.Year&amp;"]"), INDIRECT($C48&amp;".Emissions[GHG]"), CS$6, INDIRECT($C48&amp;".Emissions[IPCC Sector]"), CS$5),0)</f>
        <v>0</v>
      </c>
      <c r="CT48" s="1018">
        <f t="shared" ca="1" si="134"/>
        <v>0</v>
      </c>
      <c r="CU48" s="1018">
        <f t="shared" ca="1" si="134"/>
        <v>0</v>
      </c>
      <c r="CV48" s="1018">
        <f t="shared" ca="1" si="134"/>
        <v>0</v>
      </c>
      <c r="CW48" s="1018">
        <f t="shared" ca="1" si="134"/>
        <v>0</v>
      </c>
      <c r="CX48" s="1018">
        <f t="shared" ca="1" si="134"/>
        <v>0</v>
      </c>
      <c r="CY48" s="1018">
        <f t="shared" ca="1" si="134"/>
        <v>0</v>
      </c>
      <c r="CZ48" s="1018">
        <f t="shared" ca="1" si="134"/>
        <v>0</v>
      </c>
      <c r="DA48" s="1018">
        <f t="shared" ca="1" si="134"/>
        <v>0</v>
      </c>
      <c r="DB48" s="1018">
        <f t="shared" ca="1" si="134"/>
        <v>0</v>
      </c>
      <c r="DC48" s="1018">
        <f t="shared" ca="1" si="134"/>
        <v>0</v>
      </c>
      <c r="DD48" s="1018">
        <f t="shared" ca="1" si="134"/>
        <v>0</v>
      </c>
      <c r="DE48" s="1018">
        <f t="shared" ca="1" si="134"/>
        <v>0</v>
      </c>
      <c r="DF48" s="1018">
        <f t="shared" ca="1" si="134"/>
        <v>0</v>
      </c>
      <c r="DH48" s="572">
        <f ca="1">SUM(BO48:DF48)</f>
        <v>0</v>
      </c>
    </row>
    <row r="49" spans="1:112" s="528" customFormat="1" outlineLevel="1">
      <c r="A49" s="1020"/>
      <c r="B49" s="1020"/>
      <c r="C49" s="530" t="s">
        <v>720</v>
      </c>
      <c r="D49" s="505" t="str">
        <f>INDEX(Modules[Module], MATCH($C49, Modules[Code], 0))</f>
        <v>Volume of Waste &amp; Recycling</v>
      </c>
      <c r="E49" s="505"/>
      <c r="G49" s="691">
        <f t="shared" ca="1" si="126"/>
        <v>0</v>
      </c>
      <c r="H49" s="691">
        <f t="shared" ca="1" si="126"/>
        <v>0</v>
      </c>
      <c r="I49" s="691">
        <f t="shared" ca="1" si="126"/>
        <v>0</v>
      </c>
      <c r="J49" s="691">
        <f t="shared" ca="1" si="126"/>
        <v>0</v>
      </c>
      <c r="K49" s="691">
        <f t="shared" ca="1" si="126"/>
        <v>0</v>
      </c>
      <c r="L49" s="691">
        <f t="shared" ca="1" si="126"/>
        <v>0</v>
      </c>
      <c r="M49" s="691">
        <f t="shared" ca="1" si="126"/>
        <v>0</v>
      </c>
      <c r="N49" s="691">
        <f t="shared" ca="1" si="126"/>
        <v>0</v>
      </c>
      <c r="O49" s="691">
        <f t="shared" ca="1" si="126"/>
        <v>0</v>
      </c>
      <c r="P49" s="691">
        <f t="shared" ca="1" si="126"/>
        <v>0</v>
      </c>
      <c r="Q49" s="693">
        <f ca="1">SUM(G49:P49)</f>
        <v>0</v>
      </c>
      <c r="S49" s="700">
        <f t="shared" ca="1" si="127"/>
        <v>0</v>
      </c>
      <c r="T49" s="700">
        <f t="shared" ca="1" si="127"/>
        <v>0</v>
      </c>
      <c r="U49" s="700">
        <f t="shared" ca="1" si="127"/>
        <v>0</v>
      </c>
      <c r="V49" s="700">
        <f t="shared" ca="1" si="127"/>
        <v>0</v>
      </c>
      <c r="W49" s="700">
        <f t="shared" ca="1" si="127"/>
        <v>0</v>
      </c>
      <c r="X49" s="700">
        <f t="shared" ca="1" si="128"/>
        <v>0</v>
      </c>
      <c r="Y49" s="700">
        <f t="shared" ca="1" si="128"/>
        <v>0</v>
      </c>
      <c r="Z49" s="700">
        <f t="shared" ca="1" si="128"/>
        <v>0</v>
      </c>
      <c r="AA49" s="700">
        <f t="shared" ca="1" si="127"/>
        <v>0</v>
      </c>
      <c r="AB49" s="700">
        <f t="shared" ca="1" si="127"/>
        <v>0</v>
      </c>
      <c r="AC49" s="700">
        <f t="shared" ca="1" si="127"/>
        <v>0</v>
      </c>
      <c r="AD49" s="700">
        <f t="shared" ca="1" si="127"/>
        <v>0</v>
      </c>
      <c r="AE49" s="700">
        <f t="shared" ca="1" si="127"/>
        <v>0</v>
      </c>
      <c r="AF49" s="700">
        <f t="shared" ca="1" si="127"/>
        <v>0</v>
      </c>
      <c r="AG49" s="700">
        <f t="shared" ca="1" si="127"/>
        <v>0</v>
      </c>
      <c r="AH49" s="700">
        <f t="shared" ca="1" si="127"/>
        <v>0</v>
      </c>
      <c r="AI49" s="700">
        <f t="shared" ca="1" si="127"/>
        <v>0</v>
      </c>
      <c r="AJ49" s="700">
        <f t="shared" ca="1" si="127"/>
        <v>0</v>
      </c>
      <c r="AK49" s="701">
        <f ca="1">SUM(S49:AJ49)</f>
        <v>0</v>
      </c>
      <c r="AM49" s="712">
        <f t="shared" ca="1" si="129"/>
        <v>0</v>
      </c>
      <c r="AN49" s="712">
        <f t="shared" ca="1" si="129"/>
        <v>0</v>
      </c>
      <c r="AO49" s="712">
        <f t="shared" ca="1" si="129"/>
        <v>0</v>
      </c>
      <c r="AP49" s="712">
        <f t="shared" ca="1" si="129"/>
        <v>0</v>
      </c>
      <c r="AQ49" s="712">
        <f t="shared" ca="1" si="129"/>
        <v>0</v>
      </c>
      <c r="AR49" s="712">
        <f t="shared" ca="1" si="129"/>
        <v>0</v>
      </c>
      <c r="AS49" s="712">
        <f t="shared" ca="1" si="129"/>
        <v>0</v>
      </c>
      <c r="AT49" s="712">
        <f t="shared" ca="1" si="129"/>
        <v>0</v>
      </c>
      <c r="AU49" s="712">
        <f t="shared" ca="1" si="129"/>
        <v>0</v>
      </c>
      <c r="AV49" s="712">
        <f t="shared" ca="1" si="127"/>
        <v>0</v>
      </c>
      <c r="AW49" s="712">
        <f t="shared" ca="1" si="127"/>
        <v>0</v>
      </c>
      <c r="AX49" s="712">
        <f t="shared" ca="1" si="127"/>
        <v>0</v>
      </c>
      <c r="AY49" s="712">
        <f t="shared" ca="1" si="127"/>
        <v>0</v>
      </c>
      <c r="AZ49" s="712">
        <f t="shared" ca="1" si="127"/>
        <v>0</v>
      </c>
      <c r="BA49" s="712">
        <f t="shared" ca="1" si="127"/>
        <v>0</v>
      </c>
      <c r="BB49" s="712">
        <f t="shared" ca="1" si="127"/>
        <v>0</v>
      </c>
      <c r="BC49" s="712">
        <f t="shared" ca="1" si="127"/>
        <v>0</v>
      </c>
      <c r="BD49" s="712">
        <f t="shared" ca="1" si="127"/>
        <v>0</v>
      </c>
      <c r="BE49" s="712">
        <f t="shared" ca="1" si="127"/>
        <v>0</v>
      </c>
      <c r="BF49" s="654">
        <f ca="1">SUM(AM49:BE49)</f>
        <v>0</v>
      </c>
      <c r="BH49" s="706">
        <f t="shared" ca="1" si="130"/>
        <v>0</v>
      </c>
      <c r="BI49" s="706">
        <f t="shared" ca="1" si="130"/>
        <v>0</v>
      </c>
      <c r="BJ49" s="708">
        <f ca="1">SUM(BH49:BI49)</f>
        <v>0</v>
      </c>
      <c r="BL49" s="562"/>
      <c r="BM49" s="562"/>
      <c r="BN49" s="574"/>
      <c r="BO49" s="1017">
        <f t="shared" ca="1" si="131"/>
        <v>0</v>
      </c>
      <c r="BP49" s="1018">
        <f t="shared" ca="1" si="131"/>
        <v>0</v>
      </c>
      <c r="BQ49" s="1018">
        <f t="shared" ca="1" si="131"/>
        <v>0</v>
      </c>
      <c r="BR49" s="1018">
        <f t="shared" ca="1" si="131"/>
        <v>0</v>
      </c>
      <c r="BS49" s="1018">
        <f t="shared" ca="1" si="131"/>
        <v>0</v>
      </c>
      <c r="BT49" s="1018">
        <f t="shared" ca="1" si="131"/>
        <v>0</v>
      </c>
      <c r="BU49" s="1018">
        <f t="shared" ca="1" si="131"/>
        <v>0</v>
      </c>
      <c r="BV49" s="1018">
        <f t="shared" ca="1" si="131"/>
        <v>0</v>
      </c>
      <c r="BW49" s="1018">
        <f t="shared" ca="1" si="131"/>
        <v>0</v>
      </c>
      <c r="BX49" s="1018">
        <f t="shared" ca="1" si="131"/>
        <v>0</v>
      </c>
      <c r="BY49" s="1018">
        <f t="shared" ca="1" si="132"/>
        <v>0</v>
      </c>
      <c r="BZ49" s="1018">
        <f t="shared" ca="1" si="132"/>
        <v>0</v>
      </c>
      <c r="CA49" s="1018">
        <f t="shared" ca="1" si="132"/>
        <v>0</v>
      </c>
      <c r="CB49" s="1018">
        <f t="shared" ca="1" si="132"/>
        <v>0</v>
      </c>
      <c r="CC49" s="1018">
        <f t="shared" ca="1" si="132"/>
        <v>0</v>
      </c>
      <c r="CD49" s="1018">
        <f t="shared" ca="1" si="132"/>
        <v>0</v>
      </c>
      <c r="CE49" s="1018">
        <f t="shared" ca="1" si="132"/>
        <v>0</v>
      </c>
      <c r="CF49" s="1018">
        <f t="shared" ca="1" si="132"/>
        <v>0</v>
      </c>
      <c r="CG49" s="1018">
        <f t="shared" ca="1" si="132"/>
        <v>0</v>
      </c>
      <c r="CH49" s="1018">
        <f t="shared" ca="1" si="132"/>
        <v>0</v>
      </c>
      <c r="CI49" s="1018">
        <f t="shared" ca="1" si="133"/>
        <v>0</v>
      </c>
      <c r="CJ49" s="1018">
        <f t="shared" ca="1" si="133"/>
        <v>0</v>
      </c>
      <c r="CK49" s="1018">
        <f t="shared" ca="1" si="133"/>
        <v>0</v>
      </c>
      <c r="CL49" s="1018">
        <f t="shared" ca="1" si="133"/>
        <v>0</v>
      </c>
      <c r="CM49" s="1018">
        <f t="shared" ca="1" si="133"/>
        <v>0</v>
      </c>
      <c r="CN49" s="1018">
        <f t="shared" ca="1" si="133"/>
        <v>0</v>
      </c>
      <c r="CO49" s="1018">
        <f t="shared" ca="1" si="133"/>
        <v>0</v>
      </c>
      <c r="CP49" s="1018">
        <f t="shared" ca="1" si="133"/>
        <v>0</v>
      </c>
      <c r="CQ49" s="1018">
        <f t="shared" ca="1" si="133"/>
        <v>0</v>
      </c>
      <c r="CR49" s="1018">
        <f t="shared" ca="1" si="133"/>
        <v>0</v>
      </c>
      <c r="CS49" s="1018">
        <f t="shared" ca="1" si="134"/>
        <v>0</v>
      </c>
      <c r="CT49" s="1018">
        <f t="shared" ca="1" si="134"/>
        <v>0</v>
      </c>
      <c r="CU49" s="1018">
        <f t="shared" ca="1" si="134"/>
        <v>0</v>
      </c>
      <c r="CV49" s="1018">
        <f t="shared" ca="1" si="134"/>
        <v>0</v>
      </c>
      <c r="CW49" s="1018">
        <f t="shared" ca="1" si="134"/>
        <v>0</v>
      </c>
      <c r="CX49" s="1018">
        <f t="shared" ca="1" si="134"/>
        <v>0</v>
      </c>
      <c r="CY49" s="1018">
        <f t="shared" ca="1" si="134"/>
        <v>0</v>
      </c>
      <c r="CZ49" s="1018">
        <f t="shared" ca="1" si="134"/>
        <v>0</v>
      </c>
      <c r="DA49" s="1018">
        <f t="shared" ca="1" si="134"/>
        <v>0</v>
      </c>
      <c r="DB49" s="1018">
        <f t="shared" ca="1" si="134"/>
        <v>0</v>
      </c>
      <c r="DC49" s="1018">
        <f t="shared" ca="1" si="134"/>
        <v>0</v>
      </c>
      <c r="DD49" s="1018">
        <f t="shared" ca="1" si="134"/>
        <v>0</v>
      </c>
      <c r="DE49" s="1018">
        <f t="shared" ca="1" si="134"/>
        <v>0</v>
      </c>
      <c r="DF49" s="1018">
        <f t="shared" ca="1" si="134"/>
        <v>0</v>
      </c>
      <c r="DH49" s="572">
        <f t="shared" ca="1" si="125"/>
        <v>0</v>
      </c>
    </row>
    <row r="50" spans="1:112" s="528" customFormat="1" ht="12.75" customHeight="1" outlineLevel="1">
      <c r="A50" s="1020"/>
      <c r="B50" s="1020"/>
      <c r="C50" s="530" t="s">
        <v>692</v>
      </c>
      <c r="D50" s="684" t="str">
        <f>INDEX(Modules[Module], MATCH($C50, Modules[Code], 0))</f>
        <v>Agriculture and land use</v>
      </c>
      <c r="E50" s="684"/>
      <c r="G50" s="696">
        <f t="shared" ref="G50:P50" ca="1" si="135">IFERROR(INDEX(INDIRECT($C50&amp;".Outputs["&amp;this.Year&amp;"]"), MATCH(G$5, INDIRECT($C50&amp;".Outputs[Vector]"), 0)), 0)</f>
        <v>0</v>
      </c>
      <c r="H50" s="696">
        <f t="shared" ca="1" si="135"/>
        <v>0</v>
      </c>
      <c r="I50" s="696">
        <f t="shared" ca="1" si="135"/>
        <v>0</v>
      </c>
      <c r="J50" s="696">
        <f t="shared" ca="1" si="135"/>
        <v>0</v>
      </c>
      <c r="K50" s="696">
        <f t="shared" ca="1" si="135"/>
        <v>0</v>
      </c>
      <c r="L50" s="696">
        <f t="shared" ca="1" si="135"/>
        <v>0</v>
      </c>
      <c r="M50" s="696">
        <f t="shared" ca="1" si="135"/>
        <v>0</v>
      </c>
      <c r="N50" s="696">
        <f t="shared" ca="1" si="135"/>
        <v>0</v>
      </c>
      <c r="O50" s="696">
        <f t="shared" ca="1" si="135"/>
        <v>0</v>
      </c>
      <c r="P50" s="696">
        <f t="shared" ca="1" si="135"/>
        <v>0</v>
      </c>
      <c r="Q50" s="694">
        <f ca="1">SUM(G50:P50)</f>
        <v>0</v>
      </c>
      <c r="S50" s="705">
        <f t="shared" ref="S50:AJ50" ca="1" si="136">IFERROR(INDEX(INDIRECT($C50&amp;".Outputs["&amp;this.Year&amp;"]"), MATCH(S$5, INDIRECT($C50&amp;".Outputs[Vector]"), 0)), 0)</f>
        <v>0</v>
      </c>
      <c r="T50" s="705">
        <f t="shared" ca="1" si="136"/>
        <v>0</v>
      </c>
      <c r="U50" s="705">
        <f t="shared" ca="1" si="136"/>
        <v>0</v>
      </c>
      <c r="V50" s="705">
        <f t="shared" ca="1" si="136"/>
        <v>0</v>
      </c>
      <c r="W50" s="705">
        <f t="shared" ca="1" si="136"/>
        <v>0</v>
      </c>
      <c r="X50" s="705">
        <f t="shared" ca="1" si="128"/>
        <v>0</v>
      </c>
      <c r="Y50" s="705">
        <f t="shared" ca="1" si="128"/>
        <v>0</v>
      </c>
      <c r="Z50" s="705">
        <f t="shared" ca="1" si="128"/>
        <v>0</v>
      </c>
      <c r="AA50" s="705">
        <f t="shared" ca="1" si="136"/>
        <v>0</v>
      </c>
      <c r="AB50" s="705">
        <f t="shared" ca="1" si="136"/>
        <v>0</v>
      </c>
      <c r="AC50" s="705">
        <f t="shared" ca="1" si="136"/>
        <v>0</v>
      </c>
      <c r="AD50" s="705">
        <f t="shared" ca="1" si="136"/>
        <v>0</v>
      </c>
      <c r="AE50" s="705">
        <f t="shared" ca="1" si="136"/>
        <v>0</v>
      </c>
      <c r="AF50" s="705">
        <f t="shared" ca="1" si="136"/>
        <v>0</v>
      </c>
      <c r="AG50" s="705">
        <f t="shared" ca="1" si="136"/>
        <v>0</v>
      </c>
      <c r="AH50" s="705">
        <f t="shared" ca="1" si="136"/>
        <v>0</v>
      </c>
      <c r="AI50" s="705">
        <f t="shared" ca="1" si="136"/>
        <v>0</v>
      </c>
      <c r="AJ50" s="705">
        <f t="shared" ca="1" si="136"/>
        <v>0</v>
      </c>
      <c r="AK50" s="704">
        <f ca="1">SUM(S50:AJ50)</f>
        <v>0</v>
      </c>
      <c r="AM50" s="716">
        <f t="shared" ca="1" si="129"/>
        <v>0</v>
      </c>
      <c r="AN50" s="716">
        <f t="shared" ca="1" si="129"/>
        <v>0</v>
      </c>
      <c r="AO50" s="716">
        <f t="shared" ca="1" si="129"/>
        <v>0</v>
      </c>
      <c r="AP50" s="716">
        <f t="shared" ca="1" si="129"/>
        <v>0</v>
      </c>
      <c r="AQ50" s="716">
        <f t="shared" ca="1" si="129"/>
        <v>0</v>
      </c>
      <c r="AR50" s="716">
        <f t="shared" ca="1" si="129"/>
        <v>0</v>
      </c>
      <c r="AS50" s="716">
        <f t="shared" ca="1" si="129"/>
        <v>0</v>
      </c>
      <c r="AT50" s="716">
        <f t="shared" ca="1" si="129"/>
        <v>0</v>
      </c>
      <c r="AU50" s="716">
        <f t="shared" ca="1" si="129"/>
        <v>0</v>
      </c>
      <c r="AV50" s="716">
        <f t="shared" ref="AV50:BE50" ca="1" si="137">IFERROR(INDEX(INDIRECT($C50&amp;".Outputs["&amp;this.Year&amp;"]"), MATCH(AV$5, INDIRECT($C50&amp;".Outputs[Vector]"), 0)), 0)</f>
        <v>0</v>
      </c>
      <c r="AW50" s="716">
        <f t="shared" ca="1" si="137"/>
        <v>0</v>
      </c>
      <c r="AX50" s="716">
        <f t="shared" ca="1" si="137"/>
        <v>0</v>
      </c>
      <c r="AY50" s="716">
        <f t="shared" ca="1" si="137"/>
        <v>0</v>
      </c>
      <c r="AZ50" s="716">
        <f t="shared" ca="1" si="137"/>
        <v>0</v>
      </c>
      <c r="BA50" s="716">
        <f t="shared" ca="1" si="137"/>
        <v>0</v>
      </c>
      <c r="BB50" s="716">
        <f t="shared" ca="1" si="137"/>
        <v>0</v>
      </c>
      <c r="BC50" s="716">
        <f t="shared" ca="1" si="137"/>
        <v>0</v>
      </c>
      <c r="BD50" s="716">
        <f t="shared" ca="1" si="137"/>
        <v>0</v>
      </c>
      <c r="BE50" s="716">
        <f t="shared" ca="1" si="137"/>
        <v>0</v>
      </c>
      <c r="BF50" s="686">
        <f ca="1">SUM(AM50:BE50)</f>
        <v>0</v>
      </c>
      <c r="BH50" s="710">
        <f t="shared" ca="1" si="130"/>
        <v>0</v>
      </c>
      <c r="BI50" s="710">
        <f t="shared" ca="1" si="130"/>
        <v>0</v>
      </c>
      <c r="BJ50" s="709">
        <f ca="1">SUM(BH50:BI50)</f>
        <v>0</v>
      </c>
      <c r="BL50" s="562">
        <f ca="1">Q50+AK50+BF50+BJ50</f>
        <v>0</v>
      </c>
      <c r="BM50" s="562"/>
      <c r="BN50" s="574"/>
      <c r="BO50" s="1021">
        <f t="shared" ca="1" si="131"/>
        <v>0</v>
      </c>
      <c r="BP50" s="1022">
        <f t="shared" ca="1" si="131"/>
        <v>0</v>
      </c>
      <c r="BQ50" s="1022">
        <f t="shared" ca="1" si="131"/>
        <v>0</v>
      </c>
      <c r="BR50" s="1022">
        <f t="shared" ca="1" si="131"/>
        <v>0</v>
      </c>
      <c r="BS50" s="1022">
        <f t="shared" ca="1" si="131"/>
        <v>0</v>
      </c>
      <c r="BT50" s="1022">
        <f t="shared" ca="1" si="131"/>
        <v>0</v>
      </c>
      <c r="BU50" s="1022">
        <f t="shared" ca="1" si="131"/>
        <v>0</v>
      </c>
      <c r="BV50" s="1022">
        <f t="shared" ca="1" si="131"/>
        <v>0</v>
      </c>
      <c r="BW50" s="1022">
        <f t="shared" ca="1" si="131"/>
        <v>0</v>
      </c>
      <c r="BX50" s="1022">
        <f t="shared" ca="1" si="131"/>
        <v>0</v>
      </c>
      <c r="BY50" s="1022">
        <f t="shared" ca="1" si="132"/>
        <v>0</v>
      </c>
      <c r="BZ50" s="1022">
        <f t="shared" ca="1" si="132"/>
        <v>0</v>
      </c>
      <c r="CA50" s="1022">
        <f t="shared" ca="1" si="132"/>
        <v>0</v>
      </c>
      <c r="CB50" s="1022">
        <f t="shared" ca="1" si="132"/>
        <v>0</v>
      </c>
      <c r="CC50" s="1022">
        <f t="shared" ca="1" si="132"/>
        <v>0</v>
      </c>
      <c r="CD50" s="1022">
        <f t="shared" ca="1" si="132"/>
        <v>0</v>
      </c>
      <c r="CE50" s="1022">
        <f t="shared" ca="1" si="132"/>
        <v>0</v>
      </c>
      <c r="CF50" s="1022">
        <f t="shared" ca="1" si="132"/>
        <v>0</v>
      </c>
      <c r="CG50" s="1022">
        <f t="shared" ca="1" si="132"/>
        <v>0</v>
      </c>
      <c r="CH50" s="1022">
        <f t="shared" ca="1" si="132"/>
        <v>0</v>
      </c>
      <c r="CI50" s="1022">
        <f t="shared" ca="1" si="133"/>
        <v>0</v>
      </c>
      <c r="CJ50" s="1022">
        <f t="shared" ca="1" si="133"/>
        <v>0</v>
      </c>
      <c r="CK50" s="1022">
        <f t="shared" ca="1" si="133"/>
        <v>0</v>
      </c>
      <c r="CL50" s="1022">
        <f t="shared" ca="1" si="133"/>
        <v>0</v>
      </c>
      <c r="CM50" s="1022">
        <f t="shared" ca="1" si="133"/>
        <v>0</v>
      </c>
      <c r="CN50" s="1022">
        <f t="shared" ca="1" si="133"/>
        <v>0</v>
      </c>
      <c r="CO50" s="1022">
        <f t="shared" ca="1" si="133"/>
        <v>0</v>
      </c>
      <c r="CP50" s="1022">
        <f t="shared" ca="1" si="133"/>
        <v>0</v>
      </c>
      <c r="CQ50" s="1022">
        <f t="shared" ca="1" si="133"/>
        <v>0</v>
      </c>
      <c r="CR50" s="1022">
        <f t="shared" ca="1" si="133"/>
        <v>0</v>
      </c>
      <c r="CS50" s="1022">
        <f t="shared" ca="1" si="134"/>
        <v>0</v>
      </c>
      <c r="CT50" s="1022">
        <f t="shared" ca="1" si="134"/>
        <v>0</v>
      </c>
      <c r="CU50" s="1022">
        <f t="shared" ca="1" si="134"/>
        <v>0</v>
      </c>
      <c r="CV50" s="1022">
        <f t="shared" ca="1" si="134"/>
        <v>0</v>
      </c>
      <c r="CW50" s="1022">
        <f t="shared" ca="1" si="134"/>
        <v>0</v>
      </c>
      <c r="CX50" s="1022">
        <f t="shared" ca="1" si="134"/>
        <v>0</v>
      </c>
      <c r="CY50" s="1022">
        <f t="shared" ca="1" si="134"/>
        <v>0</v>
      </c>
      <c r="CZ50" s="1022">
        <f t="shared" ca="1" si="134"/>
        <v>0</v>
      </c>
      <c r="DA50" s="1022">
        <f t="shared" ca="1" si="134"/>
        <v>0</v>
      </c>
      <c r="DB50" s="1022">
        <f t="shared" ca="1" si="134"/>
        <v>0</v>
      </c>
      <c r="DC50" s="1022">
        <f t="shared" ca="1" si="134"/>
        <v>0</v>
      </c>
      <c r="DD50" s="1022">
        <f t="shared" ca="1" si="134"/>
        <v>0</v>
      </c>
      <c r="DE50" s="1022">
        <f t="shared" ca="1" si="134"/>
        <v>0</v>
      </c>
      <c r="DF50" s="1022">
        <f t="shared" ca="1" si="134"/>
        <v>0</v>
      </c>
      <c r="DH50" s="572">
        <f t="shared" ca="1" si="125"/>
        <v>0</v>
      </c>
    </row>
    <row r="51" spans="1:112" s="528" customFormat="1" ht="15">
      <c r="A51" s="18"/>
      <c r="B51" s="533"/>
      <c r="C51" s="529" t="s">
        <v>565</v>
      </c>
      <c r="D51" s="501" t="str">
        <f>INDEX(Workstreams[Workstream], MATCH($C51, Workstreams[Code], 0))</f>
        <v>Agriculture &amp; waste</v>
      </c>
      <c r="E51" s="497"/>
      <c r="G51" s="695">
        <f ca="1">SUM(G48:G50)</f>
        <v>0</v>
      </c>
      <c r="H51" s="695">
        <f t="shared" ref="H51:P51" ca="1" si="138">SUM(H48:H50)</f>
        <v>0</v>
      </c>
      <c r="I51" s="695">
        <f t="shared" ca="1" si="138"/>
        <v>0</v>
      </c>
      <c r="J51" s="695">
        <f t="shared" ca="1" si="138"/>
        <v>0</v>
      </c>
      <c r="K51" s="695">
        <f t="shared" ca="1" si="138"/>
        <v>0</v>
      </c>
      <c r="L51" s="695">
        <f t="shared" ca="1" si="138"/>
        <v>0</v>
      </c>
      <c r="M51" s="695">
        <f t="shared" ca="1" si="138"/>
        <v>0</v>
      </c>
      <c r="N51" s="695">
        <f t="shared" ca="1" si="138"/>
        <v>0</v>
      </c>
      <c r="O51" s="695">
        <f t="shared" ca="1" si="138"/>
        <v>0</v>
      </c>
      <c r="P51" s="695">
        <f t="shared" ca="1" si="138"/>
        <v>0</v>
      </c>
      <c r="Q51" s="695">
        <f ca="1">SUM(G51:P51)</f>
        <v>0</v>
      </c>
      <c r="S51" s="645">
        <f t="shared" ref="S51:AJ51" ca="1" si="139">SUM(S48:S50)</f>
        <v>0</v>
      </c>
      <c r="T51" s="645">
        <f t="shared" ca="1" si="139"/>
        <v>0</v>
      </c>
      <c r="U51" s="645">
        <f t="shared" ca="1" si="139"/>
        <v>0</v>
      </c>
      <c r="V51" s="645">
        <f t="shared" ca="1" si="139"/>
        <v>0</v>
      </c>
      <c r="W51" s="645">
        <f t="shared" ca="1" si="139"/>
        <v>0</v>
      </c>
      <c r="X51" s="645">
        <f t="shared" ca="1" si="139"/>
        <v>0</v>
      </c>
      <c r="Y51" s="645">
        <f t="shared" ca="1" si="139"/>
        <v>0</v>
      </c>
      <c r="Z51" s="645">
        <f t="shared" ca="1" si="139"/>
        <v>0</v>
      </c>
      <c r="AA51" s="645">
        <f t="shared" ca="1" si="139"/>
        <v>0</v>
      </c>
      <c r="AB51" s="645">
        <f t="shared" ca="1" si="139"/>
        <v>0</v>
      </c>
      <c r="AC51" s="645">
        <f t="shared" ca="1" si="139"/>
        <v>0</v>
      </c>
      <c r="AD51" s="645">
        <f t="shared" ca="1" si="139"/>
        <v>0</v>
      </c>
      <c r="AE51" s="645">
        <f ca="1">SUM(AE48:AE50)</f>
        <v>0</v>
      </c>
      <c r="AF51" s="645">
        <f t="shared" ca="1" si="139"/>
        <v>0</v>
      </c>
      <c r="AG51" s="645">
        <f t="shared" ca="1" si="139"/>
        <v>0</v>
      </c>
      <c r="AH51" s="645">
        <f ca="1">SUM(AH48:AH50)</f>
        <v>0</v>
      </c>
      <c r="AI51" s="645">
        <f t="shared" ca="1" si="139"/>
        <v>0</v>
      </c>
      <c r="AJ51" s="645">
        <f t="shared" ca="1" si="139"/>
        <v>0</v>
      </c>
      <c r="AK51" s="645">
        <f ca="1">SUM(S51:AJ51)</f>
        <v>0</v>
      </c>
      <c r="AM51" s="651">
        <f t="shared" ref="AM51:BE51" ca="1" si="140">SUM(AM48:AM50)</f>
        <v>0</v>
      </c>
      <c r="AN51" s="651">
        <f t="shared" ca="1" si="140"/>
        <v>0</v>
      </c>
      <c r="AO51" s="651">
        <f t="shared" ca="1" si="140"/>
        <v>0</v>
      </c>
      <c r="AP51" s="651">
        <f t="shared" ca="1" si="140"/>
        <v>0</v>
      </c>
      <c r="AQ51" s="651">
        <f t="shared" ca="1" si="140"/>
        <v>0</v>
      </c>
      <c r="AR51" s="651">
        <f t="shared" ca="1" si="140"/>
        <v>0</v>
      </c>
      <c r="AS51" s="651">
        <f t="shared" ca="1" si="140"/>
        <v>0</v>
      </c>
      <c r="AT51" s="651">
        <f t="shared" ca="1" si="140"/>
        <v>0</v>
      </c>
      <c r="AU51" s="651">
        <f t="shared" ca="1" si="140"/>
        <v>0</v>
      </c>
      <c r="AV51" s="651">
        <f t="shared" ca="1" si="140"/>
        <v>0</v>
      </c>
      <c r="AW51" s="651">
        <f t="shared" ca="1" si="140"/>
        <v>0</v>
      </c>
      <c r="AX51" s="651">
        <f t="shared" ca="1" si="140"/>
        <v>0</v>
      </c>
      <c r="AY51" s="651">
        <f t="shared" ca="1" si="140"/>
        <v>0</v>
      </c>
      <c r="AZ51" s="651">
        <f t="shared" ca="1" si="140"/>
        <v>0</v>
      </c>
      <c r="BA51" s="651">
        <f t="shared" ca="1" si="140"/>
        <v>0</v>
      </c>
      <c r="BB51" s="651">
        <f t="shared" ca="1" si="140"/>
        <v>0</v>
      </c>
      <c r="BC51" s="651">
        <f t="shared" ca="1" si="140"/>
        <v>0</v>
      </c>
      <c r="BD51" s="651">
        <f t="shared" ca="1" si="140"/>
        <v>0</v>
      </c>
      <c r="BE51" s="651">
        <f t="shared" ca="1" si="140"/>
        <v>0</v>
      </c>
      <c r="BF51" s="651">
        <f ca="1">SUM(AM51:BE51)</f>
        <v>0</v>
      </c>
      <c r="BH51" s="665">
        <f ca="1">SUM(BH48:BH50)</f>
        <v>0</v>
      </c>
      <c r="BI51" s="665">
        <f ca="1">SUM(BI48:BI50)</f>
        <v>0</v>
      </c>
      <c r="BJ51" s="665">
        <f ca="1">SUM(BH51:BI51)</f>
        <v>0</v>
      </c>
      <c r="BL51" s="499">
        <f ca="1">Q51+AK51+BF51+BJ51</f>
        <v>0</v>
      </c>
      <c r="BM51" s="499"/>
      <c r="BN51" s="574"/>
      <c r="BO51" s="1018">
        <f t="shared" ref="BO51:DF51" ca="1" si="141">SUM(BO48:BO50)</f>
        <v>0</v>
      </c>
      <c r="BP51" s="1018">
        <f t="shared" ca="1" si="141"/>
        <v>0</v>
      </c>
      <c r="BQ51" s="1018">
        <f t="shared" ca="1" si="141"/>
        <v>0</v>
      </c>
      <c r="BR51" s="1018">
        <f t="shared" ca="1" si="141"/>
        <v>0</v>
      </c>
      <c r="BS51" s="1018">
        <f t="shared" ca="1" si="141"/>
        <v>0</v>
      </c>
      <c r="BT51" s="1018">
        <f t="shared" ca="1" si="141"/>
        <v>0</v>
      </c>
      <c r="BU51" s="1018">
        <f t="shared" ca="1" si="141"/>
        <v>0</v>
      </c>
      <c r="BV51" s="1018">
        <f t="shared" ca="1" si="141"/>
        <v>0</v>
      </c>
      <c r="BW51" s="1018">
        <f t="shared" ca="1" si="141"/>
        <v>0</v>
      </c>
      <c r="BX51" s="1018">
        <f t="shared" ca="1" si="141"/>
        <v>0</v>
      </c>
      <c r="BY51" s="1018">
        <f t="shared" ca="1" si="141"/>
        <v>0</v>
      </c>
      <c r="BZ51" s="1018">
        <f t="shared" ca="1" si="141"/>
        <v>0</v>
      </c>
      <c r="CA51" s="1018">
        <f t="shared" ca="1" si="141"/>
        <v>0</v>
      </c>
      <c r="CB51" s="1018">
        <f t="shared" ca="1" si="141"/>
        <v>0</v>
      </c>
      <c r="CC51" s="1018">
        <f t="shared" ca="1" si="141"/>
        <v>0</v>
      </c>
      <c r="CD51" s="1018">
        <f t="shared" ca="1" si="141"/>
        <v>0</v>
      </c>
      <c r="CE51" s="1018">
        <f t="shared" ca="1" si="141"/>
        <v>0</v>
      </c>
      <c r="CF51" s="1018">
        <f t="shared" ca="1" si="141"/>
        <v>0</v>
      </c>
      <c r="CG51" s="1018">
        <f t="shared" ca="1" si="141"/>
        <v>0</v>
      </c>
      <c r="CH51" s="1018">
        <f t="shared" ca="1" si="141"/>
        <v>0</v>
      </c>
      <c r="CI51" s="1018">
        <f t="shared" ca="1" si="141"/>
        <v>0</v>
      </c>
      <c r="CJ51" s="1018">
        <f t="shared" ca="1" si="141"/>
        <v>0</v>
      </c>
      <c r="CK51" s="1018">
        <f t="shared" ca="1" si="141"/>
        <v>0</v>
      </c>
      <c r="CL51" s="1018">
        <f t="shared" ca="1" si="141"/>
        <v>0</v>
      </c>
      <c r="CM51" s="1018">
        <f t="shared" ca="1" si="141"/>
        <v>0</v>
      </c>
      <c r="CN51" s="1018">
        <f t="shared" ca="1" si="141"/>
        <v>0</v>
      </c>
      <c r="CO51" s="1018">
        <f t="shared" ca="1" si="141"/>
        <v>0</v>
      </c>
      <c r="CP51" s="1018">
        <f t="shared" ca="1" si="141"/>
        <v>0</v>
      </c>
      <c r="CQ51" s="1018">
        <f t="shared" ca="1" si="141"/>
        <v>0</v>
      </c>
      <c r="CR51" s="1018">
        <f t="shared" ca="1" si="141"/>
        <v>0</v>
      </c>
      <c r="CS51" s="1018">
        <f t="shared" ca="1" si="141"/>
        <v>0</v>
      </c>
      <c r="CT51" s="1018">
        <f t="shared" ca="1" si="141"/>
        <v>0</v>
      </c>
      <c r="CU51" s="1018">
        <f t="shared" ca="1" si="141"/>
        <v>0</v>
      </c>
      <c r="CV51" s="1018">
        <f t="shared" ca="1" si="141"/>
        <v>0</v>
      </c>
      <c r="CW51" s="1018">
        <f t="shared" ca="1" si="141"/>
        <v>0</v>
      </c>
      <c r="CX51" s="1018">
        <f t="shared" ca="1" si="141"/>
        <v>0</v>
      </c>
      <c r="CY51" s="1018">
        <f t="shared" ca="1" si="141"/>
        <v>0</v>
      </c>
      <c r="CZ51" s="1018">
        <f t="shared" ca="1" si="141"/>
        <v>0</v>
      </c>
      <c r="DA51" s="1018">
        <f t="shared" ca="1" si="141"/>
        <v>0</v>
      </c>
      <c r="DB51" s="1018">
        <f t="shared" ca="1" si="141"/>
        <v>0</v>
      </c>
      <c r="DC51" s="1018">
        <f t="shared" ca="1" si="141"/>
        <v>0</v>
      </c>
      <c r="DD51" s="1018">
        <f t="shared" ca="1" si="141"/>
        <v>0</v>
      </c>
      <c r="DE51" s="1018">
        <f t="shared" ca="1" si="141"/>
        <v>0</v>
      </c>
      <c r="DF51" s="1018">
        <f t="shared" ca="1" si="141"/>
        <v>0</v>
      </c>
      <c r="DH51" s="572">
        <f t="shared" ca="1" si="125"/>
        <v>0</v>
      </c>
    </row>
    <row r="52" spans="1:112" s="528" customFormat="1" ht="12.75" customHeight="1" outlineLevel="1">
      <c r="A52" s="18"/>
      <c r="B52" s="18"/>
      <c r="C52" s="531"/>
      <c r="D52" s="497"/>
      <c r="E52" s="497"/>
      <c r="G52" s="633"/>
      <c r="H52" s="633"/>
      <c r="I52" s="633"/>
      <c r="J52" s="633"/>
      <c r="K52" s="635"/>
      <c r="L52" s="633"/>
      <c r="M52" s="633"/>
      <c r="N52" s="633"/>
      <c r="O52" s="633"/>
      <c r="P52" s="633"/>
      <c r="Q52" s="633"/>
      <c r="S52" s="645"/>
      <c r="T52" s="645"/>
      <c r="U52" s="645"/>
      <c r="V52" s="645"/>
      <c r="W52" s="645"/>
      <c r="X52" s="645"/>
      <c r="Y52" s="645"/>
      <c r="Z52" s="645"/>
      <c r="AA52" s="645"/>
      <c r="AB52" s="645"/>
      <c r="AC52" s="645"/>
      <c r="AD52" s="645"/>
      <c r="AE52" s="645"/>
      <c r="AF52" s="645"/>
      <c r="AG52" s="645"/>
      <c r="AH52" s="645"/>
      <c r="AI52" s="645"/>
      <c r="AJ52" s="645"/>
      <c r="AK52" s="645"/>
      <c r="AM52" s="651"/>
      <c r="AN52" s="651"/>
      <c r="AO52" s="651"/>
      <c r="AP52" s="651"/>
      <c r="AQ52" s="651"/>
      <c r="AR52" s="651"/>
      <c r="AS52" s="651"/>
      <c r="AT52" s="651"/>
      <c r="AU52" s="651"/>
      <c r="AV52" s="651"/>
      <c r="AW52" s="651"/>
      <c r="AX52" s="651"/>
      <c r="AY52" s="651"/>
      <c r="AZ52" s="651"/>
      <c r="BA52" s="651"/>
      <c r="BB52" s="651"/>
      <c r="BC52" s="651"/>
      <c r="BD52" s="651"/>
      <c r="BE52" s="651"/>
      <c r="BF52" s="651"/>
      <c r="BH52" s="665"/>
      <c r="BI52" s="665"/>
      <c r="BJ52" s="665"/>
      <c r="BL52" s="499">
        <f>Q52+AK52+BF52+BJ52</f>
        <v>0</v>
      </c>
      <c r="BM52" s="499"/>
      <c r="BN52" s="18"/>
      <c r="BO52" s="1018"/>
      <c r="BP52" s="1018"/>
      <c r="BQ52" s="1018"/>
      <c r="BR52" s="1018"/>
      <c r="BS52" s="1018"/>
      <c r="BT52" s="1018"/>
      <c r="BU52" s="1018"/>
      <c r="BV52" s="1018"/>
      <c r="BW52" s="1018"/>
      <c r="BX52" s="1018"/>
      <c r="BY52" s="1018"/>
      <c r="BZ52" s="1018"/>
      <c r="CA52" s="1018"/>
      <c r="CB52" s="1018"/>
      <c r="CC52" s="1018"/>
      <c r="CD52" s="1018"/>
      <c r="CE52" s="1018"/>
      <c r="CF52" s="1018"/>
      <c r="CG52" s="1018"/>
      <c r="CH52" s="1018"/>
      <c r="CI52" s="1018"/>
      <c r="CJ52" s="1018"/>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H52" s="572">
        <f t="shared" si="125"/>
        <v>0</v>
      </c>
    </row>
    <row r="53" spans="1:112" s="528" customFormat="1" outlineLevel="1">
      <c r="A53" s="1020"/>
      <c r="B53" s="1020"/>
      <c r="C53" s="506" t="s">
        <v>726</v>
      </c>
      <c r="D53" s="505" t="str">
        <f>INDEX(Modules[Module], MATCH($C53, Modules[Code], 0))</f>
        <v>Petroleum refineries</v>
      </c>
      <c r="E53" s="505"/>
      <c r="G53" s="691">
        <f t="shared" ref="G53:P54" ca="1" si="142">IFERROR(INDEX(INDIRECT($C53&amp;".Outputs["&amp;this.Year&amp;"]"), MATCH(G$5, INDIRECT($C53&amp;".Outputs[Vector]"), 0)), 0)</f>
        <v>0</v>
      </c>
      <c r="H53" s="691">
        <f t="shared" ca="1" si="142"/>
        <v>0</v>
      </c>
      <c r="I53" s="691">
        <f t="shared" ca="1" si="142"/>
        <v>0</v>
      </c>
      <c r="J53" s="691">
        <f t="shared" ca="1" si="142"/>
        <v>0</v>
      </c>
      <c r="K53" s="691">
        <f t="shared" ca="1" si="142"/>
        <v>0</v>
      </c>
      <c r="L53" s="691">
        <f t="shared" ca="1" si="142"/>
        <v>0</v>
      </c>
      <c r="M53" s="691">
        <f t="shared" ca="1" si="142"/>
        <v>0</v>
      </c>
      <c r="N53" s="691">
        <f t="shared" ca="1" si="142"/>
        <v>0</v>
      </c>
      <c r="O53" s="691">
        <f t="shared" ca="1" si="142"/>
        <v>0</v>
      </c>
      <c r="P53" s="691">
        <f t="shared" ca="1" si="142"/>
        <v>0</v>
      </c>
      <c r="Q53" s="693">
        <f ca="1">SUM(G53:P53)</f>
        <v>0</v>
      </c>
      <c r="S53" s="700">
        <f t="shared" ref="S53:BE54" ca="1" si="143">IFERROR(INDEX(INDIRECT($C53&amp;".Outputs["&amp;this.Year&amp;"]"), MATCH(S$5, INDIRECT($C53&amp;".Outputs[Vector]"), 0)), 0)</f>
        <v>0</v>
      </c>
      <c r="T53" s="700">
        <f t="shared" ca="1" si="143"/>
        <v>0</v>
      </c>
      <c r="U53" s="700">
        <f t="shared" ca="1" si="143"/>
        <v>0</v>
      </c>
      <c r="V53" s="700">
        <f t="shared" ca="1" si="143"/>
        <v>0</v>
      </c>
      <c r="W53" s="700">
        <f t="shared" ca="1" si="143"/>
        <v>0</v>
      </c>
      <c r="X53" s="700">
        <f t="shared" ref="X53:Z54" ca="1" si="144">IFERROR(INDEX(INDIRECT($C53&amp;".Outputs["&amp;this.Year&amp;"]"), MATCH(X$5, INDIRECT($C53&amp;".Outputs[Vector]"), 0)), 0)</f>
        <v>0</v>
      </c>
      <c r="Y53" s="700">
        <f t="shared" ca="1" si="144"/>
        <v>0</v>
      </c>
      <c r="Z53" s="700">
        <f t="shared" ca="1" si="144"/>
        <v>0</v>
      </c>
      <c r="AA53" s="700">
        <f t="shared" ca="1" si="143"/>
        <v>0</v>
      </c>
      <c r="AB53" s="700">
        <f t="shared" ca="1" si="143"/>
        <v>0</v>
      </c>
      <c r="AC53" s="700">
        <f t="shared" ca="1" si="143"/>
        <v>0</v>
      </c>
      <c r="AD53" s="700">
        <f t="shared" ca="1" si="143"/>
        <v>0</v>
      </c>
      <c r="AE53" s="700">
        <f t="shared" ca="1" si="143"/>
        <v>0</v>
      </c>
      <c r="AF53" s="700">
        <f t="shared" ca="1" si="143"/>
        <v>0</v>
      </c>
      <c r="AG53" s="700">
        <f t="shared" ca="1" si="143"/>
        <v>0</v>
      </c>
      <c r="AH53" s="700">
        <f t="shared" ca="1" si="143"/>
        <v>0</v>
      </c>
      <c r="AI53" s="700">
        <f t="shared" ca="1" si="143"/>
        <v>0</v>
      </c>
      <c r="AJ53" s="700">
        <f t="shared" ca="1" si="143"/>
        <v>0</v>
      </c>
      <c r="AK53" s="701">
        <f ca="1">SUM(S53:AJ53)</f>
        <v>0</v>
      </c>
      <c r="AM53" s="712">
        <f t="shared" ref="AM53:AU54" ca="1" si="145">IFERROR(INDEX(INDIRECT($C53&amp;".Outputs["&amp;this.Year&amp;"]"), MATCH(AM$5, INDIRECT($C53&amp;".Outputs[Vector]"), 0)), 0)</f>
        <v>0</v>
      </c>
      <c r="AN53" s="712">
        <f t="shared" ca="1" si="145"/>
        <v>0</v>
      </c>
      <c r="AO53" s="712">
        <f t="shared" ca="1" si="145"/>
        <v>0</v>
      </c>
      <c r="AP53" s="712">
        <f t="shared" ca="1" si="145"/>
        <v>0</v>
      </c>
      <c r="AQ53" s="712">
        <f t="shared" ca="1" si="145"/>
        <v>0</v>
      </c>
      <c r="AR53" s="712">
        <f t="shared" ca="1" si="145"/>
        <v>0</v>
      </c>
      <c r="AS53" s="712">
        <f t="shared" ca="1" si="145"/>
        <v>0</v>
      </c>
      <c r="AT53" s="712">
        <f t="shared" ca="1" si="145"/>
        <v>0</v>
      </c>
      <c r="AU53" s="712">
        <f t="shared" ca="1" si="145"/>
        <v>0</v>
      </c>
      <c r="AV53" s="712">
        <f t="shared" ca="1" si="143"/>
        <v>0</v>
      </c>
      <c r="AW53" s="712">
        <f t="shared" ca="1" si="143"/>
        <v>0</v>
      </c>
      <c r="AX53" s="712">
        <f t="shared" ca="1" si="143"/>
        <v>0</v>
      </c>
      <c r="AY53" s="712">
        <f t="shared" ca="1" si="143"/>
        <v>0</v>
      </c>
      <c r="AZ53" s="712">
        <f t="shared" ca="1" si="143"/>
        <v>0</v>
      </c>
      <c r="BA53" s="712">
        <f t="shared" ca="1" si="143"/>
        <v>0</v>
      </c>
      <c r="BB53" s="712">
        <f t="shared" ca="1" si="143"/>
        <v>0</v>
      </c>
      <c r="BC53" s="712">
        <f t="shared" ca="1" si="143"/>
        <v>0</v>
      </c>
      <c r="BD53" s="712">
        <f t="shared" ca="1" si="143"/>
        <v>0</v>
      </c>
      <c r="BE53" s="712">
        <f t="shared" ca="1" si="143"/>
        <v>0</v>
      </c>
      <c r="BF53" s="654">
        <f ca="1">SUM(AM53:BE53)</f>
        <v>0</v>
      </c>
      <c r="BH53" s="706">
        <f ca="1">IFERROR(INDEX(INDIRECT($C53&amp;".Outputs["&amp;this.Year&amp;"]"), MATCH(BH$5, INDIRECT($C53&amp;".Outputs[Vector]"), 0)), 0)</f>
        <v>0</v>
      </c>
      <c r="BI53" s="706">
        <f ca="1">IFERROR(INDEX(INDIRECT($C53&amp;".Outputs["&amp;this.Year&amp;"]"), MATCH(BI$5, INDIRECT($C53&amp;".Outputs[Vector]"), 0)), 0)</f>
        <v>0</v>
      </c>
      <c r="BJ53" s="708">
        <f ca="1">SUM(BH53:BI53)</f>
        <v>0</v>
      </c>
      <c r="BL53" s="562">
        <f ca="1">Q53+AK53+BF53+BJ53</f>
        <v>0</v>
      </c>
      <c r="BM53" s="562"/>
      <c r="BN53" s="574"/>
      <c r="BO53" s="1017">
        <f t="shared" ref="BO53:BX54" ca="1" si="146">IFERROR(SUMIFS(INDIRECT($C53&amp;".Emissions["&amp;this.Year&amp;"]"), INDIRECT($C53&amp;".Emissions[GHG]"), BO$6, INDIRECT($C53&amp;".Emissions[IPCC Sector]"), BO$5),0)</f>
        <v>0</v>
      </c>
      <c r="BP53" s="1018">
        <f t="shared" ca="1" si="146"/>
        <v>0</v>
      </c>
      <c r="BQ53" s="1018">
        <f t="shared" ca="1" si="146"/>
        <v>0</v>
      </c>
      <c r="BR53" s="1018">
        <f t="shared" ca="1" si="146"/>
        <v>0</v>
      </c>
      <c r="BS53" s="1018">
        <f t="shared" ca="1" si="146"/>
        <v>0</v>
      </c>
      <c r="BT53" s="1018">
        <f t="shared" ca="1" si="146"/>
        <v>0</v>
      </c>
      <c r="BU53" s="1018">
        <f t="shared" ca="1" si="146"/>
        <v>0</v>
      </c>
      <c r="BV53" s="1018">
        <f t="shared" ca="1" si="146"/>
        <v>0</v>
      </c>
      <c r="BW53" s="1018">
        <f t="shared" ca="1" si="146"/>
        <v>0</v>
      </c>
      <c r="BX53" s="1018">
        <f t="shared" ca="1" si="146"/>
        <v>0</v>
      </c>
      <c r="BY53" s="1018">
        <f t="shared" ref="BY53:CH54" ca="1" si="147">IFERROR(SUMIFS(INDIRECT($C53&amp;".Emissions["&amp;this.Year&amp;"]"), INDIRECT($C53&amp;".Emissions[GHG]"), BY$6, INDIRECT($C53&amp;".Emissions[IPCC Sector]"), BY$5),0)</f>
        <v>0</v>
      </c>
      <c r="BZ53" s="1018">
        <f t="shared" ca="1" si="147"/>
        <v>0</v>
      </c>
      <c r="CA53" s="1018">
        <f t="shared" ca="1" si="147"/>
        <v>0</v>
      </c>
      <c r="CB53" s="1018">
        <f t="shared" ca="1" si="147"/>
        <v>0</v>
      </c>
      <c r="CC53" s="1018">
        <f t="shared" ca="1" si="147"/>
        <v>0</v>
      </c>
      <c r="CD53" s="1018">
        <f t="shared" ca="1" si="147"/>
        <v>0</v>
      </c>
      <c r="CE53" s="1018">
        <f t="shared" ca="1" si="147"/>
        <v>0</v>
      </c>
      <c r="CF53" s="1018">
        <f t="shared" ca="1" si="147"/>
        <v>0</v>
      </c>
      <c r="CG53" s="1018">
        <f t="shared" ca="1" si="147"/>
        <v>0</v>
      </c>
      <c r="CH53" s="1018">
        <f t="shared" ca="1" si="147"/>
        <v>0</v>
      </c>
      <c r="CI53" s="1018">
        <f t="shared" ref="CI53:CR54" ca="1" si="148">IFERROR(SUMIFS(INDIRECT($C53&amp;".Emissions["&amp;this.Year&amp;"]"), INDIRECT($C53&amp;".Emissions[GHG]"), CI$6, INDIRECT($C53&amp;".Emissions[IPCC Sector]"), CI$5),0)</f>
        <v>0</v>
      </c>
      <c r="CJ53" s="1018">
        <f t="shared" ca="1" si="148"/>
        <v>0</v>
      </c>
      <c r="CK53" s="1018">
        <f t="shared" ca="1" si="148"/>
        <v>0</v>
      </c>
      <c r="CL53" s="1018">
        <f t="shared" ca="1" si="148"/>
        <v>0</v>
      </c>
      <c r="CM53" s="1018">
        <f t="shared" ca="1" si="148"/>
        <v>0</v>
      </c>
      <c r="CN53" s="1018">
        <f t="shared" ca="1" si="148"/>
        <v>0</v>
      </c>
      <c r="CO53" s="1018">
        <f t="shared" ca="1" si="148"/>
        <v>0</v>
      </c>
      <c r="CP53" s="1018">
        <f t="shared" ca="1" si="148"/>
        <v>0</v>
      </c>
      <c r="CQ53" s="1018">
        <f t="shared" ca="1" si="148"/>
        <v>0</v>
      </c>
      <c r="CR53" s="1018">
        <f t="shared" ca="1" si="148"/>
        <v>0</v>
      </c>
      <c r="CS53" s="1018">
        <f t="shared" ref="CS53:DF54" ca="1" si="149">IFERROR(SUMIFS(INDIRECT($C53&amp;".Emissions["&amp;this.Year&amp;"]"), INDIRECT($C53&amp;".Emissions[GHG]"), CS$6, INDIRECT($C53&amp;".Emissions[IPCC Sector]"), CS$5),0)</f>
        <v>0</v>
      </c>
      <c r="CT53" s="1018">
        <f t="shared" ca="1" si="149"/>
        <v>0</v>
      </c>
      <c r="CU53" s="1018">
        <f t="shared" ca="1" si="149"/>
        <v>0</v>
      </c>
      <c r="CV53" s="1018">
        <f t="shared" ca="1" si="149"/>
        <v>0</v>
      </c>
      <c r="CW53" s="1018">
        <f t="shared" ca="1" si="149"/>
        <v>0</v>
      </c>
      <c r="CX53" s="1018">
        <f t="shared" ca="1" si="149"/>
        <v>0</v>
      </c>
      <c r="CY53" s="1018">
        <f t="shared" ca="1" si="149"/>
        <v>0</v>
      </c>
      <c r="CZ53" s="1018">
        <f t="shared" ca="1" si="149"/>
        <v>0</v>
      </c>
      <c r="DA53" s="1018">
        <f t="shared" ca="1" si="149"/>
        <v>0</v>
      </c>
      <c r="DB53" s="1018">
        <f t="shared" ca="1" si="149"/>
        <v>0</v>
      </c>
      <c r="DC53" s="1018">
        <f t="shared" ca="1" si="149"/>
        <v>0</v>
      </c>
      <c r="DD53" s="1018">
        <f t="shared" ca="1" si="149"/>
        <v>0</v>
      </c>
      <c r="DE53" s="1018">
        <f t="shared" ca="1" si="149"/>
        <v>0</v>
      </c>
      <c r="DF53" s="1018">
        <f t="shared" ca="1" si="149"/>
        <v>0</v>
      </c>
      <c r="DH53" s="572">
        <f t="shared" ca="1" si="125"/>
        <v>0</v>
      </c>
    </row>
    <row r="54" spans="1:112" s="528" customFormat="1" outlineLevel="1">
      <c r="A54" s="1020"/>
      <c r="B54" s="1020"/>
      <c r="C54" s="506" t="s">
        <v>730</v>
      </c>
      <c r="D54" s="684" t="str">
        <f>INDEX(Modules[Module], MATCH($C54, Modules[Code], 0))</f>
        <v>Indigenous fossil-fuel production</v>
      </c>
      <c r="E54" s="684"/>
      <c r="G54" s="696">
        <f t="shared" ca="1" si="142"/>
        <v>0</v>
      </c>
      <c r="H54" s="696">
        <f t="shared" ca="1" si="142"/>
        <v>0</v>
      </c>
      <c r="I54" s="696">
        <f t="shared" ca="1" si="142"/>
        <v>0</v>
      </c>
      <c r="J54" s="696">
        <f t="shared" ca="1" si="142"/>
        <v>0</v>
      </c>
      <c r="K54" s="696">
        <f t="shared" ca="1" si="142"/>
        <v>0</v>
      </c>
      <c r="L54" s="696">
        <f t="shared" ca="1" si="142"/>
        <v>0</v>
      </c>
      <c r="M54" s="696">
        <f t="shared" ca="1" si="142"/>
        <v>0</v>
      </c>
      <c r="N54" s="696">
        <f t="shared" ca="1" si="142"/>
        <v>0</v>
      </c>
      <c r="O54" s="696">
        <f t="shared" ca="1" si="142"/>
        <v>0</v>
      </c>
      <c r="P54" s="696">
        <f t="shared" ca="1" si="142"/>
        <v>0</v>
      </c>
      <c r="Q54" s="694">
        <f ca="1">SUM(G54:P54)</f>
        <v>0</v>
      </c>
      <c r="S54" s="705">
        <f t="shared" ca="1" si="143"/>
        <v>0</v>
      </c>
      <c r="T54" s="705">
        <f t="shared" ca="1" si="143"/>
        <v>0</v>
      </c>
      <c r="U54" s="705">
        <f t="shared" ca="1" si="143"/>
        <v>0</v>
      </c>
      <c r="V54" s="705">
        <f t="shared" ca="1" si="143"/>
        <v>0</v>
      </c>
      <c r="W54" s="705">
        <f t="shared" ca="1" si="143"/>
        <v>0</v>
      </c>
      <c r="X54" s="705">
        <f t="shared" ca="1" si="144"/>
        <v>0</v>
      </c>
      <c r="Y54" s="705">
        <f t="shared" ca="1" si="144"/>
        <v>0</v>
      </c>
      <c r="Z54" s="705">
        <f t="shared" ca="1" si="144"/>
        <v>0</v>
      </c>
      <c r="AA54" s="705">
        <f t="shared" ca="1" si="143"/>
        <v>0</v>
      </c>
      <c r="AB54" s="705">
        <f t="shared" ca="1" si="143"/>
        <v>0</v>
      </c>
      <c r="AC54" s="705">
        <f t="shared" ca="1" si="143"/>
        <v>0</v>
      </c>
      <c r="AD54" s="705">
        <f t="shared" ca="1" si="143"/>
        <v>0</v>
      </c>
      <c r="AE54" s="705">
        <f t="shared" ca="1" si="143"/>
        <v>0</v>
      </c>
      <c r="AF54" s="705">
        <f t="shared" ca="1" si="143"/>
        <v>0</v>
      </c>
      <c r="AG54" s="705">
        <f t="shared" ca="1" si="143"/>
        <v>0</v>
      </c>
      <c r="AH54" s="705">
        <f t="shared" ca="1" si="143"/>
        <v>0</v>
      </c>
      <c r="AI54" s="705">
        <f t="shared" ca="1" si="143"/>
        <v>0</v>
      </c>
      <c r="AJ54" s="705">
        <f t="shared" ca="1" si="143"/>
        <v>0</v>
      </c>
      <c r="AK54" s="704">
        <f ca="1">SUM(S54:AJ54)</f>
        <v>0</v>
      </c>
      <c r="AM54" s="716">
        <f t="shared" ca="1" si="145"/>
        <v>0</v>
      </c>
      <c r="AN54" s="716">
        <f t="shared" ca="1" si="145"/>
        <v>0</v>
      </c>
      <c r="AO54" s="716">
        <f t="shared" ca="1" si="145"/>
        <v>0</v>
      </c>
      <c r="AP54" s="716">
        <f t="shared" ca="1" si="145"/>
        <v>0</v>
      </c>
      <c r="AQ54" s="716">
        <f t="shared" ca="1" si="145"/>
        <v>0</v>
      </c>
      <c r="AR54" s="716">
        <f t="shared" ca="1" si="145"/>
        <v>0</v>
      </c>
      <c r="AS54" s="716">
        <f t="shared" ca="1" si="145"/>
        <v>0</v>
      </c>
      <c r="AT54" s="716">
        <f t="shared" ca="1" si="145"/>
        <v>0</v>
      </c>
      <c r="AU54" s="716">
        <f t="shared" ca="1" si="145"/>
        <v>0</v>
      </c>
      <c r="AV54" s="716">
        <f t="shared" ca="1" si="143"/>
        <v>0</v>
      </c>
      <c r="AW54" s="716">
        <f t="shared" ca="1" si="143"/>
        <v>0</v>
      </c>
      <c r="AX54" s="716">
        <f t="shared" ca="1" si="143"/>
        <v>0</v>
      </c>
      <c r="AY54" s="716">
        <f t="shared" ca="1" si="143"/>
        <v>0</v>
      </c>
      <c r="AZ54" s="716">
        <f t="shared" ca="1" si="143"/>
        <v>0</v>
      </c>
      <c r="BA54" s="716">
        <f t="shared" ca="1" si="143"/>
        <v>0</v>
      </c>
      <c r="BB54" s="716">
        <f t="shared" ca="1" si="143"/>
        <v>0</v>
      </c>
      <c r="BC54" s="716">
        <f t="shared" ca="1" si="143"/>
        <v>0</v>
      </c>
      <c r="BD54" s="716">
        <f t="shared" ca="1" si="143"/>
        <v>0</v>
      </c>
      <c r="BE54" s="716">
        <f t="shared" ca="1" si="143"/>
        <v>0</v>
      </c>
      <c r="BF54" s="686">
        <f ca="1">SUM(AM54:BE54)</f>
        <v>0</v>
      </c>
      <c r="BH54" s="710">
        <f ca="1">IFERROR(INDEX(INDIRECT($C54&amp;".Outputs["&amp;this.Year&amp;"]"), MATCH(BH$5, INDIRECT($C54&amp;".Outputs[Vector]"), 0)), 0)</f>
        <v>0</v>
      </c>
      <c r="BI54" s="710">
        <f ca="1">IFERROR(INDEX(INDIRECT($C54&amp;".Outputs["&amp;this.Year&amp;"]"), MATCH(BI$5, INDIRECT($C54&amp;".Outputs[Vector]"), 0)), 0)</f>
        <v>0</v>
      </c>
      <c r="BJ54" s="709">
        <f ca="1">SUM(BH54:BI54)</f>
        <v>0</v>
      </c>
      <c r="BL54" s="562"/>
      <c r="BM54" s="562"/>
      <c r="BN54" s="574"/>
      <c r="BO54" s="1021">
        <f t="shared" ca="1" si="146"/>
        <v>0</v>
      </c>
      <c r="BP54" s="1022">
        <f t="shared" ca="1" si="146"/>
        <v>0</v>
      </c>
      <c r="BQ54" s="1022">
        <f t="shared" ca="1" si="146"/>
        <v>0</v>
      </c>
      <c r="BR54" s="1022">
        <f t="shared" ca="1" si="146"/>
        <v>0</v>
      </c>
      <c r="BS54" s="1022">
        <f t="shared" ca="1" si="146"/>
        <v>0</v>
      </c>
      <c r="BT54" s="1022">
        <f t="shared" ca="1" si="146"/>
        <v>0</v>
      </c>
      <c r="BU54" s="1022">
        <f t="shared" ca="1" si="146"/>
        <v>0</v>
      </c>
      <c r="BV54" s="1022">
        <f t="shared" ca="1" si="146"/>
        <v>0</v>
      </c>
      <c r="BW54" s="1022">
        <f t="shared" ca="1" si="146"/>
        <v>0</v>
      </c>
      <c r="BX54" s="1022">
        <f t="shared" ca="1" si="146"/>
        <v>0</v>
      </c>
      <c r="BY54" s="1022">
        <f t="shared" ca="1" si="147"/>
        <v>0</v>
      </c>
      <c r="BZ54" s="1022">
        <f t="shared" ca="1" si="147"/>
        <v>0</v>
      </c>
      <c r="CA54" s="1022">
        <f t="shared" ca="1" si="147"/>
        <v>0</v>
      </c>
      <c r="CB54" s="1022">
        <f t="shared" ca="1" si="147"/>
        <v>0</v>
      </c>
      <c r="CC54" s="1022">
        <f t="shared" ca="1" si="147"/>
        <v>0</v>
      </c>
      <c r="CD54" s="1022">
        <f t="shared" ca="1" si="147"/>
        <v>0</v>
      </c>
      <c r="CE54" s="1022">
        <f t="shared" ca="1" si="147"/>
        <v>0</v>
      </c>
      <c r="CF54" s="1022">
        <f t="shared" ca="1" si="147"/>
        <v>0</v>
      </c>
      <c r="CG54" s="1022">
        <f t="shared" ca="1" si="147"/>
        <v>0</v>
      </c>
      <c r="CH54" s="1022">
        <f t="shared" ca="1" si="147"/>
        <v>0</v>
      </c>
      <c r="CI54" s="1022">
        <f t="shared" ca="1" si="148"/>
        <v>0</v>
      </c>
      <c r="CJ54" s="1022">
        <f t="shared" ca="1" si="148"/>
        <v>0</v>
      </c>
      <c r="CK54" s="1022">
        <f t="shared" ca="1" si="148"/>
        <v>0</v>
      </c>
      <c r="CL54" s="1022">
        <f t="shared" ca="1" si="148"/>
        <v>0</v>
      </c>
      <c r="CM54" s="1022">
        <f t="shared" ca="1" si="148"/>
        <v>0</v>
      </c>
      <c r="CN54" s="1022">
        <f t="shared" ca="1" si="148"/>
        <v>0</v>
      </c>
      <c r="CO54" s="1022">
        <f t="shared" ca="1" si="148"/>
        <v>0</v>
      </c>
      <c r="CP54" s="1022">
        <f t="shared" ca="1" si="148"/>
        <v>0</v>
      </c>
      <c r="CQ54" s="1022">
        <f t="shared" ca="1" si="148"/>
        <v>0</v>
      </c>
      <c r="CR54" s="1022">
        <f t="shared" ca="1" si="148"/>
        <v>0</v>
      </c>
      <c r="CS54" s="1022">
        <f t="shared" ca="1" si="149"/>
        <v>0</v>
      </c>
      <c r="CT54" s="1022">
        <f t="shared" ca="1" si="149"/>
        <v>0</v>
      </c>
      <c r="CU54" s="1022">
        <f t="shared" ca="1" si="149"/>
        <v>0</v>
      </c>
      <c r="CV54" s="1022">
        <f t="shared" ca="1" si="149"/>
        <v>0</v>
      </c>
      <c r="CW54" s="1022">
        <f t="shared" ca="1" si="149"/>
        <v>0</v>
      </c>
      <c r="CX54" s="1022">
        <f t="shared" ca="1" si="149"/>
        <v>0</v>
      </c>
      <c r="CY54" s="1022">
        <f t="shared" ca="1" si="149"/>
        <v>0</v>
      </c>
      <c r="CZ54" s="1022">
        <f t="shared" ca="1" si="149"/>
        <v>0</v>
      </c>
      <c r="DA54" s="1022">
        <f t="shared" ca="1" si="149"/>
        <v>0</v>
      </c>
      <c r="DB54" s="1022">
        <f t="shared" ca="1" si="149"/>
        <v>0</v>
      </c>
      <c r="DC54" s="1022">
        <f t="shared" ca="1" si="149"/>
        <v>0</v>
      </c>
      <c r="DD54" s="1022">
        <f t="shared" ca="1" si="149"/>
        <v>0</v>
      </c>
      <c r="DE54" s="1022">
        <f t="shared" ca="1" si="149"/>
        <v>0</v>
      </c>
      <c r="DF54" s="1022">
        <f t="shared" ca="1" si="149"/>
        <v>0</v>
      </c>
      <c r="DH54" s="572">
        <f t="shared" ca="1" si="125"/>
        <v>0</v>
      </c>
    </row>
    <row r="55" spans="1:112" s="528" customFormat="1" ht="15">
      <c r="A55" s="1024"/>
      <c r="B55" s="1025"/>
      <c r="C55" s="529" t="s">
        <v>724</v>
      </c>
      <c r="D55" s="501" t="str">
        <f>INDEX(Workstreams[Workstream], MATCH($C55, Workstreams[Code], 0))</f>
        <v>Fossil fuel production</v>
      </c>
      <c r="E55" s="497"/>
      <c r="G55" s="695">
        <f ca="1">SUM(G53:G54)</f>
        <v>0</v>
      </c>
      <c r="H55" s="695">
        <f t="shared" ref="H55:P55" ca="1" si="150">SUM(H53:H54)</f>
        <v>0</v>
      </c>
      <c r="I55" s="695">
        <f t="shared" ca="1" si="150"/>
        <v>0</v>
      </c>
      <c r="J55" s="695">
        <f t="shared" ca="1" si="150"/>
        <v>0</v>
      </c>
      <c r="K55" s="695">
        <f t="shared" ca="1" si="150"/>
        <v>0</v>
      </c>
      <c r="L55" s="695">
        <f t="shared" ca="1" si="150"/>
        <v>0</v>
      </c>
      <c r="M55" s="695">
        <f t="shared" ca="1" si="150"/>
        <v>0</v>
      </c>
      <c r="N55" s="695">
        <f t="shared" ca="1" si="150"/>
        <v>0</v>
      </c>
      <c r="O55" s="695">
        <f t="shared" ca="1" si="150"/>
        <v>0</v>
      </c>
      <c r="P55" s="695">
        <f t="shared" ca="1" si="150"/>
        <v>0</v>
      </c>
      <c r="Q55" s="695">
        <f ca="1">SUM(G55:P55)</f>
        <v>0</v>
      </c>
      <c r="S55" s="645">
        <f t="shared" ref="S55:AJ55" ca="1" si="151">SUM(S53:S54)</f>
        <v>0</v>
      </c>
      <c r="T55" s="645">
        <f t="shared" ca="1" si="151"/>
        <v>0</v>
      </c>
      <c r="U55" s="645">
        <f t="shared" ca="1" si="151"/>
        <v>0</v>
      </c>
      <c r="V55" s="645">
        <f t="shared" ca="1" si="151"/>
        <v>0</v>
      </c>
      <c r="W55" s="645">
        <f t="shared" ca="1" si="151"/>
        <v>0</v>
      </c>
      <c r="X55" s="645">
        <f ca="1">SUM(X53:X54)</f>
        <v>0</v>
      </c>
      <c r="Y55" s="645">
        <f ca="1">SUM(Y53:Y54)</f>
        <v>0</v>
      </c>
      <c r="Z55" s="645">
        <f ca="1">SUM(Z53:Z54)</f>
        <v>0</v>
      </c>
      <c r="AA55" s="645">
        <f t="shared" ca="1" si="151"/>
        <v>0</v>
      </c>
      <c r="AB55" s="645">
        <f t="shared" ca="1" si="151"/>
        <v>0</v>
      </c>
      <c r="AC55" s="645">
        <f t="shared" ca="1" si="151"/>
        <v>0</v>
      </c>
      <c r="AD55" s="645">
        <f ca="1">SUM(AD53:AD54)</f>
        <v>0</v>
      </c>
      <c r="AE55" s="645">
        <f ca="1">SUM(AE53:AE54)</f>
        <v>0</v>
      </c>
      <c r="AF55" s="645">
        <f t="shared" ca="1" si="151"/>
        <v>0</v>
      </c>
      <c r="AG55" s="645">
        <f ca="1">SUM(AG53:AG54)</f>
        <v>0</v>
      </c>
      <c r="AH55" s="645">
        <f ca="1">SUM(AH53:AH54)</f>
        <v>0</v>
      </c>
      <c r="AI55" s="645">
        <f ca="1">SUM(AI53:AI54)</f>
        <v>0</v>
      </c>
      <c r="AJ55" s="645">
        <f t="shared" ca="1" si="151"/>
        <v>0</v>
      </c>
      <c r="AK55" s="645">
        <f ca="1">SUM(S55:AJ55)</f>
        <v>0</v>
      </c>
      <c r="AM55" s="651">
        <f t="shared" ref="AM55:AU55" ca="1" si="152">SUM(AM53:AM54)</f>
        <v>0</v>
      </c>
      <c r="AN55" s="651">
        <f t="shared" ca="1" si="152"/>
        <v>0</v>
      </c>
      <c r="AO55" s="651">
        <f t="shared" ca="1" si="152"/>
        <v>0</v>
      </c>
      <c r="AP55" s="651">
        <f t="shared" ca="1" si="152"/>
        <v>0</v>
      </c>
      <c r="AQ55" s="651">
        <f t="shared" ca="1" si="152"/>
        <v>0</v>
      </c>
      <c r="AR55" s="651">
        <f t="shared" ca="1" si="152"/>
        <v>0</v>
      </c>
      <c r="AS55" s="651">
        <f t="shared" ca="1" si="152"/>
        <v>0</v>
      </c>
      <c r="AT55" s="651">
        <f t="shared" ca="1" si="152"/>
        <v>0</v>
      </c>
      <c r="AU55" s="651">
        <f t="shared" ca="1" si="152"/>
        <v>0</v>
      </c>
      <c r="AV55" s="651">
        <f t="shared" ref="AV55:BE55" ca="1" si="153">SUM(AV53:AV54)</f>
        <v>0</v>
      </c>
      <c r="AW55" s="651">
        <f t="shared" ca="1" si="153"/>
        <v>0</v>
      </c>
      <c r="AX55" s="651">
        <f t="shared" ca="1" si="153"/>
        <v>0</v>
      </c>
      <c r="AY55" s="651">
        <f t="shared" ca="1" si="153"/>
        <v>0</v>
      </c>
      <c r="AZ55" s="651">
        <f t="shared" ca="1" si="153"/>
        <v>0</v>
      </c>
      <c r="BA55" s="651">
        <f t="shared" ca="1" si="153"/>
        <v>0</v>
      </c>
      <c r="BB55" s="651">
        <f t="shared" ca="1" si="153"/>
        <v>0</v>
      </c>
      <c r="BC55" s="651">
        <f t="shared" ca="1" si="153"/>
        <v>0</v>
      </c>
      <c r="BD55" s="651">
        <f ca="1">SUM(BD53:BD54)</f>
        <v>0</v>
      </c>
      <c r="BE55" s="651">
        <f t="shared" ca="1" si="153"/>
        <v>0</v>
      </c>
      <c r="BF55" s="651">
        <f ca="1">SUM(AM55:BE55)</f>
        <v>0</v>
      </c>
      <c r="BH55" s="665">
        <f ca="1">SUM(BH53:BH54)</f>
        <v>0</v>
      </c>
      <c r="BI55" s="665">
        <f ca="1">SUM(BI53:BI54)</f>
        <v>0</v>
      </c>
      <c r="BJ55" s="665">
        <f ca="1">SUM(BH55:BI55)</f>
        <v>0</v>
      </c>
      <c r="BL55" s="499">
        <f ca="1">Q55+AK55+BF55+BJ55</f>
        <v>0</v>
      </c>
      <c r="BM55" s="579"/>
      <c r="BN55" s="574"/>
      <c r="BO55" s="1017">
        <f t="shared" ref="BO55:DF55" ca="1" si="154">SUM(BO53:BO54)</f>
        <v>0</v>
      </c>
      <c r="BP55" s="1018">
        <f t="shared" ca="1" si="154"/>
        <v>0</v>
      </c>
      <c r="BQ55" s="1018">
        <f t="shared" ca="1" si="154"/>
        <v>0</v>
      </c>
      <c r="BR55" s="1018">
        <f t="shared" ca="1" si="154"/>
        <v>0</v>
      </c>
      <c r="BS55" s="1018">
        <f t="shared" ca="1" si="154"/>
        <v>0</v>
      </c>
      <c r="BT55" s="1018">
        <f t="shared" ca="1" si="154"/>
        <v>0</v>
      </c>
      <c r="BU55" s="1018">
        <f t="shared" ca="1" si="154"/>
        <v>0</v>
      </c>
      <c r="BV55" s="1018">
        <f t="shared" ca="1" si="154"/>
        <v>0</v>
      </c>
      <c r="BW55" s="1018">
        <f t="shared" ca="1" si="154"/>
        <v>0</v>
      </c>
      <c r="BX55" s="1018">
        <f t="shared" ca="1" si="154"/>
        <v>0</v>
      </c>
      <c r="BY55" s="1018">
        <f t="shared" ca="1" si="154"/>
        <v>0</v>
      </c>
      <c r="BZ55" s="1018">
        <f t="shared" ca="1" si="154"/>
        <v>0</v>
      </c>
      <c r="CA55" s="1018">
        <f t="shared" ca="1" si="154"/>
        <v>0</v>
      </c>
      <c r="CB55" s="1018">
        <f t="shared" ca="1" si="154"/>
        <v>0</v>
      </c>
      <c r="CC55" s="1018">
        <f t="shared" ca="1" si="154"/>
        <v>0</v>
      </c>
      <c r="CD55" s="1018">
        <f t="shared" ca="1" si="154"/>
        <v>0</v>
      </c>
      <c r="CE55" s="1018">
        <f t="shared" ca="1" si="154"/>
        <v>0</v>
      </c>
      <c r="CF55" s="1018">
        <f t="shared" ca="1" si="154"/>
        <v>0</v>
      </c>
      <c r="CG55" s="1018">
        <f t="shared" ca="1" si="154"/>
        <v>0</v>
      </c>
      <c r="CH55" s="1018">
        <f t="shared" ca="1" si="154"/>
        <v>0</v>
      </c>
      <c r="CI55" s="1018">
        <f t="shared" ca="1" si="154"/>
        <v>0</v>
      </c>
      <c r="CJ55" s="1018">
        <f t="shared" ca="1" si="154"/>
        <v>0</v>
      </c>
      <c r="CK55" s="1018">
        <f t="shared" ca="1" si="154"/>
        <v>0</v>
      </c>
      <c r="CL55" s="1018">
        <f t="shared" ca="1" si="154"/>
        <v>0</v>
      </c>
      <c r="CM55" s="1018">
        <f t="shared" ca="1" si="154"/>
        <v>0</v>
      </c>
      <c r="CN55" s="1018">
        <f t="shared" ca="1" si="154"/>
        <v>0</v>
      </c>
      <c r="CO55" s="1018">
        <f t="shared" ca="1" si="154"/>
        <v>0</v>
      </c>
      <c r="CP55" s="1018">
        <f t="shared" ca="1" si="154"/>
        <v>0</v>
      </c>
      <c r="CQ55" s="1018">
        <f t="shared" ca="1" si="154"/>
        <v>0</v>
      </c>
      <c r="CR55" s="1018">
        <f t="shared" ca="1" si="154"/>
        <v>0</v>
      </c>
      <c r="CS55" s="1018">
        <f t="shared" ca="1" si="154"/>
        <v>0</v>
      </c>
      <c r="CT55" s="1018">
        <f t="shared" ca="1" si="154"/>
        <v>0</v>
      </c>
      <c r="CU55" s="1018">
        <f t="shared" ca="1" si="154"/>
        <v>0</v>
      </c>
      <c r="CV55" s="1018">
        <f t="shared" ca="1" si="154"/>
        <v>0</v>
      </c>
      <c r="CW55" s="1018">
        <f t="shared" ca="1" si="154"/>
        <v>0</v>
      </c>
      <c r="CX55" s="1018">
        <f t="shared" ca="1" si="154"/>
        <v>0</v>
      </c>
      <c r="CY55" s="1018">
        <f t="shared" ca="1" si="154"/>
        <v>0</v>
      </c>
      <c r="CZ55" s="1018">
        <f t="shared" ca="1" si="154"/>
        <v>0</v>
      </c>
      <c r="DA55" s="1018">
        <f t="shared" ca="1" si="154"/>
        <v>0</v>
      </c>
      <c r="DB55" s="1018">
        <f t="shared" ca="1" si="154"/>
        <v>0</v>
      </c>
      <c r="DC55" s="1018">
        <f t="shared" ca="1" si="154"/>
        <v>0</v>
      </c>
      <c r="DD55" s="1018">
        <f t="shared" ca="1" si="154"/>
        <v>0</v>
      </c>
      <c r="DE55" s="1018">
        <f t="shared" ca="1" si="154"/>
        <v>0</v>
      </c>
      <c r="DF55" s="1018">
        <f t="shared" ca="1" si="154"/>
        <v>0</v>
      </c>
      <c r="DH55" s="572">
        <f t="shared" ca="1" si="125"/>
        <v>0</v>
      </c>
    </row>
    <row r="56" spans="1:112" s="528" customFormat="1" outlineLevel="1">
      <c r="C56" s="504"/>
      <c r="D56" s="34"/>
      <c r="E56" s="495"/>
      <c r="G56" s="633"/>
      <c r="H56" s="633"/>
      <c r="I56" s="633"/>
      <c r="J56" s="633"/>
      <c r="K56" s="635"/>
      <c r="L56" s="633"/>
      <c r="M56" s="633"/>
      <c r="N56" s="633"/>
      <c r="O56" s="633"/>
      <c r="P56" s="633"/>
      <c r="Q56" s="633"/>
      <c r="S56" s="645"/>
      <c r="T56" s="645"/>
      <c r="U56" s="645"/>
      <c r="V56" s="645"/>
      <c r="W56" s="645"/>
      <c r="X56" s="645"/>
      <c r="Y56" s="645"/>
      <c r="Z56" s="645"/>
      <c r="AA56" s="645"/>
      <c r="AB56" s="645"/>
      <c r="AC56" s="645"/>
      <c r="AD56" s="645"/>
      <c r="AE56" s="645"/>
      <c r="AF56" s="645"/>
      <c r="AG56" s="645"/>
      <c r="AH56" s="645"/>
      <c r="AI56" s="645"/>
      <c r="AJ56" s="645"/>
      <c r="AK56" s="645"/>
      <c r="AM56" s="651"/>
      <c r="AN56" s="651"/>
      <c r="AO56" s="651"/>
      <c r="AP56" s="651"/>
      <c r="AQ56" s="651"/>
      <c r="AR56" s="651"/>
      <c r="AS56" s="651"/>
      <c r="AT56" s="651"/>
      <c r="AU56" s="651"/>
      <c r="AV56" s="651"/>
      <c r="AW56" s="651"/>
      <c r="AX56" s="651"/>
      <c r="AY56" s="651"/>
      <c r="AZ56" s="651"/>
      <c r="BA56" s="651"/>
      <c r="BB56" s="651"/>
      <c r="BC56" s="651"/>
      <c r="BD56" s="651"/>
      <c r="BE56" s="651"/>
      <c r="BF56" s="651"/>
      <c r="BH56" s="665"/>
      <c r="BI56" s="665"/>
      <c r="BJ56" s="665"/>
      <c r="BL56" s="499">
        <f t="shared" ref="BL56:BL63" si="155">Q56+AK56+BF56+BJ56</f>
        <v>0</v>
      </c>
      <c r="BM56" s="499"/>
      <c r="BO56" s="1018"/>
      <c r="BP56" s="1018"/>
      <c r="BQ56" s="1018"/>
      <c r="BR56" s="1018"/>
      <c r="BS56" s="1018"/>
      <c r="BT56" s="1018"/>
      <c r="BU56" s="1018"/>
      <c r="BV56" s="1018"/>
      <c r="BW56" s="1018"/>
      <c r="BX56" s="1018"/>
      <c r="BY56" s="1018"/>
      <c r="BZ56" s="1018"/>
      <c r="CA56" s="1018"/>
      <c r="CB56" s="1018"/>
      <c r="CC56" s="1018"/>
      <c r="CD56" s="1018"/>
      <c r="CE56" s="1018"/>
      <c r="CF56" s="1018"/>
      <c r="CG56" s="1018"/>
      <c r="CH56" s="1018"/>
      <c r="CI56" s="1018"/>
      <c r="CJ56" s="1018"/>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H56" s="572">
        <f t="shared" si="125"/>
        <v>0</v>
      </c>
    </row>
    <row r="57" spans="1:112" s="1020" customFormat="1" ht="12.75" customHeight="1" outlineLevel="1">
      <c r="C57" s="530" t="s">
        <v>1016</v>
      </c>
      <c r="D57" s="505" t="str">
        <f>INDEX(Modules[Module], MATCH($C57, Modules[Code], 0))</f>
        <v>Onshore wind</v>
      </c>
      <c r="E57" s="505"/>
      <c r="F57" s="528"/>
      <c r="G57" s="691">
        <f t="shared" ref="G57:P62" ca="1" si="156">IFERROR(INDEX(INDIRECT($C57&amp;".Outputs["&amp;this.Year&amp;"]"), MATCH(G$5, INDIRECT($C57&amp;".Outputs[Vector]"), 0)), 0)</f>
        <v>0</v>
      </c>
      <c r="H57" s="691">
        <f t="shared" ca="1" si="156"/>
        <v>0</v>
      </c>
      <c r="I57" s="691">
        <f t="shared" ca="1" si="156"/>
        <v>0</v>
      </c>
      <c r="J57" s="691">
        <f t="shared" ca="1" si="156"/>
        <v>0</v>
      </c>
      <c r="K57" s="691">
        <f t="shared" ca="1" si="156"/>
        <v>0</v>
      </c>
      <c r="L57" s="691">
        <f t="shared" ca="1" si="156"/>
        <v>0</v>
      </c>
      <c r="M57" s="691">
        <f t="shared" ca="1" si="156"/>
        <v>0</v>
      </c>
      <c r="N57" s="691">
        <f t="shared" ca="1" si="156"/>
        <v>0</v>
      </c>
      <c r="O57" s="691">
        <f t="shared" ca="1" si="156"/>
        <v>0</v>
      </c>
      <c r="P57" s="691">
        <f t="shared" ca="1" si="156"/>
        <v>0</v>
      </c>
      <c r="Q57" s="693">
        <f t="shared" ref="Q57:Q63" ca="1" si="157">SUM(G57:P57)</f>
        <v>0</v>
      </c>
      <c r="R57" s="528"/>
      <c r="S57" s="700">
        <f t="shared" ref="S57:BE62" ca="1" si="158">IFERROR(INDEX(INDIRECT($C57&amp;".Outputs["&amp;this.Year&amp;"]"), MATCH(S$5, INDIRECT($C57&amp;".Outputs[Vector]"), 0)), 0)</f>
        <v>0</v>
      </c>
      <c r="T57" s="700">
        <f t="shared" ca="1" si="158"/>
        <v>0</v>
      </c>
      <c r="U57" s="700">
        <f t="shared" ca="1" si="158"/>
        <v>0</v>
      </c>
      <c r="V57" s="700">
        <f t="shared" ca="1" si="158"/>
        <v>0</v>
      </c>
      <c r="W57" s="700">
        <f t="shared" ca="1" si="158"/>
        <v>0</v>
      </c>
      <c r="X57" s="700">
        <f t="shared" ref="X57:Z62" ca="1" si="159">IFERROR(INDEX(INDIRECT($C57&amp;".Outputs["&amp;this.Year&amp;"]"), MATCH(X$5, INDIRECT($C57&amp;".Outputs[Vector]"), 0)), 0)</f>
        <v>0</v>
      </c>
      <c r="Y57" s="700">
        <f t="shared" ca="1" si="159"/>
        <v>0</v>
      </c>
      <c r="Z57" s="700">
        <f t="shared" ca="1" si="159"/>
        <v>0</v>
      </c>
      <c r="AA57" s="700">
        <f t="shared" ca="1" si="158"/>
        <v>0</v>
      </c>
      <c r="AB57" s="700">
        <f t="shared" ca="1" si="158"/>
        <v>0</v>
      </c>
      <c r="AC57" s="700">
        <f t="shared" ca="1" si="158"/>
        <v>0</v>
      </c>
      <c r="AD57" s="700">
        <f t="shared" ca="1" si="158"/>
        <v>0</v>
      </c>
      <c r="AE57" s="700">
        <f t="shared" ca="1" si="158"/>
        <v>0</v>
      </c>
      <c r="AF57" s="700">
        <f t="shared" ca="1" si="158"/>
        <v>0</v>
      </c>
      <c r="AG57" s="700">
        <f t="shared" ca="1" si="158"/>
        <v>0</v>
      </c>
      <c r="AH57" s="700">
        <f t="shared" ca="1" si="158"/>
        <v>0</v>
      </c>
      <c r="AI57" s="700">
        <f t="shared" ca="1" si="158"/>
        <v>0</v>
      </c>
      <c r="AJ57" s="700">
        <f t="shared" ca="1" si="158"/>
        <v>0</v>
      </c>
      <c r="AK57" s="701">
        <f t="shared" ref="AK57:AK63" ca="1" si="160">SUM(S57:AJ57)</f>
        <v>0</v>
      </c>
      <c r="AL57" s="528"/>
      <c r="AM57" s="712">
        <f t="shared" ref="AM57:AU62" ca="1" si="161">IFERROR(INDEX(INDIRECT($C57&amp;".Outputs["&amp;this.Year&amp;"]"), MATCH(AM$5, INDIRECT($C57&amp;".Outputs[Vector]"), 0)), 0)</f>
        <v>0</v>
      </c>
      <c r="AN57" s="712">
        <f t="shared" ca="1" si="161"/>
        <v>0</v>
      </c>
      <c r="AO57" s="712">
        <f t="shared" ca="1" si="161"/>
        <v>0</v>
      </c>
      <c r="AP57" s="712">
        <f t="shared" ca="1" si="161"/>
        <v>0</v>
      </c>
      <c r="AQ57" s="712">
        <f t="shared" ca="1" si="161"/>
        <v>0</v>
      </c>
      <c r="AR57" s="712">
        <f t="shared" ca="1" si="161"/>
        <v>0</v>
      </c>
      <c r="AS57" s="712">
        <f t="shared" ca="1" si="161"/>
        <v>0</v>
      </c>
      <c r="AT57" s="712">
        <f t="shared" ca="1" si="161"/>
        <v>0</v>
      </c>
      <c r="AU57" s="712">
        <f t="shared" ca="1" si="161"/>
        <v>0</v>
      </c>
      <c r="AV57" s="712">
        <f t="shared" ca="1" si="158"/>
        <v>0</v>
      </c>
      <c r="AW57" s="712">
        <f t="shared" ca="1" si="158"/>
        <v>0</v>
      </c>
      <c r="AX57" s="712">
        <f t="shared" ca="1" si="158"/>
        <v>0</v>
      </c>
      <c r="AY57" s="712">
        <f t="shared" ca="1" si="158"/>
        <v>0</v>
      </c>
      <c r="AZ57" s="712">
        <f t="shared" ca="1" si="158"/>
        <v>0</v>
      </c>
      <c r="BA57" s="712">
        <f t="shared" ca="1" si="158"/>
        <v>0</v>
      </c>
      <c r="BB57" s="712">
        <f t="shared" ca="1" si="158"/>
        <v>0</v>
      </c>
      <c r="BC57" s="712">
        <f t="shared" ca="1" si="158"/>
        <v>0</v>
      </c>
      <c r="BD57" s="712">
        <f t="shared" ca="1" si="158"/>
        <v>0</v>
      </c>
      <c r="BE57" s="712">
        <f t="shared" ca="1" si="158"/>
        <v>0</v>
      </c>
      <c r="BF57" s="654">
        <f t="shared" ref="BF57:BF63" ca="1" si="162">SUM(AM57:BE57)</f>
        <v>0</v>
      </c>
      <c r="BG57" s="528"/>
      <c r="BH57" s="706">
        <f t="shared" ref="BH57:BI62" ca="1" si="163">IFERROR(INDEX(INDIRECT($C57&amp;".Outputs["&amp;this.Year&amp;"]"), MATCH(BH$5, INDIRECT($C57&amp;".Outputs[Vector]"), 0)), 0)</f>
        <v>0</v>
      </c>
      <c r="BI57" s="706">
        <f t="shared" ca="1" si="163"/>
        <v>0</v>
      </c>
      <c r="BJ57" s="708">
        <f t="shared" ref="BJ57:BJ63" ca="1" si="164">SUM(BH57:BI57)</f>
        <v>0</v>
      </c>
      <c r="BK57" s="528"/>
      <c r="BL57" s="562">
        <f t="shared" ca="1" si="155"/>
        <v>0</v>
      </c>
      <c r="BM57" s="562"/>
      <c r="BN57" s="574"/>
      <c r="BO57" s="1017">
        <f t="shared" ref="BO57:BX62" ca="1" si="165">IFERROR(SUMIFS(INDIRECT($C57&amp;".Emissions["&amp;this.Year&amp;"]"), INDIRECT($C57&amp;".Emissions[GHG]"), BO$6, INDIRECT($C57&amp;".Emissions[IPCC Sector]"), BO$5),0)</f>
        <v>0</v>
      </c>
      <c r="BP57" s="1018">
        <f t="shared" ca="1" si="165"/>
        <v>0</v>
      </c>
      <c r="BQ57" s="1018">
        <f t="shared" ca="1" si="165"/>
        <v>0</v>
      </c>
      <c r="BR57" s="1018">
        <f t="shared" ca="1" si="165"/>
        <v>0</v>
      </c>
      <c r="BS57" s="1018">
        <f t="shared" ca="1" si="165"/>
        <v>0</v>
      </c>
      <c r="BT57" s="1018">
        <f t="shared" ca="1" si="165"/>
        <v>0</v>
      </c>
      <c r="BU57" s="1018">
        <f t="shared" ca="1" si="165"/>
        <v>0</v>
      </c>
      <c r="BV57" s="1018">
        <f t="shared" ca="1" si="165"/>
        <v>0</v>
      </c>
      <c r="BW57" s="1018">
        <f t="shared" ca="1" si="165"/>
        <v>0</v>
      </c>
      <c r="BX57" s="1018">
        <f t="shared" ca="1" si="165"/>
        <v>0</v>
      </c>
      <c r="BY57" s="1018">
        <f t="shared" ref="BY57:CH62" ca="1" si="166">IFERROR(SUMIFS(INDIRECT($C57&amp;".Emissions["&amp;this.Year&amp;"]"), INDIRECT($C57&amp;".Emissions[GHG]"), BY$6, INDIRECT($C57&amp;".Emissions[IPCC Sector]"), BY$5),0)</f>
        <v>0</v>
      </c>
      <c r="BZ57" s="1018">
        <f t="shared" ca="1" si="166"/>
        <v>0</v>
      </c>
      <c r="CA57" s="1018">
        <f t="shared" ca="1" si="166"/>
        <v>0</v>
      </c>
      <c r="CB57" s="1018">
        <f t="shared" ca="1" si="166"/>
        <v>0</v>
      </c>
      <c r="CC57" s="1018">
        <f t="shared" ca="1" si="166"/>
        <v>0</v>
      </c>
      <c r="CD57" s="1018">
        <f t="shared" ca="1" si="166"/>
        <v>0</v>
      </c>
      <c r="CE57" s="1018">
        <f t="shared" ca="1" si="166"/>
        <v>0</v>
      </c>
      <c r="CF57" s="1018">
        <f t="shared" ca="1" si="166"/>
        <v>0</v>
      </c>
      <c r="CG57" s="1018">
        <f t="shared" ca="1" si="166"/>
        <v>0</v>
      </c>
      <c r="CH57" s="1018">
        <f t="shared" ca="1" si="166"/>
        <v>0</v>
      </c>
      <c r="CI57" s="1018">
        <f t="shared" ref="CI57:CR62" ca="1" si="167">IFERROR(SUMIFS(INDIRECT($C57&amp;".Emissions["&amp;this.Year&amp;"]"), INDIRECT($C57&amp;".Emissions[GHG]"), CI$6, INDIRECT($C57&amp;".Emissions[IPCC Sector]"), CI$5),0)</f>
        <v>0</v>
      </c>
      <c r="CJ57" s="1018">
        <f t="shared" ca="1" si="167"/>
        <v>0</v>
      </c>
      <c r="CK57" s="1018">
        <f t="shared" ca="1" si="167"/>
        <v>0</v>
      </c>
      <c r="CL57" s="1018">
        <f t="shared" ca="1" si="167"/>
        <v>0</v>
      </c>
      <c r="CM57" s="1018">
        <f t="shared" ca="1" si="167"/>
        <v>0</v>
      </c>
      <c r="CN57" s="1018">
        <f t="shared" ca="1" si="167"/>
        <v>0</v>
      </c>
      <c r="CO57" s="1018">
        <f t="shared" ca="1" si="167"/>
        <v>0</v>
      </c>
      <c r="CP57" s="1018">
        <f t="shared" ca="1" si="167"/>
        <v>0</v>
      </c>
      <c r="CQ57" s="1018">
        <f t="shared" ca="1" si="167"/>
        <v>0</v>
      </c>
      <c r="CR57" s="1018">
        <f t="shared" ca="1" si="167"/>
        <v>0</v>
      </c>
      <c r="CS57" s="1018">
        <f t="shared" ref="CS57:DF62" ca="1" si="168">IFERROR(SUMIFS(INDIRECT($C57&amp;".Emissions["&amp;this.Year&amp;"]"), INDIRECT($C57&amp;".Emissions[GHG]"), CS$6, INDIRECT($C57&amp;".Emissions[IPCC Sector]"), CS$5),0)</f>
        <v>0</v>
      </c>
      <c r="CT57" s="1018">
        <f t="shared" ca="1" si="168"/>
        <v>0</v>
      </c>
      <c r="CU57" s="1018">
        <f t="shared" ca="1" si="168"/>
        <v>0</v>
      </c>
      <c r="CV57" s="1018">
        <f t="shared" ca="1" si="168"/>
        <v>0</v>
      </c>
      <c r="CW57" s="1018">
        <f t="shared" ca="1" si="168"/>
        <v>0</v>
      </c>
      <c r="CX57" s="1018">
        <f t="shared" ca="1" si="168"/>
        <v>0</v>
      </c>
      <c r="CY57" s="1018">
        <f t="shared" ca="1" si="168"/>
        <v>0</v>
      </c>
      <c r="CZ57" s="1018">
        <f t="shared" ca="1" si="168"/>
        <v>0</v>
      </c>
      <c r="DA57" s="1018">
        <f t="shared" ca="1" si="168"/>
        <v>0</v>
      </c>
      <c r="DB57" s="1018">
        <f t="shared" ca="1" si="168"/>
        <v>0</v>
      </c>
      <c r="DC57" s="1018">
        <f t="shared" ca="1" si="168"/>
        <v>0</v>
      </c>
      <c r="DD57" s="1018">
        <f t="shared" ca="1" si="168"/>
        <v>0</v>
      </c>
      <c r="DE57" s="1018">
        <f t="shared" ca="1" si="168"/>
        <v>0</v>
      </c>
      <c r="DF57" s="1018">
        <f t="shared" ca="1" si="168"/>
        <v>0</v>
      </c>
      <c r="DH57" s="572">
        <f t="shared" ca="1" si="125"/>
        <v>0</v>
      </c>
    </row>
    <row r="58" spans="1:112" s="1020" customFormat="1" ht="12.75" customHeight="1" outlineLevel="1">
      <c r="C58" s="530" t="s">
        <v>1017</v>
      </c>
      <c r="D58" s="505" t="str">
        <f>INDEX(Modules[Module], MATCH($C58, Modules[Code], 0))</f>
        <v>Offshore wind</v>
      </c>
      <c r="E58" s="505"/>
      <c r="F58" s="528"/>
      <c r="G58" s="691">
        <f t="shared" ca="1" si="156"/>
        <v>0</v>
      </c>
      <c r="H58" s="691">
        <f t="shared" ca="1" si="156"/>
        <v>0</v>
      </c>
      <c r="I58" s="691">
        <f t="shared" ca="1" si="156"/>
        <v>0</v>
      </c>
      <c r="J58" s="691">
        <f t="shared" ca="1" si="156"/>
        <v>0</v>
      </c>
      <c r="K58" s="691">
        <f t="shared" ca="1" si="156"/>
        <v>0</v>
      </c>
      <c r="L58" s="691">
        <f t="shared" ca="1" si="156"/>
        <v>0</v>
      </c>
      <c r="M58" s="691">
        <f t="shared" ca="1" si="156"/>
        <v>0</v>
      </c>
      <c r="N58" s="691">
        <f t="shared" ca="1" si="156"/>
        <v>0</v>
      </c>
      <c r="O58" s="691">
        <f t="shared" ca="1" si="156"/>
        <v>0</v>
      </c>
      <c r="P58" s="691">
        <f t="shared" ca="1" si="156"/>
        <v>0</v>
      </c>
      <c r="Q58" s="693">
        <f ca="1">SUM(G58:P58)</f>
        <v>0</v>
      </c>
      <c r="R58" s="528"/>
      <c r="S58" s="700">
        <f t="shared" ca="1" si="158"/>
        <v>0</v>
      </c>
      <c r="T58" s="700">
        <f t="shared" ca="1" si="158"/>
        <v>0</v>
      </c>
      <c r="U58" s="700">
        <f t="shared" ca="1" si="158"/>
        <v>0</v>
      </c>
      <c r="V58" s="700">
        <f t="shared" ca="1" si="158"/>
        <v>0</v>
      </c>
      <c r="W58" s="700">
        <f t="shared" ca="1" si="158"/>
        <v>0</v>
      </c>
      <c r="X58" s="700">
        <f t="shared" ca="1" si="159"/>
        <v>0</v>
      </c>
      <c r="Y58" s="700">
        <f t="shared" ca="1" si="159"/>
        <v>0</v>
      </c>
      <c r="Z58" s="700">
        <f t="shared" ca="1" si="159"/>
        <v>0</v>
      </c>
      <c r="AA58" s="700">
        <f t="shared" ca="1" si="158"/>
        <v>0</v>
      </c>
      <c r="AB58" s="700">
        <f t="shared" ca="1" si="158"/>
        <v>0</v>
      </c>
      <c r="AC58" s="700">
        <f t="shared" ca="1" si="158"/>
        <v>0</v>
      </c>
      <c r="AD58" s="700">
        <f t="shared" ca="1" si="158"/>
        <v>0</v>
      </c>
      <c r="AE58" s="700">
        <f t="shared" ca="1" si="158"/>
        <v>0</v>
      </c>
      <c r="AF58" s="700">
        <f t="shared" ca="1" si="158"/>
        <v>0</v>
      </c>
      <c r="AG58" s="700">
        <f t="shared" ca="1" si="158"/>
        <v>0</v>
      </c>
      <c r="AH58" s="700">
        <f t="shared" ca="1" si="158"/>
        <v>0</v>
      </c>
      <c r="AI58" s="700">
        <f t="shared" ca="1" si="158"/>
        <v>0</v>
      </c>
      <c r="AJ58" s="700">
        <f t="shared" ca="1" si="158"/>
        <v>0</v>
      </c>
      <c r="AK58" s="701">
        <f ca="1">SUM(S58:AJ58)</f>
        <v>0</v>
      </c>
      <c r="AL58" s="528"/>
      <c r="AM58" s="712">
        <f t="shared" ca="1" si="161"/>
        <v>0</v>
      </c>
      <c r="AN58" s="712">
        <f t="shared" ca="1" si="161"/>
        <v>0</v>
      </c>
      <c r="AO58" s="712">
        <f t="shared" ca="1" si="161"/>
        <v>0</v>
      </c>
      <c r="AP58" s="712">
        <f t="shared" ca="1" si="161"/>
        <v>0</v>
      </c>
      <c r="AQ58" s="712">
        <f t="shared" ca="1" si="161"/>
        <v>0</v>
      </c>
      <c r="AR58" s="712">
        <f t="shared" ca="1" si="161"/>
        <v>0</v>
      </c>
      <c r="AS58" s="712">
        <f t="shared" ca="1" si="161"/>
        <v>0</v>
      </c>
      <c r="AT58" s="712">
        <f t="shared" ca="1" si="161"/>
        <v>0</v>
      </c>
      <c r="AU58" s="712">
        <f t="shared" ca="1" si="161"/>
        <v>0</v>
      </c>
      <c r="AV58" s="712">
        <f t="shared" ca="1" si="158"/>
        <v>0</v>
      </c>
      <c r="AW58" s="712">
        <f t="shared" ca="1" si="158"/>
        <v>0</v>
      </c>
      <c r="AX58" s="712">
        <f t="shared" ca="1" si="158"/>
        <v>0</v>
      </c>
      <c r="AY58" s="712">
        <f t="shared" ca="1" si="158"/>
        <v>0</v>
      </c>
      <c r="AZ58" s="712">
        <f t="shared" ca="1" si="158"/>
        <v>0</v>
      </c>
      <c r="BA58" s="712">
        <f t="shared" ca="1" si="158"/>
        <v>0</v>
      </c>
      <c r="BB58" s="712">
        <f t="shared" ca="1" si="158"/>
        <v>0</v>
      </c>
      <c r="BC58" s="712">
        <f t="shared" ca="1" si="158"/>
        <v>0</v>
      </c>
      <c r="BD58" s="712">
        <f t="shared" ca="1" si="158"/>
        <v>0</v>
      </c>
      <c r="BE58" s="712">
        <f t="shared" ca="1" si="158"/>
        <v>0</v>
      </c>
      <c r="BF58" s="654">
        <f ca="1">SUM(AM58:BE58)</f>
        <v>0</v>
      </c>
      <c r="BG58" s="528"/>
      <c r="BH58" s="706">
        <f t="shared" ca="1" si="163"/>
        <v>0</v>
      </c>
      <c r="BI58" s="706">
        <f t="shared" ca="1" si="163"/>
        <v>0</v>
      </c>
      <c r="BJ58" s="708">
        <f ca="1">SUM(BH58:BI58)</f>
        <v>0</v>
      </c>
      <c r="BK58" s="528"/>
      <c r="BL58" s="562">
        <f ca="1">Q58+AK58+BF58+BJ58</f>
        <v>0</v>
      </c>
      <c r="BM58" s="562"/>
      <c r="BN58" s="574"/>
      <c r="BO58" s="1017">
        <f t="shared" ca="1" si="165"/>
        <v>0</v>
      </c>
      <c r="BP58" s="1018">
        <f t="shared" ca="1" si="165"/>
        <v>0</v>
      </c>
      <c r="BQ58" s="1018">
        <f t="shared" ca="1" si="165"/>
        <v>0</v>
      </c>
      <c r="BR58" s="1018">
        <f t="shared" ca="1" si="165"/>
        <v>0</v>
      </c>
      <c r="BS58" s="1018">
        <f t="shared" ca="1" si="165"/>
        <v>0</v>
      </c>
      <c r="BT58" s="1018">
        <f t="shared" ca="1" si="165"/>
        <v>0</v>
      </c>
      <c r="BU58" s="1018">
        <f t="shared" ca="1" si="165"/>
        <v>0</v>
      </c>
      <c r="BV58" s="1018">
        <f t="shared" ca="1" si="165"/>
        <v>0</v>
      </c>
      <c r="BW58" s="1018">
        <f t="shared" ca="1" si="165"/>
        <v>0</v>
      </c>
      <c r="BX58" s="1018">
        <f t="shared" ca="1" si="165"/>
        <v>0</v>
      </c>
      <c r="BY58" s="1018">
        <f t="shared" ca="1" si="166"/>
        <v>0</v>
      </c>
      <c r="BZ58" s="1018">
        <f t="shared" ca="1" si="166"/>
        <v>0</v>
      </c>
      <c r="CA58" s="1018">
        <f t="shared" ca="1" si="166"/>
        <v>0</v>
      </c>
      <c r="CB58" s="1018">
        <f t="shared" ca="1" si="166"/>
        <v>0</v>
      </c>
      <c r="CC58" s="1018">
        <f t="shared" ca="1" si="166"/>
        <v>0</v>
      </c>
      <c r="CD58" s="1018">
        <f t="shared" ca="1" si="166"/>
        <v>0</v>
      </c>
      <c r="CE58" s="1018">
        <f t="shared" ca="1" si="166"/>
        <v>0</v>
      </c>
      <c r="CF58" s="1018">
        <f t="shared" ca="1" si="166"/>
        <v>0</v>
      </c>
      <c r="CG58" s="1018">
        <f t="shared" ca="1" si="166"/>
        <v>0</v>
      </c>
      <c r="CH58" s="1018">
        <f t="shared" ca="1" si="166"/>
        <v>0</v>
      </c>
      <c r="CI58" s="1018">
        <f t="shared" ca="1" si="167"/>
        <v>0</v>
      </c>
      <c r="CJ58" s="1018">
        <f t="shared" ca="1" si="167"/>
        <v>0</v>
      </c>
      <c r="CK58" s="1018">
        <f t="shared" ca="1" si="167"/>
        <v>0</v>
      </c>
      <c r="CL58" s="1018">
        <f t="shared" ca="1" si="167"/>
        <v>0</v>
      </c>
      <c r="CM58" s="1018">
        <f t="shared" ca="1" si="167"/>
        <v>0</v>
      </c>
      <c r="CN58" s="1018">
        <f t="shared" ca="1" si="167"/>
        <v>0</v>
      </c>
      <c r="CO58" s="1018">
        <f t="shared" ca="1" si="167"/>
        <v>0</v>
      </c>
      <c r="CP58" s="1018">
        <f t="shared" ca="1" si="167"/>
        <v>0</v>
      </c>
      <c r="CQ58" s="1018">
        <f t="shared" ca="1" si="167"/>
        <v>0</v>
      </c>
      <c r="CR58" s="1018">
        <f t="shared" ca="1" si="167"/>
        <v>0</v>
      </c>
      <c r="CS58" s="1018">
        <f t="shared" ca="1" si="168"/>
        <v>0</v>
      </c>
      <c r="CT58" s="1018">
        <f t="shared" ca="1" si="168"/>
        <v>0</v>
      </c>
      <c r="CU58" s="1018">
        <f t="shared" ca="1" si="168"/>
        <v>0</v>
      </c>
      <c r="CV58" s="1018">
        <f t="shared" ca="1" si="168"/>
        <v>0</v>
      </c>
      <c r="CW58" s="1018">
        <f t="shared" ca="1" si="168"/>
        <v>0</v>
      </c>
      <c r="CX58" s="1018">
        <f t="shared" ca="1" si="168"/>
        <v>0</v>
      </c>
      <c r="CY58" s="1018">
        <f t="shared" ca="1" si="168"/>
        <v>0</v>
      </c>
      <c r="CZ58" s="1018">
        <f t="shared" ca="1" si="168"/>
        <v>0</v>
      </c>
      <c r="DA58" s="1018">
        <f t="shared" ca="1" si="168"/>
        <v>0</v>
      </c>
      <c r="DB58" s="1018">
        <f t="shared" ca="1" si="168"/>
        <v>0</v>
      </c>
      <c r="DC58" s="1018">
        <f t="shared" ca="1" si="168"/>
        <v>0</v>
      </c>
      <c r="DD58" s="1018">
        <f t="shared" ca="1" si="168"/>
        <v>0</v>
      </c>
      <c r="DE58" s="1018">
        <f t="shared" ca="1" si="168"/>
        <v>0</v>
      </c>
      <c r="DF58" s="1018">
        <f t="shared" ca="1" si="168"/>
        <v>0</v>
      </c>
      <c r="DH58" s="572">
        <f ca="1">SUM(BO58:DF58)</f>
        <v>0</v>
      </c>
    </row>
    <row r="59" spans="1:112" s="1020" customFormat="1" ht="12.75" customHeight="1" outlineLevel="1">
      <c r="C59" s="530" t="s">
        <v>640</v>
      </c>
      <c r="D59" s="505" t="str">
        <f>INDEX(Modules[Module], MATCH($C59, Modules[Code], 0))</f>
        <v>Hydroelectric power stations</v>
      </c>
      <c r="E59" s="505"/>
      <c r="F59" s="528"/>
      <c r="G59" s="691">
        <f t="shared" ca="1" si="156"/>
        <v>0</v>
      </c>
      <c r="H59" s="691">
        <f t="shared" ca="1" si="156"/>
        <v>0</v>
      </c>
      <c r="I59" s="691">
        <f t="shared" ca="1" si="156"/>
        <v>0</v>
      </c>
      <c r="J59" s="691">
        <f t="shared" ca="1" si="156"/>
        <v>0</v>
      </c>
      <c r="K59" s="691">
        <f t="shared" ca="1" si="156"/>
        <v>0</v>
      </c>
      <c r="L59" s="691">
        <f t="shared" ca="1" si="156"/>
        <v>0</v>
      </c>
      <c r="M59" s="691">
        <f t="shared" ca="1" si="156"/>
        <v>0</v>
      </c>
      <c r="N59" s="691">
        <f t="shared" ca="1" si="156"/>
        <v>0</v>
      </c>
      <c r="O59" s="691">
        <f t="shared" ca="1" si="156"/>
        <v>0</v>
      </c>
      <c r="P59" s="691">
        <f t="shared" ca="1" si="156"/>
        <v>0</v>
      </c>
      <c r="Q59" s="693">
        <f t="shared" ca="1" si="157"/>
        <v>0</v>
      </c>
      <c r="R59" s="528"/>
      <c r="S59" s="700">
        <f t="shared" ca="1" si="158"/>
        <v>0</v>
      </c>
      <c r="T59" s="700">
        <f t="shared" ca="1" si="158"/>
        <v>0</v>
      </c>
      <c r="U59" s="700">
        <f t="shared" ca="1" si="158"/>
        <v>0</v>
      </c>
      <c r="V59" s="700">
        <f t="shared" ca="1" si="158"/>
        <v>0</v>
      </c>
      <c r="W59" s="700">
        <f t="shared" ca="1" si="158"/>
        <v>0</v>
      </c>
      <c r="X59" s="700">
        <f t="shared" ca="1" si="159"/>
        <v>0</v>
      </c>
      <c r="Y59" s="700">
        <f t="shared" ca="1" si="159"/>
        <v>0</v>
      </c>
      <c r="Z59" s="700">
        <f t="shared" ca="1" si="159"/>
        <v>0</v>
      </c>
      <c r="AA59" s="700">
        <f t="shared" ca="1" si="158"/>
        <v>0</v>
      </c>
      <c r="AB59" s="700">
        <f t="shared" ca="1" si="158"/>
        <v>0</v>
      </c>
      <c r="AC59" s="700">
        <f t="shared" ca="1" si="158"/>
        <v>0</v>
      </c>
      <c r="AD59" s="700">
        <f t="shared" ca="1" si="158"/>
        <v>0</v>
      </c>
      <c r="AE59" s="700">
        <f t="shared" ca="1" si="158"/>
        <v>0</v>
      </c>
      <c r="AF59" s="700">
        <f t="shared" ca="1" si="158"/>
        <v>0</v>
      </c>
      <c r="AG59" s="700">
        <f t="shared" ca="1" si="158"/>
        <v>0</v>
      </c>
      <c r="AH59" s="700">
        <f t="shared" ca="1" si="158"/>
        <v>0</v>
      </c>
      <c r="AI59" s="700">
        <f t="shared" ca="1" si="158"/>
        <v>0</v>
      </c>
      <c r="AJ59" s="700">
        <f t="shared" ca="1" si="158"/>
        <v>0</v>
      </c>
      <c r="AK59" s="701">
        <f t="shared" ca="1" si="160"/>
        <v>0</v>
      </c>
      <c r="AL59" s="528"/>
      <c r="AM59" s="712">
        <f t="shared" ca="1" si="161"/>
        <v>0</v>
      </c>
      <c r="AN59" s="712">
        <f t="shared" ca="1" si="161"/>
        <v>0</v>
      </c>
      <c r="AO59" s="712">
        <f t="shared" ca="1" si="161"/>
        <v>0</v>
      </c>
      <c r="AP59" s="712">
        <f t="shared" ca="1" si="161"/>
        <v>0</v>
      </c>
      <c r="AQ59" s="712">
        <f t="shared" ca="1" si="161"/>
        <v>0</v>
      </c>
      <c r="AR59" s="712">
        <f t="shared" ca="1" si="161"/>
        <v>0</v>
      </c>
      <c r="AS59" s="712">
        <f t="shared" ca="1" si="161"/>
        <v>0</v>
      </c>
      <c r="AT59" s="712">
        <f t="shared" ca="1" si="161"/>
        <v>0</v>
      </c>
      <c r="AU59" s="712">
        <f t="shared" ca="1" si="161"/>
        <v>0</v>
      </c>
      <c r="AV59" s="712">
        <f t="shared" ca="1" si="158"/>
        <v>0</v>
      </c>
      <c r="AW59" s="712">
        <f t="shared" ca="1" si="158"/>
        <v>0</v>
      </c>
      <c r="AX59" s="712">
        <f t="shared" ca="1" si="158"/>
        <v>0</v>
      </c>
      <c r="AY59" s="712">
        <f t="shared" ca="1" si="158"/>
        <v>0</v>
      </c>
      <c r="AZ59" s="712">
        <f t="shared" ca="1" si="158"/>
        <v>0</v>
      </c>
      <c r="BA59" s="712">
        <f t="shared" ca="1" si="158"/>
        <v>0</v>
      </c>
      <c r="BB59" s="712">
        <f t="shared" ca="1" si="158"/>
        <v>0</v>
      </c>
      <c r="BC59" s="712">
        <f t="shared" ca="1" si="158"/>
        <v>0</v>
      </c>
      <c r="BD59" s="712">
        <f t="shared" ca="1" si="158"/>
        <v>0</v>
      </c>
      <c r="BE59" s="712">
        <f t="shared" ca="1" si="158"/>
        <v>0</v>
      </c>
      <c r="BF59" s="654">
        <f t="shared" ca="1" si="162"/>
        <v>0</v>
      </c>
      <c r="BG59" s="528"/>
      <c r="BH59" s="706">
        <f t="shared" ca="1" si="163"/>
        <v>0</v>
      </c>
      <c r="BI59" s="706">
        <f t="shared" ca="1" si="163"/>
        <v>0</v>
      </c>
      <c r="BJ59" s="708">
        <f t="shared" ca="1" si="164"/>
        <v>0</v>
      </c>
      <c r="BK59" s="528"/>
      <c r="BL59" s="562">
        <f t="shared" ca="1" si="155"/>
        <v>0</v>
      </c>
      <c r="BM59" s="562"/>
      <c r="BN59" s="574"/>
      <c r="BO59" s="1017">
        <f t="shared" ca="1" si="165"/>
        <v>0</v>
      </c>
      <c r="BP59" s="1018">
        <f t="shared" ca="1" si="165"/>
        <v>0</v>
      </c>
      <c r="BQ59" s="1018">
        <f t="shared" ca="1" si="165"/>
        <v>0</v>
      </c>
      <c r="BR59" s="1018">
        <f t="shared" ca="1" si="165"/>
        <v>0</v>
      </c>
      <c r="BS59" s="1018">
        <f t="shared" ca="1" si="165"/>
        <v>0</v>
      </c>
      <c r="BT59" s="1018">
        <f t="shared" ca="1" si="165"/>
        <v>0</v>
      </c>
      <c r="BU59" s="1018">
        <f t="shared" ca="1" si="165"/>
        <v>0</v>
      </c>
      <c r="BV59" s="1018">
        <f t="shared" ca="1" si="165"/>
        <v>0</v>
      </c>
      <c r="BW59" s="1018">
        <f t="shared" ca="1" si="165"/>
        <v>0</v>
      </c>
      <c r="BX59" s="1018">
        <f t="shared" ca="1" si="165"/>
        <v>0</v>
      </c>
      <c r="BY59" s="1018">
        <f t="shared" ca="1" si="166"/>
        <v>0</v>
      </c>
      <c r="BZ59" s="1018">
        <f t="shared" ca="1" si="166"/>
        <v>0</v>
      </c>
      <c r="CA59" s="1018">
        <f t="shared" ca="1" si="166"/>
        <v>0</v>
      </c>
      <c r="CB59" s="1018">
        <f t="shared" ca="1" si="166"/>
        <v>0</v>
      </c>
      <c r="CC59" s="1018">
        <f t="shared" ca="1" si="166"/>
        <v>0</v>
      </c>
      <c r="CD59" s="1018">
        <f t="shared" ca="1" si="166"/>
        <v>0</v>
      </c>
      <c r="CE59" s="1018">
        <f t="shared" ca="1" si="166"/>
        <v>0</v>
      </c>
      <c r="CF59" s="1018">
        <f t="shared" ca="1" si="166"/>
        <v>0</v>
      </c>
      <c r="CG59" s="1018">
        <f t="shared" ca="1" si="166"/>
        <v>0</v>
      </c>
      <c r="CH59" s="1018">
        <f t="shared" ca="1" si="166"/>
        <v>0</v>
      </c>
      <c r="CI59" s="1018">
        <f t="shared" ca="1" si="167"/>
        <v>0</v>
      </c>
      <c r="CJ59" s="1018">
        <f t="shared" ca="1" si="167"/>
        <v>0</v>
      </c>
      <c r="CK59" s="1018">
        <f t="shared" ca="1" si="167"/>
        <v>0</v>
      </c>
      <c r="CL59" s="1018">
        <f t="shared" ca="1" si="167"/>
        <v>0</v>
      </c>
      <c r="CM59" s="1018">
        <f t="shared" ca="1" si="167"/>
        <v>0</v>
      </c>
      <c r="CN59" s="1018">
        <f t="shared" ca="1" si="167"/>
        <v>0</v>
      </c>
      <c r="CO59" s="1018">
        <f t="shared" ca="1" si="167"/>
        <v>0</v>
      </c>
      <c r="CP59" s="1018">
        <f t="shared" ca="1" si="167"/>
        <v>0</v>
      </c>
      <c r="CQ59" s="1018">
        <f t="shared" ca="1" si="167"/>
        <v>0</v>
      </c>
      <c r="CR59" s="1018">
        <f t="shared" ca="1" si="167"/>
        <v>0</v>
      </c>
      <c r="CS59" s="1018">
        <f t="shared" ca="1" si="168"/>
        <v>0</v>
      </c>
      <c r="CT59" s="1018">
        <f t="shared" ca="1" si="168"/>
        <v>0</v>
      </c>
      <c r="CU59" s="1018">
        <f t="shared" ca="1" si="168"/>
        <v>0</v>
      </c>
      <c r="CV59" s="1018">
        <f t="shared" ca="1" si="168"/>
        <v>0</v>
      </c>
      <c r="CW59" s="1018">
        <f t="shared" ca="1" si="168"/>
        <v>0</v>
      </c>
      <c r="CX59" s="1018">
        <f t="shared" ca="1" si="168"/>
        <v>0</v>
      </c>
      <c r="CY59" s="1018">
        <f t="shared" ca="1" si="168"/>
        <v>0</v>
      </c>
      <c r="CZ59" s="1018">
        <f t="shared" ca="1" si="168"/>
        <v>0</v>
      </c>
      <c r="DA59" s="1018">
        <f t="shared" ca="1" si="168"/>
        <v>0</v>
      </c>
      <c r="DB59" s="1018">
        <f t="shared" ca="1" si="168"/>
        <v>0</v>
      </c>
      <c r="DC59" s="1018">
        <f t="shared" ca="1" si="168"/>
        <v>0</v>
      </c>
      <c r="DD59" s="1018">
        <f t="shared" ca="1" si="168"/>
        <v>0</v>
      </c>
      <c r="DE59" s="1018">
        <f t="shared" ca="1" si="168"/>
        <v>0</v>
      </c>
      <c r="DF59" s="1018">
        <f t="shared" ca="1" si="168"/>
        <v>0</v>
      </c>
      <c r="DH59" s="572">
        <f t="shared" ca="1" si="125"/>
        <v>0</v>
      </c>
    </row>
    <row r="60" spans="1:112" s="1020" customFormat="1" ht="12.75" customHeight="1" outlineLevel="1">
      <c r="C60" s="530" t="s">
        <v>642</v>
      </c>
      <c r="D60" s="505" t="str">
        <f>INDEX(Modules[Module], MATCH($C60, Modules[Code], 0))</f>
        <v>Tidal &amp; Wave</v>
      </c>
      <c r="E60" s="505"/>
      <c r="F60" s="528"/>
      <c r="G60" s="691">
        <f t="shared" ca="1" si="156"/>
        <v>0</v>
      </c>
      <c r="H60" s="691">
        <f t="shared" ca="1" si="156"/>
        <v>0</v>
      </c>
      <c r="I60" s="691">
        <f t="shared" ca="1" si="156"/>
        <v>0</v>
      </c>
      <c r="J60" s="691">
        <f t="shared" ca="1" si="156"/>
        <v>0</v>
      </c>
      <c r="K60" s="691">
        <f t="shared" ca="1" si="156"/>
        <v>0</v>
      </c>
      <c r="L60" s="691">
        <f t="shared" ca="1" si="156"/>
        <v>0</v>
      </c>
      <c r="M60" s="691">
        <f t="shared" ca="1" si="156"/>
        <v>0</v>
      </c>
      <c r="N60" s="691">
        <f t="shared" ca="1" si="156"/>
        <v>0</v>
      </c>
      <c r="O60" s="691">
        <f t="shared" ca="1" si="156"/>
        <v>0</v>
      </c>
      <c r="P60" s="691">
        <f t="shared" ca="1" si="156"/>
        <v>0</v>
      </c>
      <c r="Q60" s="693">
        <f t="shared" ca="1" si="157"/>
        <v>0</v>
      </c>
      <c r="R60" s="528"/>
      <c r="S60" s="700">
        <f t="shared" ca="1" si="158"/>
        <v>0</v>
      </c>
      <c r="T60" s="700">
        <f t="shared" ca="1" si="158"/>
        <v>0</v>
      </c>
      <c r="U60" s="700">
        <f t="shared" ca="1" si="158"/>
        <v>0</v>
      </c>
      <c r="V60" s="700">
        <f t="shared" ca="1" si="158"/>
        <v>0</v>
      </c>
      <c r="W60" s="700">
        <f t="shared" ca="1" si="158"/>
        <v>0</v>
      </c>
      <c r="X60" s="700">
        <f t="shared" ca="1" si="159"/>
        <v>0</v>
      </c>
      <c r="Y60" s="700">
        <f t="shared" ca="1" si="159"/>
        <v>0</v>
      </c>
      <c r="Z60" s="700">
        <f t="shared" ca="1" si="159"/>
        <v>0</v>
      </c>
      <c r="AA60" s="700">
        <f t="shared" ca="1" si="158"/>
        <v>0</v>
      </c>
      <c r="AB60" s="700">
        <f t="shared" ca="1" si="158"/>
        <v>0</v>
      </c>
      <c r="AC60" s="700">
        <f t="shared" ca="1" si="158"/>
        <v>0</v>
      </c>
      <c r="AD60" s="700">
        <f t="shared" ca="1" si="158"/>
        <v>0</v>
      </c>
      <c r="AE60" s="700">
        <f t="shared" ca="1" si="158"/>
        <v>0</v>
      </c>
      <c r="AF60" s="700">
        <f t="shared" ca="1" si="158"/>
        <v>0</v>
      </c>
      <c r="AG60" s="700">
        <f t="shared" ca="1" si="158"/>
        <v>0</v>
      </c>
      <c r="AH60" s="700">
        <f t="shared" ca="1" si="158"/>
        <v>0</v>
      </c>
      <c r="AI60" s="700">
        <f t="shared" ca="1" si="158"/>
        <v>0</v>
      </c>
      <c r="AJ60" s="700">
        <f t="shared" ca="1" si="158"/>
        <v>0</v>
      </c>
      <c r="AK60" s="701">
        <f t="shared" ca="1" si="160"/>
        <v>0</v>
      </c>
      <c r="AL60" s="528"/>
      <c r="AM60" s="712">
        <f t="shared" ca="1" si="161"/>
        <v>0</v>
      </c>
      <c r="AN60" s="712">
        <f t="shared" ca="1" si="161"/>
        <v>0</v>
      </c>
      <c r="AO60" s="712">
        <f t="shared" ca="1" si="161"/>
        <v>0</v>
      </c>
      <c r="AP60" s="712">
        <f t="shared" ca="1" si="161"/>
        <v>0</v>
      </c>
      <c r="AQ60" s="712">
        <f t="shared" ca="1" si="161"/>
        <v>0</v>
      </c>
      <c r="AR60" s="712">
        <f t="shared" ca="1" si="161"/>
        <v>0</v>
      </c>
      <c r="AS60" s="712">
        <f t="shared" ca="1" si="161"/>
        <v>0</v>
      </c>
      <c r="AT60" s="712">
        <f t="shared" ca="1" si="161"/>
        <v>0</v>
      </c>
      <c r="AU60" s="712">
        <f t="shared" ca="1" si="161"/>
        <v>0</v>
      </c>
      <c r="AV60" s="712">
        <f t="shared" ca="1" si="158"/>
        <v>0</v>
      </c>
      <c r="AW60" s="712">
        <f t="shared" ca="1" si="158"/>
        <v>0</v>
      </c>
      <c r="AX60" s="712">
        <f t="shared" ca="1" si="158"/>
        <v>0</v>
      </c>
      <c r="AY60" s="712">
        <f t="shared" ca="1" si="158"/>
        <v>0</v>
      </c>
      <c r="AZ60" s="712">
        <f t="shared" ca="1" si="158"/>
        <v>0</v>
      </c>
      <c r="BA60" s="712">
        <f t="shared" ca="1" si="158"/>
        <v>0</v>
      </c>
      <c r="BB60" s="712">
        <f t="shared" ca="1" si="158"/>
        <v>0</v>
      </c>
      <c r="BC60" s="712">
        <f t="shared" ca="1" si="158"/>
        <v>0</v>
      </c>
      <c r="BD60" s="712">
        <f t="shared" ca="1" si="158"/>
        <v>0</v>
      </c>
      <c r="BE60" s="712">
        <f t="shared" ca="1" si="158"/>
        <v>0</v>
      </c>
      <c r="BF60" s="654">
        <f t="shared" ca="1" si="162"/>
        <v>0</v>
      </c>
      <c r="BG60" s="528"/>
      <c r="BH60" s="706">
        <f t="shared" ca="1" si="163"/>
        <v>0</v>
      </c>
      <c r="BI60" s="706">
        <f t="shared" ca="1" si="163"/>
        <v>0</v>
      </c>
      <c r="BJ60" s="708">
        <f t="shared" ca="1" si="164"/>
        <v>0</v>
      </c>
      <c r="BK60" s="528"/>
      <c r="BL60" s="562">
        <f t="shared" ca="1" si="155"/>
        <v>0</v>
      </c>
      <c r="BM60" s="562"/>
      <c r="BN60" s="574"/>
      <c r="BO60" s="1017">
        <f t="shared" ca="1" si="165"/>
        <v>0</v>
      </c>
      <c r="BP60" s="1018">
        <f t="shared" ca="1" si="165"/>
        <v>0</v>
      </c>
      <c r="BQ60" s="1018">
        <f t="shared" ca="1" si="165"/>
        <v>0</v>
      </c>
      <c r="BR60" s="1018">
        <f t="shared" ca="1" si="165"/>
        <v>0</v>
      </c>
      <c r="BS60" s="1018">
        <f t="shared" ca="1" si="165"/>
        <v>0</v>
      </c>
      <c r="BT60" s="1018">
        <f t="shared" ca="1" si="165"/>
        <v>0</v>
      </c>
      <c r="BU60" s="1018">
        <f t="shared" ca="1" si="165"/>
        <v>0</v>
      </c>
      <c r="BV60" s="1018">
        <f t="shared" ca="1" si="165"/>
        <v>0</v>
      </c>
      <c r="BW60" s="1018">
        <f t="shared" ca="1" si="165"/>
        <v>0</v>
      </c>
      <c r="BX60" s="1018">
        <f t="shared" ca="1" si="165"/>
        <v>0</v>
      </c>
      <c r="BY60" s="1018">
        <f t="shared" ca="1" si="166"/>
        <v>0</v>
      </c>
      <c r="BZ60" s="1018">
        <f t="shared" ca="1" si="166"/>
        <v>0</v>
      </c>
      <c r="CA60" s="1018">
        <f t="shared" ca="1" si="166"/>
        <v>0</v>
      </c>
      <c r="CB60" s="1018">
        <f t="shared" ca="1" si="166"/>
        <v>0</v>
      </c>
      <c r="CC60" s="1018">
        <f t="shared" ca="1" si="166"/>
        <v>0</v>
      </c>
      <c r="CD60" s="1018">
        <f t="shared" ca="1" si="166"/>
        <v>0</v>
      </c>
      <c r="CE60" s="1018">
        <f t="shared" ca="1" si="166"/>
        <v>0</v>
      </c>
      <c r="CF60" s="1018">
        <f t="shared" ca="1" si="166"/>
        <v>0</v>
      </c>
      <c r="CG60" s="1018">
        <f t="shared" ca="1" si="166"/>
        <v>0</v>
      </c>
      <c r="CH60" s="1018">
        <f t="shared" ca="1" si="166"/>
        <v>0</v>
      </c>
      <c r="CI60" s="1018">
        <f t="shared" ca="1" si="167"/>
        <v>0</v>
      </c>
      <c r="CJ60" s="1018">
        <f t="shared" ca="1" si="167"/>
        <v>0</v>
      </c>
      <c r="CK60" s="1018">
        <f t="shared" ca="1" si="167"/>
        <v>0</v>
      </c>
      <c r="CL60" s="1018">
        <f t="shared" ca="1" si="167"/>
        <v>0</v>
      </c>
      <c r="CM60" s="1018">
        <f t="shared" ca="1" si="167"/>
        <v>0</v>
      </c>
      <c r="CN60" s="1018">
        <f t="shared" ca="1" si="167"/>
        <v>0</v>
      </c>
      <c r="CO60" s="1018">
        <f t="shared" ca="1" si="167"/>
        <v>0</v>
      </c>
      <c r="CP60" s="1018">
        <f t="shared" ca="1" si="167"/>
        <v>0</v>
      </c>
      <c r="CQ60" s="1018">
        <f t="shared" ca="1" si="167"/>
        <v>0</v>
      </c>
      <c r="CR60" s="1018">
        <f t="shared" ca="1" si="167"/>
        <v>0</v>
      </c>
      <c r="CS60" s="1018">
        <f t="shared" ca="1" si="168"/>
        <v>0</v>
      </c>
      <c r="CT60" s="1018">
        <f t="shared" ca="1" si="168"/>
        <v>0</v>
      </c>
      <c r="CU60" s="1018">
        <f t="shared" ca="1" si="168"/>
        <v>0</v>
      </c>
      <c r="CV60" s="1018">
        <f t="shared" ca="1" si="168"/>
        <v>0</v>
      </c>
      <c r="CW60" s="1018">
        <f t="shared" ca="1" si="168"/>
        <v>0</v>
      </c>
      <c r="CX60" s="1018">
        <f t="shared" ca="1" si="168"/>
        <v>0</v>
      </c>
      <c r="CY60" s="1018">
        <f t="shared" ca="1" si="168"/>
        <v>0</v>
      </c>
      <c r="CZ60" s="1018">
        <f t="shared" ca="1" si="168"/>
        <v>0</v>
      </c>
      <c r="DA60" s="1018">
        <f t="shared" ca="1" si="168"/>
        <v>0</v>
      </c>
      <c r="DB60" s="1018">
        <f t="shared" ca="1" si="168"/>
        <v>0</v>
      </c>
      <c r="DC60" s="1018">
        <f t="shared" ca="1" si="168"/>
        <v>0</v>
      </c>
      <c r="DD60" s="1018">
        <f t="shared" ca="1" si="168"/>
        <v>0</v>
      </c>
      <c r="DE60" s="1018">
        <f t="shared" ca="1" si="168"/>
        <v>0</v>
      </c>
      <c r="DF60" s="1018">
        <f t="shared" ca="1" si="168"/>
        <v>0</v>
      </c>
      <c r="DH60" s="572">
        <f t="shared" ca="1" si="125"/>
        <v>0</v>
      </c>
    </row>
    <row r="61" spans="1:112" s="1020" customFormat="1" ht="12.75" customHeight="1" outlineLevel="1">
      <c r="C61" s="530" t="s">
        <v>643</v>
      </c>
      <c r="D61" s="505" t="str">
        <f>INDEX(Modules[Module], MATCH($C61, Modules[Code], 0))</f>
        <v>Geothermal electricity</v>
      </c>
      <c r="E61" s="505"/>
      <c r="F61" s="528"/>
      <c r="G61" s="691">
        <f t="shared" ca="1" si="156"/>
        <v>0</v>
      </c>
      <c r="H61" s="691">
        <f t="shared" ca="1" si="156"/>
        <v>0</v>
      </c>
      <c r="I61" s="691">
        <f t="shared" ca="1" si="156"/>
        <v>0</v>
      </c>
      <c r="J61" s="691">
        <f t="shared" ca="1" si="156"/>
        <v>0</v>
      </c>
      <c r="K61" s="691">
        <f t="shared" ca="1" si="156"/>
        <v>0</v>
      </c>
      <c r="L61" s="691">
        <f t="shared" ca="1" si="156"/>
        <v>0</v>
      </c>
      <c r="M61" s="691">
        <f t="shared" ca="1" si="156"/>
        <v>0</v>
      </c>
      <c r="N61" s="691">
        <f t="shared" ca="1" si="156"/>
        <v>0</v>
      </c>
      <c r="O61" s="691">
        <f t="shared" ca="1" si="156"/>
        <v>0</v>
      </c>
      <c r="P61" s="691">
        <f t="shared" ca="1" si="156"/>
        <v>0</v>
      </c>
      <c r="Q61" s="693">
        <f t="shared" ca="1" si="157"/>
        <v>0</v>
      </c>
      <c r="R61" s="528"/>
      <c r="S61" s="700">
        <f t="shared" ca="1" si="158"/>
        <v>0</v>
      </c>
      <c r="T61" s="700">
        <f t="shared" ca="1" si="158"/>
        <v>0</v>
      </c>
      <c r="U61" s="700">
        <f t="shared" ca="1" si="158"/>
        <v>0</v>
      </c>
      <c r="V61" s="700">
        <f t="shared" ca="1" si="158"/>
        <v>0</v>
      </c>
      <c r="W61" s="700">
        <f t="shared" ca="1" si="158"/>
        <v>0</v>
      </c>
      <c r="X61" s="700">
        <f t="shared" ca="1" si="159"/>
        <v>0</v>
      </c>
      <c r="Y61" s="700">
        <f t="shared" ca="1" si="159"/>
        <v>0</v>
      </c>
      <c r="Z61" s="700">
        <f t="shared" ca="1" si="159"/>
        <v>0</v>
      </c>
      <c r="AA61" s="700">
        <f t="shared" ca="1" si="158"/>
        <v>0</v>
      </c>
      <c r="AB61" s="700">
        <f t="shared" ca="1" si="158"/>
        <v>0</v>
      </c>
      <c r="AC61" s="700">
        <f t="shared" ca="1" si="158"/>
        <v>0</v>
      </c>
      <c r="AD61" s="700">
        <f t="shared" ca="1" si="158"/>
        <v>0</v>
      </c>
      <c r="AE61" s="700">
        <f t="shared" ca="1" si="158"/>
        <v>0</v>
      </c>
      <c r="AF61" s="700">
        <f t="shared" ca="1" si="158"/>
        <v>0</v>
      </c>
      <c r="AG61" s="700">
        <f t="shared" ca="1" si="158"/>
        <v>0</v>
      </c>
      <c r="AH61" s="700">
        <f t="shared" ca="1" si="158"/>
        <v>0</v>
      </c>
      <c r="AI61" s="700">
        <f t="shared" ca="1" si="158"/>
        <v>0</v>
      </c>
      <c r="AJ61" s="700">
        <f t="shared" ca="1" si="158"/>
        <v>0</v>
      </c>
      <c r="AK61" s="701">
        <f t="shared" ca="1" si="160"/>
        <v>0</v>
      </c>
      <c r="AL61" s="528"/>
      <c r="AM61" s="712">
        <f t="shared" ca="1" si="161"/>
        <v>0</v>
      </c>
      <c r="AN61" s="712">
        <f t="shared" ca="1" si="161"/>
        <v>0</v>
      </c>
      <c r="AO61" s="712">
        <f t="shared" ca="1" si="161"/>
        <v>0</v>
      </c>
      <c r="AP61" s="712">
        <f t="shared" ca="1" si="161"/>
        <v>0</v>
      </c>
      <c r="AQ61" s="712">
        <f t="shared" ca="1" si="161"/>
        <v>0</v>
      </c>
      <c r="AR61" s="712">
        <f t="shared" ca="1" si="161"/>
        <v>0</v>
      </c>
      <c r="AS61" s="712">
        <f t="shared" ca="1" si="161"/>
        <v>0</v>
      </c>
      <c r="AT61" s="712">
        <f t="shared" ca="1" si="161"/>
        <v>0</v>
      </c>
      <c r="AU61" s="712">
        <f t="shared" ca="1" si="161"/>
        <v>0</v>
      </c>
      <c r="AV61" s="712">
        <f t="shared" ca="1" si="158"/>
        <v>0</v>
      </c>
      <c r="AW61" s="712">
        <f t="shared" ca="1" si="158"/>
        <v>0</v>
      </c>
      <c r="AX61" s="712">
        <f t="shared" ca="1" si="158"/>
        <v>0</v>
      </c>
      <c r="AY61" s="712">
        <f t="shared" ca="1" si="158"/>
        <v>0</v>
      </c>
      <c r="AZ61" s="712">
        <f t="shared" ca="1" si="158"/>
        <v>0</v>
      </c>
      <c r="BA61" s="712">
        <f t="shared" ca="1" si="158"/>
        <v>0</v>
      </c>
      <c r="BB61" s="712">
        <f t="shared" ca="1" si="158"/>
        <v>0</v>
      </c>
      <c r="BC61" s="712">
        <f t="shared" ca="1" si="158"/>
        <v>0</v>
      </c>
      <c r="BD61" s="712">
        <f t="shared" ca="1" si="158"/>
        <v>0</v>
      </c>
      <c r="BE61" s="712">
        <f t="shared" ca="1" si="158"/>
        <v>0</v>
      </c>
      <c r="BF61" s="654">
        <f t="shared" ca="1" si="162"/>
        <v>0</v>
      </c>
      <c r="BG61" s="528"/>
      <c r="BH61" s="706">
        <f t="shared" ca="1" si="163"/>
        <v>0</v>
      </c>
      <c r="BI61" s="706">
        <f t="shared" ca="1" si="163"/>
        <v>0</v>
      </c>
      <c r="BJ61" s="708">
        <f t="shared" ca="1" si="164"/>
        <v>0</v>
      </c>
      <c r="BK61" s="528"/>
      <c r="BL61" s="562">
        <f t="shared" ca="1" si="155"/>
        <v>0</v>
      </c>
      <c r="BM61" s="562"/>
      <c r="BN61" s="574"/>
      <c r="BO61" s="1017">
        <f t="shared" ca="1" si="165"/>
        <v>0</v>
      </c>
      <c r="BP61" s="1018">
        <f t="shared" ca="1" si="165"/>
        <v>0</v>
      </c>
      <c r="BQ61" s="1018">
        <f t="shared" ca="1" si="165"/>
        <v>0</v>
      </c>
      <c r="BR61" s="1018">
        <f t="shared" ca="1" si="165"/>
        <v>0</v>
      </c>
      <c r="BS61" s="1018">
        <f t="shared" ca="1" si="165"/>
        <v>0</v>
      </c>
      <c r="BT61" s="1018">
        <f t="shared" ca="1" si="165"/>
        <v>0</v>
      </c>
      <c r="BU61" s="1018">
        <f t="shared" ca="1" si="165"/>
        <v>0</v>
      </c>
      <c r="BV61" s="1018">
        <f t="shared" ca="1" si="165"/>
        <v>0</v>
      </c>
      <c r="BW61" s="1018">
        <f t="shared" ca="1" si="165"/>
        <v>0</v>
      </c>
      <c r="BX61" s="1018">
        <f t="shared" ca="1" si="165"/>
        <v>0</v>
      </c>
      <c r="BY61" s="1018">
        <f t="shared" ca="1" si="166"/>
        <v>0</v>
      </c>
      <c r="BZ61" s="1018">
        <f t="shared" ca="1" si="166"/>
        <v>0</v>
      </c>
      <c r="CA61" s="1018">
        <f t="shared" ca="1" si="166"/>
        <v>0</v>
      </c>
      <c r="CB61" s="1018">
        <f t="shared" ca="1" si="166"/>
        <v>0</v>
      </c>
      <c r="CC61" s="1018">
        <f t="shared" ca="1" si="166"/>
        <v>0</v>
      </c>
      <c r="CD61" s="1018">
        <f t="shared" ca="1" si="166"/>
        <v>0</v>
      </c>
      <c r="CE61" s="1018">
        <f t="shared" ca="1" si="166"/>
        <v>0</v>
      </c>
      <c r="CF61" s="1018">
        <f t="shared" ca="1" si="166"/>
        <v>0</v>
      </c>
      <c r="CG61" s="1018">
        <f t="shared" ca="1" si="166"/>
        <v>0</v>
      </c>
      <c r="CH61" s="1018">
        <f t="shared" ca="1" si="166"/>
        <v>0</v>
      </c>
      <c r="CI61" s="1018">
        <f t="shared" ca="1" si="167"/>
        <v>0</v>
      </c>
      <c r="CJ61" s="1018">
        <f t="shared" ca="1" si="167"/>
        <v>0</v>
      </c>
      <c r="CK61" s="1018">
        <f t="shared" ca="1" si="167"/>
        <v>0</v>
      </c>
      <c r="CL61" s="1018">
        <f t="shared" ca="1" si="167"/>
        <v>0</v>
      </c>
      <c r="CM61" s="1018">
        <f t="shared" ca="1" si="167"/>
        <v>0</v>
      </c>
      <c r="CN61" s="1018">
        <f t="shared" ca="1" si="167"/>
        <v>0</v>
      </c>
      <c r="CO61" s="1018">
        <f t="shared" ca="1" si="167"/>
        <v>0</v>
      </c>
      <c r="CP61" s="1018">
        <f t="shared" ca="1" si="167"/>
        <v>0</v>
      </c>
      <c r="CQ61" s="1018">
        <f t="shared" ca="1" si="167"/>
        <v>0</v>
      </c>
      <c r="CR61" s="1018">
        <f t="shared" ca="1" si="167"/>
        <v>0</v>
      </c>
      <c r="CS61" s="1018">
        <f t="shared" ca="1" si="168"/>
        <v>0</v>
      </c>
      <c r="CT61" s="1018">
        <f t="shared" ca="1" si="168"/>
        <v>0</v>
      </c>
      <c r="CU61" s="1018">
        <f t="shared" ca="1" si="168"/>
        <v>0</v>
      </c>
      <c r="CV61" s="1018">
        <f t="shared" ca="1" si="168"/>
        <v>0</v>
      </c>
      <c r="CW61" s="1018">
        <f t="shared" ca="1" si="168"/>
        <v>0</v>
      </c>
      <c r="CX61" s="1018">
        <f t="shared" ca="1" si="168"/>
        <v>0</v>
      </c>
      <c r="CY61" s="1018">
        <f t="shared" ca="1" si="168"/>
        <v>0</v>
      </c>
      <c r="CZ61" s="1018">
        <f t="shared" ca="1" si="168"/>
        <v>0</v>
      </c>
      <c r="DA61" s="1018">
        <f t="shared" ca="1" si="168"/>
        <v>0</v>
      </c>
      <c r="DB61" s="1018">
        <f t="shared" ca="1" si="168"/>
        <v>0</v>
      </c>
      <c r="DC61" s="1018">
        <f t="shared" ca="1" si="168"/>
        <v>0</v>
      </c>
      <c r="DD61" s="1018">
        <f t="shared" ca="1" si="168"/>
        <v>0</v>
      </c>
      <c r="DE61" s="1018">
        <f t="shared" ca="1" si="168"/>
        <v>0</v>
      </c>
      <c r="DF61" s="1018">
        <f t="shared" ca="1" si="168"/>
        <v>0</v>
      </c>
      <c r="DH61" s="572">
        <f t="shared" ca="1" si="125"/>
        <v>0</v>
      </c>
    </row>
    <row r="62" spans="1:112" s="528" customFormat="1" ht="12.75" customHeight="1" outlineLevel="1">
      <c r="A62" s="1020"/>
      <c r="B62" s="1020"/>
      <c r="C62" s="530" t="s">
        <v>644</v>
      </c>
      <c r="D62" s="684" t="str">
        <f>INDEX(Modules[Module], MATCH($C62, Modules[Code], 0))</f>
        <v>Tidal [UNUSED - See III.c]</v>
      </c>
      <c r="E62" s="684"/>
      <c r="G62" s="696">
        <f t="shared" ca="1" si="156"/>
        <v>0</v>
      </c>
      <c r="H62" s="696">
        <f t="shared" ca="1" si="156"/>
        <v>0</v>
      </c>
      <c r="I62" s="696">
        <f t="shared" ca="1" si="156"/>
        <v>0</v>
      </c>
      <c r="J62" s="696">
        <f t="shared" ca="1" si="156"/>
        <v>0</v>
      </c>
      <c r="K62" s="696">
        <f t="shared" ca="1" si="156"/>
        <v>0</v>
      </c>
      <c r="L62" s="696">
        <f t="shared" ca="1" si="156"/>
        <v>0</v>
      </c>
      <c r="M62" s="696">
        <f t="shared" ca="1" si="156"/>
        <v>0</v>
      </c>
      <c r="N62" s="696">
        <f t="shared" ca="1" si="156"/>
        <v>0</v>
      </c>
      <c r="O62" s="696">
        <f t="shared" ca="1" si="156"/>
        <v>0</v>
      </c>
      <c r="P62" s="696">
        <f t="shared" ca="1" si="156"/>
        <v>0</v>
      </c>
      <c r="Q62" s="694">
        <f t="shared" ca="1" si="157"/>
        <v>0</v>
      </c>
      <c r="S62" s="705">
        <f t="shared" ca="1" si="158"/>
        <v>0</v>
      </c>
      <c r="T62" s="705">
        <f t="shared" ca="1" si="158"/>
        <v>0</v>
      </c>
      <c r="U62" s="705">
        <f t="shared" ca="1" si="158"/>
        <v>0</v>
      </c>
      <c r="V62" s="705">
        <f t="shared" ca="1" si="158"/>
        <v>0</v>
      </c>
      <c r="W62" s="705">
        <f t="shared" ca="1" si="158"/>
        <v>0</v>
      </c>
      <c r="X62" s="705">
        <f t="shared" ca="1" si="159"/>
        <v>0</v>
      </c>
      <c r="Y62" s="705">
        <f t="shared" ca="1" si="159"/>
        <v>0</v>
      </c>
      <c r="Z62" s="705">
        <f t="shared" ca="1" si="159"/>
        <v>0</v>
      </c>
      <c r="AA62" s="705">
        <f t="shared" ca="1" si="158"/>
        <v>0</v>
      </c>
      <c r="AB62" s="705">
        <f t="shared" ca="1" si="158"/>
        <v>0</v>
      </c>
      <c r="AC62" s="705">
        <f t="shared" ca="1" si="158"/>
        <v>0</v>
      </c>
      <c r="AD62" s="705">
        <f t="shared" ca="1" si="158"/>
        <v>0</v>
      </c>
      <c r="AE62" s="705">
        <f t="shared" ca="1" si="158"/>
        <v>0</v>
      </c>
      <c r="AF62" s="705">
        <f t="shared" ca="1" si="158"/>
        <v>0</v>
      </c>
      <c r="AG62" s="705">
        <f t="shared" ca="1" si="158"/>
        <v>0</v>
      </c>
      <c r="AH62" s="705">
        <f t="shared" ca="1" si="158"/>
        <v>0</v>
      </c>
      <c r="AI62" s="705">
        <f t="shared" ca="1" si="158"/>
        <v>0</v>
      </c>
      <c r="AJ62" s="705">
        <f t="shared" ca="1" si="158"/>
        <v>0</v>
      </c>
      <c r="AK62" s="704">
        <f t="shared" ca="1" si="160"/>
        <v>0</v>
      </c>
      <c r="AM62" s="716">
        <f t="shared" ca="1" si="161"/>
        <v>0</v>
      </c>
      <c r="AN62" s="716">
        <f t="shared" ca="1" si="161"/>
        <v>0</v>
      </c>
      <c r="AO62" s="716">
        <f t="shared" ca="1" si="161"/>
        <v>0</v>
      </c>
      <c r="AP62" s="716">
        <f t="shared" ca="1" si="161"/>
        <v>0</v>
      </c>
      <c r="AQ62" s="716">
        <f t="shared" ca="1" si="161"/>
        <v>0</v>
      </c>
      <c r="AR62" s="716">
        <f t="shared" ca="1" si="161"/>
        <v>0</v>
      </c>
      <c r="AS62" s="716">
        <f t="shared" ca="1" si="161"/>
        <v>0</v>
      </c>
      <c r="AT62" s="716">
        <f t="shared" ca="1" si="161"/>
        <v>0</v>
      </c>
      <c r="AU62" s="716">
        <f t="shared" ca="1" si="161"/>
        <v>0</v>
      </c>
      <c r="AV62" s="716">
        <f t="shared" ca="1" si="158"/>
        <v>0</v>
      </c>
      <c r="AW62" s="716">
        <f t="shared" ca="1" si="158"/>
        <v>0</v>
      </c>
      <c r="AX62" s="716">
        <f t="shared" ca="1" si="158"/>
        <v>0</v>
      </c>
      <c r="AY62" s="716">
        <f t="shared" ca="1" si="158"/>
        <v>0</v>
      </c>
      <c r="AZ62" s="716">
        <f t="shared" ca="1" si="158"/>
        <v>0</v>
      </c>
      <c r="BA62" s="716">
        <f t="shared" ca="1" si="158"/>
        <v>0</v>
      </c>
      <c r="BB62" s="716">
        <f t="shared" ca="1" si="158"/>
        <v>0</v>
      </c>
      <c r="BC62" s="716">
        <f t="shared" ca="1" si="158"/>
        <v>0</v>
      </c>
      <c r="BD62" s="716">
        <f t="shared" ca="1" si="158"/>
        <v>0</v>
      </c>
      <c r="BE62" s="716">
        <f t="shared" ca="1" si="158"/>
        <v>0</v>
      </c>
      <c r="BF62" s="686">
        <f t="shared" ca="1" si="162"/>
        <v>0</v>
      </c>
      <c r="BH62" s="710">
        <f t="shared" ca="1" si="163"/>
        <v>0</v>
      </c>
      <c r="BI62" s="710">
        <f t="shared" ca="1" si="163"/>
        <v>0</v>
      </c>
      <c r="BJ62" s="709">
        <f t="shared" ca="1" si="164"/>
        <v>0</v>
      </c>
      <c r="BL62" s="562">
        <f t="shared" ca="1" si="155"/>
        <v>0</v>
      </c>
      <c r="BM62" s="562"/>
      <c r="BN62" s="574"/>
      <c r="BO62" s="1021">
        <f t="shared" ca="1" si="165"/>
        <v>0</v>
      </c>
      <c r="BP62" s="1022">
        <f t="shared" ca="1" si="165"/>
        <v>0</v>
      </c>
      <c r="BQ62" s="1022">
        <f t="shared" ca="1" si="165"/>
        <v>0</v>
      </c>
      <c r="BR62" s="1022">
        <f t="shared" ca="1" si="165"/>
        <v>0</v>
      </c>
      <c r="BS62" s="1022">
        <f t="shared" ca="1" si="165"/>
        <v>0</v>
      </c>
      <c r="BT62" s="1022">
        <f t="shared" ca="1" si="165"/>
        <v>0</v>
      </c>
      <c r="BU62" s="1022">
        <f t="shared" ca="1" si="165"/>
        <v>0</v>
      </c>
      <c r="BV62" s="1022">
        <f t="shared" ca="1" si="165"/>
        <v>0</v>
      </c>
      <c r="BW62" s="1022">
        <f t="shared" ca="1" si="165"/>
        <v>0</v>
      </c>
      <c r="BX62" s="1022">
        <f t="shared" ca="1" si="165"/>
        <v>0</v>
      </c>
      <c r="BY62" s="1022">
        <f t="shared" ca="1" si="166"/>
        <v>0</v>
      </c>
      <c r="BZ62" s="1022">
        <f t="shared" ca="1" si="166"/>
        <v>0</v>
      </c>
      <c r="CA62" s="1022">
        <f t="shared" ca="1" si="166"/>
        <v>0</v>
      </c>
      <c r="CB62" s="1022">
        <f t="shared" ca="1" si="166"/>
        <v>0</v>
      </c>
      <c r="CC62" s="1022">
        <f t="shared" ca="1" si="166"/>
        <v>0</v>
      </c>
      <c r="CD62" s="1022">
        <f t="shared" ca="1" si="166"/>
        <v>0</v>
      </c>
      <c r="CE62" s="1022">
        <f t="shared" ca="1" si="166"/>
        <v>0</v>
      </c>
      <c r="CF62" s="1022">
        <f t="shared" ca="1" si="166"/>
        <v>0</v>
      </c>
      <c r="CG62" s="1022">
        <f t="shared" ca="1" si="166"/>
        <v>0</v>
      </c>
      <c r="CH62" s="1022">
        <f t="shared" ca="1" si="166"/>
        <v>0</v>
      </c>
      <c r="CI62" s="1022">
        <f t="shared" ca="1" si="167"/>
        <v>0</v>
      </c>
      <c r="CJ62" s="1022">
        <f t="shared" ca="1" si="167"/>
        <v>0</v>
      </c>
      <c r="CK62" s="1022">
        <f t="shared" ca="1" si="167"/>
        <v>0</v>
      </c>
      <c r="CL62" s="1022">
        <f t="shared" ca="1" si="167"/>
        <v>0</v>
      </c>
      <c r="CM62" s="1022">
        <f t="shared" ca="1" si="167"/>
        <v>0</v>
      </c>
      <c r="CN62" s="1022">
        <f t="shared" ca="1" si="167"/>
        <v>0</v>
      </c>
      <c r="CO62" s="1022">
        <f t="shared" ca="1" si="167"/>
        <v>0</v>
      </c>
      <c r="CP62" s="1022">
        <f t="shared" ca="1" si="167"/>
        <v>0</v>
      </c>
      <c r="CQ62" s="1022">
        <f t="shared" ca="1" si="167"/>
        <v>0</v>
      </c>
      <c r="CR62" s="1022">
        <f t="shared" ca="1" si="167"/>
        <v>0</v>
      </c>
      <c r="CS62" s="1022">
        <f t="shared" ca="1" si="168"/>
        <v>0</v>
      </c>
      <c r="CT62" s="1022">
        <f t="shared" ca="1" si="168"/>
        <v>0</v>
      </c>
      <c r="CU62" s="1022">
        <f t="shared" ca="1" si="168"/>
        <v>0</v>
      </c>
      <c r="CV62" s="1022">
        <f t="shared" ca="1" si="168"/>
        <v>0</v>
      </c>
      <c r="CW62" s="1022">
        <f t="shared" ca="1" si="168"/>
        <v>0</v>
      </c>
      <c r="CX62" s="1022">
        <f t="shared" ca="1" si="168"/>
        <v>0</v>
      </c>
      <c r="CY62" s="1022">
        <f t="shared" ca="1" si="168"/>
        <v>0</v>
      </c>
      <c r="CZ62" s="1022">
        <f t="shared" ca="1" si="168"/>
        <v>0</v>
      </c>
      <c r="DA62" s="1022">
        <f t="shared" ca="1" si="168"/>
        <v>0</v>
      </c>
      <c r="DB62" s="1022">
        <f t="shared" ca="1" si="168"/>
        <v>0</v>
      </c>
      <c r="DC62" s="1022">
        <f t="shared" ca="1" si="168"/>
        <v>0</v>
      </c>
      <c r="DD62" s="1022">
        <f t="shared" ca="1" si="168"/>
        <v>0</v>
      </c>
      <c r="DE62" s="1022">
        <f t="shared" ca="1" si="168"/>
        <v>0</v>
      </c>
      <c r="DF62" s="1022">
        <f t="shared" ca="1" si="168"/>
        <v>0</v>
      </c>
      <c r="DH62" s="572">
        <f t="shared" ca="1" si="125"/>
        <v>0</v>
      </c>
    </row>
    <row r="63" spans="1:112" s="528" customFormat="1" ht="15">
      <c r="A63" s="18"/>
      <c r="B63" s="533"/>
      <c r="C63" s="529" t="s">
        <v>70</v>
      </c>
      <c r="D63" s="501" t="str">
        <f>INDEX(Workstreams[Workstream], MATCH($C63, Workstreams[Code], 0))</f>
        <v>National renewable power generation</v>
      </c>
      <c r="E63" s="497"/>
      <c r="G63" s="633">
        <f t="shared" ref="G63:P63" ca="1" si="169">SUM(G57:G62)</f>
        <v>0</v>
      </c>
      <c r="H63" s="633">
        <f t="shared" ca="1" si="169"/>
        <v>0</v>
      </c>
      <c r="I63" s="633">
        <f t="shared" ca="1" si="169"/>
        <v>0</v>
      </c>
      <c r="J63" s="633">
        <f t="shared" ca="1" si="169"/>
        <v>0</v>
      </c>
      <c r="K63" s="633">
        <f t="shared" ca="1" si="169"/>
        <v>0</v>
      </c>
      <c r="L63" s="633">
        <f t="shared" ca="1" si="169"/>
        <v>0</v>
      </c>
      <c r="M63" s="633">
        <f t="shared" ca="1" si="169"/>
        <v>0</v>
      </c>
      <c r="N63" s="633">
        <f t="shared" ca="1" si="169"/>
        <v>0</v>
      </c>
      <c r="O63" s="633">
        <f t="shared" ca="1" si="169"/>
        <v>0</v>
      </c>
      <c r="P63" s="633">
        <f t="shared" ca="1" si="169"/>
        <v>0</v>
      </c>
      <c r="Q63" s="695">
        <f t="shared" ca="1" si="157"/>
        <v>0</v>
      </c>
      <c r="S63" s="645">
        <f t="shared" ref="S63:AJ63" ca="1" si="170">SUM(S57:S62)</f>
        <v>0</v>
      </c>
      <c r="T63" s="645">
        <f t="shared" ca="1" si="170"/>
        <v>0</v>
      </c>
      <c r="U63" s="645">
        <f t="shared" ca="1" si="170"/>
        <v>0</v>
      </c>
      <c r="V63" s="645">
        <f t="shared" ca="1" si="170"/>
        <v>0</v>
      </c>
      <c r="W63" s="645">
        <f t="shared" ca="1" si="170"/>
        <v>0</v>
      </c>
      <c r="X63" s="645">
        <f t="shared" ca="1" si="170"/>
        <v>0</v>
      </c>
      <c r="Y63" s="645">
        <f t="shared" ca="1" si="170"/>
        <v>0</v>
      </c>
      <c r="Z63" s="645">
        <f t="shared" ca="1" si="170"/>
        <v>0</v>
      </c>
      <c r="AA63" s="645">
        <f t="shared" ca="1" si="170"/>
        <v>0</v>
      </c>
      <c r="AB63" s="645">
        <f t="shared" ca="1" si="170"/>
        <v>0</v>
      </c>
      <c r="AC63" s="645">
        <f t="shared" ca="1" si="170"/>
        <v>0</v>
      </c>
      <c r="AD63" s="645">
        <f t="shared" ca="1" si="170"/>
        <v>0</v>
      </c>
      <c r="AE63" s="645">
        <f ca="1">SUM(AE57:AE62)</f>
        <v>0</v>
      </c>
      <c r="AF63" s="645">
        <f t="shared" ca="1" si="170"/>
        <v>0</v>
      </c>
      <c r="AG63" s="645">
        <f t="shared" ca="1" si="170"/>
        <v>0</v>
      </c>
      <c r="AH63" s="645">
        <f ca="1">SUM(AH57:AH62)</f>
        <v>0</v>
      </c>
      <c r="AI63" s="645">
        <f t="shared" ca="1" si="170"/>
        <v>0</v>
      </c>
      <c r="AJ63" s="645">
        <f t="shared" ca="1" si="170"/>
        <v>0</v>
      </c>
      <c r="AK63" s="645">
        <f t="shared" ca="1" si="160"/>
        <v>0</v>
      </c>
      <c r="AM63" s="651">
        <f t="shared" ref="AM63:BE63" ca="1" si="171">SUM(AM57:AM62)</f>
        <v>0</v>
      </c>
      <c r="AN63" s="651">
        <f t="shared" ca="1" si="171"/>
        <v>0</v>
      </c>
      <c r="AO63" s="651">
        <f t="shared" ca="1" si="171"/>
        <v>0</v>
      </c>
      <c r="AP63" s="651">
        <f t="shared" ca="1" si="171"/>
        <v>0</v>
      </c>
      <c r="AQ63" s="651">
        <f t="shared" ca="1" si="171"/>
        <v>0</v>
      </c>
      <c r="AR63" s="651">
        <f t="shared" ca="1" si="171"/>
        <v>0</v>
      </c>
      <c r="AS63" s="651">
        <f t="shared" ca="1" si="171"/>
        <v>0</v>
      </c>
      <c r="AT63" s="651">
        <f t="shared" ca="1" si="171"/>
        <v>0</v>
      </c>
      <c r="AU63" s="651">
        <f t="shared" ca="1" si="171"/>
        <v>0</v>
      </c>
      <c r="AV63" s="651">
        <f t="shared" ca="1" si="171"/>
        <v>0</v>
      </c>
      <c r="AW63" s="651">
        <f t="shared" ca="1" si="171"/>
        <v>0</v>
      </c>
      <c r="AX63" s="651">
        <f t="shared" ca="1" si="171"/>
        <v>0</v>
      </c>
      <c r="AY63" s="651">
        <f t="shared" ca="1" si="171"/>
        <v>0</v>
      </c>
      <c r="AZ63" s="651">
        <f t="shared" ca="1" si="171"/>
        <v>0</v>
      </c>
      <c r="BA63" s="651">
        <f t="shared" ca="1" si="171"/>
        <v>0</v>
      </c>
      <c r="BB63" s="651">
        <f t="shared" ca="1" si="171"/>
        <v>0</v>
      </c>
      <c r="BC63" s="651">
        <f t="shared" ca="1" si="171"/>
        <v>0</v>
      </c>
      <c r="BD63" s="651">
        <f t="shared" ca="1" si="171"/>
        <v>0</v>
      </c>
      <c r="BE63" s="651">
        <f t="shared" ca="1" si="171"/>
        <v>0</v>
      </c>
      <c r="BF63" s="651">
        <f t="shared" ca="1" si="162"/>
        <v>0</v>
      </c>
      <c r="BH63" s="665">
        <f ca="1">SUM(BH57:BH62)</f>
        <v>0</v>
      </c>
      <c r="BI63" s="665">
        <f ca="1">SUM(BI57:BI62)</f>
        <v>0</v>
      </c>
      <c r="BJ63" s="665">
        <f t="shared" ca="1" si="164"/>
        <v>0</v>
      </c>
      <c r="BL63" s="499">
        <f t="shared" ca="1" si="155"/>
        <v>0</v>
      </c>
      <c r="BM63" s="499"/>
      <c r="BN63" s="574"/>
      <c r="BO63" s="1018">
        <f t="shared" ref="BO63:DF63" ca="1" si="172">SUM(BO57:BO62)</f>
        <v>0</v>
      </c>
      <c r="BP63" s="1018">
        <f t="shared" ca="1" si="172"/>
        <v>0</v>
      </c>
      <c r="BQ63" s="1018">
        <f t="shared" ca="1" si="172"/>
        <v>0</v>
      </c>
      <c r="BR63" s="1018">
        <f t="shared" ca="1" si="172"/>
        <v>0</v>
      </c>
      <c r="BS63" s="1018">
        <f t="shared" ca="1" si="172"/>
        <v>0</v>
      </c>
      <c r="BT63" s="1018">
        <f t="shared" ca="1" si="172"/>
        <v>0</v>
      </c>
      <c r="BU63" s="1018">
        <f t="shared" ca="1" si="172"/>
        <v>0</v>
      </c>
      <c r="BV63" s="1018">
        <f t="shared" ca="1" si="172"/>
        <v>0</v>
      </c>
      <c r="BW63" s="1018">
        <f t="shared" ca="1" si="172"/>
        <v>0</v>
      </c>
      <c r="BX63" s="1018">
        <f t="shared" ca="1" si="172"/>
        <v>0</v>
      </c>
      <c r="BY63" s="1018">
        <f t="shared" ca="1" si="172"/>
        <v>0</v>
      </c>
      <c r="BZ63" s="1018">
        <f t="shared" ca="1" si="172"/>
        <v>0</v>
      </c>
      <c r="CA63" s="1018">
        <f t="shared" ca="1" si="172"/>
        <v>0</v>
      </c>
      <c r="CB63" s="1018">
        <f t="shared" ca="1" si="172"/>
        <v>0</v>
      </c>
      <c r="CC63" s="1018">
        <f t="shared" ca="1" si="172"/>
        <v>0</v>
      </c>
      <c r="CD63" s="1018">
        <f t="shared" ca="1" si="172"/>
        <v>0</v>
      </c>
      <c r="CE63" s="1018">
        <f t="shared" ca="1" si="172"/>
        <v>0</v>
      </c>
      <c r="CF63" s="1018">
        <f t="shared" ca="1" si="172"/>
        <v>0</v>
      </c>
      <c r="CG63" s="1018">
        <f t="shared" ca="1" si="172"/>
        <v>0</v>
      </c>
      <c r="CH63" s="1018">
        <f t="shared" ca="1" si="172"/>
        <v>0</v>
      </c>
      <c r="CI63" s="1018">
        <f t="shared" ca="1" si="172"/>
        <v>0</v>
      </c>
      <c r="CJ63" s="1018">
        <f t="shared" ca="1" si="172"/>
        <v>0</v>
      </c>
      <c r="CK63" s="1018">
        <f t="shared" ca="1" si="172"/>
        <v>0</v>
      </c>
      <c r="CL63" s="1018">
        <f t="shared" ca="1" si="172"/>
        <v>0</v>
      </c>
      <c r="CM63" s="1018">
        <f t="shared" ca="1" si="172"/>
        <v>0</v>
      </c>
      <c r="CN63" s="1018">
        <f t="shared" ca="1" si="172"/>
        <v>0</v>
      </c>
      <c r="CO63" s="1018">
        <f t="shared" ca="1" si="172"/>
        <v>0</v>
      </c>
      <c r="CP63" s="1018">
        <f t="shared" ca="1" si="172"/>
        <v>0</v>
      </c>
      <c r="CQ63" s="1018">
        <f t="shared" ca="1" si="172"/>
        <v>0</v>
      </c>
      <c r="CR63" s="1018">
        <f t="shared" ca="1" si="172"/>
        <v>0</v>
      </c>
      <c r="CS63" s="1018">
        <f t="shared" ca="1" si="172"/>
        <v>0</v>
      </c>
      <c r="CT63" s="1018">
        <f t="shared" ca="1" si="172"/>
        <v>0</v>
      </c>
      <c r="CU63" s="1018">
        <f t="shared" ca="1" si="172"/>
        <v>0</v>
      </c>
      <c r="CV63" s="1018">
        <f t="shared" ca="1" si="172"/>
        <v>0</v>
      </c>
      <c r="CW63" s="1018">
        <f t="shared" ca="1" si="172"/>
        <v>0</v>
      </c>
      <c r="CX63" s="1018">
        <f t="shared" ca="1" si="172"/>
        <v>0</v>
      </c>
      <c r="CY63" s="1018">
        <f t="shared" ca="1" si="172"/>
        <v>0</v>
      </c>
      <c r="CZ63" s="1018">
        <f t="shared" ca="1" si="172"/>
        <v>0</v>
      </c>
      <c r="DA63" s="1018">
        <f t="shared" ca="1" si="172"/>
        <v>0</v>
      </c>
      <c r="DB63" s="1018">
        <f t="shared" ca="1" si="172"/>
        <v>0</v>
      </c>
      <c r="DC63" s="1018">
        <f t="shared" ca="1" si="172"/>
        <v>0</v>
      </c>
      <c r="DD63" s="1018">
        <f t="shared" ca="1" si="172"/>
        <v>0</v>
      </c>
      <c r="DE63" s="1018">
        <f t="shared" ca="1" si="172"/>
        <v>0</v>
      </c>
      <c r="DF63" s="1018">
        <f t="shared" ca="1" si="172"/>
        <v>0</v>
      </c>
      <c r="DH63" s="572">
        <f t="shared" ca="1" si="125"/>
        <v>0</v>
      </c>
    </row>
    <row r="64" spans="1:112" s="528" customFormat="1" ht="12.75" customHeight="1" outlineLevel="1">
      <c r="A64" s="18"/>
      <c r="B64" s="18"/>
      <c r="C64" s="531"/>
      <c r="D64" s="497"/>
      <c r="E64" s="497"/>
      <c r="G64" s="633"/>
      <c r="H64" s="633"/>
      <c r="I64" s="633"/>
      <c r="J64" s="633"/>
      <c r="K64" s="635"/>
      <c r="L64" s="633"/>
      <c r="M64" s="633"/>
      <c r="N64" s="633"/>
      <c r="O64" s="633"/>
      <c r="P64" s="633"/>
      <c r="Q64" s="633"/>
      <c r="S64" s="645"/>
      <c r="T64" s="645"/>
      <c r="U64" s="645"/>
      <c r="V64" s="645"/>
      <c r="W64" s="645"/>
      <c r="X64" s="645"/>
      <c r="Y64" s="645"/>
      <c r="Z64" s="645"/>
      <c r="AA64" s="645"/>
      <c r="AB64" s="645"/>
      <c r="AC64" s="645"/>
      <c r="AD64" s="645"/>
      <c r="AE64" s="645"/>
      <c r="AF64" s="645"/>
      <c r="AG64" s="645"/>
      <c r="AH64" s="645"/>
      <c r="AI64" s="645"/>
      <c r="AJ64" s="645"/>
      <c r="AK64" s="645"/>
      <c r="AM64" s="651"/>
      <c r="AN64" s="651"/>
      <c r="AO64" s="651"/>
      <c r="AP64" s="651"/>
      <c r="AQ64" s="651"/>
      <c r="AR64" s="651"/>
      <c r="AS64" s="651"/>
      <c r="AT64" s="651"/>
      <c r="AU64" s="651"/>
      <c r="AV64" s="651"/>
      <c r="AW64" s="651"/>
      <c r="AX64" s="651"/>
      <c r="AY64" s="651"/>
      <c r="AZ64" s="651"/>
      <c r="BA64" s="651"/>
      <c r="BB64" s="651"/>
      <c r="BC64" s="651"/>
      <c r="BD64" s="651"/>
      <c r="BE64" s="651"/>
      <c r="BF64" s="651"/>
      <c r="BH64" s="665"/>
      <c r="BI64" s="665"/>
      <c r="BJ64" s="665"/>
      <c r="BL64" s="499"/>
      <c r="BM64" s="499"/>
      <c r="BN64" s="18"/>
      <c r="BO64" s="1018"/>
      <c r="BP64" s="1018"/>
      <c r="BQ64" s="1018"/>
      <c r="BR64" s="1018"/>
      <c r="BS64" s="1018"/>
      <c r="BT64" s="1018"/>
      <c r="BU64" s="1018"/>
      <c r="BV64" s="1018"/>
      <c r="BW64" s="1018"/>
      <c r="BX64" s="1018"/>
      <c r="BY64" s="1018"/>
      <c r="BZ64" s="1018"/>
      <c r="CA64" s="1018"/>
      <c r="CB64" s="1018"/>
      <c r="CC64" s="1018"/>
      <c r="CD64" s="1018"/>
      <c r="CE64" s="1018"/>
      <c r="CF64" s="1018"/>
      <c r="CG64" s="1018"/>
      <c r="CH64" s="1018"/>
      <c r="CI64" s="1018"/>
      <c r="CJ64" s="1018"/>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H64" s="572">
        <f t="shared" si="125"/>
        <v>0</v>
      </c>
    </row>
    <row r="65" spans="1:112" s="1020" customFormat="1" ht="12.75" customHeight="1" outlineLevel="1">
      <c r="C65" s="530" t="s">
        <v>727</v>
      </c>
      <c r="D65" s="505" t="str">
        <f>INDEX(Modules[Module], MATCH($C65, Modules[Code], 0))</f>
        <v>Solar PV</v>
      </c>
      <c r="E65" s="505"/>
      <c r="G65" s="1049">
        <f t="shared" ref="G65:P67" ca="1" si="173">IFERROR(INDEX(INDIRECT($C65&amp;".Outputs["&amp;this.Year&amp;"]"), MATCH(G$5, INDIRECT($C65&amp;".Outputs[Vector]"), 0)), 0)</f>
        <v>0</v>
      </c>
      <c r="H65" s="1049">
        <f t="shared" ca="1" si="173"/>
        <v>0</v>
      </c>
      <c r="I65" s="1049">
        <f t="shared" ca="1" si="173"/>
        <v>0</v>
      </c>
      <c r="J65" s="1049">
        <f t="shared" ca="1" si="173"/>
        <v>0</v>
      </c>
      <c r="K65" s="1050">
        <f t="shared" ca="1" si="173"/>
        <v>0</v>
      </c>
      <c r="L65" s="1049">
        <f t="shared" ca="1" si="173"/>
        <v>0</v>
      </c>
      <c r="M65" s="1049">
        <f t="shared" ca="1" si="173"/>
        <v>0</v>
      </c>
      <c r="N65" s="1049">
        <f t="shared" ca="1" si="173"/>
        <v>0</v>
      </c>
      <c r="O65" s="1049">
        <f t="shared" ca="1" si="173"/>
        <v>0</v>
      </c>
      <c r="P65" s="1049">
        <f t="shared" ca="1" si="173"/>
        <v>0</v>
      </c>
      <c r="Q65" s="638">
        <f ca="1">SUM(G65:P65)</f>
        <v>0</v>
      </c>
      <c r="S65" s="1051">
        <f t="shared" ref="S65:BE67" ca="1" si="174">IFERROR(INDEX(INDIRECT($C65&amp;".Outputs["&amp;this.Year&amp;"]"), MATCH(S$5, INDIRECT($C65&amp;".Outputs[Vector]"), 0)), 0)</f>
        <v>0</v>
      </c>
      <c r="T65" s="1051">
        <f t="shared" ca="1" si="174"/>
        <v>0</v>
      </c>
      <c r="U65" s="1051">
        <f t="shared" ca="1" si="174"/>
        <v>0</v>
      </c>
      <c r="V65" s="1051">
        <f t="shared" ca="1" si="174"/>
        <v>0</v>
      </c>
      <c r="W65" s="1051">
        <f t="shared" ca="1" si="174"/>
        <v>0</v>
      </c>
      <c r="X65" s="1051">
        <f t="shared" ref="X65:Z67" ca="1" si="175">IFERROR(INDEX(INDIRECT($C65&amp;".Outputs["&amp;this.Year&amp;"]"), MATCH(X$5, INDIRECT($C65&amp;".Outputs[Vector]"), 0)), 0)</f>
        <v>0</v>
      </c>
      <c r="Y65" s="1051">
        <f t="shared" ca="1" si="175"/>
        <v>0</v>
      </c>
      <c r="Z65" s="1051">
        <f t="shared" ca="1" si="175"/>
        <v>0</v>
      </c>
      <c r="AA65" s="1051">
        <f t="shared" ca="1" si="174"/>
        <v>0</v>
      </c>
      <c r="AB65" s="1051">
        <f t="shared" ca="1" si="174"/>
        <v>0</v>
      </c>
      <c r="AC65" s="1051">
        <f t="shared" ca="1" si="174"/>
        <v>0</v>
      </c>
      <c r="AD65" s="1051">
        <f t="shared" ca="1" si="174"/>
        <v>0</v>
      </c>
      <c r="AE65" s="1051">
        <f t="shared" ca="1" si="174"/>
        <v>0</v>
      </c>
      <c r="AF65" s="1051">
        <f t="shared" ca="1" si="174"/>
        <v>0</v>
      </c>
      <c r="AG65" s="1051">
        <f t="shared" ca="1" si="174"/>
        <v>0</v>
      </c>
      <c r="AH65" s="1051">
        <f t="shared" ca="1" si="174"/>
        <v>0</v>
      </c>
      <c r="AI65" s="1051">
        <f t="shared" ca="1" si="174"/>
        <v>0</v>
      </c>
      <c r="AJ65" s="1051">
        <f t="shared" ca="1" si="174"/>
        <v>0</v>
      </c>
      <c r="AK65" s="647">
        <f ca="1">SUM(S65:AJ65)</f>
        <v>0</v>
      </c>
      <c r="AM65" s="1052">
        <f t="shared" ref="AM65:AU67" ca="1" si="176">IFERROR(INDEX(INDIRECT($C65&amp;".Outputs["&amp;this.Year&amp;"]"), MATCH(AM$5, INDIRECT($C65&amp;".Outputs[Vector]"), 0)), 0)</f>
        <v>0</v>
      </c>
      <c r="AN65" s="1052">
        <f t="shared" ca="1" si="176"/>
        <v>0</v>
      </c>
      <c r="AO65" s="1052">
        <f t="shared" ca="1" si="176"/>
        <v>0</v>
      </c>
      <c r="AP65" s="1052">
        <f t="shared" ca="1" si="176"/>
        <v>0</v>
      </c>
      <c r="AQ65" s="1052">
        <f t="shared" ca="1" si="176"/>
        <v>0</v>
      </c>
      <c r="AR65" s="1052">
        <f t="shared" ca="1" si="176"/>
        <v>0</v>
      </c>
      <c r="AS65" s="1052">
        <f t="shared" ca="1" si="176"/>
        <v>0</v>
      </c>
      <c r="AT65" s="1052">
        <f t="shared" ca="1" si="176"/>
        <v>0</v>
      </c>
      <c r="AU65" s="1052">
        <f t="shared" ca="1" si="176"/>
        <v>0</v>
      </c>
      <c r="AV65" s="1052">
        <f t="shared" ca="1" si="174"/>
        <v>0</v>
      </c>
      <c r="AW65" s="1052">
        <f t="shared" ca="1" si="174"/>
        <v>0</v>
      </c>
      <c r="AX65" s="1052">
        <f t="shared" ca="1" si="174"/>
        <v>0</v>
      </c>
      <c r="AY65" s="1052">
        <f t="shared" ca="1" si="174"/>
        <v>0</v>
      </c>
      <c r="AZ65" s="1052">
        <f t="shared" ca="1" si="174"/>
        <v>0</v>
      </c>
      <c r="BA65" s="1052">
        <f t="shared" ca="1" si="174"/>
        <v>0</v>
      </c>
      <c r="BB65" s="1052">
        <f t="shared" ca="1" si="174"/>
        <v>0</v>
      </c>
      <c r="BC65" s="1052">
        <f t="shared" ca="1" si="174"/>
        <v>0</v>
      </c>
      <c r="BD65" s="1052">
        <f t="shared" ca="1" si="174"/>
        <v>0</v>
      </c>
      <c r="BE65" s="1052">
        <f t="shared" ca="1" si="174"/>
        <v>0</v>
      </c>
      <c r="BF65" s="654">
        <f ca="1">SUM(AM65:BE65)</f>
        <v>0</v>
      </c>
      <c r="BH65" s="1053">
        <f t="shared" ref="BH65:BI67" ca="1" si="177">IFERROR(INDEX(INDIRECT($C65&amp;".Outputs["&amp;this.Year&amp;"]"), MATCH(BH$5, INDIRECT($C65&amp;".Outputs[Vector]"), 0)), 0)</f>
        <v>0</v>
      </c>
      <c r="BI65" s="1053">
        <f t="shared" ca="1" si="177"/>
        <v>0</v>
      </c>
      <c r="BJ65" s="667">
        <f ca="1">SUM(BH65:BI65)</f>
        <v>0</v>
      </c>
      <c r="BL65" s="562">
        <f t="shared" ref="BL65:BL70" ca="1" si="178">Q65+AK65+BF65+BJ65</f>
        <v>0</v>
      </c>
      <c r="BM65" s="562"/>
      <c r="BO65" s="1047">
        <f t="shared" ref="BO65:DF67" ca="1" si="179">IFERROR(SUMIFS(INDIRECT($C65&amp;".Emissions["&amp;this.Year&amp;"]"), INDIRECT($C65&amp;".Emissions[GHG]"), BO$6, INDIRECT($C65&amp;".Emissions[IPCC Sector]"), BO$5),0)</f>
        <v>0</v>
      </c>
      <c r="BP65" s="1047">
        <f t="shared" ca="1" si="179"/>
        <v>0</v>
      </c>
      <c r="BQ65" s="1047">
        <f t="shared" ca="1" si="179"/>
        <v>0</v>
      </c>
      <c r="BR65" s="1047">
        <f t="shared" ca="1" si="179"/>
        <v>0</v>
      </c>
      <c r="BS65" s="1047">
        <f t="shared" ca="1" si="179"/>
        <v>0</v>
      </c>
      <c r="BT65" s="1047">
        <f t="shared" ca="1" si="179"/>
        <v>0</v>
      </c>
      <c r="BU65" s="1047">
        <f t="shared" ca="1" si="179"/>
        <v>0</v>
      </c>
      <c r="BV65" s="1047">
        <f t="shared" ca="1" si="179"/>
        <v>0</v>
      </c>
      <c r="BW65" s="1047">
        <f t="shared" ca="1" si="179"/>
        <v>0</v>
      </c>
      <c r="BX65" s="1047">
        <f t="shared" ca="1" si="179"/>
        <v>0</v>
      </c>
      <c r="BY65" s="1047">
        <f t="shared" ca="1" si="179"/>
        <v>0</v>
      </c>
      <c r="BZ65" s="1047">
        <f t="shared" ca="1" si="179"/>
        <v>0</v>
      </c>
      <c r="CA65" s="1047">
        <f t="shared" ca="1" si="179"/>
        <v>0</v>
      </c>
      <c r="CB65" s="1047">
        <f t="shared" ca="1" si="179"/>
        <v>0</v>
      </c>
      <c r="CC65" s="1047">
        <f t="shared" ca="1" si="179"/>
        <v>0</v>
      </c>
      <c r="CD65" s="1047">
        <f t="shared" ca="1" si="179"/>
        <v>0</v>
      </c>
      <c r="CE65" s="1047">
        <f t="shared" ca="1" si="179"/>
        <v>0</v>
      </c>
      <c r="CF65" s="1047">
        <f t="shared" ca="1" si="179"/>
        <v>0</v>
      </c>
      <c r="CG65" s="1047">
        <f t="shared" ca="1" si="179"/>
        <v>0</v>
      </c>
      <c r="CH65" s="1047">
        <f t="shared" ca="1" si="179"/>
        <v>0</v>
      </c>
      <c r="CI65" s="1047">
        <f t="shared" ca="1" si="179"/>
        <v>0</v>
      </c>
      <c r="CJ65" s="1047">
        <f t="shared" ca="1" si="179"/>
        <v>0</v>
      </c>
      <c r="CK65" s="1047">
        <f t="shared" ca="1" si="179"/>
        <v>0</v>
      </c>
      <c r="CL65" s="1047">
        <f t="shared" ca="1" si="179"/>
        <v>0</v>
      </c>
      <c r="CM65" s="1047">
        <f t="shared" ca="1" si="179"/>
        <v>0</v>
      </c>
      <c r="CN65" s="1047">
        <f t="shared" ca="1" si="179"/>
        <v>0</v>
      </c>
      <c r="CO65" s="1047">
        <f t="shared" ca="1" si="179"/>
        <v>0</v>
      </c>
      <c r="CP65" s="1047">
        <f t="shared" ca="1" si="179"/>
        <v>0</v>
      </c>
      <c r="CQ65" s="1047">
        <f t="shared" ca="1" si="179"/>
        <v>0</v>
      </c>
      <c r="CR65" s="1047">
        <f t="shared" ca="1" si="179"/>
        <v>0</v>
      </c>
      <c r="CS65" s="1047">
        <f t="shared" ca="1" si="179"/>
        <v>0</v>
      </c>
      <c r="CT65" s="1047">
        <f t="shared" ca="1" si="179"/>
        <v>0</v>
      </c>
      <c r="CU65" s="1047">
        <f t="shared" ca="1" si="179"/>
        <v>0</v>
      </c>
      <c r="CV65" s="1047">
        <f t="shared" ca="1" si="179"/>
        <v>0</v>
      </c>
      <c r="CW65" s="1047">
        <f t="shared" ca="1" si="179"/>
        <v>0</v>
      </c>
      <c r="CX65" s="1047">
        <f t="shared" ca="1" si="179"/>
        <v>0</v>
      </c>
      <c r="CY65" s="1047">
        <f t="shared" ca="1" si="179"/>
        <v>0</v>
      </c>
      <c r="CZ65" s="1047">
        <f t="shared" ca="1" si="179"/>
        <v>0</v>
      </c>
      <c r="DA65" s="1047">
        <f t="shared" ca="1" si="179"/>
        <v>0</v>
      </c>
      <c r="DB65" s="1047">
        <f t="shared" ca="1" si="179"/>
        <v>0</v>
      </c>
      <c r="DC65" s="1047">
        <f t="shared" ca="1" si="179"/>
        <v>0</v>
      </c>
      <c r="DD65" s="1047">
        <f t="shared" ca="1" si="179"/>
        <v>0</v>
      </c>
      <c r="DE65" s="1047">
        <f t="shared" ca="1" si="179"/>
        <v>0</v>
      </c>
      <c r="DF65" s="1047">
        <f t="shared" ca="1" si="179"/>
        <v>0</v>
      </c>
      <c r="DH65" s="1048">
        <f t="shared" ca="1" si="125"/>
        <v>0</v>
      </c>
    </row>
    <row r="66" spans="1:112" s="1020" customFormat="1" ht="12.75" customHeight="1" outlineLevel="1">
      <c r="C66" s="530" t="s">
        <v>895</v>
      </c>
      <c r="D66" s="505" t="str">
        <f>INDEX(Modules[Module], MATCH($C66, Modules[Code], 0))</f>
        <v>Solar thermal</v>
      </c>
      <c r="E66" s="505"/>
      <c r="G66" s="1049">
        <f t="shared" ca="1" si="173"/>
        <v>0</v>
      </c>
      <c r="H66" s="1049">
        <f t="shared" ca="1" si="173"/>
        <v>0</v>
      </c>
      <c r="I66" s="1049">
        <f t="shared" ca="1" si="173"/>
        <v>0</v>
      </c>
      <c r="J66" s="1049">
        <f t="shared" ca="1" si="173"/>
        <v>0</v>
      </c>
      <c r="K66" s="1050">
        <f t="shared" ca="1" si="173"/>
        <v>0</v>
      </c>
      <c r="L66" s="1049">
        <f t="shared" ca="1" si="173"/>
        <v>0</v>
      </c>
      <c r="M66" s="1049">
        <f t="shared" ca="1" si="173"/>
        <v>0</v>
      </c>
      <c r="N66" s="1049">
        <f t="shared" ca="1" si="173"/>
        <v>0</v>
      </c>
      <c r="O66" s="1049">
        <f t="shared" ca="1" si="173"/>
        <v>0</v>
      </c>
      <c r="P66" s="1049">
        <f t="shared" ca="1" si="173"/>
        <v>0</v>
      </c>
      <c r="Q66" s="638">
        <f ca="1">SUM(G66:P66)</f>
        <v>0</v>
      </c>
      <c r="S66" s="1051">
        <f t="shared" ca="1" si="174"/>
        <v>0</v>
      </c>
      <c r="T66" s="1051">
        <f t="shared" ca="1" si="174"/>
        <v>0</v>
      </c>
      <c r="U66" s="1051">
        <f t="shared" ca="1" si="174"/>
        <v>0</v>
      </c>
      <c r="V66" s="1051">
        <f t="shared" ca="1" si="174"/>
        <v>0</v>
      </c>
      <c r="W66" s="1051">
        <f t="shared" ca="1" si="174"/>
        <v>0</v>
      </c>
      <c r="X66" s="1051">
        <f t="shared" ca="1" si="175"/>
        <v>0</v>
      </c>
      <c r="Y66" s="1051">
        <f t="shared" ca="1" si="175"/>
        <v>0</v>
      </c>
      <c r="Z66" s="1051">
        <f t="shared" ca="1" si="175"/>
        <v>0</v>
      </c>
      <c r="AA66" s="1051">
        <f t="shared" ca="1" si="174"/>
        <v>0</v>
      </c>
      <c r="AB66" s="1051">
        <f t="shared" ca="1" si="174"/>
        <v>0</v>
      </c>
      <c r="AC66" s="1051">
        <f t="shared" ca="1" si="174"/>
        <v>0</v>
      </c>
      <c r="AD66" s="1051">
        <f t="shared" ca="1" si="174"/>
        <v>0</v>
      </c>
      <c r="AE66" s="1051">
        <f t="shared" ca="1" si="174"/>
        <v>0</v>
      </c>
      <c r="AF66" s="1051">
        <f t="shared" ca="1" si="174"/>
        <v>0</v>
      </c>
      <c r="AG66" s="1051">
        <f t="shared" ca="1" si="174"/>
        <v>0</v>
      </c>
      <c r="AH66" s="1051">
        <f t="shared" ca="1" si="174"/>
        <v>0</v>
      </c>
      <c r="AI66" s="1051">
        <f t="shared" ca="1" si="174"/>
        <v>0</v>
      </c>
      <c r="AJ66" s="1051">
        <f t="shared" ca="1" si="174"/>
        <v>0</v>
      </c>
      <c r="AK66" s="647">
        <f ca="1">SUM(S66:AJ66)</f>
        <v>0</v>
      </c>
      <c r="AM66" s="1052">
        <f t="shared" ca="1" si="176"/>
        <v>0</v>
      </c>
      <c r="AN66" s="1052">
        <f t="shared" ca="1" si="176"/>
        <v>0</v>
      </c>
      <c r="AO66" s="1052">
        <f t="shared" ca="1" si="176"/>
        <v>0</v>
      </c>
      <c r="AP66" s="1052">
        <f t="shared" ca="1" si="176"/>
        <v>0</v>
      </c>
      <c r="AQ66" s="1052">
        <f t="shared" ca="1" si="176"/>
        <v>0</v>
      </c>
      <c r="AR66" s="1052">
        <f t="shared" ca="1" si="176"/>
        <v>0</v>
      </c>
      <c r="AS66" s="1052">
        <f t="shared" ca="1" si="176"/>
        <v>0</v>
      </c>
      <c r="AT66" s="1052">
        <f t="shared" ca="1" si="176"/>
        <v>0</v>
      </c>
      <c r="AU66" s="1052">
        <f t="shared" ca="1" si="176"/>
        <v>0</v>
      </c>
      <c r="AV66" s="1052">
        <f t="shared" ca="1" si="174"/>
        <v>0</v>
      </c>
      <c r="AW66" s="1052">
        <f t="shared" ca="1" si="174"/>
        <v>0</v>
      </c>
      <c r="AX66" s="1052">
        <f t="shared" ca="1" si="174"/>
        <v>0</v>
      </c>
      <c r="AY66" s="1052">
        <f t="shared" ca="1" si="174"/>
        <v>0</v>
      </c>
      <c r="AZ66" s="1052">
        <f t="shared" ca="1" si="174"/>
        <v>0</v>
      </c>
      <c r="BA66" s="1052">
        <f t="shared" ca="1" si="174"/>
        <v>0</v>
      </c>
      <c r="BB66" s="1052">
        <f t="shared" ca="1" si="174"/>
        <v>0</v>
      </c>
      <c r="BC66" s="1052">
        <f t="shared" ca="1" si="174"/>
        <v>0</v>
      </c>
      <c r="BD66" s="1052">
        <f t="shared" ca="1" si="174"/>
        <v>0</v>
      </c>
      <c r="BE66" s="1052">
        <f t="shared" ca="1" si="174"/>
        <v>0</v>
      </c>
      <c r="BF66" s="654">
        <f ca="1">SUM(AM66:BE66)</f>
        <v>0</v>
      </c>
      <c r="BH66" s="1053">
        <f t="shared" ca="1" si="177"/>
        <v>0</v>
      </c>
      <c r="BI66" s="1053">
        <f t="shared" ca="1" si="177"/>
        <v>0</v>
      </c>
      <c r="BJ66" s="667">
        <f ca="1">SUM(BH66:BI66)</f>
        <v>0</v>
      </c>
      <c r="BL66" s="562">
        <f t="shared" ca="1" si="178"/>
        <v>0</v>
      </c>
      <c r="BM66" s="562"/>
      <c r="BO66" s="1047">
        <f t="shared" ca="1" si="179"/>
        <v>0</v>
      </c>
      <c r="BP66" s="1047">
        <f t="shared" ca="1" si="179"/>
        <v>0</v>
      </c>
      <c r="BQ66" s="1047">
        <f t="shared" ca="1" si="179"/>
        <v>0</v>
      </c>
      <c r="BR66" s="1047">
        <f t="shared" ca="1" si="179"/>
        <v>0</v>
      </c>
      <c r="BS66" s="1047">
        <f t="shared" ca="1" si="179"/>
        <v>0</v>
      </c>
      <c r="BT66" s="1047">
        <f t="shared" ca="1" si="179"/>
        <v>0</v>
      </c>
      <c r="BU66" s="1047">
        <f t="shared" ca="1" si="179"/>
        <v>0</v>
      </c>
      <c r="BV66" s="1047">
        <f t="shared" ca="1" si="179"/>
        <v>0</v>
      </c>
      <c r="BW66" s="1047">
        <f t="shared" ca="1" si="179"/>
        <v>0</v>
      </c>
      <c r="BX66" s="1047">
        <f t="shared" ca="1" si="179"/>
        <v>0</v>
      </c>
      <c r="BY66" s="1047">
        <f t="shared" ca="1" si="179"/>
        <v>0</v>
      </c>
      <c r="BZ66" s="1047">
        <f t="shared" ca="1" si="179"/>
        <v>0</v>
      </c>
      <c r="CA66" s="1047">
        <f t="shared" ca="1" si="179"/>
        <v>0</v>
      </c>
      <c r="CB66" s="1047">
        <f t="shared" ca="1" si="179"/>
        <v>0</v>
      </c>
      <c r="CC66" s="1047">
        <f t="shared" ca="1" si="179"/>
        <v>0</v>
      </c>
      <c r="CD66" s="1047">
        <f t="shared" ca="1" si="179"/>
        <v>0</v>
      </c>
      <c r="CE66" s="1047">
        <f t="shared" ca="1" si="179"/>
        <v>0</v>
      </c>
      <c r="CF66" s="1047">
        <f t="shared" ca="1" si="179"/>
        <v>0</v>
      </c>
      <c r="CG66" s="1047">
        <f t="shared" ca="1" si="179"/>
        <v>0</v>
      </c>
      <c r="CH66" s="1047">
        <f t="shared" ca="1" si="179"/>
        <v>0</v>
      </c>
      <c r="CI66" s="1047">
        <f t="shared" ca="1" si="179"/>
        <v>0</v>
      </c>
      <c r="CJ66" s="1047">
        <f t="shared" ca="1" si="179"/>
        <v>0</v>
      </c>
      <c r="CK66" s="1047">
        <f t="shared" ca="1" si="179"/>
        <v>0</v>
      </c>
      <c r="CL66" s="1047">
        <f t="shared" ca="1" si="179"/>
        <v>0</v>
      </c>
      <c r="CM66" s="1047">
        <f t="shared" ca="1" si="179"/>
        <v>0</v>
      </c>
      <c r="CN66" s="1047">
        <f t="shared" ca="1" si="179"/>
        <v>0</v>
      </c>
      <c r="CO66" s="1047">
        <f t="shared" ca="1" si="179"/>
        <v>0</v>
      </c>
      <c r="CP66" s="1047">
        <f t="shared" ca="1" si="179"/>
        <v>0</v>
      </c>
      <c r="CQ66" s="1047">
        <f t="shared" ca="1" si="179"/>
        <v>0</v>
      </c>
      <c r="CR66" s="1047">
        <f t="shared" ca="1" si="179"/>
        <v>0</v>
      </c>
      <c r="CS66" s="1047">
        <f t="shared" ca="1" si="179"/>
        <v>0</v>
      </c>
      <c r="CT66" s="1047">
        <f t="shared" ca="1" si="179"/>
        <v>0</v>
      </c>
      <c r="CU66" s="1047">
        <f t="shared" ca="1" si="179"/>
        <v>0</v>
      </c>
      <c r="CV66" s="1047">
        <f t="shared" ca="1" si="179"/>
        <v>0</v>
      </c>
      <c r="CW66" s="1047">
        <f t="shared" ca="1" si="179"/>
        <v>0</v>
      </c>
      <c r="CX66" s="1047">
        <f t="shared" ca="1" si="179"/>
        <v>0</v>
      </c>
      <c r="CY66" s="1047">
        <f t="shared" ca="1" si="179"/>
        <v>0</v>
      </c>
      <c r="CZ66" s="1047">
        <f t="shared" ca="1" si="179"/>
        <v>0</v>
      </c>
      <c r="DA66" s="1047">
        <f t="shared" ca="1" si="179"/>
        <v>0</v>
      </c>
      <c r="DB66" s="1047">
        <f t="shared" ca="1" si="179"/>
        <v>0</v>
      </c>
      <c r="DC66" s="1047">
        <f t="shared" ca="1" si="179"/>
        <v>0</v>
      </c>
      <c r="DD66" s="1047">
        <f t="shared" ca="1" si="179"/>
        <v>0</v>
      </c>
      <c r="DE66" s="1047">
        <f t="shared" ca="1" si="179"/>
        <v>0</v>
      </c>
      <c r="DF66" s="1047">
        <f t="shared" ca="1" si="179"/>
        <v>0</v>
      </c>
      <c r="DH66" s="1048">
        <f t="shared" ca="1" si="125"/>
        <v>0</v>
      </c>
    </row>
    <row r="67" spans="1:112" s="1020" customFormat="1" ht="12.75" customHeight="1" outlineLevel="1">
      <c r="C67" s="530" t="s">
        <v>990</v>
      </c>
      <c r="D67" s="684" t="str">
        <f>INDEX(Modules[Module], MATCH($C67, Modules[Code], 0))</f>
        <v>Small-scale wind</v>
      </c>
      <c r="E67" s="684"/>
      <c r="F67" s="528"/>
      <c r="G67" s="696">
        <f t="shared" ca="1" si="173"/>
        <v>0</v>
      </c>
      <c r="H67" s="696">
        <f t="shared" ca="1" si="173"/>
        <v>0</v>
      </c>
      <c r="I67" s="696">
        <f t="shared" ca="1" si="173"/>
        <v>0</v>
      </c>
      <c r="J67" s="696">
        <f t="shared" ca="1" si="173"/>
        <v>0</v>
      </c>
      <c r="K67" s="696">
        <f t="shared" ca="1" si="173"/>
        <v>0</v>
      </c>
      <c r="L67" s="696">
        <f t="shared" ca="1" si="173"/>
        <v>0</v>
      </c>
      <c r="M67" s="696">
        <f t="shared" ca="1" si="173"/>
        <v>0</v>
      </c>
      <c r="N67" s="696">
        <f t="shared" ca="1" si="173"/>
        <v>0</v>
      </c>
      <c r="O67" s="696">
        <f t="shared" ca="1" si="173"/>
        <v>0</v>
      </c>
      <c r="P67" s="696">
        <f t="shared" ca="1" si="173"/>
        <v>0</v>
      </c>
      <c r="Q67" s="694">
        <f ca="1">SUM(G67:P67)</f>
        <v>0</v>
      </c>
      <c r="R67" s="528"/>
      <c r="S67" s="705">
        <f t="shared" ca="1" si="174"/>
        <v>0</v>
      </c>
      <c r="T67" s="705">
        <f t="shared" ca="1" si="174"/>
        <v>0</v>
      </c>
      <c r="U67" s="705">
        <f t="shared" ca="1" si="174"/>
        <v>0</v>
      </c>
      <c r="V67" s="705">
        <f t="shared" ca="1" si="174"/>
        <v>0</v>
      </c>
      <c r="W67" s="705">
        <f t="shared" ca="1" si="174"/>
        <v>0</v>
      </c>
      <c r="X67" s="705">
        <f t="shared" ca="1" si="175"/>
        <v>0</v>
      </c>
      <c r="Y67" s="705">
        <f t="shared" ca="1" si="175"/>
        <v>0</v>
      </c>
      <c r="Z67" s="705">
        <f t="shared" ca="1" si="175"/>
        <v>0</v>
      </c>
      <c r="AA67" s="705">
        <f t="shared" ca="1" si="174"/>
        <v>0</v>
      </c>
      <c r="AB67" s="705">
        <f t="shared" ca="1" si="174"/>
        <v>0</v>
      </c>
      <c r="AC67" s="705">
        <f t="shared" ca="1" si="174"/>
        <v>0</v>
      </c>
      <c r="AD67" s="705">
        <f t="shared" ca="1" si="174"/>
        <v>0</v>
      </c>
      <c r="AE67" s="705">
        <f t="shared" ca="1" si="174"/>
        <v>0</v>
      </c>
      <c r="AF67" s="705">
        <f t="shared" ca="1" si="174"/>
        <v>0</v>
      </c>
      <c r="AG67" s="705">
        <f t="shared" ca="1" si="174"/>
        <v>0</v>
      </c>
      <c r="AH67" s="705">
        <f t="shared" ca="1" si="174"/>
        <v>0</v>
      </c>
      <c r="AI67" s="705">
        <f t="shared" ca="1" si="174"/>
        <v>0</v>
      </c>
      <c r="AJ67" s="705">
        <f t="shared" ca="1" si="174"/>
        <v>0</v>
      </c>
      <c r="AK67" s="704">
        <f ca="1">SUM(S67:AJ67)</f>
        <v>0</v>
      </c>
      <c r="AL67" s="528"/>
      <c r="AM67" s="716">
        <f t="shared" ca="1" si="176"/>
        <v>0</v>
      </c>
      <c r="AN67" s="716">
        <f t="shared" ca="1" si="176"/>
        <v>0</v>
      </c>
      <c r="AO67" s="716">
        <f t="shared" ca="1" si="176"/>
        <v>0</v>
      </c>
      <c r="AP67" s="716">
        <f t="shared" ca="1" si="176"/>
        <v>0</v>
      </c>
      <c r="AQ67" s="716">
        <f t="shared" ca="1" si="176"/>
        <v>0</v>
      </c>
      <c r="AR67" s="716">
        <f t="shared" ca="1" si="176"/>
        <v>0</v>
      </c>
      <c r="AS67" s="716">
        <f t="shared" ca="1" si="176"/>
        <v>0</v>
      </c>
      <c r="AT67" s="716">
        <f t="shared" ca="1" si="176"/>
        <v>0</v>
      </c>
      <c r="AU67" s="716">
        <f t="shared" ca="1" si="176"/>
        <v>0</v>
      </c>
      <c r="AV67" s="716">
        <f t="shared" ca="1" si="174"/>
        <v>0</v>
      </c>
      <c r="AW67" s="716">
        <f t="shared" ca="1" si="174"/>
        <v>0</v>
      </c>
      <c r="AX67" s="716">
        <f t="shared" ca="1" si="174"/>
        <v>0</v>
      </c>
      <c r="AY67" s="716">
        <f t="shared" ca="1" si="174"/>
        <v>0</v>
      </c>
      <c r="AZ67" s="716">
        <f t="shared" ca="1" si="174"/>
        <v>0</v>
      </c>
      <c r="BA67" s="716">
        <f t="shared" ca="1" si="174"/>
        <v>0</v>
      </c>
      <c r="BB67" s="716">
        <f t="shared" ca="1" si="174"/>
        <v>0</v>
      </c>
      <c r="BC67" s="716">
        <f t="shared" ca="1" si="174"/>
        <v>0</v>
      </c>
      <c r="BD67" s="716">
        <f t="shared" ca="1" si="174"/>
        <v>0</v>
      </c>
      <c r="BE67" s="716">
        <f t="shared" ca="1" si="174"/>
        <v>0</v>
      </c>
      <c r="BF67" s="686">
        <f ca="1">SUM(AM67:BE67)</f>
        <v>0</v>
      </c>
      <c r="BG67" s="528"/>
      <c r="BH67" s="710">
        <f t="shared" ca="1" si="177"/>
        <v>0</v>
      </c>
      <c r="BI67" s="710">
        <f t="shared" ca="1" si="177"/>
        <v>0</v>
      </c>
      <c r="BJ67" s="709">
        <f ca="1">SUM(BH67:BI67)</f>
        <v>0</v>
      </c>
      <c r="BK67" s="528"/>
      <c r="BL67" s="562">
        <f t="shared" ca="1" si="178"/>
        <v>0</v>
      </c>
      <c r="BM67" s="562"/>
      <c r="BN67" s="574"/>
      <c r="BO67" s="1021">
        <f t="shared" ca="1" si="179"/>
        <v>0</v>
      </c>
      <c r="BP67" s="1022">
        <f t="shared" ca="1" si="179"/>
        <v>0</v>
      </c>
      <c r="BQ67" s="1022">
        <f t="shared" ca="1" si="179"/>
        <v>0</v>
      </c>
      <c r="BR67" s="1022">
        <f t="shared" ca="1" si="179"/>
        <v>0</v>
      </c>
      <c r="BS67" s="1022">
        <f t="shared" ca="1" si="179"/>
        <v>0</v>
      </c>
      <c r="BT67" s="1022">
        <f t="shared" ca="1" si="179"/>
        <v>0</v>
      </c>
      <c r="BU67" s="1022">
        <f t="shared" ca="1" si="179"/>
        <v>0</v>
      </c>
      <c r="BV67" s="1022">
        <f t="shared" ca="1" si="179"/>
        <v>0</v>
      </c>
      <c r="BW67" s="1022">
        <f t="shared" ca="1" si="179"/>
        <v>0</v>
      </c>
      <c r="BX67" s="1022">
        <f t="shared" ca="1" si="179"/>
        <v>0</v>
      </c>
      <c r="BY67" s="1022">
        <f t="shared" ca="1" si="179"/>
        <v>0</v>
      </c>
      <c r="BZ67" s="1022">
        <f t="shared" ca="1" si="179"/>
        <v>0</v>
      </c>
      <c r="CA67" s="1022">
        <f t="shared" ca="1" si="179"/>
        <v>0</v>
      </c>
      <c r="CB67" s="1022">
        <f t="shared" ca="1" si="179"/>
        <v>0</v>
      </c>
      <c r="CC67" s="1022">
        <f t="shared" ca="1" si="179"/>
        <v>0</v>
      </c>
      <c r="CD67" s="1022">
        <f t="shared" ca="1" si="179"/>
        <v>0</v>
      </c>
      <c r="CE67" s="1022">
        <f t="shared" ca="1" si="179"/>
        <v>0</v>
      </c>
      <c r="CF67" s="1022">
        <f t="shared" ca="1" si="179"/>
        <v>0</v>
      </c>
      <c r="CG67" s="1022">
        <f t="shared" ca="1" si="179"/>
        <v>0</v>
      </c>
      <c r="CH67" s="1022">
        <f t="shared" ca="1" si="179"/>
        <v>0</v>
      </c>
      <c r="CI67" s="1022">
        <f t="shared" ca="1" si="179"/>
        <v>0</v>
      </c>
      <c r="CJ67" s="1022">
        <f t="shared" ca="1" si="179"/>
        <v>0</v>
      </c>
      <c r="CK67" s="1022">
        <f t="shared" ca="1" si="179"/>
        <v>0</v>
      </c>
      <c r="CL67" s="1022">
        <f t="shared" ca="1" si="179"/>
        <v>0</v>
      </c>
      <c r="CM67" s="1022">
        <f t="shared" ca="1" si="179"/>
        <v>0</v>
      </c>
      <c r="CN67" s="1022">
        <f t="shared" ca="1" si="179"/>
        <v>0</v>
      </c>
      <c r="CO67" s="1022">
        <f t="shared" ca="1" si="179"/>
        <v>0</v>
      </c>
      <c r="CP67" s="1022">
        <f t="shared" ca="1" si="179"/>
        <v>0</v>
      </c>
      <c r="CQ67" s="1022">
        <f t="shared" ca="1" si="179"/>
        <v>0</v>
      </c>
      <c r="CR67" s="1022">
        <f t="shared" ca="1" si="179"/>
        <v>0</v>
      </c>
      <c r="CS67" s="1022">
        <f t="shared" ca="1" si="179"/>
        <v>0</v>
      </c>
      <c r="CT67" s="1022">
        <f t="shared" ca="1" si="179"/>
        <v>0</v>
      </c>
      <c r="CU67" s="1022">
        <f t="shared" ca="1" si="179"/>
        <v>0</v>
      </c>
      <c r="CV67" s="1022">
        <f t="shared" ca="1" si="179"/>
        <v>0</v>
      </c>
      <c r="CW67" s="1022">
        <f t="shared" ca="1" si="179"/>
        <v>0</v>
      </c>
      <c r="CX67" s="1022">
        <f t="shared" ca="1" si="179"/>
        <v>0</v>
      </c>
      <c r="CY67" s="1022">
        <f t="shared" ca="1" si="179"/>
        <v>0</v>
      </c>
      <c r="CZ67" s="1022">
        <f t="shared" ca="1" si="179"/>
        <v>0</v>
      </c>
      <c r="DA67" s="1022">
        <f t="shared" ca="1" si="179"/>
        <v>0</v>
      </c>
      <c r="DB67" s="1022">
        <f t="shared" ca="1" si="179"/>
        <v>0</v>
      </c>
      <c r="DC67" s="1022">
        <f t="shared" ca="1" si="179"/>
        <v>0</v>
      </c>
      <c r="DD67" s="1022">
        <f t="shared" ca="1" si="179"/>
        <v>0</v>
      </c>
      <c r="DE67" s="1022">
        <f t="shared" ca="1" si="179"/>
        <v>0</v>
      </c>
      <c r="DF67" s="1022">
        <f t="shared" ca="1" si="179"/>
        <v>0</v>
      </c>
      <c r="DH67" s="572">
        <f t="shared" ca="1" si="125"/>
        <v>0</v>
      </c>
    </row>
    <row r="68" spans="1:112" s="528" customFormat="1" ht="15">
      <c r="A68" s="18"/>
      <c r="B68" s="533"/>
      <c r="C68" s="529" t="s">
        <v>71</v>
      </c>
      <c r="D68" s="501" t="str">
        <f>INDEX(Workstreams[Workstream], MATCH($C68, Workstreams[Code], 0))</f>
        <v>Distributed renewable power generation</v>
      </c>
      <c r="E68" s="497"/>
      <c r="G68" s="695">
        <f ca="1">SUM(G65:G67)</f>
        <v>0</v>
      </c>
      <c r="H68" s="695">
        <f t="shared" ref="H68:P68" ca="1" si="180">SUM(H65:H67)</f>
        <v>0</v>
      </c>
      <c r="I68" s="695">
        <f t="shared" ca="1" si="180"/>
        <v>0</v>
      </c>
      <c r="J68" s="695">
        <f t="shared" ca="1" si="180"/>
        <v>0</v>
      </c>
      <c r="K68" s="695">
        <f t="shared" ca="1" si="180"/>
        <v>0</v>
      </c>
      <c r="L68" s="695">
        <f t="shared" ca="1" si="180"/>
        <v>0</v>
      </c>
      <c r="M68" s="695">
        <f t="shared" ca="1" si="180"/>
        <v>0</v>
      </c>
      <c r="N68" s="695">
        <f t="shared" ca="1" si="180"/>
        <v>0</v>
      </c>
      <c r="O68" s="695">
        <f t="shared" ca="1" si="180"/>
        <v>0</v>
      </c>
      <c r="P68" s="695">
        <f t="shared" ca="1" si="180"/>
        <v>0</v>
      </c>
      <c r="Q68" s="695">
        <f ca="1">SUM(G68:P68)</f>
        <v>0</v>
      </c>
      <c r="S68" s="645">
        <f t="shared" ref="S68:AJ68" ca="1" si="181">SUM(S65:S67)</f>
        <v>0</v>
      </c>
      <c r="T68" s="645">
        <f t="shared" ca="1" si="181"/>
        <v>0</v>
      </c>
      <c r="U68" s="645">
        <f t="shared" ca="1" si="181"/>
        <v>0</v>
      </c>
      <c r="V68" s="645">
        <f t="shared" ca="1" si="181"/>
        <v>0</v>
      </c>
      <c r="W68" s="645">
        <f t="shared" ca="1" si="181"/>
        <v>0</v>
      </c>
      <c r="X68" s="645">
        <f t="shared" ca="1" si="181"/>
        <v>0</v>
      </c>
      <c r="Y68" s="645">
        <f t="shared" ca="1" si="181"/>
        <v>0</v>
      </c>
      <c r="Z68" s="645">
        <f t="shared" ca="1" si="181"/>
        <v>0</v>
      </c>
      <c r="AA68" s="645">
        <f t="shared" ca="1" si="181"/>
        <v>0</v>
      </c>
      <c r="AB68" s="645">
        <f t="shared" ca="1" si="181"/>
        <v>0</v>
      </c>
      <c r="AC68" s="645">
        <f t="shared" ca="1" si="181"/>
        <v>0</v>
      </c>
      <c r="AD68" s="645">
        <f t="shared" ca="1" si="181"/>
        <v>0</v>
      </c>
      <c r="AE68" s="645">
        <f ca="1">SUM(AE65:AE67)</f>
        <v>0</v>
      </c>
      <c r="AF68" s="645">
        <f t="shared" ca="1" si="181"/>
        <v>0</v>
      </c>
      <c r="AG68" s="645">
        <f t="shared" ca="1" si="181"/>
        <v>0</v>
      </c>
      <c r="AH68" s="645">
        <f ca="1">SUM(AH65:AH67)</f>
        <v>0</v>
      </c>
      <c r="AI68" s="645">
        <f t="shared" ca="1" si="181"/>
        <v>0</v>
      </c>
      <c r="AJ68" s="645">
        <f t="shared" ca="1" si="181"/>
        <v>0</v>
      </c>
      <c r="AK68" s="645">
        <f ca="1">SUM(S68:AJ68)</f>
        <v>0</v>
      </c>
      <c r="AM68" s="651">
        <f t="shared" ref="AM68:BE68" ca="1" si="182">SUM(AM65:AM67)</f>
        <v>0</v>
      </c>
      <c r="AN68" s="651">
        <f t="shared" ca="1" si="182"/>
        <v>0</v>
      </c>
      <c r="AO68" s="651">
        <f t="shared" ca="1" si="182"/>
        <v>0</v>
      </c>
      <c r="AP68" s="651">
        <f t="shared" ca="1" si="182"/>
        <v>0</v>
      </c>
      <c r="AQ68" s="651">
        <f t="shared" ca="1" si="182"/>
        <v>0</v>
      </c>
      <c r="AR68" s="651">
        <f t="shared" ca="1" si="182"/>
        <v>0</v>
      </c>
      <c r="AS68" s="651">
        <f t="shared" ca="1" si="182"/>
        <v>0</v>
      </c>
      <c r="AT68" s="651">
        <f t="shared" ca="1" si="182"/>
        <v>0</v>
      </c>
      <c r="AU68" s="651">
        <f t="shared" ca="1" si="182"/>
        <v>0</v>
      </c>
      <c r="AV68" s="651">
        <f t="shared" ca="1" si="182"/>
        <v>0</v>
      </c>
      <c r="AW68" s="651">
        <f t="shared" ca="1" si="182"/>
        <v>0</v>
      </c>
      <c r="AX68" s="651">
        <f t="shared" ca="1" si="182"/>
        <v>0</v>
      </c>
      <c r="AY68" s="651">
        <f t="shared" ca="1" si="182"/>
        <v>0</v>
      </c>
      <c r="AZ68" s="651">
        <f t="shared" ca="1" si="182"/>
        <v>0</v>
      </c>
      <c r="BA68" s="651">
        <f t="shared" ca="1" si="182"/>
        <v>0</v>
      </c>
      <c r="BB68" s="651">
        <f t="shared" ca="1" si="182"/>
        <v>0</v>
      </c>
      <c r="BC68" s="651">
        <f t="shared" ca="1" si="182"/>
        <v>0</v>
      </c>
      <c r="BD68" s="651">
        <f t="shared" ca="1" si="182"/>
        <v>0</v>
      </c>
      <c r="BE68" s="651">
        <f t="shared" ca="1" si="182"/>
        <v>0</v>
      </c>
      <c r="BF68" s="651">
        <f ca="1">SUM(AM68:BE68)</f>
        <v>0</v>
      </c>
      <c r="BH68" s="665">
        <f ca="1">SUM(BH65:BH67)</f>
        <v>0</v>
      </c>
      <c r="BI68" s="665">
        <f ca="1">SUM(BI65:BI67)</f>
        <v>0</v>
      </c>
      <c r="BJ68" s="665">
        <f ca="1">SUM(BH68:BI68)</f>
        <v>0</v>
      </c>
      <c r="BL68" s="499">
        <f t="shared" ca="1" si="178"/>
        <v>0</v>
      </c>
      <c r="BM68" s="499"/>
      <c r="BN68" s="574"/>
      <c r="BO68" s="1018">
        <f ca="1">SUM(BO65:BO67)</f>
        <v>0</v>
      </c>
      <c r="BP68" s="1018">
        <f t="shared" ref="BP68:DF68" ca="1" si="183">SUM(BP65:BP67)</f>
        <v>0</v>
      </c>
      <c r="BQ68" s="1018">
        <f t="shared" ca="1" si="183"/>
        <v>0</v>
      </c>
      <c r="BR68" s="1018">
        <f t="shared" ca="1" si="183"/>
        <v>0</v>
      </c>
      <c r="BS68" s="1018">
        <f t="shared" ca="1" si="183"/>
        <v>0</v>
      </c>
      <c r="BT68" s="1018">
        <f t="shared" ca="1" si="183"/>
        <v>0</v>
      </c>
      <c r="BU68" s="1018">
        <f t="shared" ca="1" si="183"/>
        <v>0</v>
      </c>
      <c r="BV68" s="1018">
        <f t="shared" ca="1" si="183"/>
        <v>0</v>
      </c>
      <c r="BW68" s="1018">
        <f t="shared" ca="1" si="183"/>
        <v>0</v>
      </c>
      <c r="BX68" s="1018">
        <f t="shared" ca="1" si="183"/>
        <v>0</v>
      </c>
      <c r="BY68" s="1018">
        <f t="shared" ca="1" si="183"/>
        <v>0</v>
      </c>
      <c r="BZ68" s="1018">
        <f t="shared" ca="1" si="183"/>
        <v>0</v>
      </c>
      <c r="CA68" s="1018">
        <f t="shared" ca="1" si="183"/>
        <v>0</v>
      </c>
      <c r="CB68" s="1018">
        <f t="shared" ca="1" si="183"/>
        <v>0</v>
      </c>
      <c r="CC68" s="1018">
        <f t="shared" ca="1" si="183"/>
        <v>0</v>
      </c>
      <c r="CD68" s="1018">
        <f t="shared" ca="1" si="183"/>
        <v>0</v>
      </c>
      <c r="CE68" s="1018">
        <f t="shared" ca="1" si="183"/>
        <v>0</v>
      </c>
      <c r="CF68" s="1018">
        <f t="shared" ca="1" si="183"/>
        <v>0</v>
      </c>
      <c r="CG68" s="1018">
        <f t="shared" ca="1" si="183"/>
        <v>0</v>
      </c>
      <c r="CH68" s="1018">
        <f t="shared" ca="1" si="183"/>
        <v>0</v>
      </c>
      <c r="CI68" s="1018">
        <f t="shared" ca="1" si="183"/>
        <v>0</v>
      </c>
      <c r="CJ68" s="1018">
        <f t="shared" ca="1" si="183"/>
        <v>0</v>
      </c>
      <c r="CK68" s="1018">
        <f t="shared" ca="1" si="183"/>
        <v>0</v>
      </c>
      <c r="CL68" s="1018">
        <f t="shared" ca="1" si="183"/>
        <v>0</v>
      </c>
      <c r="CM68" s="1018">
        <f t="shared" ca="1" si="183"/>
        <v>0</v>
      </c>
      <c r="CN68" s="1018">
        <f t="shared" ca="1" si="183"/>
        <v>0</v>
      </c>
      <c r="CO68" s="1018">
        <f t="shared" ca="1" si="183"/>
        <v>0</v>
      </c>
      <c r="CP68" s="1018">
        <f t="shared" ca="1" si="183"/>
        <v>0</v>
      </c>
      <c r="CQ68" s="1018">
        <f t="shared" ca="1" si="183"/>
        <v>0</v>
      </c>
      <c r="CR68" s="1018">
        <f t="shared" ca="1" si="183"/>
        <v>0</v>
      </c>
      <c r="CS68" s="1018">
        <f t="shared" ca="1" si="183"/>
        <v>0</v>
      </c>
      <c r="CT68" s="1018">
        <f t="shared" ca="1" si="183"/>
        <v>0</v>
      </c>
      <c r="CU68" s="1018">
        <f t="shared" ca="1" si="183"/>
        <v>0</v>
      </c>
      <c r="CV68" s="1018">
        <f t="shared" ca="1" si="183"/>
        <v>0</v>
      </c>
      <c r="CW68" s="1018">
        <f t="shared" ca="1" si="183"/>
        <v>0</v>
      </c>
      <c r="CX68" s="1018">
        <f t="shared" ca="1" si="183"/>
        <v>0</v>
      </c>
      <c r="CY68" s="1018">
        <f t="shared" ca="1" si="183"/>
        <v>0</v>
      </c>
      <c r="CZ68" s="1018">
        <f t="shared" ca="1" si="183"/>
        <v>0</v>
      </c>
      <c r="DA68" s="1018">
        <f t="shared" ca="1" si="183"/>
        <v>0</v>
      </c>
      <c r="DB68" s="1018">
        <f t="shared" ca="1" si="183"/>
        <v>0</v>
      </c>
      <c r="DC68" s="1018">
        <f t="shared" ca="1" si="183"/>
        <v>0</v>
      </c>
      <c r="DD68" s="1018">
        <f t="shared" ca="1" si="183"/>
        <v>0</v>
      </c>
      <c r="DE68" s="1018">
        <f t="shared" ca="1" si="183"/>
        <v>0</v>
      </c>
      <c r="DF68" s="1018">
        <f t="shared" ca="1" si="183"/>
        <v>0</v>
      </c>
      <c r="DH68" s="572">
        <f t="shared" ca="1" si="125"/>
        <v>0</v>
      </c>
    </row>
    <row r="69" spans="1:112" s="528" customFormat="1" ht="12.75" customHeight="1" outlineLevel="1">
      <c r="A69" s="18"/>
      <c r="B69" s="18"/>
      <c r="C69" s="531"/>
      <c r="D69" s="497"/>
      <c r="E69" s="497"/>
      <c r="G69" s="633"/>
      <c r="H69" s="633"/>
      <c r="I69" s="633"/>
      <c r="J69" s="633"/>
      <c r="K69" s="635"/>
      <c r="L69" s="633"/>
      <c r="M69" s="633"/>
      <c r="N69" s="633"/>
      <c r="O69" s="633"/>
      <c r="P69" s="633"/>
      <c r="Q69" s="633"/>
      <c r="S69" s="645"/>
      <c r="T69" s="645"/>
      <c r="U69" s="645"/>
      <c r="V69" s="645"/>
      <c r="W69" s="645"/>
      <c r="X69" s="645"/>
      <c r="Y69" s="645"/>
      <c r="Z69" s="645"/>
      <c r="AA69" s="645"/>
      <c r="AB69" s="645"/>
      <c r="AC69" s="645"/>
      <c r="AD69" s="645"/>
      <c r="AE69" s="645"/>
      <c r="AF69" s="645"/>
      <c r="AG69" s="645"/>
      <c r="AH69" s="645"/>
      <c r="AI69" s="645"/>
      <c r="AJ69" s="645"/>
      <c r="AK69" s="645"/>
      <c r="AM69" s="651"/>
      <c r="AN69" s="651"/>
      <c r="AO69" s="651"/>
      <c r="AP69" s="651"/>
      <c r="AQ69" s="651"/>
      <c r="AR69" s="651"/>
      <c r="AS69" s="651"/>
      <c r="AT69" s="651"/>
      <c r="AU69" s="651"/>
      <c r="AV69" s="651"/>
      <c r="AW69" s="651"/>
      <c r="AX69" s="651"/>
      <c r="AY69" s="651"/>
      <c r="AZ69" s="651"/>
      <c r="BA69" s="651"/>
      <c r="BB69" s="651"/>
      <c r="BC69" s="651"/>
      <c r="BD69" s="651"/>
      <c r="BE69" s="651"/>
      <c r="BF69" s="651"/>
      <c r="BH69" s="665"/>
      <c r="BI69" s="665"/>
      <c r="BJ69" s="665"/>
      <c r="BL69" s="499">
        <f t="shared" si="178"/>
        <v>0</v>
      </c>
      <c r="BM69" s="499"/>
      <c r="BN69" s="18"/>
      <c r="BO69" s="1018"/>
      <c r="BP69" s="1018"/>
      <c r="BQ69" s="1018"/>
      <c r="BR69" s="1018"/>
      <c r="BS69" s="1018"/>
      <c r="BT69" s="1018"/>
      <c r="BU69" s="1018"/>
      <c r="BV69" s="1018"/>
      <c r="BW69" s="1018"/>
      <c r="BX69" s="1018"/>
      <c r="BY69" s="1018"/>
      <c r="BZ69" s="1018"/>
      <c r="CA69" s="1018"/>
      <c r="CB69" s="1018"/>
      <c r="CC69" s="1018"/>
      <c r="CD69" s="1018"/>
      <c r="CE69" s="1018"/>
      <c r="CF69" s="1018"/>
      <c r="CG69" s="1018"/>
      <c r="CH69" s="1018"/>
      <c r="CI69" s="1018"/>
      <c r="CJ69" s="1018"/>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H69" s="572">
        <f t="shared" si="125"/>
        <v>0</v>
      </c>
    </row>
    <row r="70" spans="1:112" s="1027" customFormat="1" ht="12.75" customHeight="1" outlineLevel="1">
      <c r="C70" s="1034" t="s">
        <v>1008</v>
      </c>
      <c r="D70" s="1035" t="s">
        <v>905</v>
      </c>
      <c r="E70" s="1035"/>
      <c r="F70" s="1253"/>
      <c r="G70" s="736"/>
      <c r="H70" s="736"/>
      <c r="I70" s="736"/>
      <c r="J70" s="736"/>
      <c r="K70" s="737"/>
      <c r="L70" s="736"/>
      <c r="M70" s="736"/>
      <c r="N70" s="736"/>
      <c r="O70" s="736"/>
      <c r="P70" s="736"/>
      <c r="Q70" s="736"/>
      <c r="R70" s="1253"/>
      <c r="S70" s="738"/>
      <c r="T70" s="738"/>
      <c r="U70" s="738"/>
      <c r="V70" s="738"/>
      <c r="W70" s="738"/>
      <c r="X70" s="738"/>
      <c r="Y70" s="738"/>
      <c r="Z70" s="738"/>
      <c r="AA70" s="738"/>
      <c r="AB70" s="738">
        <f ca="1">AB$40+AB$46+AB$51+AB$99+AB$55+AB$63+AB$68</f>
        <v>0</v>
      </c>
      <c r="AC70" s="738"/>
      <c r="AD70" s="738"/>
      <c r="AE70" s="738"/>
      <c r="AF70" s="738"/>
      <c r="AG70" s="738"/>
      <c r="AH70" s="738"/>
      <c r="AI70" s="738"/>
      <c r="AJ70" s="738"/>
      <c r="AK70" s="738"/>
      <c r="AL70" s="1253"/>
      <c r="AM70" s="739"/>
      <c r="AN70" s="739"/>
      <c r="AO70" s="739"/>
      <c r="AP70" s="739"/>
      <c r="AQ70" s="739"/>
      <c r="AR70" s="739"/>
      <c r="AS70" s="739"/>
      <c r="AT70" s="739"/>
      <c r="AU70" s="739"/>
      <c r="AV70" s="739"/>
      <c r="AW70" s="739"/>
      <c r="AX70" s="739"/>
      <c r="AY70" s="739"/>
      <c r="AZ70" s="739"/>
      <c r="BA70" s="739"/>
      <c r="BB70" s="739"/>
      <c r="BC70" s="739"/>
      <c r="BD70" s="739"/>
      <c r="BE70" s="739"/>
      <c r="BF70" s="739"/>
      <c r="BG70" s="1253"/>
      <c r="BH70" s="740"/>
      <c r="BI70" s="740"/>
      <c r="BJ70" s="740">
        <f>SUM(BH70:BI70)</f>
        <v>0</v>
      </c>
      <c r="BK70" s="1253"/>
      <c r="BL70" s="1036">
        <f t="shared" si="178"/>
        <v>0</v>
      </c>
      <c r="BM70" s="1036"/>
      <c r="BO70" s="1259"/>
      <c r="BP70" s="1259"/>
      <c r="BQ70" s="1259"/>
      <c r="BR70" s="1259"/>
      <c r="BS70" s="1259"/>
      <c r="BT70" s="1259"/>
      <c r="BU70" s="1259"/>
      <c r="BV70" s="1259"/>
      <c r="BW70" s="1259"/>
      <c r="BX70" s="1259"/>
      <c r="BY70" s="1259"/>
      <c r="BZ70" s="1259"/>
      <c r="CA70" s="1259"/>
      <c r="CB70" s="1259"/>
      <c r="CC70" s="1259"/>
      <c r="CD70" s="1259"/>
      <c r="CE70" s="1259"/>
      <c r="CF70" s="1259"/>
      <c r="CG70" s="1259"/>
      <c r="CH70" s="1259"/>
      <c r="CI70" s="1259"/>
      <c r="CJ70" s="1259"/>
      <c r="CK70" s="1259"/>
      <c r="CL70" s="1259"/>
      <c r="CM70" s="1259"/>
      <c r="CN70" s="1259"/>
      <c r="CO70" s="1259"/>
      <c r="CP70" s="1259"/>
      <c r="CQ70" s="1259"/>
      <c r="CR70" s="1259"/>
      <c r="CS70" s="1259"/>
      <c r="CT70" s="1259"/>
      <c r="CU70" s="1259"/>
      <c r="CV70" s="1259"/>
      <c r="CW70" s="1259"/>
      <c r="CX70" s="1259"/>
      <c r="CY70" s="1259"/>
      <c r="CZ70" s="1259"/>
      <c r="DA70" s="1259"/>
      <c r="DB70" s="1259"/>
      <c r="DC70" s="1259"/>
      <c r="DD70" s="1259"/>
      <c r="DE70" s="1259"/>
      <c r="DF70" s="1259"/>
      <c r="DH70" s="1258">
        <f t="shared" si="125"/>
        <v>0</v>
      </c>
    </row>
    <row r="71" spans="1:112" s="1020" customFormat="1" ht="12.75" customHeight="1" outlineLevel="1">
      <c r="C71" s="530" t="s">
        <v>903</v>
      </c>
      <c r="D71" s="684" t="str">
        <f>INDEX(Modules[Module], MATCH($C71, Modules[Code], 0))</f>
        <v>District heating effective demand</v>
      </c>
      <c r="E71" s="684"/>
      <c r="F71" s="528"/>
      <c r="G71" s="696">
        <f t="shared" ref="G71:P71" ca="1" si="184">IFERROR(INDEX(INDIRECT($C71&amp;".Outputs["&amp;this.Year&amp;"]"), MATCH(G$5, INDIRECT($C71&amp;".Outputs[Vector]"), 0)), 0)</f>
        <v>0</v>
      </c>
      <c r="H71" s="696">
        <f t="shared" ca="1" si="184"/>
        <v>0</v>
      </c>
      <c r="I71" s="696">
        <f t="shared" ca="1" si="184"/>
        <v>0</v>
      </c>
      <c r="J71" s="696">
        <f t="shared" ca="1" si="184"/>
        <v>0</v>
      </c>
      <c r="K71" s="696">
        <f t="shared" ca="1" si="184"/>
        <v>0</v>
      </c>
      <c r="L71" s="696">
        <f t="shared" ca="1" si="184"/>
        <v>0</v>
      </c>
      <c r="M71" s="696">
        <f t="shared" ca="1" si="184"/>
        <v>0</v>
      </c>
      <c r="N71" s="696">
        <f t="shared" ca="1" si="184"/>
        <v>0</v>
      </c>
      <c r="O71" s="696">
        <f t="shared" ca="1" si="184"/>
        <v>0</v>
      </c>
      <c r="P71" s="696">
        <f t="shared" ca="1" si="184"/>
        <v>0</v>
      </c>
      <c r="Q71" s="694">
        <f ca="1">SUM(G71:P71)</f>
        <v>0</v>
      </c>
      <c r="R71" s="528"/>
      <c r="S71" s="705">
        <f t="shared" ref="S71:BE71" ca="1" si="185">IFERROR(INDEX(INDIRECT($C71&amp;".Outputs["&amp;this.Year&amp;"]"), MATCH(S$5, INDIRECT($C71&amp;".Outputs[Vector]"), 0)), 0)</f>
        <v>0</v>
      </c>
      <c r="T71" s="705">
        <f t="shared" ca="1" si="185"/>
        <v>0</v>
      </c>
      <c r="U71" s="705">
        <f t="shared" ca="1" si="185"/>
        <v>0</v>
      </c>
      <c r="V71" s="705">
        <f t="shared" ca="1" si="185"/>
        <v>0</v>
      </c>
      <c r="W71" s="705">
        <f t="shared" ca="1" si="185"/>
        <v>0</v>
      </c>
      <c r="X71" s="705">
        <f ca="1">IFERROR(INDEX(INDIRECT($C71&amp;".Outputs["&amp;this.Year&amp;"]"), MATCH(X$5, INDIRECT($C71&amp;".Outputs[Vector]"), 0)), 0)</f>
        <v>0</v>
      </c>
      <c r="Y71" s="705">
        <f ca="1">IFERROR(INDEX(INDIRECT($C71&amp;".Outputs["&amp;this.Year&amp;"]"), MATCH(Y$5, INDIRECT($C71&amp;".Outputs[Vector]"), 0)), 0)</f>
        <v>0</v>
      </c>
      <c r="Z71" s="705">
        <f ca="1">IFERROR(INDEX(INDIRECT($C71&amp;".Outputs["&amp;this.Year&amp;"]"), MATCH(Z$5, INDIRECT($C71&amp;".Outputs[Vector]"), 0)), 0)</f>
        <v>0</v>
      </c>
      <c r="AA71" s="705">
        <f t="shared" ca="1" si="185"/>
        <v>0</v>
      </c>
      <c r="AB71" s="705">
        <f t="shared" ca="1" si="185"/>
        <v>0</v>
      </c>
      <c r="AC71" s="705">
        <f t="shared" ca="1" si="185"/>
        <v>0</v>
      </c>
      <c r="AD71" s="705">
        <f t="shared" ca="1" si="185"/>
        <v>0</v>
      </c>
      <c r="AE71" s="705">
        <f t="shared" ca="1" si="185"/>
        <v>0</v>
      </c>
      <c r="AF71" s="705">
        <f t="shared" ca="1" si="185"/>
        <v>0</v>
      </c>
      <c r="AG71" s="705">
        <f t="shared" ca="1" si="185"/>
        <v>0</v>
      </c>
      <c r="AH71" s="705">
        <f t="shared" ca="1" si="185"/>
        <v>0</v>
      </c>
      <c r="AI71" s="705">
        <f t="shared" ca="1" si="185"/>
        <v>0</v>
      </c>
      <c r="AJ71" s="705">
        <f t="shared" ca="1" si="185"/>
        <v>0</v>
      </c>
      <c r="AK71" s="704">
        <f ca="1">SUM(S71:AJ71)</f>
        <v>0</v>
      </c>
      <c r="AL71" s="528"/>
      <c r="AM71" s="716">
        <f t="shared" ref="AM71:AU71" ca="1" si="186">IFERROR(INDEX(INDIRECT($C71&amp;".Outputs["&amp;this.Year&amp;"]"), MATCH(AM$5, INDIRECT($C71&amp;".Outputs[Vector]"), 0)), 0)</f>
        <v>0</v>
      </c>
      <c r="AN71" s="716">
        <f t="shared" ca="1" si="186"/>
        <v>0</v>
      </c>
      <c r="AO71" s="716">
        <f t="shared" ca="1" si="186"/>
        <v>0</v>
      </c>
      <c r="AP71" s="716">
        <f t="shared" ca="1" si="186"/>
        <v>0</v>
      </c>
      <c r="AQ71" s="716">
        <f t="shared" ca="1" si="186"/>
        <v>0</v>
      </c>
      <c r="AR71" s="716">
        <f t="shared" ca="1" si="186"/>
        <v>0</v>
      </c>
      <c r="AS71" s="716">
        <f t="shared" ca="1" si="186"/>
        <v>0</v>
      </c>
      <c r="AT71" s="716">
        <f t="shared" ca="1" si="186"/>
        <v>0</v>
      </c>
      <c r="AU71" s="716">
        <f t="shared" ca="1" si="186"/>
        <v>0</v>
      </c>
      <c r="AV71" s="716">
        <f t="shared" ca="1" si="185"/>
        <v>0</v>
      </c>
      <c r="AW71" s="716">
        <f t="shared" ca="1" si="185"/>
        <v>0</v>
      </c>
      <c r="AX71" s="716">
        <f t="shared" ca="1" si="185"/>
        <v>0</v>
      </c>
      <c r="AY71" s="716">
        <f t="shared" ca="1" si="185"/>
        <v>0</v>
      </c>
      <c r="AZ71" s="716">
        <f t="shared" ca="1" si="185"/>
        <v>0</v>
      </c>
      <c r="BA71" s="716">
        <f t="shared" ca="1" si="185"/>
        <v>0</v>
      </c>
      <c r="BB71" s="716">
        <f t="shared" ca="1" si="185"/>
        <v>0</v>
      </c>
      <c r="BC71" s="716">
        <f t="shared" ca="1" si="185"/>
        <v>0</v>
      </c>
      <c r="BD71" s="716">
        <f t="shared" ca="1" si="185"/>
        <v>0</v>
      </c>
      <c r="BE71" s="716">
        <f t="shared" ca="1" si="185"/>
        <v>0</v>
      </c>
      <c r="BF71" s="686">
        <f ca="1">SUM(AM71:BE71)</f>
        <v>0</v>
      </c>
      <c r="BG71" s="528"/>
      <c r="BH71" s="710">
        <f ca="1">IFERROR(INDEX(INDIRECT($C71&amp;".Outputs["&amp;this.Year&amp;"]"), MATCH(BH$5, INDIRECT($C71&amp;".Outputs[Vector]"), 0)), 0)</f>
        <v>0</v>
      </c>
      <c r="BI71" s="710">
        <f ca="1">IFERROR(INDEX(INDIRECT($C71&amp;".Outputs["&amp;this.Year&amp;"]"), MATCH(BI$5, INDIRECT($C71&amp;".Outputs[Vector]"), 0)), 0)</f>
        <v>0</v>
      </c>
      <c r="BJ71" s="709">
        <f ca="1">SUM(BH71:BI71)</f>
        <v>0</v>
      </c>
      <c r="BK71" s="528"/>
      <c r="BL71" s="562">
        <f ca="1">Q71+AK71+BF71+BJ71</f>
        <v>0</v>
      </c>
      <c r="BM71" s="562"/>
      <c r="BN71" s="574"/>
      <c r="BO71" s="1021">
        <f t="shared" ref="BO71:DF71" ca="1" si="187">IFERROR(SUMIFS(INDIRECT($C71&amp;".Emissions["&amp;this.Year&amp;"]"), INDIRECT($C71&amp;".Emissions[GHG]"), BO$6, INDIRECT($C71&amp;".Emissions[IPCC Sector]"), BO$5),0)</f>
        <v>0</v>
      </c>
      <c r="BP71" s="1022">
        <f t="shared" ca="1" si="187"/>
        <v>0</v>
      </c>
      <c r="BQ71" s="1022">
        <f t="shared" ca="1" si="187"/>
        <v>0</v>
      </c>
      <c r="BR71" s="1022">
        <f t="shared" ca="1" si="187"/>
        <v>0</v>
      </c>
      <c r="BS71" s="1022">
        <f t="shared" ca="1" si="187"/>
        <v>0</v>
      </c>
      <c r="BT71" s="1022">
        <f t="shared" ca="1" si="187"/>
        <v>0</v>
      </c>
      <c r="BU71" s="1022">
        <f t="shared" ca="1" si="187"/>
        <v>0</v>
      </c>
      <c r="BV71" s="1022">
        <f t="shared" ca="1" si="187"/>
        <v>0</v>
      </c>
      <c r="BW71" s="1022">
        <f t="shared" ca="1" si="187"/>
        <v>0</v>
      </c>
      <c r="BX71" s="1022">
        <f t="shared" ca="1" si="187"/>
        <v>0</v>
      </c>
      <c r="BY71" s="1022">
        <f t="shared" ca="1" si="187"/>
        <v>0</v>
      </c>
      <c r="BZ71" s="1022">
        <f t="shared" ca="1" si="187"/>
        <v>0</v>
      </c>
      <c r="CA71" s="1022">
        <f t="shared" ca="1" si="187"/>
        <v>0</v>
      </c>
      <c r="CB71" s="1022">
        <f t="shared" ca="1" si="187"/>
        <v>0</v>
      </c>
      <c r="CC71" s="1022">
        <f t="shared" ca="1" si="187"/>
        <v>0</v>
      </c>
      <c r="CD71" s="1022">
        <f t="shared" ca="1" si="187"/>
        <v>0</v>
      </c>
      <c r="CE71" s="1022">
        <f t="shared" ca="1" si="187"/>
        <v>0</v>
      </c>
      <c r="CF71" s="1022">
        <f t="shared" ca="1" si="187"/>
        <v>0</v>
      </c>
      <c r="CG71" s="1022">
        <f t="shared" ca="1" si="187"/>
        <v>0</v>
      </c>
      <c r="CH71" s="1022">
        <f t="shared" ca="1" si="187"/>
        <v>0</v>
      </c>
      <c r="CI71" s="1022">
        <f t="shared" ca="1" si="187"/>
        <v>0</v>
      </c>
      <c r="CJ71" s="1022">
        <f t="shared" ca="1" si="187"/>
        <v>0</v>
      </c>
      <c r="CK71" s="1022">
        <f t="shared" ca="1" si="187"/>
        <v>0</v>
      </c>
      <c r="CL71" s="1022">
        <f t="shared" ca="1" si="187"/>
        <v>0</v>
      </c>
      <c r="CM71" s="1022">
        <f t="shared" ca="1" si="187"/>
        <v>0</v>
      </c>
      <c r="CN71" s="1022">
        <f t="shared" ca="1" si="187"/>
        <v>0</v>
      </c>
      <c r="CO71" s="1022">
        <f t="shared" ca="1" si="187"/>
        <v>0</v>
      </c>
      <c r="CP71" s="1022">
        <f t="shared" ca="1" si="187"/>
        <v>0</v>
      </c>
      <c r="CQ71" s="1022">
        <f t="shared" ca="1" si="187"/>
        <v>0</v>
      </c>
      <c r="CR71" s="1022">
        <f t="shared" ca="1" si="187"/>
        <v>0</v>
      </c>
      <c r="CS71" s="1022">
        <f t="shared" ca="1" si="187"/>
        <v>0</v>
      </c>
      <c r="CT71" s="1022">
        <f t="shared" ca="1" si="187"/>
        <v>0</v>
      </c>
      <c r="CU71" s="1022">
        <f t="shared" ca="1" si="187"/>
        <v>0</v>
      </c>
      <c r="CV71" s="1022">
        <f t="shared" ca="1" si="187"/>
        <v>0</v>
      </c>
      <c r="CW71" s="1022">
        <f t="shared" ca="1" si="187"/>
        <v>0</v>
      </c>
      <c r="CX71" s="1022">
        <f t="shared" ca="1" si="187"/>
        <v>0</v>
      </c>
      <c r="CY71" s="1022">
        <f t="shared" ca="1" si="187"/>
        <v>0</v>
      </c>
      <c r="CZ71" s="1022">
        <f t="shared" ca="1" si="187"/>
        <v>0</v>
      </c>
      <c r="DA71" s="1022">
        <f t="shared" ca="1" si="187"/>
        <v>0</v>
      </c>
      <c r="DB71" s="1022">
        <f t="shared" ca="1" si="187"/>
        <v>0</v>
      </c>
      <c r="DC71" s="1022">
        <f t="shared" ca="1" si="187"/>
        <v>0</v>
      </c>
      <c r="DD71" s="1022">
        <f t="shared" ca="1" si="187"/>
        <v>0</v>
      </c>
      <c r="DE71" s="1022">
        <f t="shared" ca="1" si="187"/>
        <v>0</v>
      </c>
      <c r="DF71" s="1022">
        <f t="shared" ca="1" si="187"/>
        <v>0</v>
      </c>
      <c r="DH71" s="572">
        <f t="shared" ca="1" si="125"/>
        <v>0</v>
      </c>
    </row>
    <row r="72" spans="1:112" s="528" customFormat="1" ht="15">
      <c r="A72" s="18"/>
      <c r="B72" s="533"/>
      <c r="C72" s="529" t="s">
        <v>901</v>
      </c>
      <c r="D72" s="501" t="str">
        <f>INDEX(Workstreams[Workstream], MATCH($C72, Workstreams[Code], 0))</f>
        <v>District heating</v>
      </c>
      <c r="E72" s="497"/>
      <c r="G72" s="695">
        <f ca="1">G71</f>
        <v>0</v>
      </c>
      <c r="H72" s="695">
        <f t="shared" ref="H72:P72" ca="1" si="188">H71</f>
        <v>0</v>
      </c>
      <c r="I72" s="695">
        <f t="shared" ca="1" si="188"/>
        <v>0</v>
      </c>
      <c r="J72" s="695">
        <f t="shared" ca="1" si="188"/>
        <v>0</v>
      </c>
      <c r="K72" s="695">
        <f t="shared" ca="1" si="188"/>
        <v>0</v>
      </c>
      <c r="L72" s="695">
        <f t="shared" ca="1" si="188"/>
        <v>0</v>
      </c>
      <c r="M72" s="695">
        <f t="shared" ca="1" si="188"/>
        <v>0</v>
      </c>
      <c r="N72" s="695">
        <f t="shared" ca="1" si="188"/>
        <v>0</v>
      </c>
      <c r="O72" s="695">
        <f t="shared" ca="1" si="188"/>
        <v>0</v>
      </c>
      <c r="P72" s="695">
        <f t="shared" ca="1" si="188"/>
        <v>0</v>
      </c>
      <c r="Q72" s="695">
        <f ca="1">SUM(G72:P72)</f>
        <v>0</v>
      </c>
      <c r="S72" s="645">
        <f t="shared" ref="S72:AJ72" ca="1" si="189">S71</f>
        <v>0</v>
      </c>
      <c r="T72" s="645">
        <f t="shared" ca="1" si="189"/>
        <v>0</v>
      </c>
      <c r="U72" s="645">
        <f t="shared" ca="1" si="189"/>
        <v>0</v>
      </c>
      <c r="V72" s="645">
        <f t="shared" ca="1" si="189"/>
        <v>0</v>
      </c>
      <c r="W72" s="645">
        <f t="shared" ca="1" si="189"/>
        <v>0</v>
      </c>
      <c r="X72" s="645">
        <f t="shared" ca="1" si="189"/>
        <v>0</v>
      </c>
      <c r="Y72" s="645">
        <f t="shared" ca="1" si="189"/>
        <v>0</v>
      </c>
      <c r="Z72" s="645">
        <f t="shared" ca="1" si="189"/>
        <v>0</v>
      </c>
      <c r="AA72" s="645">
        <f t="shared" ca="1" si="189"/>
        <v>0</v>
      </c>
      <c r="AB72" s="645">
        <f t="shared" ca="1" si="189"/>
        <v>0</v>
      </c>
      <c r="AC72" s="645">
        <f t="shared" ca="1" si="189"/>
        <v>0</v>
      </c>
      <c r="AD72" s="645">
        <f ca="1">AD71</f>
        <v>0</v>
      </c>
      <c r="AE72" s="645">
        <f ca="1">AE71</f>
        <v>0</v>
      </c>
      <c r="AF72" s="645">
        <f t="shared" ca="1" si="189"/>
        <v>0</v>
      </c>
      <c r="AG72" s="645">
        <f t="shared" ca="1" si="189"/>
        <v>0</v>
      </c>
      <c r="AH72" s="645">
        <f ca="1">AH71</f>
        <v>0</v>
      </c>
      <c r="AI72" s="645">
        <f ca="1">AI71</f>
        <v>0</v>
      </c>
      <c r="AJ72" s="645">
        <f t="shared" ca="1" si="189"/>
        <v>0</v>
      </c>
      <c r="AK72" s="645">
        <f ca="1">SUM(S72:AJ72)</f>
        <v>0</v>
      </c>
      <c r="AM72" s="651">
        <f ca="1">AM71</f>
        <v>0</v>
      </c>
      <c r="AN72" s="651">
        <f t="shared" ref="AN72:BE72" ca="1" si="190">AN71</f>
        <v>0</v>
      </c>
      <c r="AO72" s="651">
        <f t="shared" ca="1" si="190"/>
        <v>0</v>
      </c>
      <c r="AP72" s="651">
        <f t="shared" ca="1" si="190"/>
        <v>0</v>
      </c>
      <c r="AQ72" s="651">
        <f t="shared" ca="1" si="190"/>
        <v>0</v>
      </c>
      <c r="AR72" s="651">
        <f t="shared" ca="1" si="190"/>
        <v>0</v>
      </c>
      <c r="AS72" s="651">
        <f t="shared" ca="1" si="190"/>
        <v>0</v>
      </c>
      <c r="AT72" s="651">
        <f t="shared" ca="1" si="190"/>
        <v>0</v>
      </c>
      <c r="AU72" s="651">
        <f t="shared" ca="1" si="190"/>
        <v>0</v>
      </c>
      <c r="AV72" s="651">
        <f t="shared" ca="1" si="190"/>
        <v>0</v>
      </c>
      <c r="AW72" s="651">
        <f t="shared" ca="1" si="190"/>
        <v>0</v>
      </c>
      <c r="AX72" s="651">
        <f t="shared" ca="1" si="190"/>
        <v>0</v>
      </c>
      <c r="AY72" s="651">
        <f t="shared" ca="1" si="190"/>
        <v>0</v>
      </c>
      <c r="AZ72" s="651">
        <f t="shared" ca="1" si="190"/>
        <v>0</v>
      </c>
      <c r="BA72" s="651">
        <f t="shared" ca="1" si="190"/>
        <v>0</v>
      </c>
      <c r="BB72" s="651">
        <f t="shared" ca="1" si="190"/>
        <v>0</v>
      </c>
      <c r="BC72" s="651">
        <f t="shared" ca="1" si="190"/>
        <v>0</v>
      </c>
      <c r="BD72" s="651">
        <f t="shared" ca="1" si="190"/>
        <v>0</v>
      </c>
      <c r="BE72" s="651">
        <f t="shared" ca="1" si="190"/>
        <v>0</v>
      </c>
      <c r="BF72" s="651">
        <f ca="1">SUM(AM72:BE72)</f>
        <v>0</v>
      </c>
      <c r="BH72" s="665">
        <f ca="1">BH71</f>
        <v>0</v>
      </c>
      <c r="BI72" s="665">
        <f ca="1">BI71</f>
        <v>0</v>
      </c>
      <c r="BJ72" s="665">
        <f ca="1">SUM(BH72:BI72)</f>
        <v>0</v>
      </c>
      <c r="BL72" s="499">
        <f ca="1">Q72+AK72+BF72+BJ72</f>
        <v>0</v>
      </c>
      <c r="BM72" s="499"/>
      <c r="BN72" s="574"/>
      <c r="BO72" s="1018">
        <f t="shared" ref="BO72:DF72" ca="1" si="191">BO71</f>
        <v>0</v>
      </c>
      <c r="BP72" s="1018">
        <f t="shared" ca="1" si="191"/>
        <v>0</v>
      </c>
      <c r="BQ72" s="1018">
        <f t="shared" ca="1" si="191"/>
        <v>0</v>
      </c>
      <c r="BR72" s="1018">
        <f t="shared" ca="1" si="191"/>
        <v>0</v>
      </c>
      <c r="BS72" s="1018">
        <f t="shared" ca="1" si="191"/>
        <v>0</v>
      </c>
      <c r="BT72" s="1018">
        <f t="shared" ca="1" si="191"/>
        <v>0</v>
      </c>
      <c r="BU72" s="1018">
        <f t="shared" ca="1" si="191"/>
        <v>0</v>
      </c>
      <c r="BV72" s="1018">
        <f t="shared" ca="1" si="191"/>
        <v>0</v>
      </c>
      <c r="BW72" s="1018">
        <f t="shared" ca="1" si="191"/>
        <v>0</v>
      </c>
      <c r="BX72" s="1018">
        <f t="shared" ca="1" si="191"/>
        <v>0</v>
      </c>
      <c r="BY72" s="1018">
        <f t="shared" ca="1" si="191"/>
        <v>0</v>
      </c>
      <c r="BZ72" s="1018">
        <f t="shared" ca="1" si="191"/>
        <v>0</v>
      </c>
      <c r="CA72" s="1018">
        <f t="shared" ca="1" si="191"/>
        <v>0</v>
      </c>
      <c r="CB72" s="1018">
        <f t="shared" ca="1" si="191"/>
        <v>0</v>
      </c>
      <c r="CC72" s="1018">
        <f t="shared" ca="1" si="191"/>
        <v>0</v>
      </c>
      <c r="CD72" s="1018">
        <f t="shared" ca="1" si="191"/>
        <v>0</v>
      </c>
      <c r="CE72" s="1018">
        <f t="shared" ca="1" si="191"/>
        <v>0</v>
      </c>
      <c r="CF72" s="1018">
        <f t="shared" ca="1" si="191"/>
        <v>0</v>
      </c>
      <c r="CG72" s="1018">
        <f t="shared" ca="1" si="191"/>
        <v>0</v>
      </c>
      <c r="CH72" s="1018">
        <f t="shared" ca="1" si="191"/>
        <v>0</v>
      </c>
      <c r="CI72" s="1018">
        <f t="shared" ca="1" si="191"/>
        <v>0</v>
      </c>
      <c r="CJ72" s="1018">
        <f t="shared" ca="1" si="191"/>
        <v>0</v>
      </c>
      <c r="CK72" s="1018">
        <f t="shared" ca="1" si="191"/>
        <v>0</v>
      </c>
      <c r="CL72" s="1018">
        <f t="shared" ca="1" si="191"/>
        <v>0</v>
      </c>
      <c r="CM72" s="1018">
        <f t="shared" ca="1" si="191"/>
        <v>0</v>
      </c>
      <c r="CN72" s="1018">
        <f t="shared" ca="1" si="191"/>
        <v>0</v>
      </c>
      <c r="CO72" s="1018">
        <f t="shared" ca="1" si="191"/>
        <v>0</v>
      </c>
      <c r="CP72" s="1018">
        <f t="shared" ca="1" si="191"/>
        <v>0</v>
      </c>
      <c r="CQ72" s="1018">
        <f t="shared" ca="1" si="191"/>
        <v>0</v>
      </c>
      <c r="CR72" s="1018">
        <f t="shared" ca="1" si="191"/>
        <v>0</v>
      </c>
      <c r="CS72" s="1018">
        <f t="shared" ca="1" si="191"/>
        <v>0</v>
      </c>
      <c r="CT72" s="1018">
        <f t="shared" ca="1" si="191"/>
        <v>0</v>
      </c>
      <c r="CU72" s="1018">
        <f t="shared" ca="1" si="191"/>
        <v>0</v>
      </c>
      <c r="CV72" s="1018">
        <f t="shared" ca="1" si="191"/>
        <v>0</v>
      </c>
      <c r="CW72" s="1018">
        <f t="shared" ca="1" si="191"/>
        <v>0</v>
      </c>
      <c r="CX72" s="1018">
        <f t="shared" ca="1" si="191"/>
        <v>0</v>
      </c>
      <c r="CY72" s="1018">
        <f t="shared" ca="1" si="191"/>
        <v>0</v>
      </c>
      <c r="CZ72" s="1018">
        <f t="shared" ca="1" si="191"/>
        <v>0</v>
      </c>
      <c r="DA72" s="1018">
        <f t="shared" ca="1" si="191"/>
        <v>0</v>
      </c>
      <c r="DB72" s="1018">
        <f t="shared" ca="1" si="191"/>
        <v>0</v>
      </c>
      <c r="DC72" s="1018">
        <f t="shared" ca="1" si="191"/>
        <v>0</v>
      </c>
      <c r="DD72" s="1018">
        <f t="shared" ca="1" si="191"/>
        <v>0</v>
      </c>
      <c r="DE72" s="1018">
        <f t="shared" ca="1" si="191"/>
        <v>0</v>
      </c>
      <c r="DF72" s="1018">
        <f t="shared" ca="1" si="191"/>
        <v>0</v>
      </c>
      <c r="DH72" s="572">
        <f t="shared" ca="1" si="125"/>
        <v>0</v>
      </c>
    </row>
    <row r="73" spans="1:112" s="528" customFormat="1" ht="12.75" customHeight="1" outlineLevel="1">
      <c r="A73" s="18"/>
      <c r="B73" s="18"/>
      <c r="C73" s="531"/>
      <c r="D73" s="497"/>
      <c r="E73" s="497"/>
      <c r="G73" s="633"/>
      <c r="H73" s="633"/>
      <c r="I73" s="633"/>
      <c r="J73" s="633"/>
      <c r="K73" s="635"/>
      <c r="L73" s="633"/>
      <c r="M73" s="633"/>
      <c r="N73" s="633"/>
      <c r="O73" s="633"/>
      <c r="P73" s="633"/>
      <c r="Q73" s="633"/>
      <c r="S73" s="645"/>
      <c r="T73" s="645"/>
      <c r="U73" s="645"/>
      <c r="V73" s="645"/>
      <c r="W73" s="645"/>
      <c r="X73" s="645"/>
      <c r="Y73" s="645"/>
      <c r="Z73" s="645"/>
      <c r="AA73" s="645"/>
      <c r="AB73" s="645"/>
      <c r="AC73" s="645"/>
      <c r="AD73" s="645"/>
      <c r="AE73" s="645"/>
      <c r="AF73" s="645"/>
      <c r="AG73" s="645"/>
      <c r="AH73" s="645"/>
      <c r="AI73" s="645"/>
      <c r="AJ73" s="645"/>
      <c r="AK73" s="645"/>
      <c r="AM73" s="651"/>
      <c r="AN73" s="651"/>
      <c r="AO73" s="651"/>
      <c r="AP73" s="651"/>
      <c r="AQ73" s="651"/>
      <c r="AR73" s="651"/>
      <c r="AS73" s="651"/>
      <c r="AT73" s="651"/>
      <c r="AU73" s="651"/>
      <c r="AV73" s="651"/>
      <c r="AW73" s="651"/>
      <c r="AX73" s="651"/>
      <c r="AY73" s="651"/>
      <c r="AZ73" s="651"/>
      <c r="BA73" s="651"/>
      <c r="BB73" s="651"/>
      <c r="BC73" s="651"/>
      <c r="BD73" s="651"/>
      <c r="BE73" s="651"/>
      <c r="BF73" s="651"/>
      <c r="BH73" s="665"/>
      <c r="BI73" s="665"/>
      <c r="BJ73" s="665"/>
      <c r="BL73" s="499"/>
      <c r="BM73" s="499"/>
      <c r="BN73" s="18"/>
      <c r="BO73" s="1018"/>
      <c r="BP73" s="1018"/>
      <c r="BQ73" s="1018"/>
      <c r="BR73" s="1018"/>
      <c r="BS73" s="1018"/>
      <c r="BT73" s="1018"/>
      <c r="BU73" s="1018"/>
      <c r="BV73" s="1018"/>
      <c r="BW73" s="1018"/>
      <c r="BX73" s="1018"/>
      <c r="BY73" s="1018"/>
      <c r="BZ73" s="1018"/>
      <c r="CA73" s="1018"/>
      <c r="CB73" s="1018"/>
      <c r="CC73" s="1018"/>
      <c r="CD73" s="1018"/>
      <c r="CE73" s="1018"/>
      <c r="CF73" s="1018"/>
      <c r="CG73" s="1018"/>
      <c r="CH73" s="1018"/>
      <c r="CI73" s="1018"/>
      <c r="CJ73" s="1018"/>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H73" s="572">
        <f t="shared" si="125"/>
        <v>0</v>
      </c>
    </row>
    <row r="74" spans="1:112" s="1024" customFormat="1" ht="12.75" customHeight="1" outlineLevel="1">
      <c r="C74" s="720" t="s">
        <v>1009</v>
      </c>
      <c r="D74" s="721" t="s">
        <v>899</v>
      </c>
      <c r="E74" s="721"/>
      <c r="F74" s="528"/>
      <c r="G74" s="722"/>
      <c r="H74" s="722"/>
      <c r="I74" s="722"/>
      <c r="J74" s="722"/>
      <c r="K74" s="723"/>
      <c r="L74" s="722"/>
      <c r="M74" s="722"/>
      <c r="N74" s="722"/>
      <c r="O74" s="722"/>
      <c r="P74" s="722"/>
      <c r="Q74" s="722"/>
      <c r="R74" s="528"/>
      <c r="S74" s="724">
        <f ca="1">S$40+S$46+S$51+S$99+S$55+S$93+S$63+S$68+S$72</f>
        <v>-8.6815924571345473</v>
      </c>
      <c r="T74" s="724">
        <f ca="1">T$40+T$46+T$51+T$99+T$55+T$93+T$63+T$68+T$72</f>
        <v>0</v>
      </c>
      <c r="U74" s="724"/>
      <c r="V74" s="724"/>
      <c r="W74" s="724"/>
      <c r="X74" s="724"/>
      <c r="Y74" s="724"/>
      <c r="Z74" s="724"/>
      <c r="AA74" s="724"/>
      <c r="AB74" s="724"/>
      <c r="AC74" s="724"/>
      <c r="AD74" s="724"/>
      <c r="AE74" s="724"/>
      <c r="AF74" s="724"/>
      <c r="AG74" s="724"/>
      <c r="AH74" s="724"/>
      <c r="AI74" s="724"/>
      <c r="AJ74" s="724"/>
      <c r="AK74" s="724"/>
      <c r="AL74" s="528"/>
      <c r="AM74" s="725"/>
      <c r="AN74" s="725"/>
      <c r="AO74" s="725"/>
      <c r="AP74" s="725"/>
      <c r="AQ74" s="725"/>
      <c r="AR74" s="725"/>
      <c r="AS74" s="725"/>
      <c r="AT74" s="725"/>
      <c r="AU74" s="725"/>
      <c r="AV74" s="725"/>
      <c r="AW74" s="725"/>
      <c r="AX74" s="725"/>
      <c r="AY74" s="725"/>
      <c r="AZ74" s="725"/>
      <c r="BA74" s="725"/>
      <c r="BB74" s="725"/>
      <c r="BC74" s="725"/>
      <c r="BD74" s="725"/>
      <c r="BE74" s="725"/>
      <c r="BF74" s="725"/>
      <c r="BG74" s="528"/>
      <c r="BH74" s="726"/>
      <c r="BI74" s="726"/>
      <c r="BJ74" s="726">
        <f>SUM(BH74:BI74)</f>
        <v>0</v>
      </c>
      <c r="BK74" s="528"/>
      <c r="BL74" s="579">
        <f t="shared" ref="BL74:BL80" si="192">Q74+AK74+BF74+BJ74</f>
        <v>0</v>
      </c>
      <c r="BM74" s="579"/>
      <c r="BO74" s="1026"/>
      <c r="BP74" s="1026"/>
      <c r="BQ74" s="1026"/>
      <c r="BR74" s="1026"/>
      <c r="BS74" s="1026"/>
      <c r="BT74" s="1026"/>
      <c r="BU74" s="1026"/>
      <c r="BV74" s="1026"/>
      <c r="BW74" s="1026"/>
      <c r="BX74" s="1026"/>
      <c r="BY74" s="1026"/>
      <c r="BZ74" s="1026"/>
      <c r="CA74" s="1026"/>
      <c r="CB74" s="1026"/>
      <c r="CC74" s="1026"/>
      <c r="CD74" s="1026"/>
      <c r="CE74" s="1026"/>
      <c r="CF74" s="1026"/>
      <c r="CG74" s="1026"/>
      <c r="CH74" s="1026"/>
      <c r="CI74" s="1026"/>
      <c r="CJ74" s="1026"/>
      <c r="CK74" s="1026"/>
      <c r="CL74" s="1026"/>
      <c r="CM74" s="1026"/>
      <c r="CN74" s="1026"/>
      <c r="CO74" s="1026"/>
      <c r="CP74" s="1026"/>
      <c r="CQ74" s="1026"/>
      <c r="CR74" s="1026"/>
      <c r="CS74" s="1026"/>
      <c r="CT74" s="1026"/>
      <c r="CU74" s="1026"/>
      <c r="CV74" s="1026"/>
      <c r="CW74" s="1026"/>
      <c r="CX74" s="1026"/>
      <c r="CY74" s="1026"/>
      <c r="CZ74" s="1026"/>
      <c r="DA74" s="1026"/>
      <c r="DB74" s="1026"/>
      <c r="DC74" s="1026"/>
      <c r="DD74" s="1026"/>
      <c r="DE74" s="1026"/>
      <c r="DF74" s="1026"/>
      <c r="DH74" s="572">
        <f t="shared" si="125"/>
        <v>0</v>
      </c>
    </row>
    <row r="75" spans="1:112" s="1020" customFormat="1" ht="12.75" customHeight="1" outlineLevel="1">
      <c r="C75" s="530" t="s">
        <v>630</v>
      </c>
      <c r="D75" s="684" t="str">
        <f>INDEX(Modules[Module], MATCH($C75, Modules[Code], 0))</f>
        <v>Nuclear power</v>
      </c>
      <c r="E75" s="684"/>
      <c r="F75" s="528"/>
      <c r="G75" s="696">
        <f t="shared" ref="G75:P75" ca="1" si="193">IFERROR(INDEX(INDIRECT($C75&amp;".Outputs["&amp;this.Year&amp;"]"), MATCH(G$5, INDIRECT($C75&amp;".Outputs[Vector]"), 0)), 0)</f>
        <v>0</v>
      </c>
      <c r="H75" s="696">
        <f t="shared" ca="1" si="193"/>
        <v>0</v>
      </c>
      <c r="I75" s="696">
        <f t="shared" ca="1" si="193"/>
        <v>0</v>
      </c>
      <c r="J75" s="696">
        <f t="shared" ca="1" si="193"/>
        <v>0</v>
      </c>
      <c r="K75" s="696">
        <f t="shared" ca="1" si="193"/>
        <v>0</v>
      </c>
      <c r="L75" s="696">
        <f t="shared" ca="1" si="193"/>
        <v>0</v>
      </c>
      <c r="M75" s="696">
        <f t="shared" ca="1" si="193"/>
        <v>0</v>
      </c>
      <c r="N75" s="696">
        <f t="shared" ca="1" si="193"/>
        <v>0</v>
      </c>
      <c r="O75" s="696">
        <f t="shared" ca="1" si="193"/>
        <v>0</v>
      </c>
      <c r="P75" s="696">
        <f t="shared" ca="1" si="193"/>
        <v>0</v>
      </c>
      <c r="Q75" s="694">
        <f ca="1">SUM(G75:P75)</f>
        <v>0</v>
      </c>
      <c r="R75" s="528"/>
      <c r="S75" s="705">
        <f t="shared" ref="S75:BE75" ca="1" si="194">IFERROR(INDEX(INDIRECT($C75&amp;".Outputs["&amp;this.Year&amp;"]"), MATCH(S$5, INDIRECT($C75&amp;".Outputs[Vector]"), 0)), 0)</f>
        <v>0</v>
      </c>
      <c r="T75" s="705">
        <f t="shared" ca="1" si="194"/>
        <v>0</v>
      </c>
      <c r="U75" s="705">
        <f t="shared" ca="1" si="194"/>
        <v>0</v>
      </c>
      <c r="V75" s="705">
        <f t="shared" ca="1" si="194"/>
        <v>0</v>
      </c>
      <c r="W75" s="705">
        <f t="shared" ca="1" si="194"/>
        <v>0</v>
      </c>
      <c r="X75" s="705">
        <f ca="1">IFERROR(INDEX(INDIRECT($C75&amp;".Outputs["&amp;this.Year&amp;"]"), MATCH(X$5, INDIRECT($C75&amp;".Outputs[Vector]"), 0)), 0)</f>
        <v>0</v>
      </c>
      <c r="Y75" s="705">
        <f ca="1">IFERROR(INDEX(INDIRECT($C75&amp;".Outputs["&amp;this.Year&amp;"]"), MATCH(Y$5, INDIRECT($C75&amp;".Outputs[Vector]"), 0)), 0)</f>
        <v>0</v>
      </c>
      <c r="Z75" s="705">
        <f ca="1">IFERROR(INDEX(INDIRECT($C75&amp;".Outputs["&amp;this.Year&amp;"]"), MATCH(Z$5, INDIRECT($C75&amp;".Outputs[Vector]"), 0)), 0)</f>
        <v>0</v>
      </c>
      <c r="AA75" s="705">
        <f t="shared" ca="1" si="194"/>
        <v>0</v>
      </c>
      <c r="AB75" s="705">
        <f t="shared" ca="1" si="194"/>
        <v>0</v>
      </c>
      <c r="AC75" s="705">
        <f t="shared" ca="1" si="194"/>
        <v>0</v>
      </c>
      <c r="AD75" s="705">
        <f t="shared" ca="1" si="194"/>
        <v>0</v>
      </c>
      <c r="AE75" s="705">
        <f t="shared" ca="1" si="194"/>
        <v>0</v>
      </c>
      <c r="AF75" s="705">
        <f t="shared" ca="1" si="194"/>
        <v>0</v>
      </c>
      <c r="AG75" s="705">
        <f t="shared" ca="1" si="194"/>
        <v>0</v>
      </c>
      <c r="AH75" s="705">
        <f t="shared" ca="1" si="194"/>
        <v>0</v>
      </c>
      <c r="AI75" s="705">
        <f t="shared" ca="1" si="194"/>
        <v>0</v>
      </c>
      <c r="AJ75" s="705">
        <f t="shared" ca="1" si="194"/>
        <v>0</v>
      </c>
      <c r="AK75" s="704">
        <f ca="1">SUM(S75:AJ75)</f>
        <v>0</v>
      </c>
      <c r="AL75" s="528"/>
      <c r="AM75" s="716">
        <f t="shared" ref="AM75:AU75" ca="1" si="195">IFERROR(INDEX(INDIRECT($C75&amp;".Outputs["&amp;this.Year&amp;"]"), MATCH(AM$5, INDIRECT($C75&amp;".Outputs[Vector]"), 0)), 0)</f>
        <v>0</v>
      </c>
      <c r="AN75" s="716">
        <f t="shared" ca="1" si="195"/>
        <v>0</v>
      </c>
      <c r="AO75" s="716">
        <f t="shared" ca="1" si="195"/>
        <v>0</v>
      </c>
      <c r="AP75" s="716">
        <f t="shared" ca="1" si="195"/>
        <v>0</v>
      </c>
      <c r="AQ75" s="716">
        <f t="shared" ca="1" si="195"/>
        <v>0</v>
      </c>
      <c r="AR75" s="716">
        <f t="shared" ca="1" si="195"/>
        <v>0</v>
      </c>
      <c r="AS75" s="716">
        <f t="shared" ca="1" si="195"/>
        <v>0</v>
      </c>
      <c r="AT75" s="716">
        <f t="shared" ca="1" si="195"/>
        <v>0</v>
      </c>
      <c r="AU75" s="716">
        <f t="shared" ca="1" si="195"/>
        <v>0</v>
      </c>
      <c r="AV75" s="716">
        <f t="shared" ca="1" si="194"/>
        <v>0</v>
      </c>
      <c r="AW75" s="716">
        <f t="shared" ca="1" si="194"/>
        <v>0</v>
      </c>
      <c r="AX75" s="716">
        <f t="shared" ca="1" si="194"/>
        <v>0</v>
      </c>
      <c r="AY75" s="716">
        <f t="shared" ca="1" si="194"/>
        <v>0</v>
      </c>
      <c r="AZ75" s="716">
        <f t="shared" ca="1" si="194"/>
        <v>0</v>
      </c>
      <c r="BA75" s="716">
        <f t="shared" ca="1" si="194"/>
        <v>0</v>
      </c>
      <c r="BB75" s="716">
        <f t="shared" ca="1" si="194"/>
        <v>0</v>
      </c>
      <c r="BC75" s="716">
        <f t="shared" ca="1" si="194"/>
        <v>0</v>
      </c>
      <c r="BD75" s="716">
        <f t="shared" ca="1" si="194"/>
        <v>0</v>
      </c>
      <c r="BE75" s="716">
        <f t="shared" ca="1" si="194"/>
        <v>0</v>
      </c>
      <c r="BF75" s="686">
        <f ca="1">SUM(AM75:BE75)</f>
        <v>0</v>
      </c>
      <c r="BG75" s="528"/>
      <c r="BH75" s="710">
        <f ca="1">IFERROR(INDEX(INDIRECT($C75&amp;".Outputs["&amp;this.Year&amp;"]"), MATCH(BH$5, INDIRECT($C75&amp;".Outputs[Vector]"), 0)), 0)</f>
        <v>0</v>
      </c>
      <c r="BI75" s="710">
        <f ca="1">IFERROR(INDEX(INDIRECT($C75&amp;".Outputs["&amp;this.Year&amp;"]"), MATCH(BI$5, INDIRECT($C75&amp;".Outputs[Vector]"), 0)), 0)</f>
        <v>0</v>
      </c>
      <c r="BJ75" s="709">
        <f ca="1">SUM(BH75:BI75)</f>
        <v>0</v>
      </c>
      <c r="BK75" s="528"/>
      <c r="BL75" s="562">
        <f t="shared" ca="1" si="192"/>
        <v>0</v>
      </c>
      <c r="BM75" s="562"/>
      <c r="BN75" s="574"/>
      <c r="BO75" s="1021">
        <f t="shared" ref="BO75:DF75" ca="1" si="196">IFERROR(SUMIFS(INDIRECT($C75&amp;".Emissions["&amp;this.Year&amp;"]"), INDIRECT($C75&amp;".Emissions[GHG]"), BO$6, INDIRECT($C75&amp;".Emissions[IPCC Sector]"), BO$5),0)</f>
        <v>0</v>
      </c>
      <c r="BP75" s="1022">
        <f t="shared" ca="1" si="196"/>
        <v>0</v>
      </c>
      <c r="BQ75" s="1022">
        <f t="shared" ca="1" si="196"/>
        <v>0</v>
      </c>
      <c r="BR75" s="1022">
        <f t="shared" ca="1" si="196"/>
        <v>0</v>
      </c>
      <c r="BS75" s="1022">
        <f t="shared" ca="1" si="196"/>
        <v>0</v>
      </c>
      <c r="BT75" s="1022">
        <f t="shared" ca="1" si="196"/>
        <v>0</v>
      </c>
      <c r="BU75" s="1022">
        <f t="shared" ca="1" si="196"/>
        <v>0</v>
      </c>
      <c r="BV75" s="1022">
        <f t="shared" ca="1" si="196"/>
        <v>0</v>
      </c>
      <c r="BW75" s="1022">
        <f t="shared" ca="1" si="196"/>
        <v>0</v>
      </c>
      <c r="BX75" s="1022">
        <f t="shared" ca="1" si="196"/>
        <v>0</v>
      </c>
      <c r="BY75" s="1022">
        <f t="shared" ca="1" si="196"/>
        <v>0</v>
      </c>
      <c r="BZ75" s="1022">
        <f t="shared" ca="1" si="196"/>
        <v>0</v>
      </c>
      <c r="CA75" s="1022">
        <f t="shared" ca="1" si="196"/>
        <v>0</v>
      </c>
      <c r="CB75" s="1022">
        <f t="shared" ca="1" si="196"/>
        <v>0</v>
      </c>
      <c r="CC75" s="1022">
        <f t="shared" ca="1" si="196"/>
        <v>0</v>
      </c>
      <c r="CD75" s="1022">
        <f t="shared" ca="1" si="196"/>
        <v>0</v>
      </c>
      <c r="CE75" s="1022">
        <f t="shared" ca="1" si="196"/>
        <v>0</v>
      </c>
      <c r="CF75" s="1022">
        <f t="shared" ca="1" si="196"/>
        <v>0</v>
      </c>
      <c r="CG75" s="1022">
        <f t="shared" ca="1" si="196"/>
        <v>0</v>
      </c>
      <c r="CH75" s="1022">
        <f t="shared" ca="1" si="196"/>
        <v>0</v>
      </c>
      <c r="CI75" s="1022">
        <f t="shared" ca="1" si="196"/>
        <v>0</v>
      </c>
      <c r="CJ75" s="1022">
        <f t="shared" ca="1" si="196"/>
        <v>0</v>
      </c>
      <c r="CK75" s="1022">
        <f t="shared" ca="1" si="196"/>
        <v>0</v>
      </c>
      <c r="CL75" s="1022">
        <f t="shared" ca="1" si="196"/>
        <v>0</v>
      </c>
      <c r="CM75" s="1022">
        <f t="shared" ca="1" si="196"/>
        <v>0</v>
      </c>
      <c r="CN75" s="1022">
        <f t="shared" ca="1" si="196"/>
        <v>0</v>
      </c>
      <c r="CO75" s="1022">
        <f t="shared" ca="1" si="196"/>
        <v>0</v>
      </c>
      <c r="CP75" s="1022">
        <f t="shared" ca="1" si="196"/>
        <v>0</v>
      </c>
      <c r="CQ75" s="1022">
        <f t="shared" ca="1" si="196"/>
        <v>0</v>
      </c>
      <c r="CR75" s="1022">
        <f t="shared" ca="1" si="196"/>
        <v>0</v>
      </c>
      <c r="CS75" s="1022">
        <f t="shared" ca="1" si="196"/>
        <v>0</v>
      </c>
      <c r="CT75" s="1022">
        <f t="shared" ca="1" si="196"/>
        <v>0</v>
      </c>
      <c r="CU75" s="1022">
        <f t="shared" ca="1" si="196"/>
        <v>0</v>
      </c>
      <c r="CV75" s="1022">
        <f t="shared" ca="1" si="196"/>
        <v>0</v>
      </c>
      <c r="CW75" s="1022">
        <f t="shared" ca="1" si="196"/>
        <v>0</v>
      </c>
      <c r="CX75" s="1022">
        <f t="shared" ca="1" si="196"/>
        <v>0</v>
      </c>
      <c r="CY75" s="1022">
        <f t="shared" ca="1" si="196"/>
        <v>0</v>
      </c>
      <c r="CZ75" s="1022">
        <f t="shared" ca="1" si="196"/>
        <v>0</v>
      </c>
      <c r="DA75" s="1022">
        <f t="shared" ca="1" si="196"/>
        <v>0</v>
      </c>
      <c r="DB75" s="1022">
        <f t="shared" ca="1" si="196"/>
        <v>0</v>
      </c>
      <c r="DC75" s="1022">
        <f t="shared" ca="1" si="196"/>
        <v>0</v>
      </c>
      <c r="DD75" s="1022">
        <f t="shared" ca="1" si="196"/>
        <v>0</v>
      </c>
      <c r="DE75" s="1022">
        <f t="shared" ca="1" si="196"/>
        <v>0</v>
      </c>
      <c r="DF75" s="1022">
        <f t="shared" ca="1" si="196"/>
        <v>0</v>
      </c>
      <c r="DH75" s="572">
        <f t="shared" ca="1" si="125"/>
        <v>0</v>
      </c>
    </row>
    <row r="76" spans="1:112" s="528" customFormat="1" ht="15">
      <c r="A76" s="18"/>
      <c r="B76" s="533"/>
      <c r="C76" s="529" t="s">
        <v>69</v>
      </c>
      <c r="D76" s="501" t="str">
        <f>INDEX(Workstreams[Workstream], MATCH($C76, Workstreams[Code], 0))</f>
        <v>Nuclear power generation</v>
      </c>
      <c r="E76" s="497"/>
      <c r="G76" s="695">
        <f ca="1">G75</f>
        <v>0</v>
      </c>
      <c r="H76" s="695">
        <f t="shared" ref="H76:P76" ca="1" si="197">H75</f>
        <v>0</v>
      </c>
      <c r="I76" s="695">
        <f t="shared" ca="1" si="197"/>
        <v>0</v>
      </c>
      <c r="J76" s="695">
        <f t="shared" ca="1" si="197"/>
        <v>0</v>
      </c>
      <c r="K76" s="695">
        <f t="shared" ca="1" si="197"/>
        <v>0</v>
      </c>
      <c r="L76" s="695">
        <f t="shared" ca="1" si="197"/>
        <v>0</v>
      </c>
      <c r="M76" s="695">
        <f t="shared" ca="1" si="197"/>
        <v>0</v>
      </c>
      <c r="N76" s="695">
        <f t="shared" ca="1" si="197"/>
        <v>0</v>
      </c>
      <c r="O76" s="695">
        <f t="shared" ca="1" si="197"/>
        <v>0</v>
      </c>
      <c r="P76" s="695">
        <f t="shared" ca="1" si="197"/>
        <v>0</v>
      </c>
      <c r="Q76" s="695">
        <f ca="1">SUM(G76:P76)</f>
        <v>0</v>
      </c>
      <c r="S76" s="645">
        <f t="shared" ref="S76:AJ76" ca="1" si="198">S75</f>
        <v>0</v>
      </c>
      <c r="T76" s="645">
        <f t="shared" ca="1" si="198"/>
        <v>0</v>
      </c>
      <c r="U76" s="645">
        <f t="shared" ca="1" si="198"/>
        <v>0</v>
      </c>
      <c r="V76" s="645">
        <f t="shared" ca="1" si="198"/>
        <v>0</v>
      </c>
      <c r="W76" s="645">
        <f t="shared" ca="1" si="198"/>
        <v>0</v>
      </c>
      <c r="X76" s="645">
        <f t="shared" ca="1" si="198"/>
        <v>0</v>
      </c>
      <c r="Y76" s="645">
        <f t="shared" ca="1" si="198"/>
        <v>0</v>
      </c>
      <c r="Z76" s="645">
        <f t="shared" ca="1" si="198"/>
        <v>0</v>
      </c>
      <c r="AA76" s="645">
        <f t="shared" ca="1" si="198"/>
        <v>0</v>
      </c>
      <c r="AB76" s="645">
        <f t="shared" ca="1" si="198"/>
        <v>0</v>
      </c>
      <c r="AC76" s="645">
        <f t="shared" ca="1" si="198"/>
        <v>0</v>
      </c>
      <c r="AD76" s="645">
        <f t="shared" ca="1" si="198"/>
        <v>0</v>
      </c>
      <c r="AE76" s="645">
        <f ca="1">AE75</f>
        <v>0</v>
      </c>
      <c r="AF76" s="645">
        <f t="shared" ca="1" si="198"/>
        <v>0</v>
      </c>
      <c r="AG76" s="645">
        <f t="shared" ca="1" si="198"/>
        <v>0</v>
      </c>
      <c r="AH76" s="645">
        <f ca="1">AH75</f>
        <v>0</v>
      </c>
      <c r="AI76" s="645">
        <f t="shared" ca="1" si="198"/>
        <v>0</v>
      </c>
      <c r="AJ76" s="645">
        <f t="shared" ca="1" si="198"/>
        <v>0</v>
      </c>
      <c r="AK76" s="645">
        <f ca="1">SUM(S76:AJ76)</f>
        <v>0</v>
      </c>
      <c r="AM76" s="651">
        <f t="shared" ref="AM76:BE76" ca="1" si="199">AM75</f>
        <v>0</v>
      </c>
      <c r="AN76" s="651">
        <f t="shared" ca="1" si="199"/>
        <v>0</v>
      </c>
      <c r="AO76" s="651">
        <f t="shared" ca="1" si="199"/>
        <v>0</v>
      </c>
      <c r="AP76" s="651">
        <f t="shared" ca="1" si="199"/>
        <v>0</v>
      </c>
      <c r="AQ76" s="651">
        <f t="shared" ca="1" si="199"/>
        <v>0</v>
      </c>
      <c r="AR76" s="651">
        <f t="shared" ca="1" si="199"/>
        <v>0</v>
      </c>
      <c r="AS76" s="651">
        <f t="shared" ca="1" si="199"/>
        <v>0</v>
      </c>
      <c r="AT76" s="651">
        <f t="shared" ca="1" si="199"/>
        <v>0</v>
      </c>
      <c r="AU76" s="651">
        <f t="shared" ca="1" si="199"/>
        <v>0</v>
      </c>
      <c r="AV76" s="651">
        <f t="shared" ca="1" si="199"/>
        <v>0</v>
      </c>
      <c r="AW76" s="651">
        <f t="shared" ca="1" si="199"/>
        <v>0</v>
      </c>
      <c r="AX76" s="651">
        <f t="shared" ca="1" si="199"/>
        <v>0</v>
      </c>
      <c r="AY76" s="651">
        <f t="shared" ca="1" si="199"/>
        <v>0</v>
      </c>
      <c r="AZ76" s="651">
        <f t="shared" ca="1" si="199"/>
        <v>0</v>
      </c>
      <c r="BA76" s="651">
        <f t="shared" ca="1" si="199"/>
        <v>0</v>
      </c>
      <c r="BB76" s="651">
        <f t="shared" ca="1" si="199"/>
        <v>0</v>
      </c>
      <c r="BC76" s="651">
        <f t="shared" ca="1" si="199"/>
        <v>0</v>
      </c>
      <c r="BD76" s="651">
        <f t="shared" ca="1" si="199"/>
        <v>0</v>
      </c>
      <c r="BE76" s="651">
        <f t="shared" ca="1" si="199"/>
        <v>0</v>
      </c>
      <c r="BF76" s="651">
        <f ca="1">SUM(AM76:BE76)</f>
        <v>0</v>
      </c>
      <c r="BH76" s="665">
        <f ca="1">BH75</f>
        <v>0</v>
      </c>
      <c r="BI76" s="665">
        <f ca="1">BI75</f>
        <v>0</v>
      </c>
      <c r="BJ76" s="665">
        <f ca="1">SUM(BH76:BI76)</f>
        <v>0</v>
      </c>
      <c r="BL76" s="499">
        <f t="shared" ca="1" si="192"/>
        <v>0</v>
      </c>
      <c r="BM76" s="499"/>
      <c r="BN76" s="574"/>
      <c r="BO76" s="1018">
        <f t="shared" ref="BO76:DF76" ca="1" si="200">BO75</f>
        <v>0</v>
      </c>
      <c r="BP76" s="1018">
        <f t="shared" ca="1" si="200"/>
        <v>0</v>
      </c>
      <c r="BQ76" s="1018">
        <f t="shared" ca="1" si="200"/>
        <v>0</v>
      </c>
      <c r="BR76" s="1018">
        <f t="shared" ca="1" si="200"/>
        <v>0</v>
      </c>
      <c r="BS76" s="1018">
        <f t="shared" ca="1" si="200"/>
        <v>0</v>
      </c>
      <c r="BT76" s="1018">
        <f t="shared" ca="1" si="200"/>
        <v>0</v>
      </c>
      <c r="BU76" s="1018">
        <f t="shared" ca="1" si="200"/>
        <v>0</v>
      </c>
      <c r="BV76" s="1018">
        <f t="shared" ca="1" si="200"/>
        <v>0</v>
      </c>
      <c r="BW76" s="1018">
        <f t="shared" ca="1" si="200"/>
        <v>0</v>
      </c>
      <c r="BX76" s="1018">
        <f t="shared" ca="1" si="200"/>
        <v>0</v>
      </c>
      <c r="BY76" s="1018">
        <f t="shared" ca="1" si="200"/>
        <v>0</v>
      </c>
      <c r="BZ76" s="1018">
        <f t="shared" ca="1" si="200"/>
        <v>0</v>
      </c>
      <c r="CA76" s="1018">
        <f t="shared" ca="1" si="200"/>
        <v>0</v>
      </c>
      <c r="CB76" s="1018">
        <f t="shared" ca="1" si="200"/>
        <v>0</v>
      </c>
      <c r="CC76" s="1018">
        <f t="shared" ca="1" si="200"/>
        <v>0</v>
      </c>
      <c r="CD76" s="1018">
        <f t="shared" ca="1" si="200"/>
        <v>0</v>
      </c>
      <c r="CE76" s="1018">
        <f t="shared" ca="1" si="200"/>
        <v>0</v>
      </c>
      <c r="CF76" s="1018">
        <f t="shared" ca="1" si="200"/>
        <v>0</v>
      </c>
      <c r="CG76" s="1018">
        <f t="shared" ca="1" si="200"/>
        <v>0</v>
      </c>
      <c r="CH76" s="1018">
        <f t="shared" ca="1" si="200"/>
        <v>0</v>
      </c>
      <c r="CI76" s="1018">
        <f t="shared" ca="1" si="200"/>
        <v>0</v>
      </c>
      <c r="CJ76" s="1018">
        <f t="shared" ca="1" si="200"/>
        <v>0</v>
      </c>
      <c r="CK76" s="1018">
        <f t="shared" ca="1" si="200"/>
        <v>0</v>
      </c>
      <c r="CL76" s="1018">
        <f t="shared" ca="1" si="200"/>
        <v>0</v>
      </c>
      <c r="CM76" s="1018">
        <f t="shared" ca="1" si="200"/>
        <v>0</v>
      </c>
      <c r="CN76" s="1018">
        <f t="shared" ca="1" si="200"/>
        <v>0</v>
      </c>
      <c r="CO76" s="1018">
        <f t="shared" ca="1" si="200"/>
        <v>0</v>
      </c>
      <c r="CP76" s="1018">
        <f t="shared" ca="1" si="200"/>
        <v>0</v>
      </c>
      <c r="CQ76" s="1018">
        <f t="shared" ca="1" si="200"/>
        <v>0</v>
      </c>
      <c r="CR76" s="1018">
        <f t="shared" ca="1" si="200"/>
        <v>0</v>
      </c>
      <c r="CS76" s="1018">
        <f t="shared" ca="1" si="200"/>
        <v>0</v>
      </c>
      <c r="CT76" s="1018">
        <f t="shared" ca="1" si="200"/>
        <v>0</v>
      </c>
      <c r="CU76" s="1018">
        <f t="shared" ca="1" si="200"/>
        <v>0</v>
      </c>
      <c r="CV76" s="1018">
        <f t="shared" ca="1" si="200"/>
        <v>0</v>
      </c>
      <c r="CW76" s="1018">
        <f t="shared" ca="1" si="200"/>
        <v>0</v>
      </c>
      <c r="CX76" s="1018">
        <f t="shared" ca="1" si="200"/>
        <v>0</v>
      </c>
      <c r="CY76" s="1018">
        <f t="shared" ca="1" si="200"/>
        <v>0</v>
      </c>
      <c r="CZ76" s="1018">
        <f t="shared" ca="1" si="200"/>
        <v>0</v>
      </c>
      <c r="DA76" s="1018">
        <f t="shared" ca="1" si="200"/>
        <v>0</v>
      </c>
      <c r="DB76" s="1018">
        <f t="shared" ca="1" si="200"/>
        <v>0</v>
      </c>
      <c r="DC76" s="1018">
        <f t="shared" ca="1" si="200"/>
        <v>0</v>
      </c>
      <c r="DD76" s="1018">
        <f t="shared" ca="1" si="200"/>
        <v>0</v>
      </c>
      <c r="DE76" s="1018">
        <f t="shared" ca="1" si="200"/>
        <v>0</v>
      </c>
      <c r="DF76" s="1018">
        <f t="shared" ca="1" si="200"/>
        <v>0</v>
      </c>
      <c r="DH76" s="572">
        <f t="shared" ca="1" si="125"/>
        <v>0</v>
      </c>
    </row>
    <row r="77" spans="1:112" s="528" customFormat="1" ht="12.75" customHeight="1" outlineLevel="1">
      <c r="A77" s="18"/>
      <c r="B77" s="18"/>
      <c r="C77" s="531"/>
      <c r="D77" s="497"/>
      <c r="E77" s="497"/>
      <c r="G77" s="633"/>
      <c r="H77" s="633"/>
      <c r="I77" s="633"/>
      <c r="J77" s="633"/>
      <c r="K77" s="635"/>
      <c r="L77" s="633"/>
      <c r="M77" s="633"/>
      <c r="N77" s="633"/>
      <c r="O77" s="633"/>
      <c r="P77" s="633"/>
      <c r="Q77" s="633"/>
      <c r="S77" s="645"/>
      <c r="T77" s="645"/>
      <c r="U77" s="645"/>
      <c r="V77" s="645"/>
      <c r="W77" s="645"/>
      <c r="X77" s="645"/>
      <c r="Y77" s="645"/>
      <c r="Z77" s="645"/>
      <c r="AA77" s="645"/>
      <c r="AB77" s="645"/>
      <c r="AC77" s="645"/>
      <c r="AD77" s="645"/>
      <c r="AE77" s="645"/>
      <c r="AF77" s="645"/>
      <c r="AG77" s="645"/>
      <c r="AH77" s="645"/>
      <c r="AI77" s="645"/>
      <c r="AJ77" s="645"/>
      <c r="AK77" s="645"/>
      <c r="AM77" s="651"/>
      <c r="AN77" s="651"/>
      <c r="AO77" s="651"/>
      <c r="AP77" s="651"/>
      <c r="AQ77" s="651"/>
      <c r="AR77" s="651"/>
      <c r="AS77" s="651"/>
      <c r="AT77" s="651"/>
      <c r="AU77" s="651"/>
      <c r="AV77" s="651"/>
      <c r="AW77" s="651"/>
      <c r="AX77" s="651"/>
      <c r="AY77" s="651"/>
      <c r="AZ77" s="651"/>
      <c r="BA77" s="651"/>
      <c r="BB77" s="651"/>
      <c r="BC77" s="651"/>
      <c r="BD77" s="651"/>
      <c r="BE77" s="651"/>
      <c r="BF77" s="651"/>
      <c r="BH77" s="665"/>
      <c r="BI77" s="665"/>
      <c r="BJ77" s="665"/>
      <c r="BL77" s="499">
        <f t="shared" si="192"/>
        <v>0</v>
      </c>
      <c r="BM77" s="499"/>
      <c r="BN77" s="18"/>
      <c r="BO77" s="1018"/>
      <c r="BP77" s="1018"/>
      <c r="BQ77" s="1018"/>
      <c r="BR77" s="1018"/>
      <c r="BS77" s="1018"/>
      <c r="BT77" s="1018"/>
      <c r="BU77" s="1018"/>
      <c r="BV77" s="1018"/>
      <c r="BW77" s="1018"/>
      <c r="BX77" s="1018"/>
      <c r="BY77" s="1018"/>
      <c r="BZ77" s="1018"/>
      <c r="CA77" s="1018"/>
      <c r="CB77" s="1018"/>
      <c r="CC77" s="1018"/>
      <c r="CD77" s="1018"/>
      <c r="CE77" s="1018"/>
      <c r="CF77" s="1018"/>
      <c r="CG77" s="1018"/>
      <c r="CH77" s="1018"/>
      <c r="CI77" s="1018"/>
      <c r="CJ77" s="1018"/>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H77" s="572">
        <f t="shared" si="125"/>
        <v>0</v>
      </c>
    </row>
    <row r="78" spans="1:112" s="1024" customFormat="1" ht="12.75" customHeight="1" outlineLevel="1">
      <c r="C78" s="720" t="s">
        <v>1010</v>
      </c>
      <c r="D78" s="721" t="s">
        <v>899</v>
      </c>
      <c r="E78" s="721"/>
      <c r="F78" s="528"/>
      <c r="G78" s="722"/>
      <c r="H78" s="722"/>
      <c r="I78" s="722"/>
      <c r="J78" s="722"/>
      <c r="K78" s="723"/>
      <c r="L78" s="722"/>
      <c r="M78" s="722"/>
      <c r="N78" s="722"/>
      <c r="O78" s="722"/>
      <c r="P78" s="722"/>
      <c r="Q78" s="722"/>
      <c r="R78" s="528"/>
      <c r="S78" s="724">
        <f ca="1">S$74+S$76</f>
        <v>-8.6815924571345473</v>
      </c>
      <c r="T78" s="724">
        <f ca="1">T$74+T$76</f>
        <v>0</v>
      </c>
      <c r="U78" s="724"/>
      <c r="V78" s="724"/>
      <c r="W78" s="724"/>
      <c r="X78" s="724"/>
      <c r="Y78" s="724"/>
      <c r="Z78" s="724"/>
      <c r="AA78" s="724"/>
      <c r="AB78" s="724"/>
      <c r="AC78" s="724"/>
      <c r="AD78" s="724"/>
      <c r="AE78" s="724"/>
      <c r="AF78" s="724"/>
      <c r="AG78" s="724"/>
      <c r="AH78" s="724"/>
      <c r="AI78" s="724"/>
      <c r="AJ78" s="724"/>
      <c r="AK78" s="724"/>
      <c r="AL78" s="528"/>
      <c r="AM78" s="725"/>
      <c r="AN78" s="725"/>
      <c r="AO78" s="725"/>
      <c r="AP78" s="725"/>
      <c r="AQ78" s="725"/>
      <c r="AR78" s="725"/>
      <c r="AS78" s="725"/>
      <c r="AT78" s="725"/>
      <c r="AU78" s="725"/>
      <c r="AV78" s="725"/>
      <c r="AW78" s="725"/>
      <c r="AX78" s="725"/>
      <c r="AY78" s="725"/>
      <c r="AZ78" s="725"/>
      <c r="BA78" s="725"/>
      <c r="BB78" s="725"/>
      <c r="BC78" s="725"/>
      <c r="BD78" s="725"/>
      <c r="BE78" s="725"/>
      <c r="BF78" s="725"/>
      <c r="BG78" s="528"/>
      <c r="BH78" s="726"/>
      <c r="BI78" s="726"/>
      <c r="BJ78" s="726"/>
      <c r="BK78" s="528"/>
      <c r="BL78" s="579">
        <f t="shared" si="192"/>
        <v>0</v>
      </c>
      <c r="BM78" s="579"/>
      <c r="BO78" s="1026"/>
      <c r="BP78" s="1026"/>
      <c r="BQ78" s="1026"/>
      <c r="BR78" s="1026"/>
      <c r="BS78" s="1026"/>
      <c r="BT78" s="1026"/>
      <c r="BU78" s="1026"/>
      <c r="BV78" s="1026"/>
      <c r="BW78" s="1026"/>
      <c r="BX78" s="1026"/>
      <c r="BY78" s="1026"/>
      <c r="BZ78" s="1026"/>
      <c r="CA78" s="1026"/>
      <c r="CB78" s="1026"/>
      <c r="CC78" s="1026"/>
      <c r="CD78" s="1026"/>
      <c r="CE78" s="1026"/>
      <c r="CF78" s="1026"/>
      <c r="CG78" s="1026"/>
      <c r="CH78" s="1026"/>
      <c r="CI78" s="1026"/>
      <c r="CJ78" s="1026"/>
      <c r="CK78" s="1026"/>
      <c r="CL78" s="1026"/>
      <c r="CM78" s="1026"/>
      <c r="CN78" s="1026"/>
      <c r="CO78" s="1026"/>
      <c r="CP78" s="1026"/>
      <c r="CQ78" s="1026"/>
      <c r="CR78" s="1026"/>
      <c r="CS78" s="1026"/>
      <c r="CT78" s="1026"/>
      <c r="CU78" s="1026"/>
      <c r="CV78" s="1026"/>
      <c r="CW78" s="1026"/>
      <c r="CX78" s="1026"/>
      <c r="CY78" s="1026"/>
      <c r="CZ78" s="1026"/>
      <c r="DA78" s="1026"/>
      <c r="DB78" s="1026"/>
      <c r="DC78" s="1026"/>
      <c r="DD78" s="1026"/>
      <c r="DE78" s="1026"/>
      <c r="DF78" s="1026"/>
      <c r="DH78" s="572">
        <f t="shared" si="125"/>
        <v>0</v>
      </c>
    </row>
    <row r="79" spans="1:112" s="1020" customFormat="1" ht="12.75" customHeight="1" outlineLevel="1">
      <c r="C79" s="530" t="s">
        <v>665</v>
      </c>
      <c r="D79" s="505" t="str">
        <f>INDEX(Modules[Module], MATCH($C79, Modules[Code], 0))</f>
        <v>CCS Power</v>
      </c>
      <c r="E79" s="505"/>
      <c r="F79" s="528"/>
      <c r="G79" s="1308">
        <f t="shared" ref="G79:P79" ca="1" si="201">IFERROR(INDEX(INDIRECT($C79&amp;".Outputs["&amp;this.Year&amp;"]"), MATCH(G$5, INDIRECT($C79&amp;".Outputs[Vector]"), 0)), 0)</f>
        <v>0</v>
      </c>
      <c r="H79" s="1308">
        <f t="shared" ca="1" si="201"/>
        <v>0</v>
      </c>
      <c r="I79" s="1308">
        <f t="shared" ca="1" si="201"/>
        <v>0</v>
      </c>
      <c r="J79" s="1308">
        <f t="shared" ca="1" si="201"/>
        <v>0</v>
      </c>
      <c r="K79" s="1308">
        <f t="shared" ca="1" si="201"/>
        <v>0</v>
      </c>
      <c r="L79" s="1308">
        <f t="shared" ca="1" si="201"/>
        <v>0</v>
      </c>
      <c r="M79" s="1308">
        <f t="shared" ca="1" si="201"/>
        <v>0</v>
      </c>
      <c r="N79" s="1308">
        <f t="shared" ca="1" si="201"/>
        <v>0</v>
      </c>
      <c r="O79" s="1308">
        <f t="shared" ca="1" si="201"/>
        <v>0</v>
      </c>
      <c r="P79" s="1308">
        <f t="shared" ca="1" si="201"/>
        <v>0</v>
      </c>
      <c r="Q79" s="1309">
        <f ca="1">SUM(G79:P79)</f>
        <v>0</v>
      </c>
      <c r="R79" s="528"/>
      <c r="S79" s="1310">
        <f t="shared" ref="S79:BE79" ca="1" si="202">IFERROR(INDEX(INDIRECT($C79&amp;".Outputs["&amp;this.Year&amp;"]"), MATCH(S$5, INDIRECT($C79&amp;".Outputs[Vector]"), 0)), 0)</f>
        <v>0</v>
      </c>
      <c r="T79" s="1310">
        <f t="shared" ca="1" si="202"/>
        <v>0</v>
      </c>
      <c r="U79" s="1310">
        <f t="shared" ca="1" si="202"/>
        <v>0</v>
      </c>
      <c r="V79" s="1310">
        <f t="shared" ca="1" si="202"/>
        <v>0</v>
      </c>
      <c r="W79" s="1310">
        <f t="shared" ca="1" si="202"/>
        <v>0</v>
      </c>
      <c r="X79" s="1310">
        <f ca="1">IFERROR(INDEX(INDIRECT($C79&amp;".Outputs["&amp;this.Year&amp;"]"), MATCH(X$5, INDIRECT($C79&amp;".Outputs[Vector]"), 0)), 0)</f>
        <v>0</v>
      </c>
      <c r="Y79" s="1310">
        <f ca="1">IFERROR(INDEX(INDIRECT($C79&amp;".Outputs["&amp;this.Year&amp;"]"), MATCH(Y$5, INDIRECT($C79&amp;".Outputs[Vector]"), 0)), 0)</f>
        <v>0</v>
      </c>
      <c r="Z79" s="1310">
        <f ca="1">IFERROR(INDEX(INDIRECT($C79&amp;".Outputs["&amp;this.Year&amp;"]"), MATCH(Z$5, INDIRECT($C79&amp;".Outputs[Vector]"), 0)), 0)</f>
        <v>0</v>
      </c>
      <c r="AA79" s="1310">
        <f t="shared" ca="1" si="202"/>
        <v>0</v>
      </c>
      <c r="AB79" s="1310">
        <f t="shared" ca="1" si="202"/>
        <v>0</v>
      </c>
      <c r="AC79" s="1310">
        <f t="shared" ca="1" si="202"/>
        <v>0</v>
      </c>
      <c r="AD79" s="1310">
        <f t="shared" ca="1" si="202"/>
        <v>0</v>
      </c>
      <c r="AE79" s="1310">
        <f t="shared" ca="1" si="202"/>
        <v>0</v>
      </c>
      <c r="AF79" s="1310">
        <f t="shared" ca="1" si="202"/>
        <v>0</v>
      </c>
      <c r="AG79" s="1310">
        <f t="shared" ca="1" si="202"/>
        <v>0</v>
      </c>
      <c r="AH79" s="1310">
        <f t="shared" ca="1" si="202"/>
        <v>0</v>
      </c>
      <c r="AI79" s="1310">
        <f t="shared" ca="1" si="202"/>
        <v>0</v>
      </c>
      <c r="AJ79" s="1310">
        <f t="shared" ca="1" si="202"/>
        <v>0</v>
      </c>
      <c r="AK79" s="1311">
        <f ca="1">SUM(S79:AJ79)</f>
        <v>0</v>
      </c>
      <c r="AL79" s="528"/>
      <c r="AM79" s="1312">
        <f t="shared" ref="AM79:AU79" ca="1" si="203">IFERROR(INDEX(INDIRECT($C79&amp;".Outputs["&amp;this.Year&amp;"]"), MATCH(AM$5, INDIRECT($C79&amp;".Outputs[Vector]"), 0)), 0)</f>
        <v>0</v>
      </c>
      <c r="AN79" s="1312">
        <f t="shared" ca="1" si="203"/>
        <v>0</v>
      </c>
      <c r="AO79" s="1312">
        <f t="shared" ca="1" si="203"/>
        <v>0</v>
      </c>
      <c r="AP79" s="1312">
        <f t="shared" ca="1" si="203"/>
        <v>0</v>
      </c>
      <c r="AQ79" s="1312">
        <f t="shared" ca="1" si="203"/>
        <v>0</v>
      </c>
      <c r="AR79" s="1312">
        <f t="shared" ca="1" si="203"/>
        <v>0</v>
      </c>
      <c r="AS79" s="1312">
        <f t="shared" ca="1" si="203"/>
        <v>0</v>
      </c>
      <c r="AT79" s="1312">
        <f t="shared" ca="1" si="203"/>
        <v>0</v>
      </c>
      <c r="AU79" s="1312">
        <f t="shared" ca="1" si="203"/>
        <v>0</v>
      </c>
      <c r="AV79" s="1312">
        <f t="shared" ca="1" si="202"/>
        <v>0</v>
      </c>
      <c r="AW79" s="1312">
        <f t="shared" ca="1" si="202"/>
        <v>0</v>
      </c>
      <c r="AX79" s="1312">
        <f t="shared" ca="1" si="202"/>
        <v>0</v>
      </c>
      <c r="AY79" s="1312">
        <f t="shared" ca="1" si="202"/>
        <v>0</v>
      </c>
      <c r="AZ79" s="1312">
        <f t="shared" ca="1" si="202"/>
        <v>0</v>
      </c>
      <c r="BA79" s="1312">
        <f t="shared" ca="1" si="202"/>
        <v>0</v>
      </c>
      <c r="BB79" s="1312">
        <f t="shared" ca="1" si="202"/>
        <v>0</v>
      </c>
      <c r="BC79" s="1312">
        <f t="shared" ca="1" si="202"/>
        <v>0</v>
      </c>
      <c r="BD79" s="1312">
        <f t="shared" ca="1" si="202"/>
        <v>0</v>
      </c>
      <c r="BE79" s="1312">
        <f t="shared" ca="1" si="202"/>
        <v>0</v>
      </c>
      <c r="BF79" s="1313">
        <f ca="1">SUM(AM79:BE79)</f>
        <v>0</v>
      </c>
      <c r="BG79" s="528"/>
      <c r="BH79" s="1314">
        <f ca="1">IFERROR(INDEX(INDIRECT($C79&amp;".Outputs["&amp;this.Year&amp;"]"), MATCH(BH$5, INDIRECT($C79&amp;".Outputs[Vector]"), 0)), 0)</f>
        <v>0</v>
      </c>
      <c r="BI79" s="1314">
        <f ca="1">IFERROR(INDEX(INDIRECT($C79&amp;".Outputs["&amp;this.Year&amp;"]"), MATCH(BI$5, INDIRECT($C79&amp;".Outputs[Vector]"), 0)), 0)</f>
        <v>0</v>
      </c>
      <c r="BJ79" s="1315">
        <f ca="1">SUM(BH79:BI79)</f>
        <v>0</v>
      </c>
      <c r="BK79" s="528"/>
      <c r="BL79" s="562">
        <f t="shared" ca="1" si="192"/>
        <v>0</v>
      </c>
      <c r="BM79" s="562"/>
      <c r="BN79" s="574"/>
      <c r="BO79" s="1017">
        <f t="shared" ref="BO79:DF79" ca="1" si="204">IFERROR(SUMIFS(INDIRECT($C79&amp;".Emissions["&amp;this.Year&amp;"]"), INDIRECT($C79&amp;".Emissions[GHG]"), BO$6, INDIRECT($C79&amp;".Emissions[IPCC Sector]"), BO$5),0)</f>
        <v>0</v>
      </c>
      <c r="BP79" s="1018">
        <f t="shared" ca="1" si="204"/>
        <v>0</v>
      </c>
      <c r="BQ79" s="1018">
        <f t="shared" ca="1" si="204"/>
        <v>0</v>
      </c>
      <c r="BR79" s="1018">
        <f t="shared" ca="1" si="204"/>
        <v>0</v>
      </c>
      <c r="BS79" s="1018">
        <f t="shared" ca="1" si="204"/>
        <v>0</v>
      </c>
      <c r="BT79" s="1018">
        <f t="shared" ca="1" si="204"/>
        <v>0</v>
      </c>
      <c r="BU79" s="1018">
        <f t="shared" ca="1" si="204"/>
        <v>0</v>
      </c>
      <c r="BV79" s="1018">
        <f t="shared" ca="1" si="204"/>
        <v>0</v>
      </c>
      <c r="BW79" s="1018">
        <f t="shared" ca="1" si="204"/>
        <v>0</v>
      </c>
      <c r="BX79" s="1018">
        <f t="shared" ca="1" si="204"/>
        <v>0</v>
      </c>
      <c r="BY79" s="1018">
        <f t="shared" ca="1" si="204"/>
        <v>0</v>
      </c>
      <c r="BZ79" s="1018">
        <f t="shared" ca="1" si="204"/>
        <v>0</v>
      </c>
      <c r="CA79" s="1018">
        <f t="shared" ca="1" si="204"/>
        <v>0</v>
      </c>
      <c r="CB79" s="1018">
        <f t="shared" ca="1" si="204"/>
        <v>0</v>
      </c>
      <c r="CC79" s="1018">
        <f t="shared" ca="1" si="204"/>
        <v>0</v>
      </c>
      <c r="CD79" s="1018">
        <f t="shared" ca="1" si="204"/>
        <v>0</v>
      </c>
      <c r="CE79" s="1018">
        <f t="shared" ca="1" si="204"/>
        <v>0</v>
      </c>
      <c r="CF79" s="1018">
        <f t="shared" ca="1" si="204"/>
        <v>0</v>
      </c>
      <c r="CG79" s="1018">
        <f t="shared" ca="1" si="204"/>
        <v>0</v>
      </c>
      <c r="CH79" s="1018">
        <f t="shared" ca="1" si="204"/>
        <v>0</v>
      </c>
      <c r="CI79" s="1018">
        <f t="shared" ca="1" si="204"/>
        <v>0</v>
      </c>
      <c r="CJ79" s="1018">
        <f t="shared" ca="1" si="204"/>
        <v>0</v>
      </c>
      <c r="CK79" s="1018">
        <f t="shared" ca="1" si="204"/>
        <v>0</v>
      </c>
      <c r="CL79" s="1018">
        <f t="shared" ca="1" si="204"/>
        <v>0</v>
      </c>
      <c r="CM79" s="1018">
        <f t="shared" ca="1" si="204"/>
        <v>0</v>
      </c>
      <c r="CN79" s="1018">
        <f t="shared" ca="1" si="204"/>
        <v>0</v>
      </c>
      <c r="CO79" s="1018">
        <f t="shared" ca="1" si="204"/>
        <v>0</v>
      </c>
      <c r="CP79" s="1018">
        <f t="shared" ca="1" si="204"/>
        <v>0</v>
      </c>
      <c r="CQ79" s="1018">
        <f t="shared" ca="1" si="204"/>
        <v>0</v>
      </c>
      <c r="CR79" s="1018">
        <f t="shared" ca="1" si="204"/>
        <v>0</v>
      </c>
      <c r="CS79" s="1018">
        <f t="shared" ca="1" si="204"/>
        <v>0</v>
      </c>
      <c r="CT79" s="1018">
        <f t="shared" ca="1" si="204"/>
        <v>0</v>
      </c>
      <c r="CU79" s="1018">
        <f t="shared" ca="1" si="204"/>
        <v>0</v>
      </c>
      <c r="CV79" s="1018">
        <f t="shared" ca="1" si="204"/>
        <v>0</v>
      </c>
      <c r="CW79" s="1018">
        <f t="shared" ca="1" si="204"/>
        <v>0</v>
      </c>
      <c r="CX79" s="1018">
        <f t="shared" ca="1" si="204"/>
        <v>0</v>
      </c>
      <c r="CY79" s="1018">
        <f t="shared" ca="1" si="204"/>
        <v>0</v>
      </c>
      <c r="CZ79" s="1018">
        <f t="shared" ca="1" si="204"/>
        <v>0</v>
      </c>
      <c r="DA79" s="1018">
        <f t="shared" ca="1" si="204"/>
        <v>0</v>
      </c>
      <c r="DB79" s="1018">
        <f t="shared" ca="1" si="204"/>
        <v>0</v>
      </c>
      <c r="DC79" s="1018">
        <f t="shared" ca="1" si="204"/>
        <v>0</v>
      </c>
      <c r="DD79" s="1018">
        <f t="shared" ca="1" si="204"/>
        <v>0</v>
      </c>
      <c r="DE79" s="1018">
        <f t="shared" ca="1" si="204"/>
        <v>0</v>
      </c>
      <c r="DF79" s="1018">
        <f t="shared" ca="1" si="204"/>
        <v>0</v>
      </c>
      <c r="DH79" s="572">
        <f t="shared" ca="1" si="125"/>
        <v>0</v>
      </c>
    </row>
    <row r="80" spans="1:112" s="1027" customFormat="1" ht="12.75" customHeight="1" outlineLevel="1">
      <c r="C80" s="1034" t="s">
        <v>1011</v>
      </c>
      <c r="D80" s="721" t="s">
        <v>899</v>
      </c>
      <c r="E80" s="1035"/>
      <c r="F80" s="1253"/>
      <c r="G80" s="736"/>
      <c r="H80" s="736"/>
      <c r="I80" s="736"/>
      <c r="J80" s="736"/>
      <c r="K80" s="737"/>
      <c r="L80" s="736"/>
      <c r="M80" s="736"/>
      <c r="N80" s="736"/>
      <c r="O80" s="736"/>
      <c r="P80" s="736"/>
      <c r="Q80" s="736"/>
      <c r="R80" s="1253"/>
      <c r="S80" s="738">
        <f ca="1">S78+S79</f>
        <v>-8.6815924571345473</v>
      </c>
      <c r="T80" s="738">
        <f ca="1">T78+T79</f>
        <v>0</v>
      </c>
      <c r="U80" s="738"/>
      <c r="V80" s="738"/>
      <c r="W80" s="738"/>
      <c r="X80" s="738"/>
      <c r="Y80" s="738"/>
      <c r="Z80" s="738"/>
      <c r="AA80" s="738"/>
      <c r="AB80" s="738"/>
      <c r="AC80" s="738"/>
      <c r="AD80" s="738"/>
      <c r="AE80" s="738"/>
      <c r="AF80" s="738"/>
      <c r="AG80" s="738"/>
      <c r="AH80" s="738"/>
      <c r="AI80" s="738"/>
      <c r="AJ80" s="738"/>
      <c r="AK80" s="738"/>
      <c r="AL80" s="1253"/>
      <c r="AM80" s="739"/>
      <c r="AN80" s="739"/>
      <c r="AO80" s="739"/>
      <c r="AP80" s="739"/>
      <c r="AQ80" s="739"/>
      <c r="AR80" s="739"/>
      <c r="AS80" s="739"/>
      <c r="AT80" s="739"/>
      <c r="AU80" s="739"/>
      <c r="AV80" s="739"/>
      <c r="AW80" s="739"/>
      <c r="AX80" s="739"/>
      <c r="AY80" s="739"/>
      <c r="AZ80" s="739"/>
      <c r="BA80" s="739"/>
      <c r="BB80" s="739"/>
      <c r="BC80" s="739"/>
      <c r="BD80" s="739"/>
      <c r="BE80" s="739"/>
      <c r="BF80" s="739"/>
      <c r="BG80" s="1253"/>
      <c r="BH80" s="740"/>
      <c r="BI80" s="740"/>
      <c r="BJ80" s="740"/>
      <c r="BK80" s="1253"/>
      <c r="BL80" s="1036">
        <f t="shared" si="192"/>
        <v>0</v>
      </c>
      <c r="BM80" s="1036"/>
      <c r="BO80" s="1259"/>
      <c r="BP80" s="1259"/>
      <c r="BQ80" s="1259"/>
      <c r="BR80" s="1259"/>
      <c r="BS80" s="1259"/>
      <c r="BT80" s="1259"/>
      <c r="BU80" s="1259"/>
      <c r="BV80" s="1259"/>
      <c r="BW80" s="1259"/>
      <c r="BX80" s="1259"/>
      <c r="BY80" s="1259"/>
      <c r="BZ80" s="1259"/>
      <c r="CA80" s="1259"/>
      <c r="CB80" s="1259"/>
      <c r="CC80" s="1259"/>
      <c r="CD80" s="1259"/>
      <c r="CE80" s="1259"/>
      <c r="CF80" s="1259"/>
      <c r="CG80" s="1259"/>
      <c r="CH80" s="1259"/>
      <c r="CI80" s="1259"/>
      <c r="CJ80" s="1259"/>
      <c r="CK80" s="1259"/>
      <c r="CL80" s="1259"/>
      <c r="CM80" s="1259"/>
      <c r="CN80" s="1259"/>
      <c r="CO80" s="1259"/>
      <c r="CP80" s="1259"/>
      <c r="CQ80" s="1259"/>
      <c r="CR80" s="1259"/>
      <c r="CS80" s="1259"/>
      <c r="CT80" s="1259"/>
      <c r="CU80" s="1259"/>
      <c r="CV80" s="1259"/>
      <c r="CW80" s="1259"/>
      <c r="CX80" s="1259"/>
      <c r="CY80" s="1259"/>
      <c r="CZ80" s="1259"/>
      <c r="DA80" s="1259"/>
      <c r="DB80" s="1259"/>
      <c r="DC80" s="1259"/>
      <c r="DD80" s="1259"/>
      <c r="DE80" s="1259"/>
      <c r="DF80" s="1259"/>
      <c r="DH80" s="1258">
        <f t="shared" si="125"/>
        <v>0</v>
      </c>
    </row>
    <row r="81" spans="1:112" s="1020" customFormat="1" ht="12.75" customHeight="1" outlineLevel="1">
      <c r="C81" s="530" t="s">
        <v>621</v>
      </c>
      <c r="D81" s="505" t="str">
        <f>INDEX(Modules[Module], MATCH($C81, Modules[Code], 0))</f>
        <v>Biomass/Coal power stations</v>
      </c>
      <c r="E81" s="505"/>
      <c r="F81" s="528"/>
      <c r="G81" s="696">
        <f t="shared" ref="G81:P81" ca="1" si="205">IFERROR(INDEX(INDIRECT($C81&amp;".Outputs["&amp;this.Year&amp;"]"), MATCH(G$5, INDIRECT($C81&amp;".Outputs[Vector]"), 0)), 0)</f>
        <v>0</v>
      </c>
      <c r="H81" s="696">
        <f t="shared" ca="1" si="205"/>
        <v>0</v>
      </c>
      <c r="I81" s="696">
        <f t="shared" ca="1" si="205"/>
        <v>0</v>
      </c>
      <c r="J81" s="696">
        <f t="shared" ca="1" si="205"/>
        <v>0</v>
      </c>
      <c r="K81" s="696">
        <f t="shared" ca="1" si="205"/>
        <v>0</v>
      </c>
      <c r="L81" s="696">
        <f t="shared" ca="1" si="205"/>
        <v>0</v>
      </c>
      <c r="M81" s="696">
        <f t="shared" ca="1" si="205"/>
        <v>0</v>
      </c>
      <c r="N81" s="696">
        <f t="shared" ca="1" si="205"/>
        <v>0</v>
      </c>
      <c r="O81" s="696">
        <f t="shared" ca="1" si="205"/>
        <v>0</v>
      </c>
      <c r="P81" s="696">
        <f t="shared" ca="1" si="205"/>
        <v>0</v>
      </c>
      <c r="Q81" s="694">
        <f ca="1">SUM(G81:P81)</f>
        <v>0</v>
      </c>
      <c r="R81" s="528"/>
      <c r="S81" s="705">
        <f t="shared" ref="S81:BE81" ca="1" si="206">IFERROR(INDEX(INDIRECT($C81&amp;".Outputs["&amp;this.Year&amp;"]"), MATCH(S$5, INDIRECT($C81&amp;".Outputs[Vector]"), 0)), 0)</f>
        <v>0</v>
      </c>
      <c r="T81" s="705">
        <f t="shared" ca="1" si="206"/>
        <v>0</v>
      </c>
      <c r="U81" s="705">
        <f t="shared" ca="1" si="206"/>
        <v>0</v>
      </c>
      <c r="V81" s="705">
        <f t="shared" ca="1" si="206"/>
        <v>0</v>
      </c>
      <c r="W81" s="705">
        <f t="shared" ca="1" si="206"/>
        <v>0</v>
      </c>
      <c r="X81" s="705">
        <f ca="1">IFERROR(INDEX(INDIRECT($C81&amp;".Outputs["&amp;this.Year&amp;"]"), MATCH(X$5, INDIRECT($C81&amp;".Outputs[Vector]"), 0)), 0)</f>
        <v>0</v>
      </c>
      <c r="Y81" s="705">
        <f ca="1">IFERROR(INDEX(INDIRECT($C81&amp;".Outputs["&amp;this.Year&amp;"]"), MATCH(Y$5, INDIRECT($C81&amp;".Outputs[Vector]"), 0)), 0)</f>
        <v>0</v>
      </c>
      <c r="Z81" s="705">
        <f ca="1">IFERROR(INDEX(INDIRECT($C81&amp;".Outputs["&amp;this.Year&amp;"]"), MATCH(Z$5, INDIRECT($C81&amp;".Outputs[Vector]"), 0)), 0)</f>
        <v>0</v>
      </c>
      <c r="AA81" s="705">
        <f t="shared" ca="1" si="206"/>
        <v>0</v>
      </c>
      <c r="AB81" s="705">
        <f t="shared" ca="1" si="206"/>
        <v>0</v>
      </c>
      <c r="AC81" s="705">
        <f t="shared" ca="1" si="206"/>
        <v>0</v>
      </c>
      <c r="AD81" s="705">
        <f t="shared" ca="1" si="206"/>
        <v>0</v>
      </c>
      <c r="AE81" s="705">
        <f t="shared" ca="1" si="206"/>
        <v>0</v>
      </c>
      <c r="AF81" s="705">
        <f t="shared" ca="1" si="206"/>
        <v>0</v>
      </c>
      <c r="AG81" s="705">
        <f t="shared" ca="1" si="206"/>
        <v>0</v>
      </c>
      <c r="AH81" s="705">
        <f t="shared" ca="1" si="206"/>
        <v>0</v>
      </c>
      <c r="AI81" s="705">
        <f t="shared" ca="1" si="206"/>
        <v>0</v>
      </c>
      <c r="AJ81" s="705">
        <f t="shared" ca="1" si="206"/>
        <v>0</v>
      </c>
      <c r="AK81" s="704">
        <f ca="1">SUM(S81:AJ81)</f>
        <v>0</v>
      </c>
      <c r="AL81" s="528"/>
      <c r="AM81" s="716">
        <f t="shared" ref="AM81:AU81" ca="1" si="207">IFERROR(INDEX(INDIRECT($C81&amp;".Outputs["&amp;this.Year&amp;"]"), MATCH(AM$5, INDIRECT($C81&amp;".Outputs[Vector]"), 0)), 0)</f>
        <v>0</v>
      </c>
      <c r="AN81" s="716">
        <f t="shared" ca="1" si="207"/>
        <v>0</v>
      </c>
      <c r="AO81" s="716">
        <f t="shared" ca="1" si="207"/>
        <v>0</v>
      </c>
      <c r="AP81" s="716">
        <f t="shared" ca="1" si="207"/>
        <v>0</v>
      </c>
      <c r="AQ81" s="716">
        <f t="shared" ca="1" si="207"/>
        <v>0</v>
      </c>
      <c r="AR81" s="716">
        <f t="shared" ca="1" si="207"/>
        <v>0</v>
      </c>
      <c r="AS81" s="716">
        <f t="shared" ca="1" si="207"/>
        <v>0</v>
      </c>
      <c r="AT81" s="716">
        <f t="shared" ca="1" si="207"/>
        <v>0</v>
      </c>
      <c r="AU81" s="716">
        <f t="shared" ca="1" si="207"/>
        <v>0</v>
      </c>
      <c r="AV81" s="716">
        <f t="shared" ca="1" si="206"/>
        <v>0</v>
      </c>
      <c r="AW81" s="716">
        <f t="shared" ca="1" si="206"/>
        <v>0</v>
      </c>
      <c r="AX81" s="716">
        <f t="shared" ca="1" si="206"/>
        <v>0</v>
      </c>
      <c r="AY81" s="716">
        <f t="shared" ca="1" si="206"/>
        <v>0</v>
      </c>
      <c r="AZ81" s="716">
        <f t="shared" ca="1" si="206"/>
        <v>0</v>
      </c>
      <c r="BA81" s="716">
        <f t="shared" ca="1" si="206"/>
        <v>0</v>
      </c>
      <c r="BB81" s="716">
        <f t="shared" ca="1" si="206"/>
        <v>0</v>
      </c>
      <c r="BC81" s="716">
        <f t="shared" ca="1" si="206"/>
        <v>0</v>
      </c>
      <c r="BD81" s="716">
        <f t="shared" ca="1" si="206"/>
        <v>0</v>
      </c>
      <c r="BE81" s="716">
        <f t="shared" ca="1" si="206"/>
        <v>0</v>
      </c>
      <c r="BF81" s="686">
        <f ca="1">SUM(AM81:BE81)</f>
        <v>0</v>
      </c>
      <c r="BG81" s="528"/>
      <c r="BH81" s="710">
        <f ca="1">IFERROR(INDEX(INDIRECT($C81&amp;".Outputs["&amp;this.Year&amp;"]"), MATCH(BH$5, INDIRECT($C81&amp;".Outputs[Vector]"), 0)), 0)</f>
        <v>0</v>
      </c>
      <c r="BI81" s="710">
        <f ca="1">IFERROR(INDEX(INDIRECT($C81&amp;".Outputs["&amp;this.Year&amp;"]"), MATCH(BI$5, INDIRECT($C81&amp;".Outputs[Vector]"), 0)), 0)</f>
        <v>0</v>
      </c>
      <c r="BJ81" s="709">
        <f ca="1">SUM(BH81:BI81)</f>
        <v>0</v>
      </c>
      <c r="BK81" s="528"/>
      <c r="BL81" s="562">
        <f t="shared" ref="BL81:BL87" ca="1" si="208">Q81+AK81+BF81+BJ81</f>
        <v>0</v>
      </c>
      <c r="BM81" s="562"/>
      <c r="BN81" s="574"/>
      <c r="BO81" s="1021">
        <f t="shared" ref="BO81:DF81" ca="1" si="209">IFERROR(SUMIFS(INDIRECT($C81&amp;".Emissions["&amp;this.Year&amp;"]"), INDIRECT($C81&amp;".Emissions[GHG]"), BO$6, INDIRECT($C81&amp;".Emissions[IPCC Sector]"), BO$5),0)</f>
        <v>0</v>
      </c>
      <c r="BP81" s="1022">
        <f t="shared" ca="1" si="209"/>
        <v>0</v>
      </c>
      <c r="BQ81" s="1022">
        <f t="shared" ca="1" si="209"/>
        <v>0</v>
      </c>
      <c r="BR81" s="1022">
        <f t="shared" ca="1" si="209"/>
        <v>0</v>
      </c>
      <c r="BS81" s="1022">
        <f t="shared" ca="1" si="209"/>
        <v>0</v>
      </c>
      <c r="BT81" s="1022">
        <f t="shared" ca="1" si="209"/>
        <v>0</v>
      </c>
      <c r="BU81" s="1022">
        <f t="shared" ca="1" si="209"/>
        <v>0</v>
      </c>
      <c r="BV81" s="1022">
        <f t="shared" ca="1" si="209"/>
        <v>0</v>
      </c>
      <c r="BW81" s="1022">
        <f t="shared" ca="1" si="209"/>
        <v>0</v>
      </c>
      <c r="BX81" s="1022">
        <f t="shared" ca="1" si="209"/>
        <v>0</v>
      </c>
      <c r="BY81" s="1022">
        <f t="shared" ca="1" si="209"/>
        <v>0</v>
      </c>
      <c r="BZ81" s="1022">
        <f t="shared" ca="1" si="209"/>
        <v>0</v>
      </c>
      <c r="CA81" s="1022">
        <f t="shared" ca="1" si="209"/>
        <v>0</v>
      </c>
      <c r="CB81" s="1022">
        <f t="shared" ca="1" si="209"/>
        <v>0</v>
      </c>
      <c r="CC81" s="1022">
        <f t="shared" ca="1" si="209"/>
        <v>0</v>
      </c>
      <c r="CD81" s="1022">
        <f t="shared" ca="1" si="209"/>
        <v>0</v>
      </c>
      <c r="CE81" s="1022">
        <f t="shared" ca="1" si="209"/>
        <v>0</v>
      </c>
      <c r="CF81" s="1022">
        <f t="shared" ca="1" si="209"/>
        <v>0</v>
      </c>
      <c r="CG81" s="1022">
        <f t="shared" ca="1" si="209"/>
        <v>0</v>
      </c>
      <c r="CH81" s="1022">
        <f t="shared" ca="1" si="209"/>
        <v>0</v>
      </c>
      <c r="CI81" s="1022">
        <f t="shared" ca="1" si="209"/>
        <v>0</v>
      </c>
      <c r="CJ81" s="1022">
        <f t="shared" ca="1" si="209"/>
        <v>0</v>
      </c>
      <c r="CK81" s="1022">
        <f t="shared" ca="1" si="209"/>
        <v>0</v>
      </c>
      <c r="CL81" s="1022">
        <f t="shared" ca="1" si="209"/>
        <v>0</v>
      </c>
      <c r="CM81" s="1022">
        <f t="shared" ca="1" si="209"/>
        <v>0</v>
      </c>
      <c r="CN81" s="1022">
        <f t="shared" ca="1" si="209"/>
        <v>0</v>
      </c>
      <c r="CO81" s="1022">
        <f t="shared" ca="1" si="209"/>
        <v>0</v>
      </c>
      <c r="CP81" s="1022">
        <f t="shared" ca="1" si="209"/>
        <v>0</v>
      </c>
      <c r="CQ81" s="1022">
        <f t="shared" ca="1" si="209"/>
        <v>0</v>
      </c>
      <c r="CR81" s="1022">
        <f t="shared" ca="1" si="209"/>
        <v>0</v>
      </c>
      <c r="CS81" s="1022">
        <f t="shared" ca="1" si="209"/>
        <v>0</v>
      </c>
      <c r="CT81" s="1022">
        <f t="shared" ca="1" si="209"/>
        <v>0</v>
      </c>
      <c r="CU81" s="1022">
        <f t="shared" ca="1" si="209"/>
        <v>0</v>
      </c>
      <c r="CV81" s="1022">
        <f t="shared" ca="1" si="209"/>
        <v>0</v>
      </c>
      <c r="CW81" s="1022">
        <f t="shared" ca="1" si="209"/>
        <v>0</v>
      </c>
      <c r="CX81" s="1022">
        <f t="shared" ca="1" si="209"/>
        <v>0</v>
      </c>
      <c r="CY81" s="1022">
        <f t="shared" ca="1" si="209"/>
        <v>0</v>
      </c>
      <c r="CZ81" s="1022">
        <f t="shared" ca="1" si="209"/>
        <v>0</v>
      </c>
      <c r="DA81" s="1022">
        <f t="shared" ca="1" si="209"/>
        <v>0</v>
      </c>
      <c r="DB81" s="1022">
        <f t="shared" ca="1" si="209"/>
        <v>0</v>
      </c>
      <c r="DC81" s="1022">
        <f t="shared" ca="1" si="209"/>
        <v>0</v>
      </c>
      <c r="DD81" s="1022">
        <f t="shared" ca="1" si="209"/>
        <v>0</v>
      </c>
      <c r="DE81" s="1022">
        <f t="shared" ca="1" si="209"/>
        <v>0</v>
      </c>
      <c r="DF81" s="1022">
        <f t="shared" ca="1" si="209"/>
        <v>0</v>
      </c>
      <c r="DH81" s="572">
        <f t="shared" ca="1" si="125"/>
        <v>0</v>
      </c>
    </row>
    <row r="82" spans="1:112" s="528" customFormat="1" ht="15">
      <c r="A82" s="18"/>
      <c r="B82" s="533"/>
      <c r="C82" s="529" t="s">
        <v>68</v>
      </c>
      <c r="D82" s="501" t="str">
        <f>INDEX(Workstreams[Workstream], MATCH($C82, Workstreams[Code], 0))</f>
        <v>Hydrocarbon fuel power generation</v>
      </c>
      <c r="E82" s="497"/>
      <c r="G82" s="695">
        <f t="shared" ref="G82:P82" ca="1" si="210">G79+G81</f>
        <v>0</v>
      </c>
      <c r="H82" s="695">
        <f t="shared" ca="1" si="210"/>
        <v>0</v>
      </c>
      <c r="I82" s="695">
        <f t="shared" ca="1" si="210"/>
        <v>0</v>
      </c>
      <c r="J82" s="695">
        <f t="shared" ca="1" si="210"/>
        <v>0</v>
      </c>
      <c r="K82" s="695">
        <f t="shared" ca="1" si="210"/>
        <v>0</v>
      </c>
      <c r="L82" s="695">
        <f t="shared" ca="1" si="210"/>
        <v>0</v>
      </c>
      <c r="M82" s="695">
        <f t="shared" ca="1" si="210"/>
        <v>0</v>
      </c>
      <c r="N82" s="695">
        <f t="shared" ca="1" si="210"/>
        <v>0</v>
      </c>
      <c r="O82" s="695">
        <f t="shared" ca="1" si="210"/>
        <v>0</v>
      </c>
      <c r="P82" s="695">
        <f t="shared" ca="1" si="210"/>
        <v>0</v>
      </c>
      <c r="Q82" s="695">
        <f ca="1">SUM(G82:P82)</f>
        <v>0</v>
      </c>
      <c r="S82" s="645">
        <f t="shared" ref="S82:AJ82" ca="1" si="211">S79+S81</f>
        <v>0</v>
      </c>
      <c r="T82" s="645">
        <f t="shared" ca="1" si="211"/>
        <v>0</v>
      </c>
      <c r="U82" s="645">
        <f t="shared" ca="1" si="211"/>
        <v>0</v>
      </c>
      <c r="V82" s="645">
        <f t="shared" ca="1" si="211"/>
        <v>0</v>
      </c>
      <c r="W82" s="645">
        <f t="shared" ca="1" si="211"/>
        <v>0</v>
      </c>
      <c r="X82" s="645">
        <f t="shared" ca="1" si="211"/>
        <v>0</v>
      </c>
      <c r="Y82" s="645">
        <f t="shared" ca="1" si="211"/>
        <v>0</v>
      </c>
      <c r="Z82" s="645">
        <f t="shared" ca="1" si="211"/>
        <v>0</v>
      </c>
      <c r="AA82" s="645">
        <f t="shared" ca="1" si="211"/>
        <v>0</v>
      </c>
      <c r="AB82" s="645">
        <f t="shared" ca="1" si="211"/>
        <v>0</v>
      </c>
      <c r="AC82" s="645">
        <f t="shared" ca="1" si="211"/>
        <v>0</v>
      </c>
      <c r="AD82" s="645">
        <f ca="1">AD79+AD81</f>
        <v>0</v>
      </c>
      <c r="AE82" s="645">
        <f ca="1">AE79+AE81</f>
        <v>0</v>
      </c>
      <c r="AF82" s="645">
        <f t="shared" ca="1" si="211"/>
        <v>0</v>
      </c>
      <c r="AG82" s="645">
        <f t="shared" ca="1" si="211"/>
        <v>0</v>
      </c>
      <c r="AH82" s="645">
        <f ca="1">AH79+AH81</f>
        <v>0</v>
      </c>
      <c r="AI82" s="645">
        <f t="shared" ca="1" si="211"/>
        <v>0</v>
      </c>
      <c r="AJ82" s="645">
        <f t="shared" ca="1" si="211"/>
        <v>0</v>
      </c>
      <c r="AK82" s="645">
        <f ca="1">SUM(S82:AJ82)</f>
        <v>0</v>
      </c>
      <c r="AM82" s="651">
        <f t="shared" ref="AM82:BE82" ca="1" si="212">AM79+AM81</f>
        <v>0</v>
      </c>
      <c r="AN82" s="651">
        <f t="shared" ca="1" si="212"/>
        <v>0</v>
      </c>
      <c r="AO82" s="651">
        <f t="shared" ca="1" si="212"/>
        <v>0</v>
      </c>
      <c r="AP82" s="651">
        <f t="shared" ca="1" si="212"/>
        <v>0</v>
      </c>
      <c r="AQ82" s="651">
        <f t="shared" ca="1" si="212"/>
        <v>0</v>
      </c>
      <c r="AR82" s="651">
        <f t="shared" ca="1" si="212"/>
        <v>0</v>
      </c>
      <c r="AS82" s="651">
        <f t="shared" ca="1" si="212"/>
        <v>0</v>
      </c>
      <c r="AT82" s="651">
        <f t="shared" ca="1" si="212"/>
        <v>0</v>
      </c>
      <c r="AU82" s="651">
        <f t="shared" ca="1" si="212"/>
        <v>0</v>
      </c>
      <c r="AV82" s="651">
        <f t="shared" ca="1" si="212"/>
        <v>0</v>
      </c>
      <c r="AW82" s="651">
        <f t="shared" ca="1" si="212"/>
        <v>0</v>
      </c>
      <c r="AX82" s="651">
        <f t="shared" ca="1" si="212"/>
        <v>0</v>
      </c>
      <c r="AY82" s="651">
        <f t="shared" ca="1" si="212"/>
        <v>0</v>
      </c>
      <c r="AZ82" s="651">
        <f t="shared" ca="1" si="212"/>
        <v>0</v>
      </c>
      <c r="BA82" s="651">
        <f t="shared" ca="1" si="212"/>
        <v>0</v>
      </c>
      <c r="BB82" s="651">
        <f t="shared" ca="1" si="212"/>
        <v>0</v>
      </c>
      <c r="BC82" s="651">
        <f t="shared" ca="1" si="212"/>
        <v>0</v>
      </c>
      <c r="BD82" s="651">
        <f t="shared" ca="1" si="212"/>
        <v>0</v>
      </c>
      <c r="BE82" s="651">
        <f t="shared" ca="1" si="212"/>
        <v>0</v>
      </c>
      <c r="BF82" s="651">
        <f ca="1">SUM(AM82:BE82)</f>
        <v>0</v>
      </c>
      <c r="BH82" s="665">
        <f ca="1">BH79+BH81</f>
        <v>0</v>
      </c>
      <c r="BI82" s="665">
        <f ca="1">BI79+BI81</f>
        <v>0</v>
      </c>
      <c r="BJ82" s="665">
        <f ca="1">SUM(BH82:BI82)</f>
        <v>0</v>
      </c>
      <c r="BL82" s="499">
        <f t="shared" ca="1" si="208"/>
        <v>0</v>
      </c>
      <c r="BM82" s="499"/>
      <c r="BN82" s="574"/>
      <c r="BO82" s="1018">
        <f t="shared" ref="BO82:DF82" ca="1" si="213">BO79+BO81</f>
        <v>0</v>
      </c>
      <c r="BP82" s="1018">
        <f t="shared" ca="1" si="213"/>
        <v>0</v>
      </c>
      <c r="BQ82" s="1018">
        <f t="shared" ca="1" si="213"/>
        <v>0</v>
      </c>
      <c r="BR82" s="1018">
        <f t="shared" ca="1" si="213"/>
        <v>0</v>
      </c>
      <c r="BS82" s="1018">
        <f t="shared" ca="1" si="213"/>
        <v>0</v>
      </c>
      <c r="BT82" s="1018">
        <f t="shared" ca="1" si="213"/>
        <v>0</v>
      </c>
      <c r="BU82" s="1018">
        <f t="shared" ca="1" si="213"/>
        <v>0</v>
      </c>
      <c r="BV82" s="1018">
        <f t="shared" ca="1" si="213"/>
        <v>0</v>
      </c>
      <c r="BW82" s="1018">
        <f t="shared" ca="1" si="213"/>
        <v>0</v>
      </c>
      <c r="BX82" s="1018">
        <f t="shared" ca="1" si="213"/>
        <v>0</v>
      </c>
      <c r="BY82" s="1018">
        <f t="shared" ca="1" si="213"/>
        <v>0</v>
      </c>
      <c r="BZ82" s="1018">
        <f t="shared" ca="1" si="213"/>
        <v>0</v>
      </c>
      <c r="CA82" s="1018">
        <f t="shared" ca="1" si="213"/>
        <v>0</v>
      </c>
      <c r="CB82" s="1018">
        <f t="shared" ca="1" si="213"/>
        <v>0</v>
      </c>
      <c r="CC82" s="1018">
        <f t="shared" ca="1" si="213"/>
        <v>0</v>
      </c>
      <c r="CD82" s="1018">
        <f t="shared" ca="1" si="213"/>
        <v>0</v>
      </c>
      <c r="CE82" s="1018">
        <f t="shared" ca="1" si="213"/>
        <v>0</v>
      </c>
      <c r="CF82" s="1018">
        <f t="shared" ca="1" si="213"/>
        <v>0</v>
      </c>
      <c r="CG82" s="1018">
        <f t="shared" ca="1" si="213"/>
        <v>0</v>
      </c>
      <c r="CH82" s="1018">
        <f t="shared" ca="1" si="213"/>
        <v>0</v>
      </c>
      <c r="CI82" s="1018">
        <f t="shared" ca="1" si="213"/>
        <v>0</v>
      </c>
      <c r="CJ82" s="1018">
        <f t="shared" ca="1" si="213"/>
        <v>0</v>
      </c>
      <c r="CK82" s="1018">
        <f t="shared" ca="1" si="213"/>
        <v>0</v>
      </c>
      <c r="CL82" s="1018">
        <f t="shared" ca="1" si="213"/>
        <v>0</v>
      </c>
      <c r="CM82" s="1018">
        <f t="shared" ca="1" si="213"/>
        <v>0</v>
      </c>
      <c r="CN82" s="1018">
        <f t="shared" ca="1" si="213"/>
        <v>0</v>
      </c>
      <c r="CO82" s="1018">
        <f t="shared" ca="1" si="213"/>
        <v>0</v>
      </c>
      <c r="CP82" s="1018">
        <f t="shared" ca="1" si="213"/>
        <v>0</v>
      </c>
      <c r="CQ82" s="1018">
        <f t="shared" ca="1" si="213"/>
        <v>0</v>
      </c>
      <c r="CR82" s="1018">
        <f t="shared" ca="1" si="213"/>
        <v>0</v>
      </c>
      <c r="CS82" s="1018">
        <f t="shared" ca="1" si="213"/>
        <v>0</v>
      </c>
      <c r="CT82" s="1018">
        <f t="shared" ca="1" si="213"/>
        <v>0</v>
      </c>
      <c r="CU82" s="1018">
        <f t="shared" ca="1" si="213"/>
        <v>0</v>
      </c>
      <c r="CV82" s="1018">
        <f t="shared" ca="1" si="213"/>
        <v>0</v>
      </c>
      <c r="CW82" s="1018">
        <f t="shared" ca="1" si="213"/>
        <v>0</v>
      </c>
      <c r="CX82" s="1018">
        <f t="shared" ca="1" si="213"/>
        <v>0</v>
      </c>
      <c r="CY82" s="1018">
        <f t="shared" ca="1" si="213"/>
        <v>0</v>
      </c>
      <c r="CZ82" s="1018">
        <f t="shared" ca="1" si="213"/>
        <v>0</v>
      </c>
      <c r="DA82" s="1018">
        <f t="shared" ca="1" si="213"/>
        <v>0</v>
      </c>
      <c r="DB82" s="1018">
        <f t="shared" ca="1" si="213"/>
        <v>0</v>
      </c>
      <c r="DC82" s="1018">
        <f t="shared" ca="1" si="213"/>
        <v>0</v>
      </c>
      <c r="DD82" s="1018">
        <f t="shared" ca="1" si="213"/>
        <v>0</v>
      </c>
      <c r="DE82" s="1018">
        <f t="shared" ca="1" si="213"/>
        <v>0</v>
      </c>
      <c r="DF82" s="1018">
        <f t="shared" ca="1" si="213"/>
        <v>0</v>
      </c>
      <c r="DH82" s="572">
        <f t="shared" ca="1" si="125"/>
        <v>0</v>
      </c>
    </row>
    <row r="83" spans="1:112" s="528" customFormat="1" ht="6" customHeight="1">
      <c r="C83" s="500"/>
      <c r="D83" s="501"/>
      <c r="E83" s="495"/>
      <c r="G83" s="633"/>
      <c r="H83" s="633"/>
      <c r="I83" s="633"/>
      <c r="J83" s="633"/>
      <c r="K83" s="635"/>
      <c r="L83" s="633"/>
      <c r="M83" s="633"/>
      <c r="N83" s="633"/>
      <c r="O83" s="633"/>
      <c r="P83" s="633"/>
      <c r="Q83" s="633"/>
      <c r="S83" s="645"/>
      <c r="T83" s="645"/>
      <c r="U83" s="645"/>
      <c r="V83" s="645"/>
      <c r="W83" s="645"/>
      <c r="X83" s="645"/>
      <c r="Y83" s="645"/>
      <c r="Z83" s="645"/>
      <c r="AA83" s="645"/>
      <c r="AB83" s="645"/>
      <c r="AC83" s="645"/>
      <c r="AD83" s="645"/>
      <c r="AE83" s="645"/>
      <c r="AF83" s="645"/>
      <c r="AG83" s="645"/>
      <c r="AH83" s="645"/>
      <c r="AI83" s="645"/>
      <c r="AJ83" s="645"/>
      <c r="AK83" s="645"/>
      <c r="AM83" s="651"/>
      <c r="AN83" s="651"/>
      <c r="AO83" s="651"/>
      <c r="AP83" s="651"/>
      <c r="AQ83" s="651"/>
      <c r="AR83" s="651"/>
      <c r="AS83" s="651"/>
      <c r="AT83" s="651"/>
      <c r="AU83" s="651"/>
      <c r="AV83" s="651"/>
      <c r="AW83" s="651"/>
      <c r="AX83" s="651"/>
      <c r="AY83" s="651"/>
      <c r="AZ83" s="651"/>
      <c r="BA83" s="651"/>
      <c r="BB83" s="651"/>
      <c r="BC83" s="651"/>
      <c r="BD83" s="651"/>
      <c r="BE83" s="651"/>
      <c r="BF83" s="651">
        <f>SUM(AM83:BE83)</f>
        <v>0</v>
      </c>
      <c r="BH83" s="665"/>
      <c r="BI83" s="665"/>
      <c r="BJ83" s="665"/>
      <c r="BL83" s="499">
        <f t="shared" si="208"/>
        <v>0</v>
      </c>
      <c r="BM83" s="499"/>
      <c r="BO83" s="1018"/>
      <c r="BP83" s="1018"/>
      <c r="BQ83" s="1018"/>
      <c r="BR83" s="1018"/>
      <c r="BS83" s="1018"/>
      <c r="BT83" s="1018"/>
      <c r="BU83" s="1018"/>
      <c r="BV83" s="1018"/>
      <c r="BW83" s="1018"/>
      <c r="BX83" s="1018"/>
      <c r="BY83" s="1018"/>
      <c r="BZ83" s="1018"/>
      <c r="CA83" s="1018"/>
      <c r="CB83" s="1018"/>
      <c r="CC83" s="1018"/>
      <c r="CD83" s="1018"/>
      <c r="CE83" s="1018"/>
      <c r="CF83" s="1018"/>
      <c r="CG83" s="1018"/>
      <c r="CH83" s="1018"/>
      <c r="CI83" s="1018"/>
      <c r="CJ83" s="1018"/>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H83" s="572"/>
    </row>
    <row r="84" spans="1:112" s="528" customFormat="1" ht="15">
      <c r="B84" s="533"/>
      <c r="C84" s="1332" t="s">
        <v>1082</v>
      </c>
      <c r="D84" s="513" t="s">
        <v>233</v>
      </c>
      <c r="E84" s="514"/>
      <c r="G84" s="741">
        <f t="shared" ref="G84:P84" ca="1" si="214">G$51+G$55+G$63+G$68+G$72+G$76+G$82+G$46</f>
        <v>0</v>
      </c>
      <c r="H84" s="741">
        <f t="shared" ca="1" si="214"/>
        <v>0</v>
      </c>
      <c r="I84" s="741">
        <f t="shared" ca="1" si="214"/>
        <v>0</v>
      </c>
      <c r="J84" s="741">
        <f t="shared" ca="1" si="214"/>
        <v>0</v>
      </c>
      <c r="K84" s="742">
        <f t="shared" ca="1" si="214"/>
        <v>0</v>
      </c>
      <c r="L84" s="741">
        <f t="shared" ca="1" si="214"/>
        <v>0</v>
      </c>
      <c r="M84" s="741">
        <f t="shared" ca="1" si="214"/>
        <v>0</v>
      </c>
      <c r="N84" s="741">
        <f t="shared" ca="1" si="214"/>
        <v>0</v>
      </c>
      <c r="O84" s="741">
        <f t="shared" ca="1" si="214"/>
        <v>0</v>
      </c>
      <c r="P84" s="741">
        <f t="shared" ca="1" si="214"/>
        <v>0</v>
      </c>
      <c r="Q84" s="697">
        <f ca="1">SUM(G84:P84)</f>
        <v>0</v>
      </c>
      <c r="S84" s="688">
        <f t="shared" ref="S84:AJ84" ca="1" si="215">S$51+S$55+S$63+S$68+S$72+S$76+S$82+S$46</f>
        <v>0</v>
      </c>
      <c r="T84" s="688">
        <f t="shared" ca="1" si="215"/>
        <v>0</v>
      </c>
      <c r="U84" s="688">
        <f t="shared" ca="1" si="215"/>
        <v>0</v>
      </c>
      <c r="V84" s="688">
        <f t="shared" ca="1" si="215"/>
        <v>0</v>
      </c>
      <c r="W84" s="688">
        <f t="shared" ca="1" si="215"/>
        <v>0</v>
      </c>
      <c r="X84" s="688">
        <f t="shared" ca="1" si="215"/>
        <v>0</v>
      </c>
      <c r="Y84" s="688">
        <f t="shared" ca="1" si="215"/>
        <v>0</v>
      </c>
      <c r="Z84" s="688">
        <f t="shared" ca="1" si="215"/>
        <v>0</v>
      </c>
      <c r="AA84" s="688">
        <f t="shared" ca="1" si="215"/>
        <v>0</v>
      </c>
      <c r="AB84" s="688">
        <f t="shared" ca="1" si="215"/>
        <v>0</v>
      </c>
      <c r="AC84" s="688">
        <f t="shared" ca="1" si="215"/>
        <v>0</v>
      </c>
      <c r="AD84" s="688">
        <f t="shared" ca="1" si="215"/>
        <v>0</v>
      </c>
      <c r="AE84" s="688">
        <f t="shared" ca="1" si="215"/>
        <v>0</v>
      </c>
      <c r="AF84" s="688">
        <f t="shared" ca="1" si="215"/>
        <v>0</v>
      </c>
      <c r="AG84" s="688">
        <f t="shared" ca="1" si="215"/>
        <v>0</v>
      </c>
      <c r="AH84" s="688">
        <f t="shared" ca="1" si="215"/>
        <v>0</v>
      </c>
      <c r="AI84" s="688">
        <f t="shared" ca="1" si="215"/>
        <v>0</v>
      </c>
      <c r="AJ84" s="688">
        <f t="shared" ca="1" si="215"/>
        <v>0</v>
      </c>
      <c r="AK84" s="688">
        <f ca="1">SUM(S84:AJ84)</f>
        <v>0</v>
      </c>
      <c r="AM84" s="689">
        <f t="shared" ref="AM84:BE84" ca="1" si="216">AM$51+AM$55+AM$63+AM$68+AM$72+AM$76+AM$82+AM$46</f>
        <v>0</v>
      </c>
      <c r="AN84" s="689">
        <f t="shared" ca="1" si="216"/>
        <v>0</v>
      </c>
      <c r="AO84" s="689">
        <f t="shared" ca="1" si="216"/>
        <v>0</v>
      </c>
      <c r="AP84" s="689">
        <f t="shared" ca="1" si="216"/>
        <v>0</v>
      </c>
      <c r="AQ84" s="689">
        <f t="shared" ca="1" si="216"/>
        <v>0</v>
      </c>
      <c r="AR84" s="689">
        <f t="shared" ca="1" si="216"/>
        <v>0</v>
      </c>
      <c r="AS84" s="689">
        <f t="shared" ca="1" si="216"/>
        <v>0</v>
      </c>
      <c r="AT84" s="689">
        <f t="shared" ca="1" si="216"/>
        <v>0</v>
      </c>
      <c r="AU84" s="689">
        <f t="shared" ca="1" si="216"/>
        <v>0</v>
      </c>
      <c r="AV84" s="689">
        <f t="shared" ca="1" si="216"/>
        <v>0</v>
      </c>
      <c r="AW84" s="689">
        <f t="shared" ca="1" si="216"/>
        <v>0</v>
      </c>
      <c r="AX84" s="689">
        <f t="shared" ca="1" si="216"/>
        <v>0</v>
      </c>
      <c r="AY84" s="689">
        <f t="shared" ca="1" si="216"/>
        <v>0</v>
      </c>
      <c r="AZ84" s="689">
        <f t="shared" ca="1" si="216"/>
        <v>0</v>
      </c>
      <c r="BA84" s="689">
        <f t="shared" ca="1" si="216"/>
        <v>0</v>
      </c>
      <c r="BB84" s="689">
        <f t="shared" ca="1" si="216"/>
        <v>0</v>
      </c>
      <c r="BC84" s="689">
        <f t="shared" ca="1" si="216"/>
        <v>0</v>
      </c>
      <c r="BD84" s="689">
        <f t="shared" ca="1" si="216"/>
        <v>0</v>
      </c>
      <c r="BE84" s="689">
        <f t="shared" ca="1" si="216"/>
        <v>0</v>
      </c>
      <c r="BF84" s="689">
        <f ca="1">SUM(AM84:BE84)</f>
        <v>0</v>
      </c>
      <c r="BH84" s="690">
        <f ca="1">BH$51+BH$55+BH$63+BH$68+BH$72+BH$76+BH$82+BH$46</f>
        <v>0</v>
      </c>
      <c r="BI84" s="690">
        <f ca="1">BI$51+BI$55+BI$63+BI$68+BI$72+BI$76+BI$82+BI$46</f>
        <v>0</v>
      </c>
      <c r="BJ84" s="690">
        <f ca="1">SUM(BH84:BI84)</f>
        <v>0</v>
      </c>
      <c r="BL84" s="502">
        <f t="shared" ca="1" si="208"/>
        <v>0</v>
      </c>
      <c r="BM84" s="502"/>
      <c r="BO84" s="1023">
        <f t="shared" ref="BO84:DE84" ca="1" si="217">BO$51+BO$55+BO$63+BO$68+BO$72+BO$76+BO$82+BO$46</f>
        <v>0</v>
      </c>
      <c r="BP84" s="1023">
        <f t="shared" ca="1" si="217"/>
        <v>0</v>
      </c>
      <c r="BQ84" s="1023">
        <f t="shared" ca="1" si="217"/>
        <v>0</v>
      </c>
      <c r="BR84" s="1023">
        <f t="shared" ca="1" si="217"/>
        <v>0</v>
      </c>
      <c r="BS84" s="1023">
        <f t="shared" ca="1" si="217"/>
        <v>0</v>
      </c>
      <c r="BT84" s="1023">
        <f t="shared" ca="1" si="217"/>
        <v>0</v>
      </c>
      <c r="BU84" s="1023">
        <f t="shared" ca="1" si="217"/>
        <v>0</v>
      </c>
      <c r="BV84" s="1023">
        <f t="shared" ca="1" si="217"/>
        <v>0</v>
      </c>
      <c r="BW84" s="1023">
        <f t="shared" ca="1" si="217"/>
        <v>0</v>
      </c>
      <c r="BX84" s="1023">
        <f t="shared" ca="1" si="217"/>
        <v>0</v>
      </c>
      <c r="BY84" s="1023">
        <f t="shared" ca="1" si="217"/>
        <v>0</v>
      </c>
      <c r="BZ84" s="1023">
        <f t="shared" ca="1" si="217"/>
        <v>0</v>
      </c>
      <c r="CA84" s="1023">
        <f t="shared" ca="1" si="217"/>
        <v>0</v>
      </c>
      <c r="CB84" s="1023">
        <f t="shared" ca="1" si="217"/>
        <v>0</v>
      </c>
      <c r="CC84" s="1023">
        <f t="shared" ca="1" si="217"/>
        <v>0</v>
      </c>
      <c r="CD84" s="1023">
        <f t="shared" ca="1" si="217"/>
        <v>0</v>
      </c>
      <c r="CE84" s="1023">
        <f t="shared" ca="1" si="217"/>
        <v>0</v>
      </c>
      <c r="CF84" s="1023">
        <f t="shared" ca="1" si="217"/>
        <v>0</v>
      </c>
      <c r="CG84" s="1023">
        <f t="shared" ca="1" si="217"/>
        <v>0</v>
      </c>
      <c r="CH84" s="1023">
        <f t="shared" ca="1" si="217"/>
        <v>0</v>
      </c>
      <c r="CI84" s="1023">
        <f t="shared" ca="1" si="217"/>
        <v>0</v>
      </c>
      <c r="CJ84" s="1023">
        <f t="shared" ca="1" si="217"/>
        <v>0</v>
      </c>
      <c r="CK84" s="1023">
        <f t="shared" ca="1" si="217"/>
        <v>0</v>
      </c>
      <c r="CL84" s="1023">
        <f t="shared" ca="1" si="217"/>
        <v>0</v>
      </c>
      <c r="CM84" s="1023">
        <f t="shared" ca="1" si="217"/>
        <v>0</v>
      </c>
      <c r="CN84" s="1023">
        <f t="shared" ca="1" si="217"/>
        <v>0</v>
      </c>
      <c r="CO84" s="1023">
        <f t="shared" ca="1" si="217"/>
        <v>0</v>
      </c>
      <c r="CP84" s="1023">
        <f t="shared" ca="1" si="217"/>
        <v>0</v>
      </c>
      <c r="CQ84" s="1023">
        <f t="shared" ca="1" si="217"/>
        <v>0</v>
      </c>
      <c r="CR84" s="1023">
        <f t="shared" ca="1" si="217"/>
        <v>0</v>
      </c>
      <c r="CS84" s="1023">
        <f t="shared" ca="1" si="217"/>
        <v>0</v>
      </c>
      <c r="CT84" s="1023">
        <f t="shared" ca="1" si="217"/>
        <v>0</v>
      </c>
      <c r="CU84" s="1023">
        <f t="shared" ca="1" si="217"/>
        <v>0</v>
      </c>
      <c r="CV84" s="1023">
        <f t="shared" ca="1" si="217"/>
        <v>0</v>
      </c>
      <c r="CW84" s="1023">
        <f t="shared" ca="1" si="217"/>
        <v>0</v>
      </c>
      <c r="CX84" s="1023">
        <f t="shared" ca="1" si="217"/>
        <v>0</v>
      </c>
      <c r="CY84" s="1023">
        <f t="shared" ca="1" si="217"/>
        <v>0</v>
      </c>
      <c r="CZ84" s="1023">
        <f t="shared" ca="1" si="217"/>
        <v>0</v>
      </c>
      <c r="DA84" s="1023">
        <f t="shared" ca="1" si="217"/>
        <v>0</v>
      </c>
      <c r="DB84" s="1023">
        <f t="shared" ca="1" si="217"/>
        <v>0</v>
      </c>
      <c r="DC84" s="1023">
        <f t="shared" ca="1" si="217"/>
        <v>0</v>
      </c>
      <c r="DD84" s="1023">
        <f t="shared" ca="1" si="217"/>
        <v>0</v>
      </c>
      <c r="DE84" s="1023">
        <f t="shared" ca="1" si="217"/>
        <v>0</v>
      </c>
      <c r="DF84" s="1023">
        <f ca="1">DF$51+DF$99+DF$55+DF$63+DF$68+DF$76+DF$82+DF$46</f>
        <v>0</v>
      </c>
      <c r="DH84" s="571">
        <f ca="1">SUM(BO84:DF84)</f>
        <v>0</v>
      </c>
    </row>
    <row r="85" spans="1:112" s="528" customFormat="1" ht="6" customHeight="1">
      <c r="C85" s="500"/>
      <c r="D85" s="501"/>
      <c r="E85" s="495"/>
      <c r="G85" s="633"/>
      <c r="H85" s="633"/>
      <c r="I85" s="633"/>
      <c r="J85" s="633"/>
      <c r="K85" s="635"/>
      <c r="L85" s="633"/>
      <c r="M85" s="633"/>
      <c r="N85" s="633"/>
      <c r="O85" s="633"/>
      <c r="P85" s="633"/>
      <c r="Q85" s="633"/>
      <c r="S85" s="645"/>
      <c r="T85" s="645"/>
      <c r="U85" s="645"/>
      <c r="V85" s="645"/>
      <c r="W85" s="645"/>
      <c r="X85" s="645"/>
      <c r="Y85" s="645"/>
      <c r="Z85" s="645"/>
      <c r="AA85" s="645"/>
      <c r="AB85" s="645"/>
      <c r="AC85" s="645"/>
      <c r="AD85" s="645"/>
      <c r="AE85" s="645"/>
      <c r="AF85" s="645"/>
      <c r="AG85" s="645"/>
      <c r="AH85" s="645"/>
      <c r="AI85" s="645"/>
      <c r="AJ85" s="645"/>
      <c r="AK85" s="645"/>
      <c r="AM85" s="651"/>
      <c r="AN85" s="651"/>
      <c r="AO85" s="651"/>
      <c r="AP85" s="651"/>
      <c r="AQ85" s="651"/>
      <c r="AR85" s="651"/>
      <c r="AS85" s="651"/>
      <c r="AT85" s="651"/>
      <c r="AU85" s="651"/>
      <c r="AV85" s="651"/>
      <c r="AW85" s="651"/>
      <c r="AX85" s="651"/>
      <c r="AY85" s="651"/>
      <c r="AZ85" s="651"/>
      <c r="BA85" s="651"/>
      <c r="BB85" s="651"/>
      <c r="BC85" s="651"/>
      <c r="BD85" s="651"/>
      <c r="BE85" s="651"/>
      <c r="BF85" s="651"/>
      <c r="BH85" s="665"/>
      <c r="BI85" s="665"/>
      <c r="BJ85" s="665"/>
      <c r="BL85" s="499">
        <f t="shared" si="208"/>
        <v>0</v>
      </c>
      <c r="BM85" s="499"/>
      <c r="BO85" s="1018"/>
      <c r="BP85" s="1018"/>
      <c r="BQ85" s="1018"/>
      <c r="BR85" s="1018"/>
      <c r="BS85" s="1018"/>
      <c r="BT85" s="1018"/>
      <c r="BU85" s="1018"/>
      <c r="BV85" s="1018"/>
      <c r="BW85" s="1018"/>
      <c r="BX85" s="1018"/>
      <c r="BY85" s="1018"/>
      <c r="BZ85" s="1018"/>
      <c r="CA85" s="1018"/>
      <c r="CB85" s="1018"/>
      <c r="CC85" s="1018"/>
      <c r="CD85" s="1018"/>
      <c r="CE85" s="1018"/>
      <c r="CF85" s="1018"/>
      <c r="CG85" s="1018"/>
      <c r="CH85" s="1018"/>
      <c r="CI85" s="1018"/>
      <c r="CJ85" s="1018"/>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H85" s="572"/>
    </row>
    <row r="86" spans="1:112" s="528" customFormat="1" ht="24" customHeight="1">
      <c r="C86" s="489" t="s">
        <v>729</v>
      </c>
      <c r="D86" s="489"/>
      <c r="E86" s="512"/>
      <c r="G86" s="632"/>
      <c r="H86" s="632"/>
      <c r="I86" s="632"/>
      <c r="J86" s="632"/>
      <c r="K86" s="632"/>
      <c r="L86" s="632"/>
      <c r="M86" s="632"/>
      <c r="N86" s="632"/>
      <c r="O86" s="632"/>
      <c r="P86" s="632"/>
      <c r="Q86" s="632"/>
      <c r="S86" s="648"/>
      <c r="T86" s="648"/>
      <c r="U86" s="648"/>
      <c r="V86" s="648"/>
      <c r="W86" s="648"/>
      <c r="X86" s="644"/>
      <c r="Y86" s="644"/>
      <c r="Z86" s="644"/>
      <c r="AA86" s="648"/>
      <c r="AB86" s="648"/>
      <c r="AC86" s="648"/>
      <c r="AD86" s="648"/>
      <c r="AE86" s="648"/>
      <c r="AF86" s="648"/>
      <c r="AG86" s="648"/>
      <c r="AH86" s="648"/>
      <c r="AI86" s="648"/>
      <c r="AJ86" s="648"/>
      <c r="AK86" s="648"/>
      <c r="AM86" s="655"/>
      <c r="AN86" s="655"/>
      <c r="AO86" s="655"/>
      <c r="AP86" s="655"/>
      <c r="AQ86" s="655"/>
      <c r="AR86" s="655"/>
      <c r="AS86" s="655"/>
      <c r="AT86" s="655"/>
      <c r="AU86" s="655"/>
      <c r="AV86" s="655"/>
      <c r="AW86" s="650"/>
      <c r="AX86" s="650"/>
      <c r="AY86" s="650"/>
      <c r="AZ86" s="650"/>
      <c r="BA86" s="650"/>
      <c r="BB86" s="650"/>
      <c r="BC86" s="650"/>
      <c r="BD86" s="650"/>
      <c r="BE86" s="650"/>
      <c r="BF86" s="655"/>
      <c r="BH86" s="668"/>
      <c r="BI86" s="668"/>
      <c r="BJ86" s="668"/>
      <c r="BL86" s="498">
        <f t="shared" si="208"/>
        <v>0</v>
      </c>
      <c r="BM86" s="498"/>
      <c r="BO86" s="1018"/>
      <c r="BP86" s="1018"/>
      <c r="BQ86" s="1018"/>
      <c r="BR86" s="1018"/>
      <c r="BS86" s="1018"/>
      <c r="BT86" s="1018"/>
      <c r="BU86" s="1018"/>
      <c r="BV86" s="1018"/>
      <c r="BW86" s="1018"/>
      <c r="BX86" s="1018"/>
      <c r="BY86" s="1018"/>
      <c r="BZ86" s="1018"/>
      <c r="CA86" s="1018"/>
      <c r="CB86" s="1018"/>
      <c r="CC86" s="1018"/>
      <c r="CD86" s="1018"/>
      <c r="CE86" s="1018"/>
      <c r="CF86" s="1018"/>
      <c r="CG86" s="1018"/>
      <c r="CH86" s="1018"/>
      <c r="CI86" s="1018"/>
      <c r="CJ86" s="1018"/>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H86" s="572"/>
    </row>
    <row r="87" spans="1:112" s="528" customFormat="1" ht="6" customHeight="1">
      <c r="C87" s="504"/>
      <c r="D87" s="34"/>
      <c r="E87" s="495"/>
      <c r="G87" s="633"/>
      <c r="H87" s="633"/>
      <c r="I87" s="633"/>
      <c r="J87" s="633"/>
      <c r="K87" s="635"/>
      <c r="L87" s="633"/>
      <c r="M87" s="633"/>
      <c r="N87" s="633"/>
      <c r="O87" s="633"/>
      <c r="P87" s="633"/>
      <c r="Q87" s="633"/>
      <c r="S87" s="645"/>
      <c r="T87" s="645"/>
      <c r="U87" s="645"/>
      <c r="V87" s="645"/>
      <c r="W87" s="645"/>
      <c r="X87" s="645"/>
      <c r="Y87" s="645"/>
      <c r="Z87" s="645"/>
      <c r="AA87" s="645"/>
      <c r="AB87" s="645"/>
      <c r="AC87" s="645"/>
      <c r="AD87" s="645"/>
      <c r="AE87" s="645"/>
      <c r="AF87" s="645"/>
      <c r="AG87" s="645"/>
      <c r="AH87" s="645"/>
      <c r="AI87" s="645"/>
      <c r="AJ87" s="645"/>
      <c r="AK87" s="645"/>
      <c r="AM87" s="651"/>
      <c r="AN87" s="651"/>
      <c r="AO87" s="651"/>
      <c r="AP87" s="651"/>
      <c r="AQ87" s="651"/>
      <c r="AR87" s="651"/>
      <c r="AS87" s="651"/>
      <c r="AT87" s="651"/>
      <c r="AU87" s="651"/>
      <c r="AV87" s="651"/>
      <c r="AW87" s="651"/>
      <c r="AX87" s="651"/>
      <c r="AY87" s="651"/>
      <c r="AZ87" s="651"/>
      <c r="BA87" s="651"/>
      <c r="BB87" s="651"/>
      <c r="BC87" s="651"/>
      <c r="BD87" s="651"/>
      <c r="BE87" s="651"/>
      <c r="BF87" s="651"/>
      <c r="BH87" s="665"/>
      <c r="BI87" s="665"/>
      <c r="BJ87" s="665"/>
      <c r="BL87" s="499">
        <f t="shared" si="208"/>
        <v>0</v>
      </c>
      <c r="BM87" s="499"/>
      <c r="BO87" s="1018"/>
      <c r="BP87" s="1018"/>
      <c r="BQ87" s="1018"/>
      <c r="BR87" s="1018"/>
      <c r="BS87" s="1018"/>
      <c r="BT87" s="1018"/>
      <c r="BU87" s="1018"/>
      <c r="BV87" s="1018"/>
      <c r="BW87" s="1018"/>
      <c r="BX87" s="1018"/>
      <c r="BY87" s="1018"/>
      <c r="BZ87" s="1018"/>
      <c r="CA87" s="1018"/>
      <c r="CB87" s="1018"/>
      <c r="CC87" s="1018"/>
      <c r="CD87" s="1018"/>
      <c r="CE87" s="1018"/>
      <c r="CF87" s="1018"/>
      <c r="CG87" s="1018"/>
      <c r="CH87" s="1018"/>
      <c r="CI87" s="1018"/>
      <c r="CJ87" s="1018"/>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H87" s="572"/>
    </row>
    <row r="88" spans="1:112" s="528" customFormat="1" outlineLevel="1">
      <c r="A88" s="1024"/>
      <c r="B88" s="1024"/>
      <c r="C88" s="577"/>
      <c r="D88" s="578"/>
      <c r="E88" s="578"/>
      <c r="G88" s="636"/>
      <c r="H88" s="636"/>
      <c r="I88" s="636"/>
      <c r="J88" s="636"/>
      <c r="K88" s="637"/>
      <c r="L88" s="636"/>
      <c r="M88" s="636"/>
      <c r="N88" s="636"/>
      <c r="O88" s="636"/>
      <c r="P88" s="636"/>
      <c r="Q88" s="636"/>
      <c r="S88" s="646"/>
      <c r="T88" s="646"/>
      <c r="U88" s="646"/>
      <c r="V88" s="646"/>
      <c r="W88" s="646"/>
      <c r="X88" s="646"/>
      <c r="Y88" s="646"/>
      <c r="Z88" s="646"/>
      <c r="AA88" s="646"/>
      <c r="AB88" s="646"/>
      <c r="AC88" s="646"/>
      <c r="AD88" s="646"/>
      <c r="AE88" s="646"/>
      <c r="AF88" s="646"/>
      <c r="AG88" s="646"/>
      <c r="AH88" s="646"/>
      <c r="AI88" s="646"/>
      <c r="AJ88" s="646"/>
      <c r="AK88" s="646"/>
      <c r="AM88" s="653"/>
      <c r="AN88" s="653"/>
      <c r="AO88" s="653"/>
      <c r="AP88" s="653"/>
      <c r="AQ88" s="653"/>
      <c r="AR88" s="653"/>
      <c r="AS88" s="653"/>
      <c r="AT88" s="653"/>
      <c r="AU88" s="653"/>
      <c r="AV88" s="653"/>
      <c r="AW88" s="653"/>
      <c r="AX88" s="653"/>
      <c r="AY88" s="653"/>
      <c r="AZ88" s="653"/>
      <c r="BA88" s="653"/>
      <c r="BB88" s="653"/>
      <c r="BC88" s="653"/>
      <c r="BD88" s="653"/>
      <c r="BE88" s="653"/>
      <c r="BF88" s="653"/>
      <c r="BH88" s="666"/>
      <c r="BI88" s="666"/>
      <c r="BJ88" s="666"/>
      <c r="BL88" s="579"/>
      <c r="BM88" s="579"/>
      <c r="BN88" s="1024"/>
      <c r="BO88" s="1026"/>
      <c r="BP88" s="1018"/>
      <c r="BQ88" s="1018"/>
      <c r="BR88" s="1018"/>
      <c r="BS88" s="1018"/>
      <c r="BT88" s="1018"/>
      <c r="BU88" s="1018"/>
      <c r="BV88" s="1018"/>
      <c r="BW88" s="1018"/>
      <c r="BX88" s="1018"/>
      <c r="BY88" s="1018"/>
      <c r="BZ88" s="1018"/>
      <c r="CA88" s="1018"/>
      <c r="CB88" s="1018"/>
      <c r="CC88" s="1018"/>
      <c r="CD88" s="1018"/>
      <c r="CE88" s="1018"/>
      <c r="CF88" s="1018"/>
      <c r="CG88" s="1018"/>
      <c r="CH88" s="1018"/>
      <c r="CI88" s="1018"/>
      <c r="CJ88" s="1018"/>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H88" s="572"/>
    </row>
    <row r="89" spans="1:112" s="1020" customFormat="1" outlineLevel="1">
      <c r="C89" s="506" t="s">
        <v>632</v>
      </c>
      <c r="D89" s="505" t="str">
        <f>INDEX(Modules[Module], MATCH($C89, Modules[Code], 0))</f>
        <v>Electricity imports</v>
      </c>
      <c r="E89" s="505"/>
      <c r="F89" s="528"/>
      <c r="G89" s="691">
        <f t="shared" ref="G89:P89" ca="1" si="218">IFERROR(INDEX(INDIRECT($C89&amp;".Outputs["&amp;this.Year&amp;"]"), MATCH(G$5, INDIRECT($C89&amp;".Outputs[Vector]"), 0)), 0)</f>
        <v>0</v>
      </c>
      <c r="H89" s="691">
        <f t="shared" ca="1" si="218"/>
        <v>0</v>
      </c>
      <c r="I89" s="691">
        <f t="shared" ca="1" si="218"/>
        <v>0</v>
      </c>
      <c r="J89" s="691">
        <f t="shared" ca="1" si="218"/>
        <v>0</v>
      </c>
      <c r="K89" s="691">
        <f t="shared" ca="1" si="218"/>
        <v>0</v>
      </c>
      <c r="L89" s="691">
        <f t="shared" ca="1" si="218"/>
        <v>0</v>
      </c>
      <c r="M89" s="691">
        <f t="shared" ca="1" si="218"/>
        <v>0</v>
      </c>
      <c r="N89" s="691">
        <f t="shared" ca="1" si="218"/>
        <v>0</v>
      </c>
      <c r="O89" s="691">
        <f t="shared" ca="1" si="218"/>
        <v>0</v>
      </c>
      <c r="P89" s="691">
        <f t="shared" ca="1" si="218"/>
        <v>0</v>
      </c>
      <c r="Q89" s="693">
        <f ca="1">SUM(G89:P89)</f>
        <v>0</v>
      </c>
      <c r="R89" s="528"/>
      <c r="S89" s="700">
        <f t="shared" ref="S89:AJ89" ca="1" si="219">IFERROR(INDEX(INDIRECT($C89&amp;".Outputs["&amp;this.Year&amp;"]"), MATCH(S$5, INDIRECT($C89&amp;".Outputs[Vector]"), 0)), 0)</f>
        <v>0</v>
      </c>
      <c r="T89" s="700">
        <f t="shared" ca="1" si="219"/>
        <v>0</v>
      </c>
      <c r="U89" s="700">
        <f t="shared" ca="1" si="219"/>
        <v>0</v>
      </c>
      <c r="V89" s="700">
        <f t="shared" ca="1" si="219"/>
        <v>0</v>
      </c>
      <c r="W89" s="700">
        <f t="shared" ca="1" si="219"/>
        <v>0</v>
      </c>
      <c r="X89" s="700">
        <f ca="1">IFERROR(INDEX(INDIRECT($C89&amp;".Outputs["&amp;this.Year&amp;"]"), MATCH(X$5, INDIRECT($C89&amp;".Outputs[Vector]"), 0)), 0)</f>
        <v>0</v>
      </c>
      <c r="Y89" s="700">
        <f ca="1">IFERROR(INDEX(INDIRECT($C89&amp;".Outputs["&amp;this.Year&amp;"]"), MATCH(Y$5, INDIRECT($C89&amp;".Outputs[Vector]"), 0)), 0)</f>
        <v>0</v>
      </c>
      <c r="Z89" s="700">
        <f ca="1">IFERROR(INDEX(INDIRECT($C89&amp;".Outputs["&amp;this.Year&amp;"]"), MATCH(Z$5, INDIRECT($C89&amp;".Outputs[Vector]"), 0)), 0)</f>
        <v>0</v>
      </c>
      <c r="AA89" s="700">
        <f t="shared" ca="1" si="219"/>
        <v>0</v>
      </c>
      <c r="AB89" s="700">
        <f t="shared" ca="1" si="219"/>
        <v>0</v>
      </c>
      <c r="AC89" s="700">
        <f t="shared" ca="1" si="219"/>
        <v>0</v>
      </c>
      <c r="AD89" s="700">
        <f t="shared" ca="1" si="219"/>
        <v>0</v>
      </c>
      <c r="AE89" s="700">
        <f t="shared" ca="1" si="219"/>
        <v>0</v>
      </c>
      <c r="AF89" s="700">
        <f t="shared" ca="1" si="219"/>
        <v>0</v>
      </c>
      <c r="AG89" s="700">
        <f t="shared" ca="1" si="219"/>
        <v>0</v>
      </c>
      <c r="AH89" s="700">
        <f t="shared" ca="1" si="219"/>
        <v>0</v>
      </c>
      <c r="AI89" s="700">
        <f t="shared" ca="1" si="219"/>
        <v>0</v>
      </c>
      <c r="AJ89" s="700">
        <f t="shared" ca="1" si="219"/>
        <v>0</v>
      </c>
      <c r="AK89" s="701">
        <f ca="1">SUM(S89:AJ89)</f>
        <v>0</v>
      </c>
      <c r="AL89" s="528"/>
      <c r="AM89" s="712">
        <f t="shared" ref="AM89:AU89" ca="1" si="220">IFERROR(INDEX(INDIRECT($C89&amp;".Outputs["&amp;this.Year&amp;"]"), MATCH(AM$5, INDIRECT($C89&amp;".Outputs[Vector]"), 0)), 0)</f>
        <v>0</v>
      </c>
      <c r="AN89" s="712">
        <f t="shared" ca="1" si="220"/>
        <v>0</v>
      </c>
      <c r="AO89" s="712">
        <f t="shared" ca="1" si="220"/>
        <v>0</v>
      </c>
      <c r="AP89" s="712">
        <f t="shared" ca="1" si="220"/>
        <v>0</v>
      </c>
      <c r="AQ89" s="712">
        <f t="shared" ca="1" si="220"/>
        <v>0</v>
      </c>
      <c r="AR89" s="712">
        <f t="shared" ca="1" si="220"/>
        <v>0</v>
      </c>
      <c r="AS89" s="712">
        <f t="shared" ca="1" si="220"/>
        <v>0</v>
      </c>
      <c r="AT89" s="712">
        <f t="shared" ca="1" si="220"/>
        <v>0</v>
      </c>
      <c r="AU89" s="712">
        <f t="shared" ca="1" si="220"/>
        <v>0</v>
      </c>
      <c r="AV89" s="712">
        <f t="shared" ref="AV89:BE89" ca="1" si="221">IFERROR(INDEX(INDIRECT($C89&amp;".Outputs["&amp;this.Year&amp;"]"), MATCH(AV$5, INDIRECT($C89&amp;".Outputs[Vector]"), 0)), 0)</f>
        <v>0</v>
      </c>
      <c r="AW89" s="712">
        <f t="shared" ca="1" si="221"/>
        <v>0</v>
      </c>
      <c r="AX89" s="712">
        <f t="shared" ca="1" si="221"/>
        <v>0</v>
      </c>
      <c r="AY89" s="712">
        <f t="shared" ca="1" si="221"/>
        <v>0</v>
      </c>
      <c r="AZ89" s="712">
        <f t="shared" ca="1" si="221"/>
        <v>0</v>
      </c>
      <c r="BA89" s="712">
        <f t="shared" ca="1" si="221"/>
        <v>0</v>
      </c>
      <c r="BB89" s="712">
        <f t="shared" ca="1" si="221"/>
        <v>0</v>
      </c>
      <c r="BC89" s="712">
        <f t="shared" ca="1" si="221"/>
        <v>0</v>
      </c>
      <c r="BD89" s="712">
        <f t="shared" ca="1" si="221"/>
        <v>0</v>
      </c>
      <c r="BE89" s="712">
        <f t="shared" ca="1" si="221"/>
        <v>0</v>
      </c>
      <c r="BF89" s="654">
        <f ca="1">SUM(AM89:BE89)</f>
        <v>0</v>
      </c>
      <c r="BG89" s="528"/>
      <c r="BH89" s="706">
        <f ca="1">IFERROR(INDEX(INDIRECT($C89&amp;".Outputs["&amp;this.Year&amp;"]"), MATCH(BH$5, INDIRECT($C89&amp;".Outputs[Vector]"), 0)), 0)</f>
        <v>0</v>
      </c>
      <c r="BI89" s="706">
        <f ca="1">IFERROR(INDEX(INDIRECT($C89&amp;".Outputs["&amp;this.Year&amp;"]"), MATCH(BI$5, INDIRECT($C89&amp;".Outputs[Vector]"), 0)), 0)</f>
        <v>0</v>
      </c>
      <c r="BJ89" s="708">
        <f ca="1">SUM(BH89:BI89)</f>
        <v>0</v>
      </c>
      <c r="BK89" s="528"/>
      <c r="BL89" s="562">
        <f t="shared" ref="BL89:BL94" ca="1" si="222">Q89+AK89+BF89+BJ89</f>
        <v>0</v>
      </c>
      <c r="BM89" s="562"/>
      <c r="BO89" s="1017">
        <f t="shared" ref="BO89:DF89" ca="1" si="223">IFERROR(SUMIFS(INDIRECT($C89&amp;".Emissions["&amp;this.Year&amp;"]"), INDIRECT($C89&amp;".Emissions[GHG]"), BO$6, INDIRECT($C89&amp;".Emissions[IPCC Sector]"), BO$5),0)</f>
        <v>0</v>
      </c>
      <c r="BP89" s="1018">
        <f t="shared" ca="1" si="223"/>
        <v>0</v>
      </c>
      <c r="BQ89" s="1018">
        <f t="shared" ca="1" si="223"/>
        <v>0</v>
      </c>
      <c r="BR89" s="1018">
        <f t="shared" ca="1" si="223"/>
        <v>0</v>
      </c>
      <c r="BS89" s="1018">
        <f t="shared" ca="1" si="223"/>
        <v>0</v>
      </c>
      <c r="BT89" s="1018">
        <f t="shared" ca="1" si="223"/>
        <v>0</v>
      </c>
      <c r="BU89" s="1018">
        <f t="shared" ca="1" si="223"/>
        <v>0</v>
      </c>
      <c r="BV89" s="1018">
        <f t="shared" ca="1" si="223"/>
        <v>0</v>
      </c>
      <c r="BW89" s="1018">
        <f t="shared" ca="1" si="223"/>
        <v>0</v>
      </c>
      <c r="BX89" s="1018">
        <f t="shared" ca="1" si="223"/>
        <v>0</v>
      </c>
      <c r="BY89" s="1018">
        <f t="shared" ca="1" si="223"/>
        <v>0</v>
      </c>
      <c r="BZ89" s="1018">
        <f t="shared" ca="1" si="223"/>
        <v>0</v>
      </c>
      <c r="CA89" s="1018">
        <f t="shared" ca="1" si="223"/>
        <v>0</v>
      </c>
      <c r="CB89" s="1018">
        <f t="shared" ca="1" si="223"/>
        <v>0</v>
      </c>
      <c r="CC89" s="1018">
        <f t="shared" ca="1" si="223"/>
        <v>0</v>
      </c>
      <c r="CD89" s="1018">
        <f t="shared" ca="1" si="223"/>
        <v>0</v>
      </c>
      <c r="CE89" s="1018">
        <f t="shared" ca="1" si="223"/>
        <v>0</v>
      </c>
      <c r="CF89" s="1018">
        <f t="shared" ca="1" si="223"/>
        <v>0</v>
      </c>
      <c r="CG89" s="1018">
        <f t="shared" ca="1" si="223"/>
        <v>0</v>
      </c>
      <c r="CH89" s="1018">
        <f t="shared" ca="1" si="223"/>
        <v>0</v>
      </c>
      <c r="CI89" s="1018">
        <f t="shared" ca="1" si="223"/>
        <v>0</v>
      </c>
      <c r="CJ89" s="1018">
        <f t="shared" ca="1" si="223"/>
        <v>0</v>
      </c>
      <c r="CK89" s="1018">
        <f t="shared" ca="1" si="223"/>
        <v>0</v>
      </c>
      <c r="CL89" s="1018">
        <f t="shared" ca="1" si="223"/>
        <v>0</v>
      </c>
      <c r="CM89" s="1018">
        <f t="shared" ca="1" si="223"/>
        <v>0</v>
      </c>
      <c r="CN89" s="1018">
        <f t="shared" ca="1" si="223"/>
        <v>0</v>
      </c>
      <c r="CO89" s="1018">
        <f t="shared" ca="1" si="223"/>
        <v>0</v>
      </c>
      <c r="CP89" s="1018">
        <f t="shared" ca="1" si="223"/>
        <v>0</v>
      </c>
      <c r="CQ89" s="1018">
        <f t="shared" ca="1" si="223"/>
        <v>0</v>
      </c>
      <c r="CR89" s="1018">
        <f t="shared" ca="1" si="223"/>
        <v>0</v>
      </c>
      <c r="CS89" s="1018">
        <f t="shared" ca="1" si="223"/>
        <v>0</v>
      </c>
      <c r="CT89" s="1018">
        <f t="shared" ca="1" si="223"/>
        <v>0</v>
      </c>
      <c r="CU89" s="1018">
        <f t="shared" ca="1" si="223"/>
        <v>0</v>
      </c>
      <c r="CV89" s="1018">
        <f t="shared" ca="1" si="223"/>
        <v>0</v>
      </c>
      <c r="CW89" s="1018">
        <f t="shared" ca="1" si="223"/>
        <v>0</v>
      </c>
      <c r="CX89" s="1018">
        <f t="shared" ca="1" si="223"/>
        <v>0</v>
      </c>
      <c r="CY89" s="1018">
        <f t="shared" ca="1" si="223"/>
        <v>0</v>
      </c>
      <c r="CZ89" s="1018">
        <f t="shared" ca="1" si="223"/>
        <v>0</v>
      </c>
      <c r="DA89" s="1018">
        <f t="shared" ca="1" si="223"/>
        <v>0</v>
      </c>
      <c r="DB89" s="1018">
        <f t="shared" ca="1" si="223"/>
        <v>0</v>
      </c>
      <c r="DC89" s="1018">
        <f t="shared" ca="1" si="223"/>
        <v>0</v>
      </c>
      <c r="DD89" s="1018">
        <f t="shared" ca="1" si="223"/>
        <v>0</v>
      </c>
      <c r="DE89" s="1018">
        <f t="shared" ca="1" si="223"/>
        <v>0</v>
      </c>
      <c r="DF89" s="1018">
        <f t="shared" ca="1" si="223"/>
        <v>0</v>
      </c>
      <c r="DH89" s="572"/>
    </row>
    <row r="90" spans="1:112" s="1024" customFormat="1" ht="12.75" customHeight="1" outlineLevel="1">
      <c r="C90" s="720" t="s">
        <v>1012</v>
      </c>
      <c r="D90" s="721" t="s">
        <v>900</v>
      </c>
      <c r="E90" s="721"/>
      <c r="F90" s="528"/>
      <c r="G90" s="736"/>
      <c r="H90" s="736"/>
      <c r="I90" s="736"/>
      <c r="J90" s="736"/>
      <c r="K90" s="737"/>
      <c r="L90" s="736"/>
      <c r="M90" s="736"/>
      <c r="N90" s="736"/>
      <c r="O90" s="736"/>
      <c r="P90" s="736"/>
      <c r="Q90" s="736"/>
      <c r="R90" s="528"/>
      <c r="S90" s="738">
        <f ca="1">S$40+$S46+S$51+S$99+S$55+S$89</f>
        <v>-8.6815924571345473</v>
      </c>
      <c r="T90" s="738">
        <f ca="1">T$40+$S46+T$51+T$99+T$55+T$89</f>
        <v>0</v>
      </c>
      <c r="U90" s="738"/>
      <c r="V90" s="738"/>
      <c r="W90" s="738"/>
      <c r="X90" s="738"/>
      <c r="Y90" s="738"/>
      <c r="Z90" s="738"/>
      <c r="AA90" s="738"/>
      <c r="AB90" s="738"/>
      <c r="AC90" s="738"/>
      <c r="AD90" s="738"/>
      <c r="AE90" s="738"/>
      <c r="AF90" s="738"/>
      <c r="AG90" s="738"/>
      <c r="AH90" s="738"/>
      <c r="AI90" s="738"/>
      <c r="AJ90" s="738"/>
      <c r="AK90" s="738"/>
      <c r="AL90" s="528"/>
      <c r="AM90" s="739"/>
      <c r="AN90" s="739"/>
      <c r="AO90" s="739"/>
      <c r="AP90" s="739"/>
      <c r="AQ90" s="739"/>
      <c r="AR90" s="739"/>
      <c r="AS90" s="739"/>
      <c r="AT90" s="739"/>
      <c r="AU90" s="739"/>
      <c r="AV90" s="739"/>
      <c r="AW90" s="739"/>
      <c r="AX90" s="739"/>
      <c r="AY90" s="739"/>
      <c r="AZ90" s="739"/>
      <c r="BA90" s="739"/>
      <c r="BB90" s="739"/>
      <c r="BC90" s="739"/>
      <c r="BD90" s="739"/>
      <c r="BE90" s="739"/>
      <c r="BF90" s="739"/>
      <c r="BG90" s="528"/>
      <c r="BH90" s="740"/>
      <c r="BI90" s="740"/>
      <c r="BJ90" s="740"/>
      <c r="BK90" s="528"/>
      <c r="BL90" s="579">
        <f t="shared" si="222"/>
        <v>0</v>
      </c>
      <c r="BM90" s="579"/>
      <c r="BO90" s="1026"/>
      <c r="BP90" s="1026"/>
      <c r="BQ90" s="1026"/>
      <c r="BR90" s="1026"/>
      <c r="BS90" s="1026"/>
      <c r="BT90" s="1026"/>
      <c r="BU90" s="1026"/>
      <c r="BV90" s="1026"/>
      <c r="BW90" s="1026"/>
      <c r="BX90" s="1026"/>
      <c r="BY90" s="1026"/>
      <c r="BZ90" s="1026"/>
      <c r="CA90" s="1026"/>
      <c r="CB90" s="1026"/>
      <c r="CC90" s="1026"/>
      <c r="CD90" s="1026"/>
      <c r="CE90" s="1026"/>
      <c r="CF90" s="1026"/>
      <c r="CG90" s="1026"/>
      <c r="CH90" s="1026"/>
      <c r="CI90" s="1026"/>
      <c r="CJ90" s="1026"/>
      <c r="CK90" s="1026"/>
      <c r="CL90" s="1026"/>
      <c r="CM90" s="1026"/>
      <c r="CN90" s="1026"/>
      <c r="CO90" s="1026"/>
      <c r="CP90" s="1026"/>
      <c r="CQ90" s="1026"/>
      <c r="CR90" s="1026"/>
      <c r="CS90" s="1026"/>
      <c r="CT90" s="1026"/>
      <c r="CU90" s="1026"/>
      <c r="CV90" s="1026"/>
      <c r="CW90" s="1026"/>
      <c r="CX90" s="1026"/>
      <c r="CY90" s="1026"/>
      <c r="CZ90" s="1026"/>
      <c r="DA90" s="1026"/>
      <c r="DB90" s="1026"/>
      <c r="DC90" s="1026"/>
      <c r="DD90" s="1026"/>
      <c r="DE90" s="1026"/>
      <c r="DF90" s="1026"/>
      <c r="DH90" s="572"/>
    </row>
    <row r="91" spans="1:112" s="1020" customFormat="1" outlineLevel="1">
      <c r="C91" s="506" t="s">
        <v>634</v>
      </c>
      <c r="D91" s="505" t="str">
        <f>INDEX(Modules[Module], MATCH($C91, Modules[Code], 0))</f>
        <v>Electricity grid distribution</v>
      </c>
      <c r="E91" s="505"/>
      <c r="F91" s="528"/>
      <c r="G91" s="691">
        <f t="shared" ref="G91:P92" ca="1" si="224">IFERROR(INDEX(INDIRECT($C91&amp;".Outputs["&amp;this.Year&amp;"]"), MATCH(G$5, INDIRECT($C91&amp;".Outputs[Vector]"), 0)), 0)</f>
        <v>0</v>
      </c>
      <c r="H91" s="691">
        <f t="shared" ca="1" si="224"/>
        <v>0</v>
      </c>
      <c r="I91" s="691">
        <f t="shared" ca="1" si="224"/>
        <v>0</v>
      </c>
      <c r="J91" s="691">
        <f t="shared" ca="1" si="224"/>
        <v>0</v>
      </c>
      <c r="K91" s="691">
        <f t="shared" ca="1" si="224"/>
        <v>0</v>
      </c>
      <c r="L91" s="691">
        <f t="shared" ca="1" si="224"/>
        <v>0</v>
      </c>
      <c r="M91" s="691">
        <f t="shared" ca="1" si="224"/>
        <v>0</v>
      </c>
      <c r="N91" s="691">
        <f t="shared" ca="1" si="224"/>
        <v>0</v>
      </c>
      <c r="O91" s="691">
        <f t="shared" ca="1" si="224"/>
        <v>0</v>
      </c>
      <c r="P91" s="691">
        <f t="shared" ca="1" si="224"/>
        <v>0</v>
      </c>
      <c r="Q91" s="693">
        <f ca="1">SUM(G91:P91)</f>
        <v>0</v>
      </c>
      <c r="R91" s="528"/>
      <c r="S91" s="700">
        <f t="shared" ref="S91:AJ92" ca="1" si="225">IFERROR(INDEX(INDIRECT($C91&amp;".Outputs["&amp;this.Year&amp;"]"), MATCH(S$5, INDIRECT($C91&amp;".Outputs[Vector]"), 0)), 0)</f>
        <v>0</v>
      </c>
      <c r="T91" s="700">
        <f t="shared" ca="1" si="225"/>
        <v>0</v>
      </c>
      <c r="U91" s="700">
        <f t="shared" ca="1" si="225"/>
        <v>0</v>
      </c>
      <c r="V91" s="700">
        <f t="shared" ca="1" si="225"/>
        <v>0</v>
      </c>
      <c r="W91" s="700">
        <f t="shared" ca="1" si="225"/>
        <v>0</v>
      </c>
      <c r="X91" s="700">
        <f t="shared" ref="X91:Z92" ca="1" si="226">IFERROR(INDEX(INDIRECT($C91&amp;".Outputs["&amp;this.Year&amp;"]"), MATCH(X$5, INDIRECT($C91&amp;".Outputs[Vector]"), 0)), 0)</f>
        <v>0</v>
      </c>
      <c r="Y91" s="700">
        <f t="shared" ca="1" si="226"/>
        <v>0</v>
      </c>
      <c r="Z91" s="700">
        <f t="shared" ca="1" si="226"/>
        <v>0</v>
      </c>
      <c r="AA91" s="700">
        <f t="shared" ca="1" si="225"/>
        <v>0</v>
      </c>
      <c r="AB91" s="700">
        <f t="shared" ca="1" si="225"/>
        <v>0</v>
      </c>
      <c r="AC91" s="700">
        <f t="shared" ca="1" si="225"/>
        <v>0</v>
      </c>
      <c r="AD91" s="700">
        <f t="shared" ca="1" si="225"/>
        <v>0</v>
      </c>
      <c r="AE91" s="700">
        <f t="shared" ca="1" si="225"/>
        <v>0</v>
      </c>
      <c r="AF91" s="700">
        <f t="shared" ca="1" si="225"/>
        <v>0</v>
      </c>
      <c r="AG91" s="700">
        <f t="shared" ca="1" si="225"/>
        <v>0</v>
      </c>
      <c r="AH91" s="700">
        <f t="shared" ca="1" si="225"/>
        <v>0</v>
      </c>
      <c r="AI91" s="700">
        <f t="shared" ca="1" si="225"/>
        <v>0</v>
      </c>
      <c r="AJ91" s="700">
        <f t="shared" ca="1" si="225"/>
        <v>0</v>
      </c>
      <c r="AK91" s="701">
        <f ca="1">SUM(S91:AJ91)</f>
        <v>0</v>
      </c>
      <c r="AL91" s="528"/>
      <c r="AM91" s="712">
        <f t="shared" ref="AM91:AU92" ca="1" si="227">IFERROR(INDEX(INDIRECT($C91&amp;".Outputs["&amp;this.Year&amp;"]"), MATCH(AM$5, INDIRECT($C91&amp;".Outputs[Vector]"), 0)), 0)</f>
        <v>0</v>
      </c>
      <c r="AN91" s="712">
        <f t="shared" ca="1" si="227"/>
        <v>0</v>
      </c>
      <c r="AO91" s="712">
        <f t="shared" ca="1" si="227"/>
        <v>0</v>
      </c>
      <c r="AP91" s="712">
        <f t="shared" ca="1" si="227"/>
        <v>0</v>
      </c>
      <c r="AQ91" s="712">
        <f t="shared" ca="1" si="227"/>
        <v>0</v>
      </c>
      <c r="AR91" s="712">
        <f t="shared" ca="1" si="227"/>
        <v>0</v>
      </c>
      <c r="AS91" s="712">
        <f t="shared" ca="1" si="227"/>
        <v>0</v>
      </c>
      <c r="AT91" s="712">
        <f t="shared" ca="1" si="227"/>
        <v>0</v>
      </c>
      <c r="AU91" s="712">
        <f t="shared" ca="1" si="227"/>
        <v>0</v>
      </c>
      <c r="AV91" s="712">
        <f t="shared" ref="AV91:BE92" ca="1" si="228">IFERROR(INDEX(INDIRECT($C91&amp;".Outputs["&amp;this.Year&amp;"]"), MATCH(AV$5, INDIRECT($C91&amp;".Outputs[Vector]"), 0)), 0)</f>
        <v>0</v>
      </c>
      <c r="AW91" s="712">
        <f t="shared" ca="1" si="228"/>
        <v>0</v>
      </c>
      <c r="AX91" s="712">
        <f t="shared" ca="1" si="228"/>
        <v>0</v>
      </c>
      <c r="AY91" s="712">
        <f t="shared" ca="1" si="228"/>
        <v>0</v>
      </c>
      <c r="AZ91" s="712">
        <f t="shared" ca="1" si="228"/>
        <v>0</v>
      </c>
      <c r="BA91" s="712">
        <f t="shared" ca="1" si="228"/>
        <v>0</v>
      </c>
      <c r="BB91" s="712">
        <f t="shared" ca="1" si="228"/>
        <v>0</v>
      </c>
      <c r="BC91" s="712">
        <f t="shared" ca="1" si="228"/>
        <v>0</v>
      </c>
      <c r="BD91" s="712">
        <f t="shared" ca="1" si="228"/>
        <v>0</v>
      </c>
      <c r="BE91" s="712">
        <f t="shared" ca="1" si="228"/>
        <v>0</v>
      </c>
      <c r="BF91" s="654">
        <f ca="1">SUM(AM91:BE91)</f>
        <v>0</v>
      </c>
      <c r="BG91" s="528"/>
      <c r="BH91" s="706">
        <f ca="1">IFERROR(INDEX(INDIRECT($C91&amp;".Outputs["&amp;this.Year&amp;"]"), MATCH(BH$5, INDIRECT($C91&amp;".Outputs[Vector]"), 0)), 0)</f>
        <v>0</v>
      </c>
      <c r="BI91" s="706">
        <f ca="1">IFERROR(INDEX(INDIRECT($C91&amp;".Outputs["&amp;this.Year&amp;"]"), MATCH(BI$5, INDIRECT($C91&amp;".Outputs[Vector]"), 0)), 0)</f>
        <v>0</v>
      </c>
      <c r="BJ91" s="708">
        <f ca="1">SUM(BH91:BI91)</f>
        <v>0</v>
      </c>
      <c r="BK91" s="528"/>
      <c r="BL91" s="579">
        <f t="shared" ca="1" si="222"/>
        <v>0</v>
      </c>
      <c r="BM91" s="562"/>
      <c r="BO91" s="1017">
        <f t="shared" ref="BO91:BX92" ca="1" si="229">IFERROR(SUMIFS(INDIRECT($C91&amp;".Emissions["&amp;this.Year&amp;"]"), INDIRECT($C91&amp;".Emissions[GHG]"), BO$6, INDIRECT($C91&amp;".Emissions[IPCC Sector]"), BO$5),0)</f>
        <v>0</v>
      </c>
      <c r="BP91" s="1018">
        <f t="shared" ca="1" si="229"/>
        <v>0</v>
      </c>
      <c r="BQ91" s="1018">
        <f t="shared" ca="1" si="229"/>
        <v>0</v>
      </c>
      <c r="BR91" s="1018">
        <f t="shared" ca="1" si="229"/>
        <v>0</v>
      </c>
      <c r="BS91" s="1018">
        <f t="shared" ca="1" si="229"/>
        <v>0</v>
      </c>
      <c r="BT91" s="1018">
        <f t="shared" ca="1" si="229"/>
        <v>0</v>
      </c>
      <c r="BU91" s="1018">
        <f t="shared" ca="1" si="229"/>
        <v>0</v>
      </c>
      <c r="BV91" s="1018">
        <f t="shared" ca="1" si="229"/>
        <v>0</v>
      </c>
      <c r="BW91" s="1018">
        <f t="shared" ca="1" si="229"/>
        <v>0</v>
      </c>
      <c r="BX91" s="1018">
        <f t="shared" ca="1" si="229"/>
        <v>0</v>
      </c>
      <c r="BY91" s="1018">
        <f t="shared" ref="BY91:CH92" ca="1" si="230">IFERROR(SUMIFS(INDIRECT($C91&amp;".Emissions["&amp;this.Year&amp;"]"), INDIRECT($C91&amp;".Emissions[GHG]"), BY$6, INDIRECT($C91&amp;".Emissions[IPCC Sector]"), BY$5),0)</f>
        <v>0</v>
      </c>
      <c r="BZ91" s="1018">
        <f t="shared" ca="1" si="230"/>
        <v>0</v>
      </c>
      <c r="CA91" s="1018">
        <f t="shared" ca="1" si="230"/>
        <v>0</v>
      </c>
      <c r="CB91" s="1018">
        <f t="shared" ca="1" si="230"/>
        <v>0</v>
      </c>
      <c r="CC91" s="1018">
        <f t="shared" ca="1" si="230"/>
        <v>0</v>
      </c>
      <c r="CD91" s="1018">
        <f t="shared" ca="1" si="230"/>
        <v>0</v>
      </c>
      <c r="CE91" s="1018">
        <f t="shared" ca="1" si="230"/>
        <v>0</v>
      </c>
      <c r="CF91" s="1018">
        <f t="shared" ca="1" si="230"/>
        <v>0</v>
      </c>
      <c r="CG91" s="1018">
        <f t="shared" ca="1" si="230"/>
        <v>0</v>
      </c>
      <c r="CH91" s="1018">
        <f t="shared" ca="1" si="230"/>
        <v>0</v>
      </c>
      <c r="CI91" s="1018">
        <f t="shared" ref="CI91:CR92" ca="1" si="231">IFERROR(SUMIFS(INDIRECT($C91&amp;".Emissions["&amp;this.Year&amp;"]"), INDIRECT($C91&amp;".Emissions[GHG]"), CI$6, INDIRECT($C91&amp;".Emissions[IPCC Sector]"), CI$5),0)</f>
        <v>0</v>
      </c>
      <c r="CJ91" s="1018">
        <f t="shared" ca="1" si="231"/>
        <v>0</v>
      </c>
      <c r="CK91" s="1018">
        <f t="shared" ca="1" si="231"/>
        <v>0</v>
      </c>
      <c r="CL91" s="1018">
        <f t="shared" ca="1" si="231"/>
        <v>0</v>
      </c>
      <c r="CM91" s="1018">
        <f t="shared" ca="1" si="231"/>
        <v>0</v>
      </c>
      <c r="CN91" s="1018">
        <f t="shared" ca="1" si="231"/>
        <v>0</v>
      </c>
      <c r="CO91" s="1018">
        <f t="shared" ca="1" si="231"/>
        <v>0</v>
      </c>
      <c r="CP91" s="1018">
        <f t="shared" ca="1" si="231"/>
        <v>0</v>
      </c>
      <c r="CQ91" s="1018">
        <f t="shared" ca="1" si="231"/>
        <v>0</v>
      </c>
      <c r="CR91" s="1018">
        <f t="shared" ca="1" si="231"/>
        <v>0</v>
      </c>
      <c r="CS91" s="1018">
        <f t="shared" ref="CS91:DF92" ca="1" si="232">IFERROR(SUMIFS(INDIRECT($C91&amp;".Emissions["&amp;this.Year&amp;"]"), INDIRECT($C91&amp;".Emissions[GHG]"), CS$6, INDIRECT($C91&amp;".Emissions[IPCC Sector]"), CS$5),0)</f>
        <v>0</v>
      </c>
      <c r="CT91" s="1018">
        <f t="shared" ca="1" si="232"/>
        <v>0</v>
      </c>
      <c r="CU91" s="1018">
        <f t="shared" ca="1" si="232"/>
        <v>0</v>
      </c>
      <c r="CV91" s="1018">
        <f t="shared" ca="1" si="232"/>
        <v>0</v>
      </c>
      <c r="CW91" s="1018">
        <f t="shared" ca="1" si="232"/>
        <v>0</v>
      </c>
      <c r="CX91" s="1018">
        <f t="shared" ca="1" si="232"/>
        <v>0</v>
      </c>
      <c r="CY91" s="1018">
        <f t="shared" ca="1" si="232"/>
        <v>0</v>
      </c>
      <c r="CZ91" s="1018">
        <f t="shared" ca="1" si="232"/>
        <v>0</v>
      </c>
      <c r="DA91" s="1018">
        <f t="shared" ca="1" si="232"/>
        <v>0</v>
      </c>
      <c r="DB91" s="1018">
        <f t="shared" ca="1" si="232"/>
        <v>0</v>
      </c>
      <c r="DC91" s="1018">
        <f t="shared" ca="1" si="232"/>
        <v>0</v>
      </c>
      <c r="DD91" s="1018">
        <f t="shared" ca="1" si="232"/>
        <v>0</v>
      </c>
      <c r="DE91" s="1018">
        <f t="shared" ca="1" si="232"/>
        <v>0</v>
      </c>
      <c r="DF91" s="1018">
        <f t="shared" ca="1" si="232"/>
        <v>0</v>
      </c>
      <c r="DH91" s="572"/>
    </row>
    <row r="92" spans="1:112" s="1020" customFormat="1" outlineLevel="1">
      <c r="C92" s="506" t="s">
        <v>636</v>
      </c>
      <c r="D92" s="684" t="str">
        <f>INDEX(Modules[Module], MATCH($C92, Modules[Code], 0))</f>
        <v>Storage, demand shifting, interconnection</v>
      </c>
      <c r="E92" s="684"/>
      <c r="F92" s="528"/>
      <c r="G92" s="696">
        <f t="shared" ca="1" si="224"/>
        <v>0</v>
      </c>
      <c r="H92" s="696">
        <f t="shared" ca="1" si="224"/>
        <v>0</v>
      </c>
      <c r="I92" s="696">
        <f t="shared" ca="1" si="224"/>
        <v>0</v>
      </c>
      <c r="J92" s="696">
        <f t="shared" ca="1" si="224"/>
        <v>0</v>
      </c>
      <c r="K92" s="696">
        <f t="shared" ca="1" si="224"/>
        <v>0</v>
      </c>
      <c r="L92" s="696">
        <f t="shared" ca="1" si="224"/>
        <v>0</v>
      </c>
      <c r="M92" s="696">
        <f t="shared" ca="1" si="224"/>
        <v>0</v>
      </c>
      <c r="N92" s="696">
        <f t="shared" ca="1" si="224"/>
        <v>0</v>
      </c>
      <c r="O92" s="696">
        <f t="shared" ca="1" si="224"/>
        <v>0</v>
      </c>
      <c r="P92" s="696">
        <f t="shared" ca="1" si="224"/>
        <v>0</v>
      </c>
      <c r="Q92" s="694">
        <f ca="1">SUM(G92:P92)</f>
        <v>0</v>
      </c>
      <c r="R92" s="528"/>
      <c r="S92" s="705">
        <f t="shared" ca="1" si="225"/>
        <v>0</v>
      </c>
      <c r="T92" s="705">
        <f t="shared" ca="1" si="225"/>
        <v>0</v>
      </c>
      <c r="U92" s="705">
        <f t="shared" ca="1" si="225"/>
        <v>0</v>
      </c>
      <c r="V92" s="705">
        <f t="shared" ca="1" si="225"/>
        <v>0</v>
      </c>
      <c r="W92" s="705">
        <f t="shared" ca="1" si="225"/>
        <v>0</v>
      </c>
      <c r="X92" s="705">
        <f t="shared" ca="1" si="226"/>
        <v>0</v>
      </c>
      <c r="Y92" s="705">
        <f t="shared" ca="1" si="226"/>
        <v>0</v>
      </c>
      <c r="Z92" s="705">
        <f t="shared" ca="1" si="226"/>
        <v>0</v>
      </c>
      <c r="AA92" s="705">
        <f t="shared" ca="1" si="225"/>
        <v>0</v>
      </c>
      <c r="AB92" s="705">
        <f t="shared" ca="1" si="225"/>
        <v>0</v>
      </c>
      <c r="AC92" s="705">
        <f t="shared" ca="1" si="225"/>
        <v>0</v>
      </c>
      <c r="AD92" s="705">
        <f t="shared" ca="1" si="225"/>
        <v>0</v>
      </c>
      <c r="AE92" s="705">
        <f t="shared" ca="1" si="225"/>
        <v>0</v>
      </c>
      <c r="AF92" s="705">
        <f t="shared" ca="1" si="225"/>
        <v>0</v>
      </c>
      <c r="AG92" s="705">
        <f t="shared" ca="1" si="225"/>
        <v>0</v>
      </c>
      <c r="AH92" s="705">
        <f t="shared" ca="1" si="225"/>
        <v>0</v>
      </c>
      <c r="AI92" s="705">
        <f t="shared" ca="1" si="225"/>
        <v>0</v>
      </c>
      <c r="AJ92" s="705">
        <f t="shared" ca="1" si="225"/>
        <v>0</v>
      </c>
      <c r="AK92" s="704">
        <f ca="1">SUM(S92:AJ92)</f>
        <v>0</v>
      </c>
      <c r="AL92" s="528"/>
      <c r="AM92" s="716">
        <f t="shared" ca="1" si="227"/>
        <v>0</v>
      </c>
      <c r="AN92" s="716">
        <f t="shared" ca="1" si="227"/>
        <v>0</v>
      </c>
      <c r="AO92" s="716">
        <f t="shared" ca="1" si="227"/>
        <v>0</v>
      </c>
      <c r="AP92" s="716">
        <f t="shared" ca="1" si="227"/>
        <v>0</v>
      </c>
      <c r="AQ92" s="716">
        <f t="shared" ca="1" si="227"/>
        <v>0</v>
      </c>
      <c r="AR92" s="716">
        <f t="shared" ca="1" si="227"/>
        <v>0</v>
      </c>
      <c r="AS92" s="716">
        <f t="shared" ca="1" si="227"/>
        <v>0</v>
      </c>
      <c r="AT92" s="716">
        <f t="shared" ca="1" si="227"/>
        <v>0</v>
      </c>
      <c r="AU92" s="716">
        <f t="shared" ca="1" si="227"/>
        <v>0</v>
      </c>
      <c r="AV92" s="716">
        <f t="shared" ca="1" si="228"/>
        <v>0</v>
      </c>
      <c r="AW92" s="716">
        <f t="shared" ca="1" si="228"/>
        <v>0</v>
      </c>
      <c r="AX92" s="716">
        <f t="shared" ca="1" si="228"/>
        <v>0</v>
      </c>
      <c r="AY92" s="716">
        <f t="shared" ca="1" si="228"/>
        <v>0</v>
      </c>
      <c r="AZ92" s="716">
        <f t="shared" ca="1" si="228"/>
        <v>0</v>
      </c>
      <c r="BA92" s="716">
        <f t="shared" ca="1" si="228"/>
        <v>0</v>
      </c>
      <c r="BB92" s="716">
        <f t="shared" ca="1" si="228"/>
        <v>0</v>
      </c>
      <c r="BC92" s="716">
        <f t="shared" ca="1" si="228"/>
        <v>0</v>
      </c>
      <c r="BD92" s="716">
        <f t="shared" ca="1" si="228"/>
        <v>0</v>
      </c>
      <c r="BE92" s="716">
        <f t="shared" ca="1" si="228"/>
        <v>0</v>
      </c>
      <c r="BF92" s="686">
        <f ca="1">SUM(AM92:BE92)</f>
        <v>0</v>
      </c>
      <c r="BG92" s="528"/>
      <c r="BH92" s="710">
        <f ca="1">IFERROR(INDEX(INDIRECT($C92&amp;".Outputs["&amp;this.Year&amp;"]"), MATCH(BH$5, INDIRECT($C92&amp;".Outputs[Vector]"), 0)), 0)</f>
        <v>0</v>
      </c>
      <c r="BI92" s="710">
        <f ca="1">IFERROR(INDEX(INDIRECT($C92&amp;".Outputs["&amp;this.Year&amp;"]"), MATCH(BI$5, INDIRECT($C92&amp;".Outputs[Vector]"), 0)), 0)</f>
        <v>0</v>
      </c>
      <c r="BJ92" s="709">
        <f ca="1">SUM(BH92:BI92)</f>
        <v>0</v>
      </c>
      <c r="BK92" s="528"/>
      <c r="BL92" s="579">
        <f t="shared" ca="1" si="222"/>
        <v>0</v>
      </c>
      <c r="BM92" s="562"/>
      <c r="BO92" s="1021">
        <f t="shared" ca="1" si="229"/>
        <v>0</v>
      </c>
      <c r="BP92" s="1022">
        <f t="shared" ca="1" si="229"/>
        <v>0</v>
      </c>
      <c r="BQ92" s="1022">
        <f t="shared" ca="1" si="229"/>
        <v>0</v>
      </c>
      <c r="BR92" s="1022">
        <f t="shared" ca="1" si="229"/>
        <v>0</v>
      </c>
      <c r="BS92" s="1022">
        <f t="shared" ca="1" si="229"/>
        <v>0</v>
      </c>
      <c r="BT92" s="1022">
        <f t="shared" ca="1" si="229"/>
        <v>0</v>
      </c>
      <c r="BU92" s="1022">
        <f t="shared" ca="1" si="229"/>
        <v>0</v>
      </c>
      <c r="BV92" s="1022">
        <f t="shared" ca="1" si="229"/>
        <v>0</v>
      </c>
      <c r="BW92" s="1022">
        <f t="shared" ca="1" si="229"/>
        <v>0</v>
      </c>
      <c r="BX92" s="1022">
        <f t="shared" ca="1" si="229"/>
        <v>0</v>
      </c>
      <c r="BY92" s="1022">
        <f t="shared" ca="1" si="230"/>
        <v>0</v>
      </c>
      <c r="BZ92" s="1022">
        <f t="shared" ca="1" si="230"/>
        <v>0</v>
      </c>
      <c r="CA92" s="1022">
        <f t="shared" ca="1" si="230"/>
        <v>0</v>
      </c>
      <c r="CB92" s="1022">
        <f t="shared" ca="1" si="230"/>
        <v>0</v>
      </c>
      <c r="CC92" s="1022">
        <f t="shared" ca="1" si="230"/>
        <v>0</v>
      </c>
      <c r="CD92" s="1022">
        <f t="shared" ca="1" si="230"/>
        <v>0</v>
      </c>
      <c r="CE92" s="1022">
        <f t="shared" ca="1" si="230"/>
        <v>0</v>
      </c>
      <c r="CF92" s="1022">
        <f t="shared" ca="1" si="230"/>
        <v>0</v>
      </c>
      <c r="CG92" s="1022">
        <f t="shared" ca="1" si="230"/>
        <v>0</v>
      </c>
      <c r="CH92" s="1022">
        <f t="shared" ca="1" si="230"/>
        <v>0</v>
      </c>
      <c r="CI92" s="1022">
        <f t="shared" ca="1" si="231"/>
        <v>0</v>
      </c>
      <c r="CJ92" s="1022">
        <f t="shared" ca="1" si="231"/>
        <v>0</v>
      </c>
      <c r="CK92" s="1022">
        <f t="shared" ca="1" si="231"/>
        <v>0</v>
      </c>
      <c r="CL92" s="1022">
        <f t="shared" ca="1" si="231"/>
        <v>0</v>
      </c>
      <c r="CM92" s="1022">
        <f t="shared" ca="1" si="231"/>
        <v>0</v>
      </c>
      <c r="CN92" s="1022">
        <f t="shared" ca="1" si="231"/>
        <v>0</v>
      </c>
      <c r="CO92" s="1022">
        <f t="shared" ca="1" si="231"/>
        <v>0</v>
      </c>
      <c r="CP92" s="1022">
        <f t="shared" ca="1" si="231"/>
        <v>0</v>
      </c>
      <c r="CQ92" s="1022">
        <f t="shared" ca="1" si="231"/>
        <v>0</v>
      </c>
      <c r="CR92" s="1022">
        <f t="shared" ca="1" si="231"/>
        <v>0</v>
      </c>
      <c r="CS92" s="1022">
        <f t="shared" ca="1" si="232"/>
        <v>0</v>
      </c>
      <c r="CT92" s="1022">
        <f t="shared" ca="1" si="232"/>
        <v>0</v>
      </c>
      <c r="CU92" s="1022">
        <f t="shared" ca="1" si="232"/>
        <v>0</v>
      </c>
      <c r="CV92" s="1022">
        <f t="shared" ca="1" si="232"/>
        <v>0</v>
      </c>
      <c r="CW92" s="1022">
        <f t="shared" ca="1" si="232"/>
        <v>0</v>
      </c>
      <c r="CX92" s="1022">
        <f t="shared" ca="1" si="232"/>
        <v>0</v>
      </c>
      <c r="CY92" s="1022">
        <f t="shared" ca="1" si="232"/>
        <v>0</v>
      </c>
      <c r="CZ92" s="1022">
        <f t="shared" ca="1" si="232"/>
        <v>0</v>
      </c>
      <c r="DA92" s="1022">
        <f t="shared" ca="1" si="232"/>
        <v>0</v>
      </c>
      <c r="DB92" s="1022">
        <f t="shared" ca="1" si="232"/>
        <v>0</v>
      </c>
      <c r="DC92" s="1022">
        <f t="shared" ca="1" si="232"/>
        <v>0</v>
      </c>
      <c r="DD92" s="1022">
        <f t="shared" ca="1" si="232"/>
        <v>0</v>
      </c>
      <c r="DE92" s="1022">
        <f t="shared" ca="1" si="232"/>
        <v>0</v>
      </c>
      <c r="DF92" s="1022">
        <f t="shared" ca="1" si="232"/>
        <v>0</v>
      </c>
      <c r="DH92" s="572"/>
    </row>
    <row r="93" spans="1:112" s="18" customFormat="1" ht="12.75" customHeight="1">
      <c r="B93" s="533"/>
      <c r="C93" s="529" t="s">
        <v>566</v>
      </c>
      <c r="D93" s="501" t="str">
        <f>INDEX(Workstreams[Workstream], MATCH($C93, Workstreams[Code], 0))</f>
        <v>Electricity distribution, storage &amp; balancing</v>
      </c>
      <c r="E93" s="497"/>
      <c r="F93" s="528"/>
      <c r="G93" s="633">
        <f t="shared" ref="G93:P93" ca="1" si="233">G$89+G$91+G$92</f>
        <v>0</v>
      </c>
      <c r="H93" s="633">
        <f t="shared" ca="1" si="233"/>
        <v>0</v>
      </c>
      <c r="I93" s="633">
        <f t="shared" ca="1" si="233"/>
        <v>0</v>
      </c>
      <c r="J93" s="633">
        <f t="shared" ca="1" si="233"/>
        <v>0</v>
      </c>
      <c r="K93" s="635">
        <f t="shared" ca="1" si="233"/>
        <v>0</v>
      </c>
      <c r="L93" s="633">
        <f t="shared" ca="1" si="233"/>
        <v>0</v>
      </c>
      <c r="M93" s="633">
        <f t="shared" ca="1" si="233"/>
        <v>0</v>
      </c>
      <c r="N93" s="633">
        <f t="shared" ca="1" si="233"/>
        <v>0</v>
      </c>
      <c r="O93" s="633">
        <f t="shared" ca="1" si="233"/>
        <v>0</v>
      </c>
      <c r="P93" s="633">
        <f t="shared" ca="1" si="233"/>
        <v>0</v>
      </c>
      <c r="Q93" s="695">
        <f ca="1">SUM(G93:P93)</f>
        <v>0</v>
      </c>
      <c r="R93" s="528"/>
      <c r="S93" s="645">
        <f t="shared" ref="S93:AJ93" ca="1" si="234">S$89+S$91+S$92</f>
        <v>0</v>
      </c>
      <c r="T93" s="645">
        <f t="shared" ca="1" si="234"/>
        <v>0</v>
      </c>
      <c r="U93" s="645">
        <f t="shared" ca="1" si="234"/>
        <v>0</v>
      </c>
      <c r="V93" s="645">
        <f t="shared" ca="1" si="234"/>
        <v>0</v>
      </c>
      <c r="W93" s="645">
        <f t="shared" ca="1" si="234"/>
        <v>0</v>
      </c>
      <c r="X93" s="645">
        <f ca="1">X$89+X$91+X$92</f>
        <v>0</v>
      </c>
      <c r="Y93" s="645">
        <f ca="1">Y$89+Y$91+Y$92</f>
        <v>0</v>
      </c>
      <c r="Z93" s="645">
        <f ca="1">Z$89+Z$91+Z$92</f>
        <v>0</v>
      </c>
      <c r="AA93" s="645">
        <f t="shared" ca="1" si="234"/>
        <v>0</v>
      </c>
      <c r="AB93" s="645">
        <f t="shared" ca="1" si="234"/>
        <v>0</v>
      </c>
      <c r="AC93" s="645">
        <f t="shared" ca="1" si="234"/>
        <v>0</v>
      </c>
      <c r="AD93" s="645">
        <f t="shared" ca="1" si="234"/>
        <v>0</v>
      </c>
      <c r="AE93" s="645">
        <f t="shared" ca="1" si="234"/>
        <v>0</v>
      </c>
      <c r="AF93" s="645">
        <f t="shared" ca="1" si="234"/>
        <v>0</v>
      </c>
      <c r="AG93" s="645">
        <f t="shared" ca="1" si="234"/>
        <v>0</v>
      </c>
      <c r="AH93" s="645">
        <f t="shared" ca="1" si="234"/>
        <v>0</v>
      </c>
      <c r="AI93" s="645">
        <f t="shared" ca="1" si="234"/>
        <v>0</v>
      </c>
      <c r="AJ93" s="645">
        <f t="shared" ca="1" si="234"/>
        <v>0</v>
      </c>
      <c r="AK93" s="645">
        <f ca="1">SUM(S93:AJ93)</f>
        <v>0</v>
      </c>
      <c r="AL93" s="528"/>
      <c r="AM93" s="651">
        <f t="shared" ref="AM93:AU93" ca="1" si="235">AM$89+AM$91+AM$92</f>
        <v>0</v>
      </c>
      <c r="AN93" s="651">
        <f t="shared" ca="1" si="235"/>
        <v>0</v>
      </c>
      <c r="AO93" s="651">
        <f t="shared" ca="1" si="235"/>
        <v>0</v>
      </c>
      <c r="AP93" s="651">
        <f t="shared" ca="1" si="235"/>
        <v>0</v>
      </c>
      <c r="AQ93" s="651">
        <f t="shared" ca="1" si="235"/>
        <v>0</v>
      </c>
      <c r="AR93" s="651">
        <f t="shared" ca="1" si="235"/>
        <v>0</v>
      </c>
      <c r="AS93" s="651">
        <f t="shared" ca="1" si="235"/>
        <v>0</v>
      </c>
      <c r="AT93" s="651">
        <f t="shared" ca="1" si="235"/>
        <v>0</v>
      </c>
      <c r="AU93" s="651">
        <f t="shared" ca="1" si="235"/>
        <v>0</v>
      </c>
      <c r="AV93" s="651">
        <f t="shared" ref="AV93:BE93" ca="1" si="236">AV$89+AV$91+AV$92</f>
        <v>0</v>
      </c>
      <c r="AW93" s="651">
        <f t="shared" ca="1" si="236"/>
        <v>0</v>
      </c>
      <c r="AX93" s="651">
        <f t="shared" ca="1" si="236"/>
        <v>0</v>
      </c>
      <c r="AY93" s="651">
        <f t="shared" ca="1" si="236"/>
        <v>0</v>
      </c>
      <c r="AZ93" s="651">
        <f t="shared" ca="1" si="236"/>
        <v>0</v>
      </c>
      <c r="BA93" s="651">
        <f t="shared" ca="1" si="236"/>
        <v>0</v>
      </c>
      <c r="BB93" s="651">
        <f t="shared" ca="1" si="236"/>
        <v>0</v>
      </c>
      <c r="BC93" s="651">
        <f t="shared" ca="1" si="236"/>
        <v>0</v>
      </c>
      <c r="BD93" s="651">
        <f t="shared" ca="1" si="236"/>
        <v>0</v>
      </c>
      <c r="BE93" s="651">
        <f t="shared" ca="1" si="236"/>
        <v>0</v>
      </c>
      <c r="BF93" s="651">
        <f ca="1">SUM(AM93:BE93)</f>
        <v>0</v>
      </c>
      <c r="BG93" s="528"/>
      <c r="BH93" s="665">
        <f ca="1">BH$89+BH$91+BH$92</f>
        <v>0</v>
      </c>
      <c r="BI93" s="665">
        <f ca="1">BI$89+BI$91+BI$92</f>
        <v>0</v>
      </c>
      <c r="BJ93" s="665">
        <f ca="1">SUM(BH93:BI93)</f>
        <v>0</v>
      </c>
      <c r="BK93" s="528"/>
      <c r="BL93" s="499">
        <f t="shared" ca="1" si="222"/>
        <v>0</v>
      </c>
      <c r="BM93" s="499"/>
      <c r="BN93" s="574"/>
      <c r="BO93" s="1018">
        <f t="shared" ref="BO93:DF93" ca="1" si="237">BO$89+BO$91+BO$92</f>
        <v>0</v>
      </c>
      <c r="BP93" s="1018">
        <f t="shared" ca="1" si="237"/>
        <v>0</v>
      </c>
      <c r="BQ93" s="1018">
        <f t="shared" ca="1" si="237"/>
        <v>0</v>
      </c>
      <c r="BR93" s="1018">
        <f t="shared" ca="1" si="237"/>
        <v>0</v>
      </c>
      <c r="BS93" s="1018">
        <f t="shared" ca="1" si="237"/>
        <v>0</v>
      </c>
      <c r="BT93" s="1018">
        <f t="shared" ca="1" si="237"/>
        <v>0</v>
      </c>
      <c r="BU93" s="1018">
        <f t="shared" ca="1" si="237"/>
        <v>0</v>
      </c>
      <c r="BV93" s="1018">
        <f t="shared" ca="1" si="237"/>
        <v>0</v>
      </c>
      <c r="BW93" s="1018">
        <f t="shared" ca="1" si="237"/>
        <v>0</v>
      </c>
      <c r="BX93" s="1018">
        <f t="shared" ca="1" si="237"/>
        <v>0</v>
      </c>
      <c r="BY93" s="1018">
        <f t="shared" ca="1" si="237"/>
        <v>0</v>
      </c>
      <c r="BZ93" s="1018">
        <f t="shared" ca="1" si="237"/>
        <v>0</v>
      </c>
      <c r="CA93" s="1018">
        <f t="shared" ca="1" si="237"/>
        <v>0</v>
      </c>
      <c r="CB93" s="1018">
        <f t="shared" ca="1" si="237"/>
        <v>0</v>
      </c>
      <c r="CC93" s="1018">
        <f t="shared" ca="1" si="237"/>
        <v>0</v>
      </c>
      <c r="CD93" s="1018">
        <f t="shared" ca="1" si="237"/>
        <v>0</v>
      </c>
      <c r="CE93" s="1018">
        <f t="shared" ca="1" si="237"/>
        <v>0</v>
      </c>
      <c r="CF93" s="1018">
        <f t="shared" ca="1" si="237"/>
        <v>0</v>
      </c>
      <c r="CG93" s="1018">
        <f t="shared" ca="1" si="237"/>
        <v>0</v>
      </c>
      <c r="CH93" s="1018">
        <f t="shared" ca="1" si="237"/>
        <v>0</v>
      </c>
      <c r="CI93" s="1018">
        <f t="shared" ca="1" si="237"/>
        <v>0</v>
      </c>
      <c r="CJ93" s="1018">
        <f t="shared" ca="1" si="237"/>
        <v>0</v>
      </c>
      <c r="CK93" s="1018">
        <f t="shared" ca="1" si="237"/>
        <v>0</v>
      </c>
      <c r="CL93" s="1018">
        <f t="shared" ca="1" si="237"/>
        <v>0</v>
      </c>
      <c r="CM93" s="1018">
        <f t="shared" ca="1" si="237"/>
        <v>0</v>
      </c>
      <c r="CN93" s="1018">
        <f t="shared" ca="1" si="237"/>
        <v>0</v>
      </c>
      <c r="CO93" s="1018">
        <f t="shared" ca="1" si="237"/>
        <v>0</v>
      </c>
      <c r="CP93" s="1018">
        <f t="shared" ca="1" si="237"/>
        <v>0</v>
      </c>
      <c r="CQ93" s="1018">
        <f t="shared" ca="1" si="237"/>
        <v>0</v>
      </c>
      <c r="CR93" s="1018">
        <f t="shared" ca="1" si="237"/>
        <v>0</v>
      </c>
      <c r="CS93" s="1018">
        <f t="shared" ca="1" si="237"/>
        <v>0</v>
      </c>
      <c r="CT93" s="1018">
        <f t="shared" ca="1" si="237"/>
        <v>0</v>
      </c>
      <c r="CU93" s="1018">
        <f t="shared" ca="1" si="237"/>
        <v>0</v>
      </c>
      <c r="CV93" s="1018">
        <f t="shared" ca="1" si="237"/>
        <v>0</v>
      </c>
      <c r="CW93" s="1018">
        <f t="shared" ca="1" si="237"/>
        <v>0</v>
      </c>
      <c r="CX93" s="1018">
        <f t="shared" ca="1" si="237"/>
        <v>0</v>
      </c>
      <c r="CY93" s="1018">
        <f t="shared" ca="1" si="237"/>
        <v>0</v>
      </c>
      <c r="CZ93" s="1018">
        <f t="shared" ca="1" si="237"/>
        <v>0</v>
      </c>
      <c r="DA93" s="1018">
        <f t="shared" ca="1" si="237"/>
        <v>0</v>
      </c>
      <c r="DB93" s="1018">
        <f t="shared" ca="1" si="237"/>
        <v>0</v>
      </c>
      <c r="DC93" s="1018">
        <f t="shared" ca="1" si="237"/>
        <v>0</v>
      </c>
      <c r="DD93" s="1018">
        <f t="shared" ca="1" si="237"/>
        <v>0</v>
      </c>
      <c r="DE93" s="1018">
        <f t="shared" ca="1" si="237"/>
        <v>0</v>
      </c>
      <c r="DF93" s="1018">
        <f t="shared" ca="1" si="237"/>
        <v>0</v>
      </c>
      <c r="DH93" s="572">
        <f t="shared" ref="DH93:DH104" ca="1" si="238">SUM(BO93:DF93)</f>
        <v>0</v>
      </c>
    </row>
    <row r="94" spans="1:112" s="528" customFormat="1" ht="12.75" customHeight="1" outlineLevel="1">
      <c r="A94" s="18"/>
      <c r="B94" s="18"/>
      <c r="C94" s="531"/>
      <c r="D94" s="497"/>
      <c r="E94" s="497"/>
      <c r="G94" s="633"/>
      <c r="H94" s="633"/>
      <c r="I94" s="633"/>
      <c r="J94" s="633"/>
      <c r="K94" s="635"/>
      <c r="L94" s="633"/>
      <c r="M94" s="633"/>
      <c r="N94" s="633"/>
      <c r="O94" s="633"/>
      <c r="P94" s="633"/>
      <c r="Q94" s="633"/>
      <c r="S94" s="645"/>
      <c r="T94" s="645"/>
      <c r="U94" s="645"/>
      <c r="V94" s="645"/>
      <c r="W94" s="645"/>
      <c r="X94" s="645"/>
      <c r="Y94" s="645"/>
      <c r="Z94" s="645"/>
      <c r="AA94" s="645"/>
      <c r="AB94" s="645"/>
      <c r="AC94" s="645"/>
      <c r="AD94" s="645"/>
      <c r="AE94" s="645"/>
      <c r="AF94" s="645"/>
      <c r="AG94" s="645"/>
      <c r="AH94" s="645"/>
      <c r="AI94" s="645"/>
      <c r="AJ94" s="645"/>
      <c r="AK94" s="645"/>
      <c r="AM94" s="651"/>
      <c r="AN94" s="651"/>
      <c r="AO94" s="651"/>
      <c r="AP94" s="651"/>
      <c r="AQ94" s="651"/>
      <c r="AR94" s="651"/>
      <c r="AS94" s="651"/>
      <c r="AT94" s="651"/>
      <c r="AU94" s="651"/>
      <c r="AV94" s="651"/>
      <c r="AW94" s="651"/>
      <c r="AX94" s="651"/>
      <c r="AY94" s="651"/>
      <c r="AZ94" s="651"/>
      <c r="BA94" s="651"/>
      <c r="BB94" s="651"/>
      <c r="BC94" s="651"/>
      <c r="BD94" s="651"/>
      <c r="BE94" s="651"/>
      <c r="BF94" s="651"/>
      <c r="BH94" s="665"/>
      <c r="BI94" s="665"/>
      <c r="BJ94" s="665"/>
      <c r="BL94" s="499">
        <f t="shared" si="222"/>
        <v>0</v>
      </c>
      <c r="BM94" s="499"/>
      <c r="BN94" s="574"/>
      <c r="BO94" s="1018"/>
      <c r="BP94" s="1018"/>
      <c r="BQ94" s="1018"/>
      <c r="BR94" s="1018"/>
      <c r="BS94" s="1018"/>
      <c r="BT94" s="1018"/>
      <c r="BU94" s="1018"/>
      <c r="BV94" s="1018"/>
      <c r="BW94" s="1018"/>
      <c r="BX94" s="1018"/>
      <c r="BY94" s="1018"/>
      <c r="BZ94" s="1018"/>
      <c r="CA94" s="1018"/>
      <c r="CB94" s="1018"/>
      <c r="CC94" s="1018"/>
      <c r="CD94" s="1018"/>
      <c r="CE94" s="1018"/>
      <c r="CF94" s="1018"/>
      <c r="CG94" s="1018"/>
      <c r="CH94" s="1018"/>
      <c r="CI94" s="1018"/>
      <c r="CJ94" s="1018"/>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H94" s="572">
        <f t="shared" si="238"/>
        <v>0</v>
      </c>
    </row>
    <row r="95" spans="1:112" s="1027" customFormat="1" ht="12.75" customHeight="1" outlineLevel="1">
      <c r="C95" s="1034" t="s">
        <v>1013</v>
      </c>
      <c r="D95" s="1035" t="s">
        <v>998</v>
      </c>
      <c r="E95" s="1035"/>
      <c r="G95" s="736"/>
      <c r="H95" s="736"/>
      <c r="I95" s="736"/>
      <c r="J95" s="736"/>
      <c r="K95" s="737"/>
      <c r="L95" s="736"/>
      <c r="M95" s="736"/>
      <c r="N95" s="736"/>
      <c r="O95" s="736"/>
      <c r="P95" s="736"/>
      <c r="Q95" s="736"/>
      <c r="S95" s="738"/>
      <c r="T95" s="738"/>
      <c r="U95" s="738">
        <f ca="1">(U$40+U$84+U$93)</f>
        <v>0</v>
      </c>
      <c r="V95" s="738">
        <f ca="1">(V$40+V$84+V$93)</f>
        <v>-732.82023582033707</v>
      </c>
      <c r="W95" s="738">
        <f ca="1">(W$40+W$84+W$93)</f>
        <v>0</v>
      </c>
      <c r="X95" s="738"/>
      <c r="Y95" s="738"/>
      <c r="Z95" s="738"/>
      <c r="AA95" s="738"/>
      <c r="AB95" s="738"/>
      <c r="AC95" s="738">
        <f t="shared" ref="AC95:AH95" ca="1" si="239">(AC$40+AC$84+AC$93)</f>
        <v>0</v>
      </c>
      <c r="AD95" s="738">
        <f t="shared" ca="1" si="239"/>
        <v>0</v>
      </c>
      <c r="AE95" s="738">
        <f t="shared" ca="1" si="239"/>
        <v>0</v>
      </c>
      <c r="AF95" s="738">
        <f t="shared" ca="1" si="239"/>
        <v>0</v>
      </c>
      <c r="AG95" s="738">
        <f t="shared" ca="1" si="239"/>
        <v>0</v>
      </c>
      <c r="AH95" s="738">
        <f t="shared" ca="1" si="239"/>
        <v>0</v>
      </c>
      <c r="AI95" s="738"/>
      <c r="AJ95" s="738"/>
      <c r="AK95" s="738"/>
      <c r="AM95" s="739"/>
      <c r="AN95" s="739"/>
      <c r="AO95" s="739"/>
      <c r="AP95" s="739"/>
      <c r="AQ95" s="739"/>
      <c r="AR95" s="739"/>
      <c r="AS95" s="739"/>
      <c r="AT95" s="739"/>
      <c r="AU95" s="739"/>
      <c r="AV95" s="739"/>
      <c r="AW95" s="739"/>
      <c r="AX95" s="739"/>
      <c r="AY95" s="739"/>
      <c r="AZ95" s="739"/>
      <c r="BA95" s="739"/>
      <c r="BB95" s="739"/>
      <c r="BC95" s="739"/>
      <c r="BD95" s="739"/>
      <c r="BE95" s="739">
        <f ca="1">BE40+BE46+BE51</f>
        <v>0</v>
      </c>
      <c r="BF95" s="739">
        <f ca="1">SUM(AM95:BE95)</f>
        <v>0</v>
      </c>
      <c r="BH95" s="740"/>
      <c r="BI95" s="740"/>
      <c r="BJ95" s="740"/>
      <c r="BL95" s="1036"/>
      <c r="BM95" s="1036"/>
      <c r="BN95" s="1037"/>
      <c r="BO95" s="1038"/>
      <c r="BP95" s="1038"/>
      <c r="BQ95" s="1038"/>
      <c r="BR95" s="1038"/>
      <c r="BS95" s="1038"/>
      <c r="BT95" s="1038"/>
      <c r="BU95" s="1038"/>
      <c r="BV95" s="1038"/>
      <c r="BW95" s="1038"/>
      <c r="BX95" s="1038"/>
      <c r="BY95" s="1038"/>
      <c r="BZ95" s="1038"/>
      <c r="CA95" s="1038"/>
      <c r="CB95" s="1038"/>
      <c r="CC95" s="1038"/>
      <c r="CD95" s="1038"/>
      <c r="CE95" s="1038"/>
      <c r="CF95" s="1038"/>
      <c r="CG95" s="1038"/>
      <c r="CH95" s="1038"/>
      <c r="CI95" s="1038"/>
      <c r="CJ95" s="1038"/>
      <c r="CK95" s="1038"/>
      <c r="CL95" s="1038"/>
      <c r="CM95" s="1038"/>
      <c r="CN95" s="1038"/>
      <c r="CO95" s="1038"/>
      <c r="CP95" s="1038"/>
      <c r="CQ95" s="1038"/>
      <c r="CR95" s="1038"/>
      <c r="CS95" s="1038"/>
      <c r="CT95" s="1038"/>
      <c r="CU95" s="1038"/>
      <c r="CV95" s="1038"/>
      <c r="CW95" s="1038"/>
      <c r="CX95" s="1038"/>
      <c r="CY95" s="1038"/>
      <c r="CZ95" s="1038"/>
      <c r="DA95" s="1038"/>
      <c r="DB95" s="1038"/>
      <c r="DC95" s="1038"/>
      <c r="DD95" s="1038"/>
      <c r="DE95" s="1038"/>
      <c r="DF95" s="1038"/>
      <c r="DH95" s="1037">
        <f t="shared" si="238"/>
        <v>0</v>
      </c>
    </row>
    <row r="96" spans="1:112" s="1253" customFormat="1" ht="12.75" customHeight="1" outlineLevel="1">
      <c r="A96" s="1250"/>
      <c r="B96" s="1250"/>
      <c r="C96" s="1251" t="s">
        <v>719</v>
      </c>
      <c r="D96" s="1252" t="str">
        <f>INDEX(Modules[Module], MATCH($C96, Modules[Code], 0))</f>
        <v>Types of fuel from Biomass</v>
      </c>
      <c r="E96" s="1252"/>
      <c r="G96" s="727">
        <f t="shared" ref="G96:P96" ca="1" si="240">IFERROR(INDEX(INDIRECT($C96&amp;".Outputs["&amp;this.Year&amp;"]"), MATCH(G$5, INDIRECT($C96&amp;".Outputs[Vector]"), 0)), 0)</f>
        <v>0</v>
      </c>
      <c r="H96" s="727">
        <f t="shared" ca="1" si="240"/>
        <v>0</v>
      </c>
      <c r="I96" s="727">
        <f t="shared" ca="1" si="240"/>
        <v>0</v>
      </c>
      <c r="J96" s="727">
        <f t="shared" ca="1" si="240"/>
        <v>0</v>
      </c>
      <c r="K96" s="727">
        <f t="shared" ca="1" si="240"/>
        <v>0</v>
      </c>
      <c r="L96" s="727">
        <f t="shared" ca="1" si="240"/>
        <v>0</v>
      </c>
      <c r="M96" s="727">
        <f t="shared" ca="1" si="240"/>
        <v>0</v>
      </c>
      <c r="N96" s="727">
        <f t="shared" ca="1" si="240"/>
        <v>0</v>
      </c>
      <c r="O96" s="727">
        <f t="shared" ca="1" si="240"/>
        <v>0</v>
      </c>
      <c r="P96" s="727">
        <f t="shared" ca="1" si="240"/>
        <v>0</v>
      </c>
      <c r="Q96" s="728">
        <f ca="1">SUM(G96:P96)</f>
        <v>0</v>
      </c>
      <c r="S96" s="729">
        <f t="shared" ref="S96:AJ96" ca="1" si="241">IFERROR(INDEX(INDIRECT($C96&amp;".Outputs["&amp;this.Year&amp;"]"), MATCH(S$5, INDIRECT($C96&amp;".Outputs[Vector]"), 0)), 0)</f>
        <v>0</v>
      </c>
      <c r="T96" s="729">
        <f t="shared" ca="1" si="241"/>
        <v>0</v>
      </c>
      <c r="U96" s="729">
        <f t="shared" ca="1" si="241"/>
        <v>0</v>
      </c>
      <c r="V96" s="729">
        <f t="shared" ca="1" si="241"/>
        <v>0</v>
      </c>
      <c r="W96" s="729">
        <f t="shared" ca="1" si="241"/>
        <v>0</v>
      </c>
      <c r="X96" s="729">
        <f t="shared" ca="1" si="241"/>
        <v>0</v>
      </c>
      <c r="Y96" s="729">
        <f t="shared" ca="1" si="241"/>
        <v>0</v>
      </c>
      <c r="Z96" s="729">
        <f t="shared" ca="1" si="241"/>
        <v>0</v>
      </c>
      <c r="AA96" s="729">
        <f t="shared" ca="1" si="241"/>
        <v>0</v>
      </c>
      <c r="AB96" s="729">
        <f t="shared" ca="1" si="241"/>
        <v>0</v>
      </c>
      <c r="AC96" s="729">
        <f t="shared" ca="1" si="241"/>
        <v>0</v>
      </c>
      <c r="AD96" s="729">
        <f t="shared" ca="1" si="241"/>
        <v>0</v>
      </c>
      <c r="AE96" s="729">
        <f t="shared" ca="1" si="241"/>
        <v>0</v>
      </c>
      <c r="AF96" s="729">
        <f t="shared" ca="1" si="241"/>
        <v>0</v>
      </c>
      <c r="AG96" s="729">
        <f t="shared" ca="1" si="241"/>
        <v>0</v>
      </c>
      <c r="AH96" s="729">
        <f t="shared" ca="1" si="241"/>
        <v>0</v>
      </c>
      <c r="AI96" s="729">
        <f t="shared" ca="1" si="241"/>
        <v>0</v>
      </c>
      <c r="AJ96" s="729">
        <f t="shared" ca="1" si="241"/>
        <v>0</v>
      </c>
      <c r="AK96" s="730">
        <f ca="1">SUM(S96:AJ96)</f>
        <v>0</v>
      </c>
      <c r="AM96" s="731">
        <f t="shared" ref="AM96:BE96" ca="1" si="242">IFERROR(INDEX(INDIRECT($C96&amp;".Outputs["&amp;this.Year&amp;"]"), MATCH(AM$5, INDIRECT($C96&amp;".Outputs[Vector]"), 0)), 0)</f>
        <v>0</v>
      </c>
      <c r="AN96" s="731">
        <f t="shared" ca="1" si="242"/>
        <v>0</v>
      </c>
      <c r="AO96" s="731">
        <f t="shared" ca="1" si="242"/>
        <v>0</v>
      </c>
      <c r="AP96" s="731">
        <f t="shared" ca="1" si="242"/>
        <v>0</v>
      </c>
      <c r="AQ96" s="731">
        <f t="shared" ca="1" si="242"/>
        <v>0</v>
      </c>
      <c r="AR96" s="731">
        <f t="shared" ca="1" si="242"/>
        <v>0</v>
      </c>
      <c r="AS96" s="731">
        <f t="shared" ca="1" si="242"/>
        <v>0</v>
      </c>
      <c r="AT96" s="731">
        <f t="shared" ca="1" si="242"/>
        <v>0</v>
      </c>
      <c r="AU96" s="731">
        <f t="shared" ca="1" si="242"/>
        <v>0</v>
      </c>
      <c r="AV96" s="731">
        <f t="shared" ca="1" si="242"/>
        <v>0</v>
      </c>
      <c r="AW96" s="731">
        <f t="shared" ca="1" si="242"/>
        <v>0</v>
      </c>
      <c r="AX96" s="731">
        <f t="shared" ca="1" si="242"/>
        <v>0</v>
      </c>
      <c r="AY96" s="731">
        <f t="shared" ca="1" si="242"/>
        <v>0</v>
      </c>
      <c r="AZ96" s="731">
        <f t="shared" ca="1" si="242"/>
        <v>0</v>
      </c>
      <c r="BA96" s="731">
        <f t="shared" ca="1" si="242"/>
        <v>0</v>
      </c>
      <c r="BB96" s="731">
        <f t="shared" ca="1" si="242"/>
        <v>0</v>
      </c>
      <c r="BC96" s="731">
        <f t="shared" ca="1" si="242"/>
        <v>0</v>
      </c>
      <c r="BD96" s="731">
        <f t="shared" ca="1" si="242"/>
        <v>0</v>
      </c>
      <c r="BE96" s="731">
        <f t="shared" ca="1" si="242"/>
        <v>0</v>
      </c>
      <c r="BF96" s="732">
        <f ca="1">SUM(AM96:BE96)</f>
        <v>0</v>
      </c>
      <c r="BH96" s="733">
        <f ca="1">IFERROR(INDEX(INDIRECT($C96&amp;".Outputs["&amp;this.Year&amp;"]"), MATCH(BH$5, INDIRECT($C96&amp;".Outputs[Vector]"), 0)), 0)</f>
        <v>0</v>
      </c>
      <c r="BI96" s="733">
        <f ca="1">IFERROR(INDEX(INDIRECT($C96&amp;".Outputs["&amp;this.Year&amp;"]"), MATCH(BI$5, INDIRECT($C96&amp;".Outputs[Vector]"), 0)), 0)</f>
        <v>0</v>
      </c>
      <c r="BJ96" s="734">
        <f ca="1">SUM(BH96:BI96)</f>
        <v>0</v>
      </c>
      <c r="BL96" s="1254">
        <f ca="1">Q96+AK96+BF96+BJ96</f>
        <v>0</v>
      </c>
      <c r="BM96" s="1254"/>
      <c r="BN96" s="1255"/>
      <c r="BO96" s="1256">
        <f t="shared" ref="BO96:DF96" ca="1" si="243">IFERROR(SUMIFS(INDIRECT($C96&amp;".Emissions["&amp;this.Year&amp;"]"), INDIRECT($C96&amp;".Emissions[GHG]"), BO$6, INDIRECT($C96&amp;".Emissions[IPCC Sector]"), BO$5),0)</f>
        <v>0</v>
      </c>
      <c r="BP96" s="1257">
        <f t="shared" ca="1" si="243"/>
        <v>0</v>
      </c>
      <c r="BQ96" s="1257">
        <f t="shared" ca="1" si="243"/>
        <v>0</v>
      </c>
      <c r="BR96" s="1257">
        <f t="shared" ca="1" si="243"/>
        <v>0</v>
      </c>
      <c r="BS96" s="1257">
        <f t="shared" ca="1" si="243"/>
        <v>0</v>
      </c>
      <c r="BT96" s="1257">
        <f t="shared" ca="1" si="243"/>
        <v>0</v>
      </c>
      <c r="BU96" s="1257">
        <f t="shared" ca="1" si="243"/>
        <v>0</v>
      </c>
      <c r="BV96" s="1257">
        <f t="shared" ca="1" si="243"/>
        <v>0</v>
      </c>
      <c r="BW96" s="1257">
        <f t="shared" ca="1" si="243"/>
        <v>0</v>
      </c>
      <c r="BX96" s="1257">
        <f t="shared" ca="1" si="243"/>
        <v>0</v>
      </c>
      <c r="BY96" s="1257">
        <f t="shared" ca="1" si="243"/>
        <v>0</v>
      </c>
      <c r="BZ96" s="1257">
        <f t="shared" ca="1" si="243"/>
        <v>0</v>
      </c>
      <c r="CA96" s="1257">
        <f t="shared" ca="1" si="243"/>
        <v>0</v>
      </c>
      <c r="CB96" s="1257">
        <f t="shared" ca="1" si="243"/>
        <v>0</v>
      </c>
      <c r="CC96" s="1257">
        <f t="shared" ca="1" si="243"/>
        <v>0</v>
      </c>
      <c r="CD96" s="1257">
        <f t="shared" ca="1" si="243"/>
        <v>0</v>
      </c>
      <c r="CE96" s="1257">
        <f t="shared" ca="1" si="243"/>
        <v>0</v>
      </c>
      <c r="CF96" s="1257">
        <f t="shared" ca="1" si="243"/>
        <v>0</v>
      </c>
      <c r="CG96" s="1257">
        <f t="shared" ca="1" si="243"/>
        <v>0</v>
      </c>
      <c r="CH96" s="1257">
        <f t="shared" ca="1" si="243"/>
        <v>0</v>
      </c>
      <c r="CI96" s="1257">
        <f t="shared" ca="1" si="243"/>
        <v>0</v>
      </c>
      <c r="CJ96" s="1257">
        <f t="shared" ca="1" si="243"/>
        <v>0</v>
      </c>
      <c r="CK96" s="1257">
        <f t="shared" ca="1" si="243"/>
        <v>0</v>
      </c>
      <c r="CL96" s="1257">
        <f t="shared" ca="1" si="243"/>
        <v>0</v>
      </c>
      <c r="CM96" s="1257">
        <f t="shared" ca="1" si="243"/>
        <v>0</v>
      </c>
      <c r="CN96" s="1257">
        <f t="shared" ca="1" si="243"/>
        <v>0</v>
      </c>
      <c r="CO96" s="1257">
        <f t="shared" ca="1" si="243"/>
        <v>0</v>
      </c>
      <c r="CP96" s="1257">
        <f t="shared" ca="1" si="243"/>
        <v>0</v>
      </c>
      <c r="CQ96" s="1257">
        <f t="shared" ca="1" si="243"/>
        <v>0</v>
      </c>
      <c r="CR96" s="1257">
        <f t="shared" ca="1" si="243"/>
        <v>0</v>
      </c>
      <c r="CS96" s="1257">
        <f t="shared" ca="1" si="243"/>
        <v>0</v>
      </c>
      <c r="CT96" s="1257">
        <f t="shared" ca="1" si="243"/>
        <v>0</v>
      </c>
      <c r="CU96" s="1257">
        <f t="shared" ca="1" si="243"/>
        <v>0</v>
      </c>
      <c r="CV96" s="1257">
        <f t="shared" ca="1" si="243"/>
        <v>0</v>
      </c>
      <c r="CW96" s="1257">
        <f t="shared" ca="1" si="243"/>
        <v>0</v>
      </c>
      <c r="CX96" s="1257">
        <f t="shared" ca="1" si="243"/>
        <v>0</v>
      </c>
      <c r="CY96" s="1257">
        <f t="shared" ca="1" si="243"/>
        <v>0</v>
      </c>
      <c r="CZ96" s="1257">
        <f t="shared" ca="1" si="243"/>
        <v>0</v>
      </c>
      <c r="DA96" s="1257">
        <f t="shared" ca="1" si="243"/>
        <v>0</v>
      </c>
      <c r="DB96" s="1257">
        <f t="shared" ca="1" si="243"/>
        <v>0</v>
      </c>
      <c r="DC96" s="1257">
        <f t="shared" ca="1" si="243"/>
        <v>0</v>
      </c>
      <c r="DD96" s="1257">
        <f t="shared" ca="1" si="243"/>
        <v>0</v>
      </c>
      <c r="DE96" s="1257">
        <f t="shared" ca="1" si="243"/>
        <v>0</v>
      </c>
      <c r="DF96" s="1257">
        <f t="shared" ca="1" si="243"/>
        <v>0</v>
      </c>
      <c r="DH96" s="1258">
        <f t="shared" ca="1" si="238"/>
        <v>0</v>
      </c>
    </row>
    <row r="97" spans="1:112" s="1027" customFormat="1" ht="12.75" customHeight="1" outlineLevel="1">
      <c r="C97" s="1034" t="s">
        <v>1014</v>
      </c>
      <c r="D97" s="1035" t="s">
        <v>998</v>
      </c>
      <c r="E97" s="1035"/>
      <c r="G97" s="736"/>
      <c r="H97" s="736"/>
      <c r="I97" s="736"/>
      <c r="J97" s="736"/>
      <c r="K97" s="737"/>
      <c r="L97" s="736"/>
      <c r="M97" s="736"/>
      <c r="N97" s="736"/>
      <c r="O97" s="736"/>
      <c r="P97" s="736"/>
      <c r="Q97" s="736"/>
      <c r="S97" s="738"/>
      <c r="T97" s="738"/>
      <c r="U97" s="738">
        <f ca="1">U$95+U$96</f>
        <v>0</v>
      </c>
      <c r="V97" s="738">
        <f ca="1">V$95+V$96</f>
        <v>-732.82023582033707</v>
      </c>
      <c r="W97" s="738">
        <f ca="1">W$95+W$96</f>
        <v>0</v>
      </c>
      <c r="X97" s="738"/>
      <c r="Y97" s="738"/>
      <c r="Z97" s="738"/>
      <c r="AA97" s="738"/>
      <c r="AB97" s="738"/>
      <c r="AC97" s="738">
        <f t="shared" ref="AC97:AH97" ca="1" si="244">AC$95+AC$96</f>
        <v>0</v>
      </c>
      <c r="AD97" s="738">
        <f t="shared" ca="1" si="244"/>
        <v>0</v>
      </c>
      <c r="AE97" s="738">
        <f t="shared" ca="1" si="244"/>
        <v>0</v>
      </c>
      <c r="AF97" s="738">
        <f t="shared" ca="1" si="244"/>
        <v>0</v>
      </c>
      <c r="AG97" s="738">
        <f t="shared" ca="1" si="244"/>
        <v>0</v>
      </c>
      <c r="AH97" s="738">
        <f t="shared" ca="1" si="244"/>
        <v>0</v>
      </c>
      <c r="AI97" s="738"/>
      <c r="AJ97" s="738"/>
      <c r="AK97" s="738"/>
      <c r="AM97" s="739"/>
      <c r="AN97" s="739"/>
      <c r="AO97" s="739"/>
      <c r="AP97" s="739"/>
      <c r="AQ97" s="739"/>
      <c r="AR97" s="739"/>
      <c r="AS97" s="739"/>
      <c r="AT97" s="739"/>
      <c r="AU97" s="739"/>
      <c r="AV97" s="739"/>
      <c r="AW97" s="739"/>
      <c r="AX97" s="739"/>
      <c r="AY97" s="739"/>
      <c r="AZ97" s="739"/>
      <c r="BA97" s="739"/>
      <c r="BB97" s="739"/>
      <c r="BC97" s="739"/>
      <c r="BD97" s="739"/>
      <c r="BE97" s="739">
        <f ca="1">BE42+BE49+BE53</f>
        <v>0</v>
      </c>
      <c r="BF97" s="739">
        <f ca="1">SUM(AM97:BE97)</f>
        <v>0</v>
      </c>
      <c r="BH97" s="740"/>
      <c r="BI97" s="740"/>
      <c r="BJ97" s="740"/>
      <c r="BL97" s="1036"/>
      <c r="BM97" s="1036"/>
      <c r="BN97" s="1037"/>
      <c r="BO97" s="1038"/>
      <c r="BP97" s="1038"/>
      <c r="BQ97" s="1038"/>
      <c r="BR97" s="1038"/>
      <c r="BS97" s="1038"/>
      <c r="BT97" s="1038"/>
      <c r="BU97" s="1038"/>
      <c r="BV97" s="1038"/>
      <c r="BW97" s="1038"/>
      <c r="BX97" s="1038"/>
      <c r="BY97" s="1038"/>
      <c r="BZ97" s="1038"/>
      <c r="CA97" s="1038"/>
      <c r="CB97" s="1038"/>
      <c r="CC97" s="1038"/>
      <c r="CD97" s="1038"/>
      <c r="CE97" s="1038"/>
      <c r="CF97" s="1038"/>
      <c r="CG97" s="1038"/>
      <c r="CH97" s="1038"/>
      <c r="CI97" s="1038"/>
      <c r="CJ97" s="1038"/>
      <c r="CK97" s="1038"/>
      <c r="CL97" s="1038"/>
      <c r="CM97" s="1038"/>
      <c r="CN97" s="1038"/>
      <c r="CO97" s="1038"/>
      <c r="CP97" s="1038"/>
      <c r="CQ97" s="1038"/>
      <c r="CR97" s="1038"/>
      <c r="CS97" s="1038"/>
      <c r="CT97" s="1038"/>
      <c r="CU97" s="1038"/>
      <c r="CV97" s="1038"/>
      <c r="CW97" s="1038"/>
      <c r="CX97" s="1038"/>
      <c r="CY97" s="1038"/>
      <c r="CZ97" s="1038"/>
      <c r="DA97" s="1038"/>
      <c r="DB97" s="1038"/>
      <c r="DC97" s="1038"/>
      <c r="DD97" s="1038"/>
      <c r="DE97" s="1038"/>
      <c r="DF97" s="1038"/>
      <c r="DH97" s="1037">
        <f>SUM(BO97:DF97)</f>
        <v>0</v>
      </c>
    </row>
    <row r="98" spans="1:112" s="528" customFormat="1" ht="12.75" customHeight="1" outlineLevel="1">
      <c r="A98" s="1020"/>
      <c r="B98" s="1020"/>
      <c r="C98" s="530" t="s">
        <v>1004</v>
      </c>
      <c r="D98" s="684" t="str">
        <f>INDEX(Modules[Module], MATCH($C98, Modules[Code], 0))</f>
        <v>Bioenergy imports</v>
      </c>
      <c r="E98" s="684"/>
      <c r="G98" s="696">
        <f t="shared" ref="G98:P98" ca="1" si="245">IFERROR(INDEX(INDIRECT($C98&amp;".Outputs["&amp;this.Year&amp;"]"), MATCH(G$5, INDIRECT($C98&amp;".Outputs[Vector]"), 0)), 0)</f>
        <v>0</v>
      </c>
      <c r="H98" s="696">
        <f t="shared" ca="1" si="245"/>
        <v>0</v>
      </c>
      <c r="I98" s="696">
        <f t="shared" ca="1" si="245"/>
        <v>0</v>
      </c>
      <c r="J98" s="696">
        <f t="shared" ca="1" si="245"/>
        <v>0</v>
      </c>
      <c r="K98" s="696">
        <f t="shared" ca="1" si="245"/>
        <v>0</v>
      </c>
      <c r="L98" s="696">
        <f t="shared" ca="1" si="245"/>
        <v>0</v>
      </c>
      <c r="M98" s="696">
        <f t="shared" ca="1" si="245"/>
        <v>0</v>
      </c>
      <c r="N98" s="696">
        <f t="shared" ca="1" si="245"/>
        <v>0</v>
      </c>
      <c r="O98" s="696">
        <f t="shared" ca="1" si="245"/>
        <v>0</v>
      </c>
      <c r="P98" s="696">
        <f t="shared" ca="1" si="245"/>
        <v>0</v>
      </c>
      <c r="Q98" s="694">
        <f ca="1">SUM(G98:P98)</f>
        <v>0</v>
      </c>
      <c r="S98" s="705">
        <f t="shared" ref="S98:AJ98" ca="1" si="246">IFERROR(INDEX(INDIRECT($C98&amp;".Outputs["&amp;this.Year&amp;"]"), MATCH(S$5, INDIRECT($C98&amp;".Outputs[Vector]"), 0)), 0)</f>
        <v>0</v>
      </c>
      <c r="T98" s="705">
        <f t="shared" ca="1" si="246"/>
        <v>0</v>
      </c>
      <c r="U98" s="705">
        <f t="shared" ca="1" si="246"/>
        <v>0</v>
      </c>
      <c r="V98" s="705">
        <f t="shared" ca="1" si="246"/>
        <v>0</v>
      </c>
      <c r="W98" s="705">
        <f t="shared" ca="1" si="246"/>
        <v>0</v>
      </c>
      <c r="X98" s="705">
        <f t="shared" ca="1" si="246"/>
        <v>0</v>
      </c>
      <c r="Y98" s="705">
        <f t="shared" ca="1" si="246"/>
        <v>0</v>
      </c>
      <c r="Z98" s="705">
        <f t="shared" ca="1" si="246"/>
        <v>0</v>
      </c>
      <c r="AA98" s="705">
        <f t="shared" ca="1" si="246"/>
        <v>0</v>
      </c>
      <c r="AB98" s="705">
        <f t="shared" ca="1" si="246"/>
        <v>0</v>
      </c>
      <c r="AC98" s="705">
        <f t="shared" ca="1" si="246"/>
        <v>0</v>
      </c>
      <c r="AD98" s="705">
        <f t="shared" ca="1" si="246"/>
        <v>0</v>
      </c>
      <c r="AE98" s="705">
        <f t="shared" ca="1" si="246"/>
        <v>0</v>
      </c>
      <c r="AF98" s="705">
        <f t="shared" ca="1" si="246"/>
        <v>0</v>
      </c>
      <c r="AG98" s="705">
        <f t="shared" ca="1" si="246"/>
        <v>0</v>
      </c>
      <c r="AH98" s="705">
        <f t="shared" ca="1" si="246"/>
        <v>0</v>
      </c>
      <c r="AI98" s="705">
        <f t="shared" ca="1" si="246"/>
        <v>0</v>
      </c>
      <c r="AJ98" s="705">
        <f t="shared" ca="1" si="246"/>
        <v>0</v>
      </c>
      <c r="AK98" s="704">
        <f ca="1">SUM(S98:AJ98)</f>
        <v>0</v>
      </c>
      <c r="AM98" s="716">
        <f t="shared" ref="AM98:BE98" ca="1" si="247">IFERROR(INDEX(INDIRECT($C98&amp;".Outputs["&amp;this.Year&amp;"]"), MATCH(AM$5, INDIRECT($C98&amp;".Outputs[Vector]"), 0)), 0)</f>
        <v>0</v>
      </c>
      <c r="AN98" s="716">
        <f t="shared" ca="1" si="247"/>
        <v>0</v>
      </c>
      <c r="AO98" s="716">
        <f t="shared" ca="1" si="247"/>
        <v>0</v>
      </c>
      <c r="AP98" s="716">
        <f t="shared" ca="1" si="247"/>
        <v>0</v>
      </c>
      <c r="AQ98" s="716">
        <f t="shared" ca="1" si="247"/>
        <v>0</v>
      </c>
      <c r="AR98" s="716">
        <f t="shared" ca="1" si="247"/>
        <v>0</v>
      </c>
      <c r="AS98" s="716">
        <f t="shared" ca="1" si="247"/>
        <v>0</v>
      </c>
      <c r="AT98" s="716">
        <f t="shared" ca="1" si="247"/>
        <v>0</v>
      </c>
      <c r="AU98" s="716">
        <f t="shared" ca="1" si="247"/>
        <v>0</v>
      </c>
      <c r="AV98" s="716">
        <f t="shared" ca="1" si="247"/>
        <v>0</v>
      </c>
      <c r="AW98" s="716">
        <f t="shared" ca="1" si="247"/>
        <v>0</v>
      </c>
      <c r="AX98" s="716">
        <f t="shared" ca="1" si="247"/>
        <v>0</v>
      </c>
      <c r="AY98" s="716">
        <f t="shared" ca="1" si="247"/>
        <v>0</v>
      </c>
      <c r="AZ98" s="716">
        <f t="shared" ca="1" si="247"/>
        <v>0</v>
      </c>
      <c r="BA98" s="716">
        <f t="shared" ca="1" si="247"/>
        <v>0</v>
      </c>
      <c r="BB98" s="716">
        <f t="shared" ca="1" si="247"/>
        <v>0</v>
      </c>
      <c r="BC98" s="716">
        <f t="shared" ca="1" si="247"/>
        <v>0</v>
      </c>
      <c r="BD98" s="716">
        <f t="shared" ca="1" si="247"/>
        <v>0</v>
      </c>
      <c r="BE98" s="716">
        <f t="shared" ca="1" si="247"/>
        <v>0</v>
      </c>
      <c r="BF98" s="686">
        <f ca="1">SUM(AM98:BE98)</f>
        <v>0</v>
      </c>
      <c r="BH98" s="710">
        <f ca="1">IFERROR(INDEX(INDIRECT($C98&amp;".Outputs["&amp;this.Year&amp;"]"), MATCH(BH$5, INDIRECT($C98&amp;".Outputs[Vector]"), 0)), 0)</f>
        <v>0</v>
      </c>
      <c r="BI98" s="710">
        <f ca="1">IFERROR(INDEX(INDIRECT($C98&amp;".Outputs["&amp;this.Year&amp;"]"), MATCH(BI$5, INDIRECT($C98&amp;".Outputs[Vector]"), 0)), 0)</f>
        <v>0</v>
      </c>
      <c r="BJ98" s="709">
        <f ca="1">SUM(BH98:BI98)</f>
        <v>0</v>
      </c>
      <c r="BL98" s="562">
        <f ca="1">Q98+AK98+BF98+BJ98</f>
        <v>0</v>
      </c>
      <c r="BM98" s="562"/>
      <c r="BN98" s="574"/>
      <c r="BO98" s="1021">
        <f t="shared" ref="BO98:DF98" ca="1" si="248">IFERROR(SUMIFS(INDIRECT($C98&amp;".Emissions["&amp;this.Year&amp;"]"), INDIRECT($C98&amp;".Emissions[GHG]"), BO$6, INDIRECT($C98&amp;".Emissions[IPCC Sector]"), BO$5),0)</f>
        <v>0</v>
      </c>
      <c r="BP98" s="1022">
        <f t="shared" ca="1" si="248"/>
        <v>0</v>
      </c>
      <c r="BQ98" s="1022">
        <f t="shared" ca="1" si="248"/>
        <v>0</v>
      </c>
      <c r="BR98" s="1022">
        <f t="shared" ca="1" si="248"/>
        <v>0</v>
      </c>
      <c r="BS98" s="1022">
        <f t="shared" ca="1" si="248"/>
        <v>0</v>
      </c>
      <c r="BT98" s="1022">
        <f t="shared" ca="1" si="248"/>
        <v>0</v>
      </c>
      <c r="BU98" s="1022">
        <f t="shared" ca="1" si="248"/>
        <v>0</v>
      </c>
      <c r="BV98" s="1022">
        <f t="shared" ca="1" si="248"/>
        <v>0</v>
      </c>
      <c r="BW98" s="1022">
        <f t="shared" ca="1" si="248"/>
        <v>0</v>
      </c>
      <c r="BX98" s="1022">
        <f t="shared" ca="1" si="248"/>
        <v>0</v>
      </c>
      <c r="BY98" s="1022">
        <f t="shared" ca="1" si="248"/>
        <v>0</v>
      </c>
      <c r="BZ98" s="1022">
        <f t="shared" ca="1" si="248"/>
        <v>0</v>
      </c>
      <c r="CA98" s="1022">
        <f t="shared" ca="1" si="248"/>
        <v>0</v>
      </c>
      <c r="CB98" s="1022">
        <f t="shared" ca="1" si="248"/>
        <v>0</v>
      </c>
      <c r="CC98" s="1022">
        <f t="shared" ca="1" si="248"/>
        <v>0</v>
      </c>
      <c r="CD98" s="1022">
        <f t="shared" ca="1" si="248"/>
        <v>0</v>
      </c>
      <c r="CE98" s="1022">
        <f t="shared" ca="1" si="248"/>
        <v>0</v>
      </c>
      <c r="CF98" s="1022">
        <f t="shared" ca="1" si="248"/>
        <v>0</v>
      </c>
      <c r="CG98" s="1022">
        <f t="shared" ca="1" si="248"/>
        <v>0</v>
      </c>
      <c r="CH98" s="1022">
        <f t="shared" ca="1" si="248"/>
        <v>0</v>
      </c>
      <c r="CI98" s="1022">
        <f t="shared" ca="1" si="248"/>
        <v>0</v>
      </c>
      <c r="CJ98" s="1022">
        <f t="shared" ca="1" si="248"/>
        <v>0</v>
      </c>
      <c r="CK98" s="1022">
        <f t="shared" ca="1" si="248"/>
        <v>0</v>
      </c>
      <c r="CL98" s="1022">
        <f t="shared" ca="1" si="248"/>
        <v>0</v>
      </c>
      <c r="CM98" s="1022">
        <f t="shared" ca="1" si="248"/>
        <v>0</v>
      </c>
      <c r="CN98" s="1022">
        <f t="shared" ca="1" si="248"/>
        <v>0</v>
      </c>
      <c r="CO98" s="1022">
        <f t="shared" ca="1" si="248"/>
        <v>0</v>
      </c>
      <c r="CP98" s="1022">
        <f t="shared" ca="1" si="248"/>
        <v>0</v>
      </c>
      <c r="CQ98" s="1022">
        <f t="shared" ca="1" si="248"/>
        <v>0</v>
      </c>
      <c r="CR98" s="1022">
        <f t="shared" ca="1" si="248"/>
        <v>0</v>
      </c>
      <c r="CS98" s="1022">
        <f t="shared" ca="1" si="248"/>
        <v>0</v>
      </c>
      <c r="CT98" s="1022">
        <f t="shared" ca="1" si="248"/>
        <v>0</v>
      </c>
      <c r="CU98" s="1022">
        <f t="shared" ca="1" si="248"/>
        <v>0</v>
      </c>
      <c r="CV98" s="1022">
        <f t="shared" ca="1" si="248"/>
        <v>0</v>
      </c>
      <c r="CW98" s="1022">
        <f t="shared" ca="1" si="248"/>
        <v>0</v>
      </c>
      <c r="CX98" s="1022">
        <f t="shared" ca="1" si="248"/>
        <v>0</v>
      </c>
      <c r="CY98" s="1022">
        <f t="shared" ca="1" si="248"/>
        <v>0</v>
      </c>
      <c r="CZ98" s="1022">
        <f t="shared" ca="1" si="248"/>
        <v>0</v>
      </c>
      <c r="DA98" s="1022">
        <f t="shared" ca="1" si="248"/>
        <v>0</v>
      </c>
      <c r="DB98" s="1022">
        <f t="shared" ca="1" si="248"/>
        <v>0</v>
      </c>
      <c r="DC98" s="1022">
        <f t="shared" ca="1" si="248"/>
        <v>0</v>
      </c>
      <c r="DD98" s="1022">
        <f t="shared" ca="1" si="248"/>
        <v>0</v>
      </c>
      <c r="DE98" s="1022">
        <f t="shared" ca="1" si="248"/>
        <v>0</v>
      </c>
      <c r="DF98" s="1022">
        <f t="shared" ca="1" si="248"/>
        <v>0</v>
      </c>
      <c r="DH98" s="572">
        <f ca="1">SUM(BO98:DF98)</f>
        <v>0</v>
      </c>
    </row>
    <row r="99" spans="1:112" s="528" customFormat="1" ht="15">
      <c r="A99" s="18"/>
      <c r="B99" s="533"/>
      <c r="C99" s="529" t="s">
        <v>564</v>
      </c>
      <c r="D99" s="501" t="str">
        <f>INDEX(Workstreams[Workstream], MATCH($C99, Workstreams[Code], 0))</f>
        <v>Bioenergy</v>
      </c>
      <c r="E99" s="497"/>
      <c r="G99" s="695">
        <f ca="1">G$96+G98</f>
        <v>0</v>
      </c>
      <c r="H99" s="695">
        <f t="shared" ref="H99:P99" ca="1" si="249">H$96+H98</f>
        <v>0</v>
      </c>
      <c r="I99" s="695">
        <f t="shared" ca="1" si="249"/>
        <v>0</v>
      </c>
      <c r="J99" s="695">
        <f t="shared" ca="1" si="249"/>
        <v>0</v>
      </c>
      <c r="K99" s="695">
        <f t="shared" ca="1" si="249"/>
        <v>0</v>
      </c>
      <c r="L99" s="695">
        <f t="shared" ca="1" si="249"/>
        <v>0</v>
      </c>
      <c r="M99" s="695">
        <f t="shared" ca="1" si="249"/>
        <v>0</v>
      </c>
      <c r="N99" s="695">
        <f t="shared" ca="1" si="249"/>
        <v>0</v>
      </c>
      <c r="O99" s="695">
        <f t="shared" ca="1" si="249"/>
        <v>0</v>
      </c>
      <c r="P99" s="695">
        <f t="shared" ca="1" si="249"/>
        <v>0</v>
      </c>
      <c r="Q99" s="695">
        <f ca="1">SUM(G99:P99)</f>
        <v>0</v>
      </c>
      <c r="S99" s="645">
        <f t="shared" ref="S99:AJ99" ca="1" si="250">S$96+S98</f>
        <v>0</v>
      </c>
      <c r="T99" s="645">
        <f t="shared" ca="1" si="250"/>
        <v>0</v>
      </c>
      <c r="U99" s="645">
        <f t="shared" ca="1" si="250"/>
        <v>0</v>
      </c>
      <c r="V99" s="645">
        <f t="shared" ca="1" si="250"/>
        <v>0</v>
      </c>
      <c r="W99" s="645">
        <f t="shared" ca="1" si="250"/>
        <v>0</v>
      </c>
      <c r="X99" s="645">
        <f t="shared" ca="1" si="250"/>
        <v>0</v>
      </c>
      <c r="Y99" s="645">
        <f t="shared" ca="1" si="250"/>
        <v>0</v>
      </c>
      <c r="Z99" s="645">
        <f t="shared" ca="1" si="250"/>
        <v>0</v>
      </c>
      <c r="AA99" s="645">
        <f t="shared" ca="1" si="250"/>
        <v>0</v>
      </c>
      <c r="AB99" s="645">
        <f t="shared" ca="1" si="250"/>
        <v>0</v>
      </c>
      <c r="AC99" s="645">
        <f t="shared" ca="1" si="250"/>
        <v>0</v>
      </c>
      <c r="AD99" s="645">
        <f ca="1">AD$96+AD98</f>
        <v>0</v>
      </c>
      <c r="AE99" s="645">
        <f ca="1">AE$96+AE98</f>
        <v>0</v>
      </c>
      <c r="AF99" s="645">
        <f t="shared" ca="1" si="250"/>
        <v>0</v>
      </c>
      <c r="AG99" s="645">
        <f t="shared" ca="1" si="250"/>
        <v>0</v>
      </c>
      <c r="AH99" s="645">
        <f ca="1">AH$96+AH98</f>
        <v>0</v>
      </c>
      <c r="AI99" s="645">
        <f t="shared" ca="1" si="250"/>
        <v>0</v>
      </c>
      <c r="AJ99" s="645">
        <f t="shared" ca="1" si="250"/>
        <v>0</v>
      </c>
      <c r="AK99" s="645">
        <f ca="1">SUM(S99:AJ99)</f>
        <v>0</v>
      </c>
      <c r="AM99" s="651">
        <f t="shared" ref="AM99:BE99" ca="1" si="251">AM$96+AM98</f>
        <v>0</v>
      </c>
      <c r="AN99" s="651">
        <f t="shared" ca="1" si="251"/>
        <v>0</v>
      </c>
      <c r="AO99" s="651">
        <f t="shared" ca="1" si="251"/>
        <v>0</v>
      </c>
      <c r="AP99" s="651">
        <f t="shared" ca="1" si="251"/>
        <v>0</v>
      </c>
      <c r="AQ99" s="651">
        <f t="shared" ca="1" si="251"/>
        <v>0</v>
      </c>
      <c r="AR99" s="651">
        <f t="shared" ca="1" si="251"/>
        <v>0</v>
      </c>
      <c r="AS99" s="651">
        <f t="shared" ca="1" si="251"/>
        <v>0</v>
      </c>
      <c r="AT99" s="651">
        <f t="shared" ca="1" si="251"/>
        <v>0</v>
      </c>
      <c r="AU99" s="651">
        <f t="shared" ca="1" si="251"/>
        <v>0</v>
      </c>
      <c r="AV99" s="651">
        <f t="shared" ca="1" si="251"/>
        <v>0</v>
      </c>
      <c r="AW99" s="651">
        <f t="shared" ca="1" si="251"/>
        <v>0</v>
      </c>
      <c r="AX99" s="651">
        <f t="shared" ca="1" si="251"/>
        <v>0</v>
      </c>
      <c r="AY99" s="651">
        <f t="shared" ca="1" si="251"/>
        <v>0</v>
      </c>
      <c r="AZ99" s="651">
        <f t="shared" ca="1" si="251"/>
        <v>0</v>
      </c>
      <c r="BA99" s="651">
        <f t="shared" ca="1" si="251"/>
        <v>0</v>
      </c>
      <c r="BB99" s="651">
        <f t="shared" ca="1" si="251"/>
        <v>0</v>
      </c>
      <c r="BC99" s="651">
        <f t="shared" ca="1" si="251"/>
        <v>0</v>
      </c>
      <c r="BD99" s="651">
        <f t="shared" ca="1" si="251"/>
        <v>0</v>
      </c>
      <c r="BE99" s="651">
        <f t="shared" ca="1" si="251"/>
        <v>0</v>
      </c>
      <c r="BF99" s="651">
        <f ca="1">SUM(AM99:BE99)</f>
        <v>0</v>
      </c>
      <c r="BH99" s="665">
        <f ca="1">BH$96+BH98</f>
        <v>0</v>
      </c>
      <c r="BI99" s="665">
        <f ca="1">BI$96+BI98</f>
        <v>0</v>
      </c>
      <c r="BJ99" s="665">
        <f ca="1">SUM(BH99:BI99)</f>
        <v>0</v>
      </c>
      <c r="BL99" s="499">
        <f ca="1">Q99+AK99+BF99+BJ99</f>
        <v>0</v>
      </c>
      <c r="BM99" s="499"/>
      <c r="BN99" s="574"/>
      <c r="BO99" s="1018">
        <f t="shared" ref="BO99:DF99" ca="1" si="252">BO$96+BO98</f>
        <v>0</v>
      </c>
      <c r="BP99" s="1018">
        <f t="shared" ca="1" si="252"/>
        <v>0</v>
      </c>
      <c r="BQ99" s="1018">
        <f t="shared" ca="1" si="252"/>
        <v>0</v>
      </c>
      <c r="BR99" s="1018">
        <f t="shared" ca="1" si="252"/>
        <v>0</v>
      </c>
      <c r="BS99" s="1018">
        <f t="shared" ca="1" si="252"/>
        <v>0</v>
      </c>
      <c r="BT99" s="1018">
        <f t="shared" ca="1" si="252"/>
        <v>0</v>
      </c>
      <c r="BU99" s="1018">
        <f t="shared" ca="1" si="252"/>
        <v>0</v>
      </c>
      <c r="BV99" s="1018">
        <f t="shared" ca="1" si="252"/>
        <v>0</v>
      </c>
      <c r="BW99" s="1018">
        <f t="shared" ca="1" si="252"/>
        <v>0</v>
      </c>
      <c r="BX99" s="1018">
        <f t="shared" ca="1" si="252"/>
        <v>0</v>
      </c>
      <c r="BY99" s="1018">
        <f t="shared" ca="1" si="252"/>
        <v>0</v>
      </c>
      <c r="BZ99" s="1018">
        <f t="shared" ca="1" si="252"/>
        <v>0</v>
      </c>
      <c r="CA99" s="1018">
        <f t="shared" ca="1" si="252"/>
        <v>0</v>
      </c>
      <c r="CB99" s="1018">
        <f t="shared" ca="1" si="252"/>
        <v>0</v>
      </c>
      <c r="CC99" s="1018">
        <f t="shared" ca="1" si="252"/>
        <v>0</v>
      </c>
      <c r="CD99" s="1018">
        <f t="shared" ca="1" si="252"/>
        <v>0</v>
      </c>
      <c r="CE99" s="1018">
        <f t="shared" ca="1" si="252"/>
        <v>0</v>
      </c>
      <c r="CF99" s="1018">
        <f t="shared" ca="1" si="252"/>
        <v>0</v>
      </c>
      <c r="CG99" s="1018">
        <f t="shared" ca="1" si="252"/>
        <v>0</v>
      </c>
      <c r="CH99" s="1018">
        <f t="shared" ca="1" si="252"/>
        <v>0</v>
      </c>
      <c r="CI99" s="1018">
        <f t="shared" ca="1" si="252"/>
        <v>0</v>
      </c>
      <c r="CJ99" s="1018">
        <f t="shared" ca="1" si="252"/>
        <v>0</v>
      </c>
      <c r="CK99" s="1018">
        <f t="shared" ca="1" si="252"/>
        <v>0</v>
      </c>
      <c r="CL99" s="1018">
        <f t="shared" ca="1" si="252"/>
        <v>0</v>
      </c>
      <c r="CM99" s="1018">
        <f t="shared" ca="1" si="252"/>
        <v>0</v>
      </c>
      <c r="CN99" s="1018">
        <f t="shared" ca="1" si="252"/>
        <v>0</v>
      </c>
      <c r="CO99" s="1018">
        <f t="shared" ca="1" si="252"/>
        <v>0</v>
      </c>
      <c r="CP99" s="1018">
        <f t="shared" ca="1" si="252"/>
        <v>0</v>
      </c>
      <c r="CQ99" s="1018">
        <f t="shared" ca="1" si="252"/>
        <v>0</v>
      </c>
      <c r="CR99" s="1018">
        <f t="shared" ca="1" si="252"/>
        <v>0</v>
      </c>
      <c r="CS99" s="1018">
        <f t="shared" ca="1" si="252"/>
        <v>0</v>
      </c>
      <c r="CT99" s="1018">
        <f t="shared" ca="1" si="252"/>
        <v>0</v>
      </c>
      <c r="CU99" s="1018">
        <f t="shared" ca="1" si="252"/>
        <v>0</v>
      </c>
      <c r="CV99" s="1018">
        <f t="shared" ca="1" si="252"/>
        <v>0</v>
      </c>
      <c r="CW99" s="1018">
        <f t="shared" ca="1" si="252"/>
        <v>0</v>
      </c>
      <c r="CX99" s="1018">
        <f t="shared" ca="1" si="252"/>
        <v>0</v>
      </c>
      <c r="CY99" s="1018">
        <f t="shared" ca="1" si="252"/>
        <v>0</v>
      </c>
      <c r="CZ99" s="1018">
        <f t="shared" ca="1" si="252"/>
        <v>0</v>
      </c>
      <c r="DA99" s="1018">
        <f t="shared" ca="1" si="252"/>
        <v>0</v>
      </c>
      <c r="DB99" s="1018">
        <f t="shared" ca="1" si="252"/>
        <v>0</v>
      </c>
      <c r="DC99" s="1018">
        <f t="shared" ca="1" si="252"/>
        <v>0</v>
      </c>
      <c r="DD99" s="1018">
        <f t="shared" ca="1" si="252"/>
        <v>0</v>
      </c>
      <c r="DE99" s="1018">
        <f t="shared" ca="1" si="252"/>
        <v>0</v>
      </c>
      <c r="DF99" s="1018">
        <f t="shared" ca="1" si="252"/>
        <v>0</v>
      </c>
      <c r="DH99" s="572">
        <f t="shared" ca="1" si="238"/>
        <v>0</v>
      </c>
    </row>
    <row r="100" spans="1:112" s="18" customFormat="1" ht="12.75" customHeight="1" outlineLevel="1">
      <c r="B100" s="533"/>
      <c r="C100" s="529"/>
      <c r="D100" s="501"/>
      <c r="E100" s="497"/>
      <c r="F100" s="528"/>
      <c r="G100" s="633"/>
      <c r="H100" s="633"/>
      <c r="I100" s="633"/>
      <c r="J100" s="633"/>
      <c r="K100" s="635"/>
      <c r="L100" s="633"/>
      <c r="M100" s="633"/>
      <c r="N100" s="633"/>
      <c r="O100" s="633"/>
      <c r="P100" s="633"/>
      <c r="Q100" s="695"/>
      <c r="R100" s="528"/>
      <c r="S100" s="645"/>
      <c r="T100" s="645"/>
      <c r="U100" s="645"/>
      <c r="V100" s="645"/>
      <c r="W100" s="645"/>
      <c r="X100" s="645"/>
      <c r="Y100" s="645"/>
      <c r="Z100" s="645"/>
      <c r="AA100" s="645"/>
      <c r="AB100" s="645"/>
      <c r="AC100" s="645"/>
      <c r="AD100" s="645"/>
      <c r="AE100" s="645"/>
      <c r="AF100" s="645"/>
      <c r="AG100" s="645"/>
      <c r="AH100" s="645"/>
      <c r="AI100" s="645"/>
      <c r="AJ100" s="645"/>
      <c r="AK100" s="645"/>
      <c r="AL100" s="528"/>
      <c r="AM100" s="651"/>
      <c r="AN100" s="651"/>
      <c r="AO100" s="651"/>
      <c r="AP100" s="651"/>
      <c r="AQ100" s="651"/>
      <c r="AR100" s="651"/>
      <c r="AS100" s="651"/>
      <c r="AT100" s="651"/>
      <c r="AU100" s="651"/>
      <c r="AV100" s="651"/>
      <c r="AW100" s="651"/>
      <c r="AX100" s="651"/>
      <c r="AY100" s="651"/>
      <c r="AZ100" s="651"/>
      <c r="BA100" s="651"/>
      <c r="BB100" s="651"/>
      <c r="BC100" s="651"/>
      <c r="BD100" s="651"/>
      <c r="BE100" s="651"/>
      <c r="BF100" s="651"/>
      <c r="BG100" s="528"/>
      <c r="BH100" s="665"/>
      <c r="BI100" s="665"/>
      <c r="BJ100" s="665"/>
      <c r="BK100" s="528"/>
      <c r="BL100" s="499"/>
      <c r="BM100" s="499"/>
      <c r="BO100" s="1018"/>
      <c r="BP100" s="1018"/>
      <c r="BQ100" s="1018"/>
      <c r="BR100" s="1018"/>
      <c r="BS100" s="1018"/>
      <c r="BT100" s="1018"/>
      <c r="BU100" s="1018"/>
      <c r="BV100" s="1018"/>
      <c r="BW100" s="1018"/>
      <c r="BX100" s="1018"/>
      <c r="BY100" s="1018"/>
      <c r="BZ100" s="1018"/>
      <c r="CA100" s="1018"/>
      <c r="CB100" s="1018"/>
      <c r="CC100" s="1018"/>
      <c r="CD100" s="1018"/>
      <c r="CE100" s="1018"/>
      <c r="CF100" s="1018"/>
      <c r="CG100" s="1018"/>
      <c r="CH100" s="1018"/>
      <c r="CI100" s="1018"/>
      <c r="CJ100" s="1018"/>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H100" s="572">
        <f t="shared" si="238"/>
        <v>0</v>
      </c>
    </row>
    <row r="101" spans="1:112" s="1024" customFormat="1" ht="12.75" customHeight="1" outlineLevel="1">
      <c r="C101" s="720" t="s">
        <v>1015</v>
      </c>
      <c r="D101" s="1035" t="s">
        <v>998</v>
      </c>
      <c r="E101" s="578"/>
      <c r="G101" s="736"/>
      <c r="H101" s="736"/>
      <c r="I101" s="736"/>
      <c r="J101" s="736"/>
      <c r="K101" s="737"/>
      <c r="L101" s="736"/>
      <c r="M101" s="736"/>
      <c r="N101" s="736"/>
      <c r="O101" s="736"/>
      <c r="P101" s="736"/>
      <c r="Q101" s="1014"/>
      <c r="R101" s="1027"/>
      <c r="S101" s="738">
        <f ca="1">(S$40+S$84+S$93+S$99)</f>
        <v>-8.6815924571345473</v>
      </c>
      <c r="T101" s="738">
        <f ca="1">(T$40+T$84+T$93+T$99)</f>
        <v>0</v>
      </c>
      <c r="U101" s="738">
        <f ca="1">(U$40+U$84+U$93+U$99)</f>
        <v>0</v>
      </c>
      <c r="V101" s="738">
        <f ca="1">(V$40+V$84+V$93+V$99)</f>
        <v>-732.82023582033707</v>
      </c>
      <c r="W101" s="738">
        <f ca="1">(W$40+W$84+W$93+W$99)</f>
        <v>0</v>
      </c>
      <c r="X101" s="738"/>
      <c r="Y101" s="738"/>
      <c r="Z101" s="738"/>
      <c r="AA101" s="738"/>
      <c r="AB101" s="738"/>
      <c r="AC101" s="738"/>
      <c r="AD101" s="738"/>
      <c r="AE101" s="738"/>
      <c r="AF101" s="738"/>
      <c r="AG101" s="738"/>
      <c r="AH101" s="738"/>
      <c r="AI101" s="738"/>
      <c r="AJ101" s="738"/>
      <c r="AK101" s="738"/>
      <c r="AL101" s="1027"/>
      <c r="AM101" s="739"/>
      <c r="AN101" s="739"/>
      <c r="AO101" s="739"/>
      <c r="AP101" s="739"/>
      <c r="AQ101" s="739"/>
      <c r="AR101" s="739"/>
      <c r="AS101" s="739"/>
      <c r="AT101" s="739"/>
      <c r="AU101" s="739"/>
      <c r="AV101" s="739"/>
      <c r="AW101" s="739"/>
      <c r="AX101" s="739"/>
      <c r="AY101" s="739"/>
      <c r="AZ101" s="739"/>
      <c r="BA101" s="739"/>
      <c r="BB101" s="739"/>
      <c r="BC101" s="739"/>
      <c r="BD101" s="739"/>
      <c r="BE101" s="739"/>
      <c r="BF101" s="739"/>
      <c r="BG101" s="1027"/>
      <c r="BH101" s="740"/>
      <c r="BI101" s="740"/>
      <c r="BJ101" s="740"/>
      <c r="BL101" s="579"/>
      <c r="BM101" s="579"/>
      <c r="BO101" s="1026"/>
      <c r="BP101" s="1026"/>
      <c r="BQ101" s="1026"/>
      <c r="BR101" s="1026"/>
      <c r="BS101" s="1026"/>
      <c r="BT101" s="1026"/>
      <c r="BU101" s="1026"/>
      <c r="BV101" s="1026"/>
      <c r="BW101" s="1026"/>
      <c r="BX101" s="1026"/>
      <c r="BY101" s="1026"/>
      <c r="BZ101" s="1026"/>
      <c r="CA101" s="1026"/>
      <c r="CB101" s="1026"/>
      <c r="CC101" s="1026"/>
      <c r="CD101" s="1026"/>
      <c r="CE101" s="1026"/>
      <c r="CF101" s="1026"/>
      <c r="CG101" s="1026"/>
      <c r="CH101" s="1026"/>
      <c r="CI101" s="1026"/>
      <c r="CJ101" s="1026"/>
      <c r="CK101" s="1026"/>
      <c r="CL101" s="1026"/>
      <c r="CM101" s="1026"/>
      <c r="CN101" s="1026"/>
      <c r="CO101" s="1026"/>
      <c r="CP101" s="1026"/>
      <c r="CQ101" s="1026"/>
      <c r="CR101" s="1026"/>
      <c r="CS101" s="1026"/>
      <c r="CT101" s="1026"/>
      <c r="CU101" s="1026"/>
      <c r="CV101" s="1026"/>
      <c r="CW101" s="1026"/>
      <c r="CX101" s="1026"/>
      <c r="CY101" s="1026"/>
      <c r="CZ101" s="1026"/>
      <c r="DA101" s="1026"/>
      <c r="DB101" s="1026"/>
      <c r="DC101" s="1026"/>
      <c r="DD101" s="1026"/>
      <c r="DE101" s="1026"/>
      <c r="DF101" s="1026"/>
      <c r="DH101" s="572">
        <f t="shared" si="238"/>
        <v>0</v>
      </c>
    </row>
    <row r="102" spans="1:112" s="1020" customFormat="1" ht="12.75" customHeight="1" outlineLevel="1">
      <c r="B102" s="1028"/>
      <c r="C102" s="506" t="s">
        <v>743</v>
      </c>
      <c r="D102" s="505" t="str">
        <f>INDEX(Modules[Module], MATCH($C102, Modules[Code], 0))</f>
        <v>Fossil fuel transfers</v>
      </c>
      <c r="E102" s="505"/>
      <c r="F102" s="528"/>
      <c r="G102" s="638">
        <f t="shared" ref="G102:P102" ca="1" si="253">IFERROR(INDEX(INDIRECT($C102&amp;".Outputs["&amp;this.Year&amp;"]"), MATCH(G$5, INDIRECT($C102&amp;".Outputs[Vector]"), 0)), 0)</f>
        <v>0</v>
      </c>
      <c r="H102" s="638">
        <f t="shared" ca="1" si="253"/>
        <v>0</v>
      </c>
      <c r="I102" s="638">
        <f t="shared" ca="1" si="253"/>
        <v>0</v>
      </c>
      <c r="J102" s="638">
        <f t="shared" ca="1" si="253"/>
        <v>0</v>
      </c>
      <c r="K102" s="639">
        <f t="shared" ca="1" si="253"/>
        <v>0</v>
      </c>
      <c r="L102" s="638">
        <f t="shared" ca="1" si="253"/>
        <v>0</v>
      </c>
      <c r="M102" s="638">
        <f t="shared" ca="1" si="253"/>
        <v>0</v>
      </c>
      <c r="N102" s="638">
        <f t="shared" ca="1" si="253"/>
        <v>0</v>
      </c>
      <c r="O102" s="638">
        <f t="shared" ca="1" si="253"/>
        <v>0</v>
      </c>
      <c r="P102" s="638">
        <f t="shared" ca="1" si="253"/>
        <v>0</v>
      </c>
      <c r="Q102" s="747">
        <f ca="1">SUM(G102:P102)</f>
        <v>0</v>
      </c>
      <c r="R102" s="528"/>
      <c r="S102" s="647">
        <f t="shared" ref="S102:AJ102" ca="1" si="254">IFERROR(INDEX(INDIRECT($C102&amp;".Outputs["&amp;this.Year&amp;"]"), MATCH(S$5, INDIRECT($C102&amp;".Outputs[Vector]"), 0)), 0)</f>
        <v>0</v>
      </c>
      <c r="T102" s="647">
        <f t="shared" ca="1" si="254"/>
        <v>0</v>
      </c>
      <c r="U102" s="647">
        <f t="shared" ca="1" si="254"/>
        <v>0</v>
      </c>
      <c r="V102" s="647">
        <f t="shared" ca="1" si="254"/>
        <v>0</v>
      </c>
      <c r="W102" s="647">
        <f t="shared" ca="1" si="254"/>
        <v>0</v>
      </c>
      <c r="X102" s="647">
        <f t="shared" ca="1" si="254"/>
        <v>0</v>
      </c>
      <c r="Y102" s="647">
        <f t="shared" ca="1" si="254"/>
        <v>0</v>
      </c>
      <c r="Z102" s="647">
        <f t="shared" ca="1" si="254"/>
        <v>0</v>
      </c>
      <c r="AA102" s="647">
        <f t="shared" ca="1" si="254"/>
        <v>0</v>
      </c>
      <c r="AB102" s="647">
        <f t="shared" ca="1" si="254"/>
        <v>0</v>
      </c>
      <c r="AC102" s="647">
        <f t="shared" ca="1" si="254"/>
        <v>0</v>
      </c>
      <c r="AD102" s="647">
        <f t="shared" ca="1" si="254"/>
        <v>0</v>
      </c>
      <c r="AE102" s="647">
        <f t="shared" ca="1" si="254"/>
        <v>0</v>
      </c>
      <c r="AF102" s="647">
        <f t="shared" ca="1" si="254"/>
        <v>0</v>
      </c>
      <c r="AG102" s="647">
        <f t="shared" ca="1" si="254"/>
        <v>0</v>
      </c>
      <c r="AH102" s="647">
        <f t="shared" ca="1" si="254"/>
        <v>0</v>
      </c>
      <c r="AI102" s="647">
        <f t="shared" ca="1" si="254"/>
        <v>0</v>
      </c>
      <c r="AJ102" s="647">
        <f t="shared" ca="1" si="254"/>
        <v>0</v>
      </c>
      <c r="AK102" s="647">
        <f ca="1">SUM(S102:AJ102)</f>
        <v>0</v>
      </c>
      <c r="AL102" s="528"/>
      <c r="AM102" s="654">
        <f t="shared" ref="AM102:BE102" ca="1" si="255">IFERROR(INDEX(INDIRECT($C102&amp;".Outputs["&amp;this.Year&amp;"]"), MATCH(AM$5, INDIRECT($C102&amp;".Outputs[Vector]"), 0)), 0)</f>
        <v>0</v>
      </c>
      <c r="AN102" s="654">
        <f t="shared" ca="1" si="255"/>
        <v>0</v>
      </c>
      <c r="AO102" s="654">
        <f t="shared" ca="1" si="255"/>
        <v>0</v>
      </c>
      <c r="AP102" s="654">
        <f t="shared" ca="1" si="255"/>
        <v>0</v>
      </c>
      <c r="AQ102" s="654">
        <f t="shared" ca="1" si="255"/>
        <v>0</v>
      </c>
      <c r="AR102" s="654">
        <f t="shared" ca="1" si="255"/>
        <v>0</v>
      </c>
      <c r="AS102" s="654">
        <f t="shared" ca="1" si="255"/>
        <v>0</v>
      </c>
      <c r="AT102" s="654">
        <f t="shared" ca="1" si="255"/>
        <v>0</v>
      </c>
      <c r="AU102" s="654">
        <f t="shared" ca="1" si="255"/>
        <v>0</v>
      </c>
      <c r="AV102" s="654">
        <f t="shared" ca="1" si="255"/>
        <v>0</v>
      </c>
      <c r="AW102" s="654">
        <f t="shared" ca="1" si="255"/>
        <v>0</v>
      </c>
      <c r="AX102" s="654">
        <f t="shared" ca="1" si="255"/>
        <v>0</v>
      </c>
      <c r="AY102" s="654">
        <f t="shared" ca="1" si="255"/>
        <v>0</v>
      </c>
      <c r="AZ102" s="654">
        <f t="shared" ca="1" si="255"/>
        <v>0</v>
      </c>
      <c r="BA102" s="654">
        <f t="shared" ca="1" si="255"/>
        <v>0</v>
      </c>
      <c r="BB102" s="654">
        <f t="shared" ca="1" si="255"/>
        <v>0</v>
      </c>
      <c r="BC102" s="654">
        <f t="shared" ca="1" si="255"/>
        <v>0</v>
      </c>
      <c r="BD102" s="654">
        <f t="shared" ca="1" si="255"/>
        <v>0</v>
      </c>
      <c r="BE102" s="654">
        <f t="shared" ca="1" si="255"/>
        <v>0</v>
      </c>
      <c r="BF102" s="654">
        <f ca="1">SUM(AM102:BE102)</f>
        <v>0</v>
      </c>
      <c r="BG102" s="528"/>
      <c r="BH102" s="667">
        <f ca="1">IFERROR(INDEX(INDIRECT($C102&amp;".Outputs["&amp;this.Year&amp;"]"), MATCH(BH$5, INDIRECT($C102&amp;".Outputs[Vector]"), 0)), 0)</f>
        <v>0</v>
      </c>
      <c r="BI102" s="667">
        <f ca="1">IFERROR(INDEX(INDIRECT($C102&amp;".Outputs["&amp;this.Year&amp;"]"), MATCH(BI$5, INDIRECT($C102&amp;".Outputs[Vector]"), 0)), 0)</f>
        <v>0</v>
      </c>
      <c r="BJ102" s="667">
        <f ca="1">SUM(BH102:BI102)</f>
        <v>0</v>
      </c>
      <c r="BK102" s="528"/>
      <c r="BL102" s="499">
        <f t="shared" ref="BL102:BL109" ca="1" si="256">Q102+AK102+BF102+BJ102</f>
        <v>0</v>
      </c>
      <c r="BM102" s="562"/>
      <c r="BO102" s="1017">
        <f t="shared" ref="BO102:BX103" ca="1" si="257">IFERROR(SUMIFS(INDIRECT($C102&amp;".Emissions["&amp;this.Year&amp;"]"), INDIRECT($C102&amp;".Emissions[GHG]"), BO$6, INDIRECT($C102&amp;".Emissions[IPCC Sector]"), BO$5),0)</f>
        <v>0</v>
      </c>
      <c r="BP102" s="1018">
        <f t="shared" ca="1" si="257"/>
        <v>0</v>
      </c>
      <c r="BQ102" s="1018">
        <f t="shared" ca="1" si="257"/>
        <v>0</v>
      </c>
      <c r="BR102" s="1018">
        <f t="shared" ca="1" si="257"/>
        <v>0</v>
      </c>
      <c r="BS102" s="1018">
        <f t="shared" ca="1" si="257"/>
        <v>0</v>
      </c>
      <c r="BT102" s="1018">
        <f t="shared" ca="1" si="257"/>
        <v>0</v>
      </c>
      <c r="BU102" s="1018">
        <f t="shared" ca="1" si="257"/>
        <v>0</v>
      </c>
      <c r="BV102" s="1018">
        <f t="shared" ca="1" si="257"/>
        <v>0</v>
      </c>
      <c r="BW102" s="1018">
        <f t="shared" ca="1" si="257"/>
        <v>0</v>
      </c>
      <c r="BX102" s="1018">
        <f t="shared" ca="1" si="257"/>
        <v>0</v>
      </c>
      <c r="BY102" s="1018">
        <f t="shared" ref="BY102:CH103" ca="1" si="258">IFERROR(SUMIFS(INDIRECT($C102&amp;".Emissions["&amp;this.Year&amp;"]"), INDIRECT($C102&amp;".Emissions[GHG]"), BY$6, INDIRECT($C102&amp;".Emissions[IPCC Sector]"), BY$5),0)</f>
        <v>0</v>
      </c>
      <c r="BZ102" s="1018">
        <f t="shared" ca="1" si="258"/>
        <v>0</v>
      </c>
      <c r="CA102" s="1018">
        <f t="shared" ca="1" si="258"/>
        <v>0</v>
      </c>
      <c r="CB102" s="1018">
        <f t="shared" ca="1" si="258"/>
        <v>0</v>
      </c>
      <c r="CC102" s="1018">
        <f t="shared" ca="1" si="258"/>
        <v>0</v>
      </c>
      <c r="CD102" s="1018">
        <f t="shared" ca="1" si="258"/>
        <v>0</v>
      </c>
      <c r="CE102" s="1018">
        <f t="shared" ca="1" si="258"/>
        <v>0</v>
      </c>
      <c r="CF102" s="1018">
        <f t="shared" ca="1" si="258"/>
        <v>0</v>
      </c>
      <c r="CG102" s="1018">
        <f t="shared" ca="1" si="258"/>
        <v>0</v>
      </c>
      <c r="CH102" s="1018">
        <f t="shared" ca="1" si="258"/>
        <v>0</v>
      </c>
      <c r="CI102" s="1018">
        <f t="shared" ref="CI102:CR103" ca="1" si="259">IFERROR(SUMIFS(INDIRECT($C102&amp;".Emissions["&amp;this.Year&amp;"]"), INDIRECT($C102&amp;".Emissions[GHG]"), CI$6, INDIRECT($C102&amp;".Emissions[IPCC Sector]"), CI$5),0)</f>
        <v>0</v>
      </c>
      <c r="CJ102" s="1018">
        <f t="shared" ca="1" si="259"/>
        <v>0</v>
      </c>
      <c r="CK102" s="1018">
        <f t="shared" ca="1" si="259"/>
        <v>0</v>
      </c>
      <c r="CL102" s="1018">
        <f t="shared" ca="1" si="259"/>
        <v>0</v>
      </c>
      <c r="CM102" s="1018">
        <f t="shared" ca="1" si="259"/>
        <v>0</v>
      </c>
      <c r="CN102" s="1018">
        <f t="shared" ca="1" si="259"/>
        <v>0</v>
      </c>
      <c r="CO102" s="1018">
        <f t="shared" ca="1" si="259"/>
        <v>0</v>
      </c>
      <c r="CP102" s="1018">
        <f t="shared" ca="1" si="259"/>
        <v>0</v>
      </c>
      <c r="CQ102" s="1018">
        <f t="shared" ca="1" si="259"/>
        <v>0</v>
      </c>
      <c r="CR102" s="1018">
        <f t="shared" ca="1" si="259"/>
        <v>0</v>
      </c>
      <c r="CS102" s="1018">
        <f t="shared" ref="CS102:DF103" ca="1" si="260">IFERROR(SUMIFS(INDIRECT($C102&amp;".Emissions["&amp;this.Year&amp;"]"), INDIRECT($C102&amp;".Emissions[GHG]"), CS$6, INDIRECT($C102&amp;".Emissions[IPCC Sector]"), CS$5),0)</f>
        <v>0</v>
      </c>
      <c r="CT102" s="1018">
        <f t="shared" ca="1" si="260"/>
        <v>0</v>
      </c>
      <c r="CU102" s="1018">
        <f t="shared" ca="1" si="260"/>
        <v>0</v>
      </c>
      <c r="CV102" s="1018">
        <f t="shared" ca="1" si="260"/>
        <v>0</v>
      </c>
      <c r="CW102" s="1018">
        <f t="shared" ca="1" si="260"/>
        <v>0</v>
      </c>
      <c r="CX102" s="1018">
        <f t="shared" ca="1" si="260"/>
        <v>0</v>
      </c>
      <c r="CY102" s="1018">
        <f t="shared" ca="1" si="260"/>
        <v>0</v>
      </c>
      <c r="CZ102" s="1018">
        <f t="shared" ca="1" si="260"/>
        <v>0</v>
      </c>
      <c r="DA102" s="1018">
        <f t="shared" ca="1" si="260"/>
        <v>0</v>
      </c>
      <c r="DB102" s="1018">
        <f t="shared" ca="1" si="260"/>
        <v>0</v>
      </c>
      <c r="DC102" s="1018">
        <f t="shared" ca="1" si="260"/>
        <v>0</v>
      </c>
      <c r="DD102" s="1018">
        <f t="shared" ca="1" si="260"/>
        <v>0</v>
      </c>
      <c r="DE102" s="1018">
        <f t="shared" ca="1" si="260"/>
        <v>0</v>
      </c>
      <c r="DF102" s="1018">
        <f t="shared" ca="1" si="260"/>
        <v>0</v>
      </c>
      <c r="DH102" s="572">
        <f t="shared" ca="1" si="238"/>
        <v>0</v>
      </c>
    </row>
    <row r="103" spans="1:112" s="1020" customFormat="1" ht="12.75" customHeight="1" outlineLevel="1">
      <c r="B103" s="1028" t="s">
        <v>637</v>
      </c>
      <c r="C103" s="506" t="s">
        <v>744</v>
      </c>
      <c r="D103" s="684" t="str">
        <f>INDEX(Modules[Module], MATCH($C103, Modules[Code], 0))</f>
        <v>Balancing imports</v>
      </c>
      <c r="E103" s="684"/>
      <c r="F103" s="528"/>
      <c r="G103" s="752"/>
      <c r="H103" s="752"/>
      <c r="I103" s="752"/>
      <c r="J103" s="752"/>
      <c r="K103" s="753"/>
      <c r="L103" s="752"/>
      <c r="M103" s="752"/>
      <c r="N103" s="752"/>
      <c r="O103" s="752"/>
      <c r="P103" s="752"/>
      <c r="Q103" s="754">
        <f>SUM(G103:P103)</f>
        <v>0</v>
      </c>
      <c r="R103" s="528"/>
      <c r="S103" s="755"/>
      <c r="T103" s="755">
        <f ca="1">-(T$101+S$101)</f>
        <v>8.6815924571345473</v>
      </c>
      <c r="U103" s="755"/>
      <c r="V103" s="755"/>
      <c r="W103" s="755"/>
      <c r="X103" s="755">
        <f ca="1">-(X$40+X$84+X$93+X$99+X$102)</f>
        <v>0</v>
      </c>
      <c r="Y103" s="755">
        <f ca="1">-(Y$40+Y$84+Y$93+Y$99+Y$102)</f>
        <v>0</v>
      </c>
      <c r="Z103" s="755">
        <f ca="1">-(Z$40+Z$84+Z$93+Z$99+Z$102)</f>
        <v>0</v>
      </c>
      <c r="AA103" s="755"/>
      <c r="AB103" s="755"/>
      <c r="AC103" s="755"/>
      <c r="AD103" s="755"/>
      <c r="AE103" s="755"/>
      <c r="AF103" s="755"/>
      <c r="AG103" s="755"/>
      <c r="AH103" s="755"/>
      <c r="AI103" s="755"/>
      <c r="AJ103" s="755"/>
      <c r="AK103" s="755">
        <f ca="1">SUM(S103:AJ103)</f>
        <v>8.6815924571345473</v>
      </c>
      <c r="AL103" s="528"/>
      <c r="AM103" s="686"/>
      <c r="AN103" s="686"/>
      <c r="AO103" s="686"/>
      <c r="AP103" s="686"/>
      <c r="AQ103" s="686">
        <f ca="1">-T103</f>
        <v>-8.6815924571345473</v>
      </c>
      <c r="AR103" s="686">
        <f>-V103</f>
        <v>0</v>
      </c>
      <c r="AS103" s="686">
        <f ca="1">-X103</f>
        <v>0</v>
      </c>
      <c r="AT103" s="686">
        <f ca="1">-Y103</f>
        <v>0</v>
      </c>
      <c r="AU103" s="686">
        <f ca="1">-Z103</f>
        <v>0</v>
      </c>
      <c r="AV103" s="686"/>
      <c r="AW103" s="686"/>
      <c r="AX103" s="686"/>
      <c r="AY103" s="686"/>
      <c r="AZ103" s="686"/>
      <c r="BA103" s="686"/>
      <c r="BB103" s="686"/>
      <c r="BC103" s="686"/>
      <c r="BD103" s="686"/>
      <c r="BE103" s="686"/>
      <c r="BF103" s="686">
        <f ca="1">SUM(AM103:BE103)</f>
        <v>-8.6815924571345473</v>
      </c>
      <c r="BG103" s="528"/>
      <c r="BH103" s="756"/>
      <c r="BI103" s="756"/>
      <c r="BJ103" s="756">
        <f>SUM(BH103:BI103)</f>
        <v>0</v>
      </c>
      <c r="BK103" s="528"/>
      <c r="BL103" s="499">
        <f t="shared" ca="1" si="256"/>
        <v>0</v>
      </c>
      <c r="BM103" s="562"/>
      <c r="BO103" s="1021">
        <f t="shared" ca="1" si="257"/>
        <v>0</v>
      </c>
      <c r="BP103" s="1022">
        <f t="shared" ca="1" si="257"/>
        <v>0</v>
      </c>
      <c r="BQ103" s="1022">
        <f t="shared" ca="1" si="257"/>
        <v>0</v>
      </c>
      <c r="BR103" s="1022">
        <f t="shared" ca="1" si="257"/>
        <v>0</v>
      </c>
      <c r="BS103" s="1022">
        <f t="shared" ca="1" si="257"/>
        <v>0</v>
      </c>
      <c r="BT103" s="1022">
        <f t="shared" ca="1" si="257"/>
        <v>0</v>
      </c>
      <c r="BU103" s="1022">
        <f t="shared" ca="1" si="257"/>
        <v>0</v>
      </c>
      <c r="BV103" s="1022">
        <f t="shared" ca="1" si="257"/>
        <v>0</v>
      </c>
      <c r="BW103" s="1022">
        <f t="shared" ca="1" si="257"/>
        <v>0</v>
      </c>
      <c r="BX103" s="1022">
        <f t="shared" ca="1" si="257"/>
        <v>0</v>
      </c>
      <c r="BY103" s="1022">
        <f t="shared" ca="1" si="258"/>
        <v>0</v>
      </c>
      <c r="BZ103" s="1022">
        <f t="shared" ca="1" si="258"/>
        <v>0</v>
      </c>
      <c r="CA103" s="1022">
        <f t="shared" ca="1" si="258"/>
        <v>0</v>
      </c>
      <c r="CB103" s="1022">
        <f t="shared" ca="1" si="258"/>
        <v>0</v>
      </c>
      <c r="CC103" s="1022">
        <f t="shared" ca="1" si="258"/>
        <v>0</v>
      </c>
      <c r="CD103" s="1022">
        <f t="shared" ca="1" si="258"/>
        <v>0</v>
      </c>
      <c r="CE103" s="1022">
        <f t="shared" ca="1" si="258"/>
        <v>0</v>
      </c>
      <c r="CF103" s="1022">
        <f t="shared" ca="1" si="258"/>
        <v>0</v>
      </c>
      <c r="CG103" s="1022">
        <f t="shared" ca="1" si="258"/>
        <v>0</v>
      </c>
      <c r="CH103" s="1022">
        <f t="shared" ca="1" si="258"/>
        <v>0</v>
      </c>
      <c r="CI103" s="1022">
        <f t="shared" ca="1" si="259"/>
        <v>0</v>
      </c>
      <c r="CJ103" s="1022">
        <f t="shared" ca="1" si="259"/>
        <v>0</v>
      </c>
      <c r="CK103" s="1022">
        <f t="shared" ca="1" si="259"/>
        <v>0</v>
      </c>
      <c r="CL103" s="1022">
        <f t="shared" ca="1" si="259"/>
        <v>0</v>
      </c>
      <c r="CM103" s="1022">
        <f t="shared" ca="1" si="259"/>
        <v>0</v>
      </c>
      <c r="CN103" s="1022">
        <f t="shared" ca="1" si="259"/>
        <v>0</v>
      </c>
      <c r="CO103" s="1022">
        <f t="shared" ca="1" si="259"/>
        <v>0</v>
      </c>
      <c r="CP103" s="1022">
        <f t="shared" ca="1" si="259"/>
        <v>0</v>
      </c>
      <c r="CQ103" s="1022">
        <f t="shared" ca="1" si="259"/>
        <v>0</v>
      </c>
      <c r="CR103" s="1022">
        <f t="shared" ca="1" si="259"/>
        <v>0</v>
      </c>
      <c r="CS103" s="1022">
        <f t="shared" ca="1" si="260"/>
        <v>0</v>
      </c>
      <c r="CT103" s="1022">
        <f t="shared" ca="1" si="260"/>
        <v>0</v>
      </c>
      <c r="CU103" s="1022">
        <f t="shared" ca="1" si="260"/>
        <v>0</v>
      </c>
      <c r="CV103" s="1022">
        <f t="shared" ca="1" si="260"/>
        <v>0</v>
      </c>
      <c r="CW103" s="1022">
        <f t="shared" ca="1" si="260"/>
        <v>0</v>
      </c>
      <c r="CX103" s="1022">
        <f t="shared" ca="1" si="260"/>
        <v>0</v>
      </c>
      <c r="CY103" s="1022">
        <f t="shared" ca="1" si="260"/>
        <v>0</v>
      </c>
      <c r="CZ103" s="1022">
        <f t="shared" ca="1" si="260"/>
        <v>0</v>
      </c>
      <c r="DA103" s="1022">
        <f t="shared" ca="1" si="260"/>
        <v>0</v>
      </c>
      <c r="DB103" s="1022">
        <f t="shared" ca="1" si="260"/>
        <v>0</v>
      </c>
      <c r="DC103" s="1022">
        <f t="shared" ca="1" si="260"/>
        <v>0</v>
      </c>
      <c r="DD103" s="1022">
        <f t="shared" ca="1" si="260"/>
        <v>0</v>
      </c>
      <c r="DE103" s="1022">
        <f t="shared" ca="1" si="260"/>
        <v>0</v>
      </c>
      <c r="DF103" s="1022">
        <f t="shared" ca="1" si="260"/>
        <v>0</v>
      </c>
      <c r="DH103" s="572">
        <f t="shared" ca="1" si="238"/>
        <v>0</v>
      </c>
    </row>
    <row r="104" spans="1:112" s="528" customFormat="1" ht="15">
      <c r="B104" s="533" t="s">
        <v>637</v>
      </c>
      <c r="C104" s="500" t="s">
        <v>742</v>
      </c>
      <c r="D104" s="501" t="str">
        <f>INDEX(Workstreams[Workstream], MATCH($C104, Workstreams[Code], 0))</f>
        <v>Transfers</v>
      </c>
      <c r="E104" s="495"/>
      <c r="G104" s="695">
        <f t="shared" ref="G104:P104" ca="1" si="261">SUM(G102:G103)</f>
        <v>0</v>
      </c>
      <c r="H104" s="695">
        <f t="shared" ca="1" si="261"/>
        <v>0</v>
      </c>
      <c r="I104" s="695">
        <f t="shared" ca="1" si="261"/>
        <v>0</v>
      </c>
      <c r="J104" s="695">
        <f t="shared" ca="1" si="261"/>
        <v>0</v>
      </c>
      <c r="K104" s="695">
        <f t="shared" ca="1" si="261"/>
        <v>0</v>
      </c>
      <c r="L104" s="695">
        <f t="shared" ca="1" si="261"/>
        <v>0</v>
      </c>
      <c r="M104" s="695">
        <f t="shared" ca="1" si="261"/>
        <v>0</v>
      </c>
      <c r="N104" s="695">
        <f t="shared" ca="1" si="261"/>
        <v>0</v>
      </c>
      <c r="O104" s="695">
        <f t="shared" ca="1" si="261"/>
        <v>0</v>
      </c>
      <c r="P104" s="695">
        <f t="shared" ca="1" si="261"/>
        <v>0</v>
      </c>
      <c r="Q104" s="695">
        <f ca="1">SUM(G104:P104)</f>
        <v>0</v>
      </c>
      <c r="S104" s="645">
        <f t="shared" ref="S104:AJ104" ca="1" si="262">SUM(S102:S103)</f>
        <v>0</v>
      </c>
      <c r="T104" s="645">
        <f t="shared" ca="1" si="262"/>
        <v>8.6815924571345473</v>
      </c>
      <c r="U104" s="645">
        <f t="shared" ca="1" si="262"/>
        <v>0</v>
      </c>
      <c r="V104" s="645">
        <f t="shared" ca="1" si="262"/>
        <v>0</v>
      </c>
      <c r="W104" s="645">
        <f t="shared" ca="1" si="262"/>
        <v>0</v>
      </c>
      <c r="X104" s="645">
        <f t="shared" ca="1" si="262"/>
        <v>0</v>
      </c>
      <c r="Y104" s="645">
        <f t="shared" ca="1" si="262"/>
        <v>0</v>
      </c>
      <c r="Z104" s="645">
        <f t="shared" ca="1" si="262"/>
        <v>0</v>
      </c>
      <c r="AA104" s="645">
        <f t="shared" ca="1" si="262"/>
        <v>0</v>
      </c>
      <c r="AB104" s="645">
        <f t="shared" ca="1" si="262"/>
        <v>0</v>
      </c>
      <c r="AC104" s="645">
        <f t="shared" ca="1" si="262"/>
        <v>0</v>
      </c>
      <c r="AD104" s="645">
        <f t="shared" ca="1" si="262"/>
        <v>0</v>
      </c>
      <c r="AE104" s="645">
        <f ca="1">SUM(AE102:AE103)</f>
        <v>0</v>
      </c>
      <c r="AF104" s="645">
        <f t="shared" ca="1" si="262"/>
        <v>0</v>
      </c>
      <c r="AG104" s="645">
        <f t="shared" ca="1" si="262"/>
        <v>0</v>
      </c>
      <c r="AH104" s="645">
        <f ca="1">SUM(AH102:AH103)</f>
        <v>0</v>
      </c>
      <c r="AI104" s="645">
        <f t="shared" ca="1" si="262"/>
        <v>0</v>
      </c>
      <c r="AJ104" s="645">
        <f t="shared" ca="1" si="262"/>
        <v>0</v>
      </c>
      <c r="AK104" s="645">
        <f ca="1">SUM(S104:AJ104)</f>
        <v>8.6815924571345473</v>
      </c>
      <c r="AM104" s="651">
        <f t="shared" ref="AM104:BE104" ca="1" si="263">SUM(AM102:AM103)</f>
        <v>0</v>
      </c>
      <c r="AN104" s="651">
        <f t="shared" ca="1" si="263"/>
        <v>0</v>
      </c>
      <c r="AO104" s="651">
        <f t="shared" ca="1" si="263"/>
        <v>0</v>
      </c>
      <c r="AP104" s="651">
        <f t="shared" ca="1" si="263"/>
        <v>0</v>
      </c>
      <c r="AQ104" s="651">
        <f t="shared" ca="1" si="263"/>
        <v>-8.6815924571345473</v>
      </c>
      <c r="AR104" s="651">
        <f t="shared" ca="1" si="263"/>
        <v>0</v>
      </c>
      <c r="AS104" s="651">
        <f t="shared" ca="1" si="263"/>
        <v>0</v>
      </c>
      <c r="AT104" s="651">
        <f t="shared" ca="1" si="263"/>
        <v>0</v>
      </c>
      <c r="AU104" s="651">
        <f t="shared" ca="1" si="263"/>
        <v>0</v>
      </c>
      <c r="AV104" s="651">
        <f t="shared" ca="1" si="263"/>
        <v>0</v>
      </c>
      <c r="AW104" s="651">
        <f t="shared" ca="1" si="263"/>
        <v>0</v>
      </c>
      <c r="AX104" s="651">
        <f t="shared" ca="1" si="263"/>
        <v>0</v>
      </c>
      <c r="AY104" s="651">
        <f t="shared" ca="1" si="263"/>
        <v>0</v>
      </c>
      <c r="AZ104" s="651">
        <f t="shared" ca="1" si="263"/>
        <v>0</v>
      </c>
      <c r="BA104" s="651">
        <f t="shared" ca="1" si="263"/>
        <v>0</v>
      </c>
      <c r="BB104" s="651">
        <f t="shared" ca="1" si="263"/>
        <v>0</v>
      </c>
      <c r="BC104" s="651">
        <f t="shared" ca="1" si="263"/>
        <v>0</v>
      </c>
      <c r="BD104" s="651">
        <f t="shared" ca="1" si="263"/>
        <v>0</v>
      </c>
      <c r="BE104" s="651">
        <f t="shared" ca="1" si="263"/>
        <v>0</v>
      </c>
      <c r="BF104" s="651">
        <f ca="1">SUM(AM104:BE104)</f>
        <v>-8.6815924571345473</v>
      </c>
      <c r="BH104" s="665">
        <f ca="1">SUM(BH102:BH103)</f>
        <v>0</v>
      </c>
      <c r="BI104" s="665">
        <f ca="1">SUM(BI102:BI103)</f>
        <v>0</v>
      </c>
      <c r="BJ104" s="665">
        <f ca="1">SUM(BH104:BI104)</f>
        <v>0</v>
      </c>
      <c r="BL104" s="499">
        <f t="shared" ca="1" si="256"/>
        <v>0</v>
      </c>
      <c r="BM104" s="499"/>
      <c r="BN104" s="574"/>
      <c r="BO104" s="1018">
        <f t="shared" ref="BO104:DF104" ca="1" si="264">SUM(BO102:BO103)</f>
        <v>0</v>
      </c>
      <c r="BP104" s="1018">
        <f t="shared" ca="1" si="264"/>
        <v>0</v>
      </c>
      <c r="BQ104" s="1018">
        <f t="shared" ca="1" si="264"/>
        <v>0</v>
      </c>
      <c r="BR104" s="1018">
        <f t="shared" ca="1" si="264"/>
        <v>0</v>
      </c>
      <c r="BS104" s="1018">
        <f t="shared" ca="1" si="264"/>
        <v>0</v>
      </c>
      <c r="BT104" s="1018">
        <f t="shared" ca="1" si="264"/>
        <v>0</v>
      </c>
      <c r="BU104" s="1018">
        <f t="shared" ca="1" si="264"/>
        <v>0</v>
      </c>
      <c r="BV104" s="1018">
        <f t="shared" ca="1" si="264"/>
        <v>0</v>
      </c>
      <c r="BW104" s="1018">
        <f t="shared" ca="1" si="264"/>
        <v>0</v>
      </c>
      <c r="BX104" s="1018">
        <f t="shared" ca="1" si="264"/>
        <v>0</v>
      </c>
      <c r="BY104" s="1018">
        <f t="shared" ca="1" si="264"/>
        <v>0</v>
      </c>
      <c r="BZ104" s="1018">
        <f t="shared" ca="1" si="264"/>
        <v>0</v>
      </c>
      <c r="CA104" s="1018">
        <f t="shared" ca="1" si="264"/>
        <v>0</v>
      </c>
      <c r="CB104" s="1018">
        <f t="shared" ca="1" si="264"/>
        <v>0</v>
      </c>
      <c r="CC104" s="1018">
        <f t="shared" ca="1" si="264"/>
        <v>0</v>
      </c>
      <c r="CD104" s="1018">
        <f t="shared" ca="1" si="264"/>
        <v>0</v>
      </c>
      <c r="CE104" s="1018">
        <f t="shared" ca="1" si="264"/>
        <v>0</v>
      </c>
      <c r="CF104" s="1018">
        <f t="shared" ca="1" si="264"/>
        <v>0</v>
      </c>
      <c r="CG104" s="1018">
        <f t="shared" ca="1" si="264"/>
        <v>0</v>
      </c>
      <c r="CH104" s="1018">
        <f t="shared" ca="1" si="264"/>
        <v>0</v>
      </c>
      <c r="CI104" s="1018">
        <f t="shared" ca="1" si="264"/>
        <v>0</v>
      </c>
      <c r="CJ104" s="1018">
        <f t="shared" ca="1" si="264"/>
        <v>0</v>
      </c>
      <c r="CK104" s="1018">
        <f t="shared" ca="1" si="264"/>
        <v>0</v>
      </c>
      <c r="CL104" s="1018">
        <f t="shared" ca="1" si="264"/>
        <v>0</v>
      </c>
      <c r="CM104" s="1018">
        <f t="shared" ca="1" si="264"/>
        <v>0</v>
      </c>
      <c r="CN104" s="1018">
        <f t="shared" ca="1" si="264"/>
        <v>0</v>
      </c>
      <c r="CO104" s="1018">
        <f t="shared" ca="1" si="264"/>
        <v>0</v>
      </c>
      <c r="CP104" s="1018">
        <f t="shared" ca="1" si="264"/>
        <v>0</v>
      </c>
      <c r="CQ104" s="1018">
        <f t="shared" ca="1" si="264"/>
        <v>0</v>
      </c>
      <c r="CR104" s="1018">
        <f t="shared" ca="1" si="264"/>
        <v>0</v>
      </c>
      <c r="CS104" s="1018">
        <f t="shared" ca="1" si="264"/>
        <v>0</v>
      </c>
      <c r="CT104" s="1018">
        <f t="shared" ca="1" si="264"/>
        <v>0</v>
      </c>
      <c r="CU104" s="1018">
        <f t="shared" ca="1" si="264"/>
        <v>0</v>
      </c>
      <c r="CV104" s="1018">
        <f t="shared" ca="1" si="264"/>
        <v>0</v>
      </c>
      <c r="CW104" s="1018">
        <f t="shared" ca="1" si="264"/>
        <v>0</v>
      </c>
      <c r="CX104" s="1018">
        <f t="shared" ca="1" si="264"/>
        <v>0</v>
      </c>
      <c r="CY104" s="1018">
        <f t="shared" ca="1" si="264"/>
        <v>0</v>
      </c>
      <c r="CZ104" s="1018">
        <f t="shared" ca="1" si="264"/>
        <v>0</v>
      </c>
      <c r="DA104" s="1018">
        <f t="shared" ca="1" si="264"/>
        <v>0</v>
      </c>
      <c r="DB104" s="1018">
        <f t="shared" ca="1" si="264"/>
        <v>0</v>
      </c>
      <c r="DC104" s="1018">
        <f t="shared" ca="1" si="264"/>
        <v>0</v>
      </c>
      <c r="DD104" s="1018">
        <f t="shared" ca="1" si="264"/>
        <v>0</v>
      </c>
      <c r="DE104" s="1018">
        <f t="shared" ca="1" si="264"/>
        <v>0</v>
      </c>
      <c r="DF104" s="1018">
        <f t="shared" ca="1" si="264"/>
        <v>0</v>
      </c>
      <c r="DH104" s="572">
        <f t="shared" ca="1" si="238"/>
        <v>0</v>
      </c>
    </row>
    <row r="105" spans="1:112" s="528" customFormat="1" ht="6" customHeight="1">
      <c r="C105" s="494"/>
      <c r="D105" s="495"/>
      <c r="E105" s="495"/>
      <c r="G105" s="633"/>
      <c r="H105" s="633"/>
      <c r="I105" s="633"/>
      <c r="J105" s="633"/>
      <c r="K105" s="635"/>
      <c r="L105" s="633"/>
      <c r="M105" s="633"/>
      <c r="N105" s="633"/>
      <c r="O105" s="633"/>
      <c r="P105" s="633"/>
      <c r="Q105" s="633"/>
      <c r="S105" s="645"/>
      <c r="T105" s="645"/>
      <c r="U105" s="645"/>
      <c r="V105" s="645"/>
      <c r="W105" s="645"/>
      <c r="X105" s="645"/>
      <c r="Y105" s="645"/>
      <c r="Z105" s="645"/>
      <c r="AA105" s="645"/>
      <c r="AB105" s="645"/>
      <c r="AC105" s="645"/>
      <c r="AD105" s="645"/>
      <c r="AE105" s="645"/>
      <c r="AF105" s="645"/>
      <c r="AG105" s="645"/>
      <c r="AH105" s="645"/>
      <c r="AI105" s="645"/>
      <c r="AJ105" s="645"/>
      <c r="AK105" s="645"/>
      <c r="AM105" s="651"/>
      <c r="AN105" s="651"/>
      <c r="AO105" s="651"/>
      <c r="AP105" s="651"/>
      <c r="AQ105" s="651"/>
      <c r="AR105" s="651"/>
      <c r="AS105" s="651"/>
      <c r="AT105" s="651"/>
      <c r="AU105" s="651"/>
      <c r="AV105" s="651"/>
      <c r="AW105" s="651"/>
      <c r="AX105" s="651"/>
      <c r="AY105" s="651"/>
      <c r="AZ105" s="651"/>
      <c r="BA105" s="651"/>
      <c r="BB105" s="651"/>
      <c r="BC105" s="651"/>
      <c r="BD105" s="651"/>
      <c r="BE105" s="651"/>
      <c r="BF105" s="651"/>
      <c r="BH105" s="665"/>
      <c r="BI105" s="665"/>
      <c r="BJ105" s="665"/>
      <c r="BL105" s="499">
        <f t="shared" si="256"/>
        <v>0</v>
      </c>
      <c r="BM105" s="499"/>
      <c r="BO105" s="1018"/>
      <c r="BP105" s="1018"/>
      <c r="BQ105" s="1018"/>
      <c r="BR105" s="1018"/>
      <c r="BS105" s="1018"/>
      <c r="BT105" s="1018"/>
      <c r="BU105" s="1018"/>
      <c r="BV105" s="1018"/>
      <c r="BW105" s="1018"/>
      <c r="BX105" s="1018"/>
      <c r="BY105" s="1018"/>
      <c r="BZ105" s="1018"/>
      <c r="CA105" s="1018"/>
      <c r="CB105" s="1018"/>
      <c r="CC105" s="1018"/>
      <c r="CD105" s="1018"/>
      <c r="CE105" s="1018"/>
      <c r="CF105" s="1018"/>
      <c r="CG105" s="1018"/>
      <c r="CH105" s="1018"/>
      <c r="CI105" s="1018"/>
      <c r="CJ105" s="1018"/>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H105" s="572"/>
    </row>
    <row r="106" spans="1:112" s="528" customFormat="1" ht="15">
      <c r="B106" s="533"/>
      <c r="C106" s="1332" t="s">
        <v>1083</v>
      </c>
      <c r="D106" s="513" t="s">
        <v>746</v>
      </c>
      <c r="E106" s="514"/>
      <c r="G106" s="741">
        <f t="shared" ref="G106:P106" ca="1" si="265">G$93+G$99+G$104</f>
        <v>0</v>
      </c>
      <c r="H106" s="741">
        <f t="shared" ca="1" si="265"/>
        <v>0</v>
      </c>
      <c r="I106" s="741">
        <f t="shared" ca="1" si="265"/>
        <v>0</v>
      </c>
      <c r="J106" s="741">
        <f t="shared" ca="1" si="265"/>
        <v>0</v>
      </c>
      <c r="K106" s="742">
        <f t="shared" ca="1" si="265"/>
        <v>0</v>
      </c>
      <c r="L106" s="741">
        <f t="shared" ca="1" si="265"/>
        <v>0</v>
      </c>
      <c r="M106" s="741">
        <f t="shared" ca="1" si="265"/>
        <v>0</v>
      </c>
      <c r="N106" s="741">
        <f t="shared" ca="1" si="265"/>
        <v>0</v>
      </c>
      <c r="O106" s="741">
        <f t="shared" ca="1" si="265"/>
        <v>0</v>
      </c>
      <c r="P106" s="741">
        <f t="shared" ca="1" si="265"/>
        <v>0</v>
      </c>
      <c r="Q106" s="697">
        <f ca="1">SUM(G106:P106)</f>
        <v>0</v>
      </c>
      <c r="S106" s="688">
        <f t="shared" ref="S106:AJ106" ca="1" si="266">S$93+S$99+S$104</f>
        <v>0</v>
      </c>
      <c r="T106" s="688">
        <f t="shared" ca="1" si="266"/>
        <v>8.6815924571345473</v>
      </c>
      <c r="U106" s="688">
        <f t="shared" ca="1" si="266"/>
        <v>0</v>
      </c>
      <c r="V106" s="688">
        <f t="shared" ca="1" si="266"/>
        <v>0</v>
      </c>
      <c r="W106" s="688">
        <f t="shared" ca="1" si="266"/>
        <v>0</v>
      </c>
      <c r="X106" s="688">
        <f t="shared" ca="1" si="266"/>
        <v>0</v>
      </c>
      <c r="Y106" s="688">
        <f t="shared" ca="1" si="266"/>
        <v>0</v>
      </c>
      <c r="Z106" s="688">
        <f t="shared" ca="1" si="266"/>
        <v>0</v>
      </c>
      <c r="AA106" s="688">
        <f t="shared" ca="1" si="266"/>
        <v>0</v>
      </c>
      <c r="AB106" s="688">
        <f t="shared" ca="1" si="266"/>
        <v>0</v>
      </c>
      <c r="AC106" s="688">
        <f t="shared" ca="1" si="266"/>
        <v>0</v>
      </c>
      <c r="AD106" s="688">
        <f t="shared" ca="1" si="266"/>
        <v>0</v>
      </c>
      <c r="AE106" s="688">
        <f t="shared" ca="1" si="266"/>
        <v>0</v>
      </c>
      <c r="AF106" s="688">
        <f t="shared" ca="1" si="266"/>
        <v>0</v>
      </c>
      <c r="AG106" s="688">
        <f t="shared" ca="1" si="266"/>
        <v>0</v>
      </c>
      <c r="AH106" s="688">
        <f t="shared" ca="1" si="266"/>
        <v>0</v>
      </c>
      <c r="AI106" s="688">
        <f t="shared" ca="1" si="266"/>
        <v>0</v>
      </c>
      <c r="AJ106" s="688">
        <f t="shared" ca="1" si="266"/>
        <v>0</v>
      </c>
      <c r="AK106" s="688">
        <f ca="1">SUM(S106:AJ106)</f>
        <v>8.6815924571345473</v>
      </c>
      <c r="AM106" s="689">
        <f t="shared" ref="AM106:BE106" ca="1" si="267">AM$93+AM$99+AM$104</f>
        <v>0</v>
      </c>
      <c r="AN106" s="689">
        <f t="shared" ca="1" si="267"/>
        <v>0</v>
      </c>
      <c r="AO106" s="689">
        <f t="shared" ca="1" si="267"/>
        <v>0</v>
      </c>
      <c r="AP106" s="689">
        <f t="shared" ca="1" si="267"/>
        <v>0</v>
      </c>
      <c r="AQ106" s="689">
        <f t="shared" ca="1" si="267"/>
        <v>-8.6815924571345473</v>
      </c>
      <c r="AR106" s="689">
        <f t="shared" ca="1" si="267"/>
        <v>0</v>
      </c>
      <c r="AS106" s="689">
        <f t="shared" ca="1" si="267"/>
        <v>0</v>
      </c>
      <c r="AT106" s="689">
        <f t="shared" ca="1" si="267"/>
        <v>0</v>
      </c>
      <c r="AU106" s="689">
        <f t="shared" ca="1" si="267"/>
        <v>0</v>
      </c>
      <c r="AV106" s="689">
        <f t="shared" ca="1" si="267"/>
        <v>0</v>
      </c>
      <c r="AW106" s="689">
        <f t="shared" ca="1" si="267"/>
        <v>0</v>
      </c>
      <c r="AX106" s="689">
        <f t="shared" ca="1" si="267"/>
        <v>0</v>
      </c>
      <c r="AY106" s="689">
        <f t="shared" ca="1" si="267"/>
        <v>0</v>
      </c>
      <c r="AZ106" s="689">
        <f t="shared" ca="1" si="267"/>
        <v>0</v>
      </c>
      <c r="BA106" s="689">
        <f t="shared" ca="1" si="267"/>
        <v>0</v>
      </c>
      <c r="BB106" s="689">
        <f t="shared" ca="1" si="267"/>
        <v>0</v>
      </c>
      <c r="BC106" s="689">
        <f t="shared" ca="1" si="267"/>
        <v>0</v>
      </c>
      <c r="BD106" s="689">
        <f t="shared" ca="1" si="267"/>
        <v>0</v>
      </c>
      <c r="BE106" s="689">
        <f t="shared" ca="1" si="267"/>
        <v>0</v>
      </c>
      <c r="BF106" s="689">
        <f ca="1">SUM(AM106:BE106)</f>
        <v>-8.6815924571345473</v>
      </c>
      <c r="BH106" s="690">
        <f ca="1">BH$93+BH$99+BH$104</f>
        <v>0</v>
      </c>
      <c r="BI106" s="690">
        <f ca="1">BI$93+BI$99+BI$104</f>
        <v>0</v>
      </c>
      <c r="BJ106" s="690">
        <f ca="1">SUM(BH106:BI106)</f>
        <v>0</v>
      </c>
      <c r="BL106" s="502">
        <f t="shared" ca="1" si="256"/>
        <v>0</v>
      </c>
      <c r="BM106" s="502"/>
      <c r="BO106" s="1023">
        <f t="shared" ref="BO106:DE106" ca="1" si="268">BO$93+BO$99+BO$104</f>
        <v>0</v>
      </c>
      <c r="BP106" s="1023">
        <f t="shared" ca="1" si="268"/>
        <v>0</v>
      </c>
      <c r="BQ106" s="1023">
        <f t="shared" ca="1" si="268"/>
        <v>0</v>
      </c>
      <c r="BR106" s="1023">
        <f t="shared" ca="1" si="268"/>
        <v>0</v>
      </c>
      <c r="BS106" s="1023">
        <f t="shared" ca="1" si="268"/>
        <v>0</v>
      </c>
      <c r="BT106" s="1023">
        <f t="shared" ca="1" si="268"/>
        <v>0</v>
      </c>
      <c r="BU106" s="1023">
        <f t="shared" ca="1" si="268"/>
        <v>0</v>
      </c>
      <c r="BV106" s="1023">
        <f t="shared" ca="1" si="268"/>
        <v>0</v>
      </c>
      <c r="BW106" s="1023">
        <f t="shared" ca="1" si="268"/>
        <v>0</v>
      </c>
      <c r="BX106" s="1023">
        <f t="shared" ca="1" si="268"/>
        <v>0</v>
      </c>
      <c r="BY106" s="1023">
        <f t="shared" ca="1" si="268"/>
        <v>0</v>
      </c>
      <c r="BZ106" s="1023">
        <f t="shared" ca="1" si="268"/>
        <v>0</v>
      </c>
      <c r="CA106" s="1023">
        <f t="shared" ca="1" si="268"/>
        <v>0</v>
      </c>
      <c r="CB106" s="1023">
        <f t="shared" ca="1" si="268"/>
        <v>0</v>
      </c>
      <c r="CC106" s="1023">
        <f t="shared" ca="1" si="268"/>
        <v>0</v>
      </c>
      <c r="CD106" s="1023">
        <f t="shared" ca="1" si="268"/>
        <v>0</v>
      </c>
      <c r="CE106" s="1023">
        <f t="shared" ca="1" si="268"/>
        <v>0</v>
      </c>
      <c r="CF106" s="1023">
        <f t="shared" ca="1" si="268"/>
        <v>0</v>
      </c>
      <c r="CG106" s="1023">
        <f t="shared" ca="1" si="268"/>
        <v>0</v>
      </c>
      <c r="CH106" s="1023">
        <f t="shared" ca="1" si="268"/>
        <v>0</v>
      </c>
      <c r="CI106" s="1023">
        <f t="shared" ca="1" si="268"/>
        <v>0</v>
      </c>
      <c r="CJ106" s="1023">
        <f t="shared" ca="1" si="268"/>
        <v>0</v>
      </c>
      <c r="CK106" s="1023">
        <f t="shared" ca="1" si="268"/>
        <v>0</v>
      </c>
      <c r="CL106" s="1023">
        <f t="shared" ca="1" si="268"/>
        <v>0</v>
      </c>
      <c r="CM106" s="1023">
        <f t="shared" ca="1" si="268"/>
        <v>0</v>
      </c>
      <c r="CN106" s="1023">
        <f t="shared" ca="1" si="268"/>
        <v>0</v>
      </c>
      <c r="CO106" s="1023">
        <f t="shared" ca="1" si="268"/>
        <v>0</v>
      </c>
      <c r="CP106" s="1023">
        <f t="shared" ca="1" si="268"/>
        <v>0</v>
      </c>
      <c r="CQ106" s="1023">
        <f t="shared" ca="1" si="268"/>
        <v>0</v>
      </c>
      <c r="CR106" s="1023">
        <f t="shared" ca="1" si="268"/>
        <v>0</v>
      </c>
      <c r="CS106" s="1023">
        <f t="shared" ca="1" si="268"/>
        <v>0</v>
      </c>
      <c r="CT106" s="1023">
        <f t="shared" ca="1" si="268"/>
        <v>0</v>
      </c>
      <c r="CU106" s="1023">
        <f t="shared" ca="1" si="268"/>
        <v>0</v>
      </c>
      <c r="CV106" s="1023">
        <f t="shared" ca="1" si="268"/>
        <v>0</v>
      </c>
      <c r="CW106" s="1023">
        <f t="shared" ca="1" si="268"/>
        <v>0</v>
      </c>
      <c r="CX106" s="1023">
        <f t="shared" ca="1" si="268"/>
        <v>0</v>
      </c>
      <c r="CY106" s="1023">
        <f t="shared" ca="1" si="268"/>
        <v>0</v>
      </c>
      <c r="CZ106" s="1023">
        <f t="shared" ca="1" si="268"/>
        <v>0</v>
      </c>
      <c r="DA106" s="1023">
        <f t="shared" ca="1" si="268"/>
        <v>0</v>
      </c>
      <c r="DB106" s="1023">
        <f t="shared" ca="1" si="268"/>
        <v>0</v>
      </c>
      <c r="DC106" s="1023">
        <f t="shared" ca="1" si="268"/>
        <v>0</v>
      </c>
      <c r="DD106" s="1023">
        <f t="shared" ca="1" si="268"/>
        <v>0</v>
      </c>
      <c r="DE106" s="1023">
        <f t="shared" ca="1" si="268"/>
        <v>0</v>
      </c>
      <c r="DF106" s="1023">
        <f ca="1">DF$93+DF$104</f>
        <v>0</v>
      </c>
      <c r="DH106" s="571">
        <f ca="1">SUM(BO106:DF106)</f>
        <v>0</v>
      </c>
    </row>
    <row r="107" spans="1:112" s="528" customFormat="1">
      <c r="C107" s="494"/>
      <c r="D107" s="495"/>
      <c r="E107" s="495"/>
      <c r="G107" s="633"/>
      <c r="H107" s="633"/>
      <c r="I107" s="633"/>
      <c r="J107" s="633"/>
      <c r="K107" s="635"/>
      <c r="L107" s="633"/>
      <c r="M107" s="633"/>
      <c r="N107" s="633"/>
      <c r="O107" s="633"/>
      <c r="P107" s="633"/>
      <c r="Q107" s="633"/>
      <c r="S107" s="645"/>
      <c r="T107" s="645"/>
      <c r="U107" s="645"/>
      <c r="V107" s="645"/>
      <c r="W107" s="645"/>
      <c r="X107" s="645"/>
      <c r="Y107" s="645"/>
      <c r="Z107" s="645"/>
      <c r="AA107" s="645"/>
      <c r="AB107" s="645"/>
      <c r="AC107" s="645"/>
      <c r="AD107" s="645"/>
      <c r="AE107" s="645"/>
      <c r="AF107" s="645"/>
      <c r="AG107" s="645"/>
      <c r="AH107" s="645"/>
      <c r="AI107" s="645"/>
      <c r="AJ107" s="645"/>
      <c r="AK107" s="645"/>
      <c r="AM107" s="651"/>
      <c r="AN107" s="651"/>
      <c r="AO107" s="651"/>
      <c r="AP107" s="651"/>
      <c r="AQ107" s="651"/>
      <c r="AR107" s="651"/>
      <c r="AS107" s="651"/>
      <c r="AT107" s="651"/>
      <c r="AU107" s="651"/>
      <c r="AV107" s="651"/>
      <c r="AW107" s="651"/>
      <c r="AX107" s="651"/>
      <c r="AY107" s="651"/>
      <c r="AZ107" s="651"/>
      <c r="BA107" s="651"/>
      <c r="BB107" s="651"/>
      <c r="BC107" s="651"/>
      <c r="BD107" s="651"/>
      <c r="BE107" s="651"/>
      <c r="BF107" s="651"/>
      <c r="BH107" s="665"/>
      <c r="BI107" s="665"/>
      <c r="BJ107" s="665"/>
      <c r="BL107" s="499">
        <f t="shared" si="256"/>
        <v>0</v>
      </c>
      <c r="BM107" s="499"/>
      <c r="BO107" s="1018"/>
      <c r="BP107" s="1018"/>
      <c r="BQ107" s="1018"/>
      <c r="BR107" s="1018"/>
      <c r="BS107" s="1018"/>
      <c r="BT107" s="1018"/>
      <c r="BU107" s="1018"/>
      <c r="BV107" s="1018"/>
      <c r="BW107" s="1018"/>
      <c r="BX107" s="1018"/>
      <c r="BY107" s="1018"/>
      <c r="BZ107" s="1018"/>
      <c r="CA107" s="1018"/>
      <c r="CB107" s="1018"/>
      <c r="CC107" s="1018"/>
      <c r="CD107" s="1018"/>
      <c r="CE107" s="1018"/>
      <c r="CF107" s="1018"/>
      <c r="CG107" s="1018"/>
      <c r="CH107" s="1018"/>
      <c r="CI107" s="1018"/>
      <c r="CJ107" s="1018"/>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H107" s="572"/>
    </row>
    <row r="108" spans="1:112" s="528" customFormat="1" ht="14" thickBot="1">
      <c r="C108" s="494"/>
      <c r="D108" s="495"/>
      <c r="E108" s="495"/>
      <c r="G108" s="633"/>
      <c r="H108" s="633"/>
      <c r="I108" s="633"/>
      <c r="J108" s="633"/>
      <c r="K108" s="635"/>
      <c r="L108" s="633"/>
      <c r="M108" s="633"/>
      <c r="N108" s="633"/>
      <c r="O108" s="633"/>
      <c r="P108" s="633"/>
      <c r="Q108" s="633"/>
      <c r="S108" s="645"/>
      <c r="T108" s="645"/>
      <c r="U108" s="645"/>
      <c r="V108" s="645"/>
      <c r="W108" s="645"/>
      <c r="X108" s="645"/>
      <c r="Y108" s="645"/>
      <c r="Z108" s="645"/>
      <c r="AA108" s="645"/>
      <c r="AB108" s="645"/>
      <c r="AC108" s="645"/>
      <c r="AD108" s="645"/>
      <c r="AE108" s="645"/>
      <c r="AF108" s="645"/>
      <c r="AG108" s="645"/>
      <c r="AH108" s="645"/>
      <c r="AI108" s="645"/>
      <c r="AJ108" s="645"/>
      <c r="AK108" s="645"/>
      <c r="AM108" s="651"/>
      <c r="AN108" s="651"/>
      <c r="AO108" s="651"/>
      <c r="AP108" s="651"/>
      <c r="AQ108" s="651"/>
      <c r="AR108" s="651"/>
      <c r="AS108" s="651"/>
      <c r="AT108" s="651"/>
      <c r="AU108" s="651"/>
      <c r="AV108" s="651"/>
      <c r="AW108" s="651"/>
      <c r="AX108" s="651"/>
      <c r="AY108" s="651"/>
      <c r="AZ108" s="651"/>
      <c r="BA108" s="651"/>
      <c r="BB108" s="651"/>
      <c r="BC108" s="651"/>
      <c r="BD108" s="651"/>
      <c r="BE108" s="651"/>
      <c r="BF108" s="651"/>
      <c r="BH108" s="665"/>
      <c r="BI108" s="665"/>
      <c r="BJ108" s="665"/>
      <c r="BL108" s="499">
        <f t="shared" si="256"/>
        <v>0</v>
      </c>
      <c r="BM108" s="499"/>
      <c r="BO108" s="1018"/>
      <c r="BP108" s="1018"/>
      <c r="BQ108" s="1018"/>
      <c r="BR108" s="1018"/>
      <c r="BS108" s="1018"/>
      <c r="BT108" s="1018"/>
      <c r="BU108" s="1018"/>
      <c r="BV108" s="1018"/>
      <c r="BW108" s="1018"/>
      <c r="BX108" s="1018"/>
      <c r="BY108" s="1018"/>
      <c r="BZ108" s="1018"/>
      <c r="CA108" s="1018"/>
      <c r="CB108" s="1018"/>
      <c r="CC108" s="1018"/>
      <c r="CD108" s="1018"/>
      <c r="CE108" s="1018"/>
      <c r="CF108" s="1018"/>
      <c r="CG108" s="1018"/>
      <c r="CH108" s="1018"/>
      <c r="CI108" s="1018"/>
      <c r="CJ108" s="1018"/>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H108" s="572"/>
    </row>
    <row r="109" spans="1:112" s="528" customFormat="1" ht="24" customHeight="1" thickBot="1">
      <c r="C109" s="511" t="s">
        <v>529</v>
      </c>
      <c r="D109" s="511"/>
      <c r="E109" s="511"/>
      <c r="G109" s="748">
        <f t="shared" ref="G109:P109" ca="1" si="269">G$40+G$84+G$106</f>
        <v>0</v>
      </c>
      <c r="H109" s="748">
        <f t="shared" ca="1" si="269"/>
        <v>0</v>
      </c>
      <c r="I109" s="748">
        <f t="shared" ca="1" si="269"/>
        <v>0</v>
      </c>
      <c r="J109" s="748">
        <f t="shared" ca="1" si="269"/>
        <v>490.85404977847907</v>
      </c>
      <c r="K109" s="748">
        <f t="shared" ca="1" si="269"/>
        <v>15.852446803025652</v>
      </c>
      <c r="L109" s="748">
        <f t="shared" ca="1" si="269"/>
        <v>9.0198346087095516</v>
      </c>
      <c r="M109" s="748">
        <f t="shared" ca="1" si="269"/>
        <v>18.817339999999998</v>
      </c>
      <c r="N109" s="748">
        <f t="shared" ca="1" si="269"/>
        <v>152.80000000000001</v>
      </c>
      <c r="O109" s="748">
        <f t="shared" ca="1" si="269"/>
        <v>54.158157087257202</v>
      </c>
      <c r="P109" s="748">
        <f t="shared" ca="1" si="269"/>
        <v>0</v>
      </c>
      <c r="Q109" s="748">
        <f ca="1">SUM(G109:P109)</f>
        <v>741.50182827747153</v>
      </c>
      <c r="S109" s="749">
        <f t="shared" ref="S109:AJ109" ca="1" si="270">S$40+S$84+S$106</f>
        <v>-8.6815924571345473</v>
      </c>
      <c r="T109" s="749">
        <f t="shared" ca="1" si="270"/>
        <v>8.6815924571345473</v>
      </c>
      <c r="U109" s="749">
        <f t="shared" ca="1" si="270"/>
        <v>0</v>
      </c>
      <c r="V109" s="749">
        <f t="shared" ca="1" si="270"/>
        <v>-732.82023582033707</v>
      </c>
      <c r="W109" s="749">
        <f t="shared" ca="1" si="270"/>
        <v>0</v>
      </c>
      <c r="X109" s="749">
        <f t="shared" ca="1" si="270"/>
        <v>0</v>
      </c>
      <c r="Y109" s="749">
        <f t="shared" ca="1" si="270"/>
        <v>0</v>
      </c>
      <c r="Z109" s="749">
        <f t="shared" ca="1" si="270"/>
        <v>0</v>
      </c>
      <c r="AA109" s="749">
        <f t="shared" ca="1" si="270"/>
        <v>0</v>
      </c>
      <c r="AB109" s="749">
        <f t="shared" ca="1" si="270"/>
        <v>0</v>
      </c>
      <c r="AC109" s="749">
        <f t="shared" ca="1" si="270"/>
        <v>0</v>
      </c>
      <c r="AD109" s="749">
        <f t="shared" ca="1" si="270"/>
        <v>0</v>
      </c>
      <c r="AE109" s="749">
        <f t="shared" ca="1" si="270"/>
        <v>0</v>
      </c>
      <c r="AF109" s="749">
        <f t="shared" ca="1" si="270"/>
        <v>0</v>
      </c>
      <c r="AG109" s="749">
        <f t="shared" ca="1" si="270"/>
        <v>0</v>
      </c>
      <c r="AH109" s="749">
        <f t="shared" ca="1" si="270"/>
        <v>0</v>
      </c>
      <c r="AI109" s="749">
        <f t="shared" ca="1" si="270"/>
        <v>0</v>
      </c>
      <c r="AJ109" s="749">
        <f t="shared" ca="1" si="270"/>
        <v>0</v>
      </c>
      <c r="AK109" s="749">
        <f ca="1">SUM(S109:AJ109)</f>
        <v>-732.82023582033707</v>
      </c>
      <c r="AM109" s="750">
        <f t="shared" ref="AM109:BE109" ca="1" si="271">AM$40+AM$84+AM$106</f>
        <v>0</v>
      </c>
      <c r="AN109" s="750">
        <f t="shared" ca="1" si="271"/>
        <v>0</v>
      </c>
      <c r="AO109" s="750">
        <f t="shared" ca="1" si="271"/>
        <v>0</v>
      </c>
      <c r="AP109" s="750">
        <f t="shared" ca="1" si="271"/>
        <v>0</v>
      </c>
      <c r="AQ109" s="750">
        <f t="shared" ca="1" si="271"/>
        <v>-8.6815924571345473</v>
      </c>
      <c r="AR109" s="750">
        <f t="shared" ca="1" si="271"/>
        <v>0</v>
      </c>
      <c r="AS109" s="750">
        <f t="shared" ca="1" si="271"/>
        <v>0</v>
      </c>
      <c r="AT109" s="750">
        <f t="shared" ca="1" si="271"/>
        <v>0</v>
      </c>
      <c r="AU109" s="750">
        <f t="shared" ca="1" si="271"/>
        <v>0</v>
      </c>
      <c r="AV109" s="750">
        <f t="shared" ca="1" si="271"/>
        <v>0</v>
      </c>
      <c r="AW109" s="750">
        <f t="shared" ca="1" si="271"/>
        <v>0</v>
      </c>
      <c r="AX109" s="750">
        <f t="shared" ca="1" si="271"/>
        <v>0</v>
      </c>
      <c r="AY109" s="750">
        <f t="shared" ca="1" si="271"/>
        <v>0</v>
      </c>
      <c r="AZ109" s="750">
        <f t="shared" ca="1" si="271"/>
        <v>0</v>
      </c>
      <c r="BA109" s="750">
        <f t="shared" ca="1" si="271"/>
        <v>0</v>
      </c>
      <c r="BB109" s="750">
        <f t="shared" ca="1" si="271"/>
        <v>0</v>
      </c>
      <c r="BC109" s="750">
        <f t="shared" ca="1" si="271"/>
        <v>0</v>
      </c>
      <c r="BD109" s="750">
        <f t="shared" ca="1" si="271"/>
        <v>0</v>
      </c>
      <c r="BE109" s="750">
        <f t="shared" ca="1" si="271"/>
        <v>0</v>
      </c>
      <c r="BF109" s="750">
        <f ca="1">SUM(AM109:BE109)</f>
        <v>-8.6815924571345473</v>
      </c>
      <c r="BH109" s="751">
        <f ca="1">BH$40+BH$84+BH$106</f>
        <v>0</v>
      </c>
      <c r="BI109" s="751">
        <f ca="1">BI$40+BI$84+BI$106</f>
        <v>0</v>
      </c>
      <c r="BJ109" s="751">
        <f ca="1">SUM(BH109:BI109)</f>
        <v>0</v>
      </c>
      <c r="BL109" s="498">
        <f t="shared" ca="1" si="256"/>
        <v>-9.0594198809412774E-14</v>
      </c>
      <c r="BM109" s="498"/>
      <c r="BO109" s="1029">
        <f t="shared" ref="BO109:DF109" ca="1" si="272">BO$40+BO$84+BO$106</f>
        <v>131.46551968326995</v>
      </c>
      <c r="BP109" s="1029">
        <f t="shared" ca="1" si="272"/>
        <v>0.16367405301251234</v>
      </c>
      <c r="BQ109" s="1029">
        <f t="shared" ca="1" si="272"/>
        <v>2.365334083866848</v>
      </c>
      <c r="BR109" s="1029">
        <f t="shared" ca="1" si="272"/>
        <v>0</v>
      </c>
      <c r="BS109" s="1029">
        <f t="shared" ca="1" si="272"/>
        <v>0</v>
      </c>
      <c r="BT109" s="1029">
        <f t="shared" ca="1" si="272"/>
        <v>0</v>
      </c>
      <c r="BU109" s="1029">
        <f t="shared" ca="1" si="272"/>
        <v>0</v>
      </c>
      <c r="BV109" s="1029">
        <f t="shared" ca="1" si="272"/>
        <v>0</v>
      </c>
      <c r="BW109" s="1029">
        <f t="shared" ca="1" si="272"/>
        <v>0</v>
      </c>
      <c r="BX109" s="1029">
        <f t="shared" ca="1" si="272"/>
        <v>0</v>
      </c>
      <c r="BY109" s="1029">
        <f t="shared" ca="1" si="272"/>
        <v>0</v>
      </c>
      <c r="BZ109" s="1029">
        <f t="shared" ca="1" si="272"/>
        <v>0</v>
      </c>
      <c r="CA109" s="1029">
        <f t="shared" ca="1" si="272"/>
        <v>0</v>
      </c>
      <c r="CB109" s="1029">
        <f t="shared" ca="1" si="272"/>
        <v>0</v>
      </c>
      <c r="CC109" s="1029">
        <f t="shared" ca="1" si="272"/>
        <v>0</v>
      </c>
      <c r="CD109" s="1029">
        <f t="shared" ca="1" si="272"/>
        <v>0</v>
      </c>
      <c r="CE109" s="1029">
        <f t="shared" ca="1" si="272"/>
        <v>0</v>
      </c>
      <c r="CF109" s="1029">
        <f t="shared" ca="1" si="272"/>
        <v>0</v>
      </c>
      <c r="CG109" s="1029">
        <f t="shared" ca="1" si="272"/>
        <v>0</v>
      </c>
      <c r="CH109" s="1029">
        <f t="shared" ca="1" si="272"/>
        <v>0</v>
      </c>
      <c r="CI109" s="1029">
        <f t="shared" ca="1" si="272"/>
        <v>0</v>
      </c>
      <c r="CJ109" s="1029">
        <f t="shared" ca="1" si="272"/>
        <v>0</v>
      </c>
      <c r="CK109" s="1029">
        <f t="shared" ca="1" si="272"/>
        <v>0</v>
      </c>
      <c r="CL109" s="1029">
        <f t="shared" ca="1" si="272"/>
        <v>0</v>
      </c>
      <c r="CM109" s="1029">
        <f t="shared" ca="1" si="272"/>
        <v>0</v>
      </c>
      <c r="CN109" s="1029">
        <f t="shared" ca="1" si="272"/>
        <v>0</v>
      </c>
      <c r="CO109" s="1029">
        <f t="shared" ca="1" si="272"/>
        <v>0</v>
      </c>
      <c r="CP109" s="1029">
        <f t="shared" ca="1" si="272"/>
        <v>0</v>
      </c>
      <c r="CQ109" s="1029">
        <f t="shared" ca="1" si="272"/>
        <v>0</v>
      </c>
      <c r="CR109" s="1029">
        <f t="shared" ca="1" si="272"/>
        <v>0</v>
      </c>
      <c r="CS109" s="1029">
        <f t="shared" ca="1" si="272"/>
        <v>0</v>
      </c>
      <c r="CT109" s="1029">
        <f t="shared" ca="1" si="272"/>
        <v>0</v>
      </c>
      <c r="CU109" s="1029">
        <f t="shared" ca="1" si="272"/>
        <v>51.739539271814301</v>
      </c>
      <c r="CV109" s="1029">
        <f t="shared" ca="1" si="272"/>
        <v>6.441552213858226E-2</v>
      </c>
      <c r="CW109" s="1029">
        <f t="shared" ca="1" si="272"/>
        <v>0.93090033050516818</v>
      </c>
      <c r="CX109" s="1029">
        <f t="shared" ca="1" si="272"/>
        <v>0</v>
      </c>
      <c r="CY109" s="1029">
        <f t="shared" ca="1" si="272"/>
        <v>0</v>
      </c>
      <c r="CZ109" s="1029">
        <f t="shared" ca="1" si="272"/>
        <v>0</v>
      </c>
      <c r="DA109" s="1029">
        <f t="shared" ca="1" si="272"/>
        <v>0</v>
      </c>
      <c r="DB109" s="1029">
        <f t="shared" ca="1" si="272"/>
        <v>0</v>
      </c>
      <c r="DC109" s="1029">
        <f t="shared" ca="1" si="272"/>
        <v>0</v>
      </c>
      <c r="DD109" s="1029">
        <f t="shared" ca="1" si="272"/>
        <v>0</v>
      </c>
      <c r="DE109" s="1029">
        <f t="shared" ca="1" si="272"/>
        <v>0</v>
      </c>
      <c r="DF109" s="1029">
        <f t="shared" ca="1" si="272"/>
        <v>0</v>
      </c>
      <c r="DH109" s="571">
        <f ca="1">SUM(BO109:DF109)</f>
        <v>186.72938294460735</v>
      </c>
    </row>
    <row r="110" spans="1:112" s="528" customFormat="1">
      <c r="C110" s="494"/>
      <c r="D110" s="495"/>
      <c r="E110" s="495"/>
      <c r="G110" s="670"/>
      <c r="H110" s="670"/>
      <c r="I110" s="670"/>
      <c r="J110" s="670"/>
      <c r="K110" s="671"/>
      <c r="L110" s="670"/>
      <c r="M110" s="670"/>
      <c r="N110" s="670"/>
      <c r="O110" s="670"/>
      <c r="P110" s="670"/>
      <c r="Q110" s="670"/>
      <c r="S110" s="673"/>
      <c r="T110" s="673"/>
      <c r="U110" s="673"/>
      <c r="V110" s="673"/>
      <c r="W110" s="673"/>
      <c r="X110" s="673"/>
      <c r="Y110" s="673"/>
      <c r="Z110" s="673"/>
      <c r="AA110" s="673"/>
      <c r="AB110" s="673"/>
      <c r="AC110" s="673"/>
      <c r="AD110" s="673"/>
      <c r="AE110" s="673"/>
      <c r="AF110" s="673"/>
      <c r="AG110" s="673"/>
      <c r="AH110" s="673"/>
      <c r="AI110" s="673"/>
      <c r="AJ110" s="673"/>
      <c r="AK110" s="673"/>
      <c r="AM110" s="675"/>
      <c r="AN110" s="675"/>
      <c r="AO110" s="675"/>
      <c r="AP110" s="675"/>
      <c r="AQ110" s="675"/>
      <c r="AR110" s="675"/>
      <c r="AS110" s="675"/>
      <c r="AT110" s="675"/>
      <c r="AU110" s="675"/>
      <c r="AV110" s="675"/>
      <c r="AW110" s="675"/>
      <c r="AX110" s="675"/>
      <c r="AY110" s="675"/>
      <c r="AZ110" s="675"/>
      <c r="BA110" s="675"/>
      <c r="BB110" s="675"/>
      <c r="BC110" s="675"/>
      <c r="BD110" s="675"/>
      <c r="BE110" s="675"/>
      <c r="BF110" s="675"/>
      <c r="BH110" s="677"/>
      <c r="BI110" s="677"/>
      <c r="BJ110" s="677"/>
      <c r="BL110" s="499"/>
      <c r="BM110" s="499"/>
      <c r="BO110" s="1030"/>
      <c r="BP110" s="1030"/>
      <c r="BQ110" s="1030"/>
      <c r="BR110" s="1030"/>
      <c r="BS110" s="1030"/>
      <c r="BT110" s="1030"/>
      <c r="BU110" s="1030"/>
      <c r="BV110" s="1030"/>
      <c r="BW110" s="1030"/>
      <c r="BX110" s="1030"/>
      <c r="BY110" s="1030"/>
      <c r="BZ110" s="1030"/>
      <c r="CA110" s="1030"/>
      <c r="CB110" s="1030"/>
      <c r="CC110" s="1030"/>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row>
    <row r="111" spans="1:112">
      <c r="G111" s="499"/>
      <c r="H111" s="499"/>
      <c r="I111" s="499"/>
      <c r="J111" s="499"/>
      <c r="K111" s="503"/>
      <c r="L111" s="499"/>
      <c r="M111" s="499"/>
      <c r="N111" s="499"/>
      <c r="O111" s="499"/>
      <c r="P111" s="499"/>
      <c r="Q111" s="499"/>
      <c r="S111" s="499"/>
      <c r="T111" s="499"/>
      <c r="U111" s="499"/>
      <c r="V111" s="499"/>
      <c r="W111" s="499"/>
      <c r="X111" s="499"/>
      <c r="Y111" s="499"/>
      <c r="Z111" s="499"/>
      <c r="AA111" s="499"/>
      <c r="AB111" s="499"/>
      <c r="AC111" s="499"/>
      <c r="AD111" s="499"/>
      <c r="AE111" s="499"/>
      <c r="AF111" s="499"/>
      <c r="AG111" s="499"/>
      <c r="AH111" s="499"/>
      <c r="AI111" s="499"/>
      <c r="AJ111" s="499"/>
      <c r="AK111" s="499"/>
      <c r="AM111" s="499"/>
      <c r="AN111" s="499"/>
      <c r="AO111" s="499"/>
      <c r="AP111" s="499"/>
      <c r="AQ111" s="499"/>
      <c r="AR111" s="499"/>
      <c r="AS111" s="499"/>
      <c r="AT111" s="499"/>
      <c r="AU111" s="499"/>
      <c r="AV111" s="499"/>
      <c r="AW111" s="499"/>
      <c r="AX111" s="499"/>
      <c r="AY111" s="499"/>
      <c r="AZ111" s="499"/>
      <c r="BA111" s="499"/>
      <c r="BB111" s="499"/>
      <c r="BC111" s="499"/>
      <c r="BD111" s="499"/>
      <c r="BE111" s="499"/>
      <c r="BF111" s="499"/>
      <c r="BH111" s="499"/>
      <c r="BI111" s="499"/>
      <c r="BJ111" s="499"/>
      <c r="BL111" s="499"/>
      <c r="BM111" s="499"/>
    </row>
    <row r="112" spans="1:112">
      <c r="G112" s="499"/>
      <c r="H112" s="499"/>
      <c r="I112" s="499"/>
      <c r="J112" s="499"/>
      <c r="K112" s="503"/>
      <c r="L112" s="499"/>
      <c r="M112" s="499"/>
      <c r="N112" s="499"/>
      <c r="O112" s="499"/>
      <c r="P112" s="499"/>
      <c r="Q112" s="499"/>
      <c r="S112" s="499"/>
      <c r="T112" s="499"/>
      <c r="U112" s="499"/>
      <c r="V112" s="499"/>
      <c r="W112" s="499"/>
      <c r="X112" s="499"/>
      <c r="Y112" s="499"/>
      <c r="Z112" s="499"/>
      <c r="AA112" s="499"/>
      <c r="AB112" s="499"/>
      <c r="AC112" s="499"/>
      <c r="AD112" s="499"/>
      <c r="AE112" s="499"/>
      <c r="AF112" s="499"/>
      <c r="AG112" s="499"/>
      <c r="AH112" s="499"/>
      <c r="AI112" s="499"/>
      <c r="AJ112" s="499"/>
      <c r="AK112" s="499"/>
      <c r="AM112" s="499"/>
      <c r="AN112" s="499"/>
      <c r="AO112" s="499"/>
      <c r="AP112" s="499"/>
      <c r="AQ112" s="499"/>
      <c r="AR112" s="499"/>
      <c r="AS112" s="499"/>
      <c r="AT112" s="499"/>
      <c r="AU112" s="499"/>
      <c r="AV112" s="499"/>
      <c r="AW112" s="499"/>
      <c r="AX112" s="499"/>
      <c r="AY112" s="499"/>
      <c r="AZ112" s="499"/>
      <c r="BA112" s="499"/>
      <c r="BB112" s="499"/>
      <c r="BC112" s="499"/>
      <c r="BD112" s="499"/>
      <c r="BE112" s="499"/>
      <c r="BF112" s="499"/>
      <c r="BH112" s="499"/>
      <c r="BI112" s="499"/>
      <c r="BJ112" s="499"/>
      <c r="BL112" s="499"/>
      <c r="BM112" s="499"/>
      <c r="DF112" s="16" t="s">
        <v>1211</v>
      </c>
      <c r="DG112" s="117"/>
      <c r="DH112" s="1442">
        <f ca="1">SUM(DH63,DH68,DH76,DH82)</f>
        <v>0</v>
      </c>
    </row>
    <row r="113" spans="1:112">
      <c r="B113" s="117" t="s">
        <v>637</v>
      </c>
      <c r="C113" s="746" t="s">
        <v>747</v>
      </c>
      <c r="G113" s="499"/>
      <c r="H113" s="499"/>
      <c r="I113" s="499"/>
      <c r="J113" s="499"/>
      <c r="K113" s="503"/>
      <c r="L113" s="499"/>
      <c r="M113" s="499"/>
      <c r="N113" s="499"/>
      <c r="O113" s="499"/>
      <c r="P113" s="499"/>
      <c r="Q113" s="499"/>
      <c r="S113" s="499"/>
      <c r="T113" s="499"/>
      <c r="U113" s="499"/>
      <c r="V113" s="499"/>
      <c r="W113" s="499"/>
      <c r="X113" s="499"/>
      <c r="Y113" s="499"/>
      <c r="Z113" s="499"/>
      <c r="AA113" s="499"/>
      <c r="AB113" s="499"/>
      <c r="AC113" s="499"/>
      <c r="AD113" s="499"/>
      <c r="AE113" s="499"/>
      <c r="AF113" s="499"/>
      <c r="AG113" s="499"/>
      <c r="AH113" s="499"/>
      <c r="AI113" s="499"/>
      <c r="AJ113" s="499"/>
      <c r="AK113" s="499"/>
      <c r="AM113" s="499"/>
      <c r="AN113" s="499"/>
      <c r="AO113" s="499"/>
      <c r="AP113" s="499"/>
      <c r="AQ113" s="499"/>
      <c r="AR113" s="499"/>
      <c r="AS113" s="499"/>
      <c r="AT113" s="499"/>
      <c r="AU113" s="499"/>
      <c r="AV113" s="499"/>
      <c r="AW113" s="499"/>
      <c r="AX113" s="499"/>
      <c r="AY113" s="499"/>
      <c r="AZ113" s="499"/>
      <c r="BA113" s="499"/>
      <c r="BB113" s="499"/>
      <c r="BC113" s="499"/>
      <c r="BD113" s="499"/>
      <c r="BE113" s="499"/>
      <c r="BF113" s="499"/>
      <c r="BH113" s="499"/>
      <c r="BI113" s="499"/>
      <c r="BJ113" s="499"/>
      <c r="BL113" s="499"/>
      <c r="BM113" s="499"/>
      <c r="DF113" s="16" t="s">
        <v>1212</v>
      </c>
      <c r="DG113" s="117"/>
      <c r="DH113" s="1442">
        <f ca="1">T109-MIN(T103,0)-T72</f>
        <v>8.6815924571345473</v>
      </c>
    </row>
    <row r="114" spans="1:112" ht="15">
      <c r="B114" s="3"/>
      <c r="G114" s="499"/>
      <c r="H114" s="499"/>
      <c r="I114" s="499"/>
      <c r="J114" s="499"/>
      <c r="K114" s="503"/>
      <c r="L114" s="499"/>
      <c r="M114" s="499"/>
      <c r="N114" s="499"/>
      <c r="O114" s="499"/>
      <c r="P114" s="499"/>
      <c r="Q114" s="499"/>
      <c r="S114" s="499"/>
      <c r="T114" s="499"/>
      <c r="U114" s="499"/>
      <c r="V114" s="499"/>
      <c r="W114" s="499"/>
      <c r="X114" s="499"/>
      <c r="Y114" s="499"/>
      <c r="Z114" s="499"/>
      <c r="AA114" s="499"/>
      <c r="AB114" s="499"/>
      <c r="AC114" s="499"/>
      <c r="AD114" s="499"/>
      <c r="AE114" s="499"/>
      <c r="AF114" s="499"/>
      <c r="AG114" s="499"/>
      <c r="AH114" s="499"/>
      <c r="AI114" s="499"/>
      <c r="AJ114" s="499"/>
      <c r="AK114" s="499"/>
      <c r="AM114" s="499"/>
      <c r="AN114" s="499"/>
      <c r="AO114" s="499"/>
      <c r="AP114" s="499"/>
      <c r="AQ114" s="499"/>
      <c r="AR114" s="499"/>
      <c r="AS114" s="499"/>
      <c r="AT114" s="499"/>
      <c r="AU114" s="499"/>
      <c r="AV114" s="499"/>
      <c r="AW114" s="499"/>
      <c r="AX114" s="499"/>
      <c r="AY114" s="499"/>
      <c r="AZ114" s="499"/>
      <c r="BA114" s="499"/>
      <c r="BB114" s="499"/>
      <c r="BC114" s="499"/>
      <c r="BD114" s="499"/>
      <c r="BE114" s="499"/>
      <c r="BF114" s="499"/>
      <c r="BH114" s="499"/>
      <c r="BI114" s="499"/>
      <c r="BJ114" s="499"/>
      <c r="BL114" s="499"/>
      <c r="BM114" s="499"/>
      <c r="DF114" s="16" t="s">
        <v>1213</v>
      </c>
      <c r="DG114" s="117"/>
      <c r="DH114" s="117">
        <f ca="1">DH112/DH113</f>
        <v>0</v>
      </c>
    </row>
    <row r="115" spans="1:112">
      <c r="G115" s="499"/>
      <c r="H115" s="499"/>
      <c r="I115" s="499"/>
      <c r="J115" s="499"/>
      <c r="K115" s="503"/>
      <c r="L115" s="499"/>
      <c r="M115" s="499"/>
      <c r="N115" s="499"/>
      <c r="O115" s="499"/>
      <c r="P115" s="499"/>
      <c r="Q115" s="499"/>
      <c r="S115" s="499"/>
      <c r="T115" s="499"/>
      <c r="U115" s="499"/>
      <c r="V115" s="499"/>
      <c r="W115" s="499"/>
      <c r="X115" s="499"/>
      <c r="Y115" s="499"/>
      <c r="Z115" s="499"/>
      <c r="AA115" s="499"/>
      <c r="AB115" s="499"/>
      <c r="AC115" s="499"/>
      <c r="AD115" s="499"/>
      <c r="AE115" s="499"/>
      <c r="AF115" s="499"/>
      <c r="AG115" s="499"/>
      <c r="AH115" s="499"/>
      <c r="AI115" s="499"/>
      <c r="AJ115" s="499"/>
      <c r="AK115" s="499"/>
      <c r="AM115" s="499"/>
      <c r="AN115" s="499"/>
      <c r="AO115" s="499"/>
      <c r="AP115" s="499"/>
      <c r="AQ115" s="499"/>
      <c r="AR115" s="499"/>
      <c r="AS115" s="499"/>
      <c r="AT115" s="499"/>
      <c r="AU115" s="499"/>
      <c r="AV115" s="499"/>
      <c r="AW115" s="499"/>
      <c r="AX115" s="499"/>
      <c r="AY115" s="499"/>
      <c r="AZ115" s="499"/>
      <c r="BA115" s="499"/>
      <c r="BB115" s="499"/>
      <c r="BC115" s="499"/>
      <c r="BD115" s="499"/>
      <c r="BE115" s="499"/>
      <c r="BF115" s="499"/>
      <c r="BH115" s="499"/>
      <c r="BI115" s="499"/>
      <c r="BJ115" s="499"/>
      <c r="BL115" s="499"/>
      <c r="BM115" s="499"/>
    </row>
    <row r="116" spans="1:112" ht="15">
      <c r="B116" s="3"/>
      <c r="G116" s="499"/>
      <c r="H116" s="499"/>
      <c r="I116" s="499"/>
      <c r="J116" s="499"/>
      <c r="K116" s="503"/>
      <c r="L116" s="499"/>
      <c r="M116" s="499"/>
      <c r="N116" s="499"/>
      <c r="O116" s="499"/>
      <c r="P116" s="499"/>
      <c r="Q116" s="499"/>
      <c r="S116" s="499"/>
      <c r="T116" s="499"/>
      <c r="U116" s="499"/>
      <c r="V116" s="499"/>
      <c r="W116" s="499"/>
      <c r="X116" s="499"/>
      <c r="Y116" s="499"/>
      <c r="Z116" s="499"/>
      <c r="AA116" s="499"/>
      <c r="AB116" s="499"/>
      <c r="AC116" s="499"/>
      <c r="AD116" s="499"/>
      <c r="AE116" s="499"/>
      <c r="AF116" s="499"/>
      <c r="AG116" s="499"/>
      <c r="AH116" s="499"/>
      <c r="AI116" s="499"/>
      <c r="AJ116" s="499"/>
      <c r="AK116" s="499"/>
      <c r="AM116" s="499"/>
      <c r="AN116" s="499"/>
      <c r="AO116" s="499"/>
      <c r="AP116" s="499"/>
      <c r="AQ116" s="499"/>
      <c r="AR116" s="499"/>
      <c r="AS116" s="499"/>
      <c r="AT116" s="499"/>
      <c r="AU116" s="499"/>
      <c r="AV116" s="499"/>
      <c r="AW116" s="499"/>
      <c r="AX116" s="499"/>
      <c r="AY116" s="499"/>
      <c r="AZ116" s="499"/>
      <c r="BA116" s="499"/>
      <c r="BB116" s="499"/>
      <c r="BC116" s="499"/>
      <c r="BD116" s="499"/>
      <c r="BE116" s="499"/>
      <c r="BF116" s="499"/>
      <c r="BH116" s="499"/>
      <c r="BI116" s="499"/>
      <c r="BJ116" s="499"/>
      <c r="BL116" s="499"/>
      <c r="BM116" s="499"/>
    </row>
    <row r="117" spans="1:112" ht="15">
      <c r="B117" s="3"/>
      <c r="G117" s="499"/>
      <c r="H117" s="499"/>
      <c r="I117" s="499"/>
      <c r="J117" s="499"/>
      <c r="K117" s="503"/>
      <c r="L117" s="499"/>
      <c r="M117" s="499"/>
      <c r="N117" s="499"/>
      <c r="O117" s="499"/>
      <c r="P117" s="499"/>
      <c r="Q117" s="499"/>
      <c r="S117" s="499"/>
      <c r="T117" s="499"/>
      <c r="U117" s="499"/>
      <c r="V117" s="499"/>
      <c r="W117" s="499"/>
      <c r="X117" s="499"/>
      <c r="Y117" s="499"/>
      <c r="Z117" s="499"/>
      <c r="AA117" s="499"/>
      <c r="AB117" s="499"/>
      <c r="AC117" s="499"/>
      <c r="AD117" s="499"/>
      <c r="AE117" s="499"/>
      <c r="AF117" s="499"/>
      <c r="AG117" s="499"/>
      <c r="AH117" s="499"/>
      <c r="AI117" s="499"/>
      <c r="AJ117" s="499"/>
      <c r="AK117" s="499"/>
      <c r="AM117" s="499"/>
      <c r="AN117" s="499"/>
      <c r="AO117" s="499"/>
      <c r="AP117" s="499"/>
      <c r="AQ117" s="499"/>
      <c r="AR117" s="499"/>
      <c r="AS117" s="499"/>
      <c r="AT117" s="499"/>
      <c r="AU117" s="499"/>
      <c r="AV117" s="499"/>
      <c r="AW117" s="499"/>
      <c r="AX117" s="499"/>
      <c r="AY117" s="499"/>
      <c r="AZ117" s="499"/>
      <c r="BA117" s="499"/>
      <c r="BB117" s="499"/>
      <c r="BC117" s="499"/>
      <c r="BD117" s="499"/>
      <c r="BE117" s="499"/>
      <c r="BF117" s="499"/>
      <c r="BH117" s="499"/>
      <c r="BI117" s="499"/>
      <c r="BJ117" s="499"/>
      <c r="BL117" s="499"/>
      <c r="BM117" s="499"/>
    </row>
    <row r="118" spans="1:112" ht="15">
      <c r="A118" s="117"/>
      <c r="B118" s="3"/>
      <c r="G118" s="499"/>
      <c r="H118" s="499"/>
      <c r="I118" s="499"/>
      <c r="J118" s="499"/>
      <c r="K118" s="503"/>
      <c r="L118" s="499"/>
      <c r="M118" s="499"/>
      <c r="N118" s="499"/>
      <c r="O118" s="499"/>
      <c r="P118" s="499"/>
      <c r="Q118" s="499"/>
      <c r="S118" s="499"/>
      <c r="T118" s="499"/>
      <c r="U118" s="499"/>
      <c r="V118" s="499"/>
      <c r="W118" s="499"/>
      <c r="X118" s="499"/>
      <c r="Y118" s="499"/>
      <c r="Z118" s="499"/>
      <c r="AA118" s="499"/>
      <c r="AB118" s="499"/>
      <c r="AC118" s="499"/>
      <c r="AD118" s="499"/>
      <c r="AE118" s="499"/>
      <c r="AF118" s="499"/>
      <c r="AG118" s="499"/>
      <c r="AH118" s="499"/>
      <c r="AI118" s="499"/>
      <c r="AJ118" s="499"/>
      <c r="AK118" s="499"/>
      <c r="AM118" s="499"/>
      <c r="AN118" s="499"/>
      <c r="AO118" s="499"/>
      <c r="AP118" s="499"/>
      <c r="AQ118" s="499"/>
      <c r="AR118" s="499"/>
      <c r="AS118" s="499"/>
      <c r="AT118" s="499"/>
      <c r="AU118" s="499"/>
      <c r="AV118" s="499"/>
      <c r="AW118" s="499"/>
      <c r="AX118" s="499"/>
      <c r="AY118" s="499"/>
      <c r="AZ118" s="499"/>
      <c r="BA118" s="499"/>
      <c r="BB118" s="499"/>
      <c r="BC118" s="499"/>
      <c r="BD118" s="499"/>
      <c r="BE118" s="499"/>
      <c r="BF118" s="499"/>
      <c r="BH118" s="499"/>
      <c r="BI118" s="499"/>
      <c r="BJ118" s="499"/>
      <c r="BL118" s="499"/>
      <c r="BM118" s="499"/>
    </row>
    <row r="119" spans="1:112" ht="15">
      <c r="B119" s="3"/>
      <c r="G119" s="499"/>
      <c r="H119" s="499"/>
      <c r="I119" s="499"/>
      <c r="J119" s="499"/>
      <c r="K119" s="503"/>
      <c r="L119" s="499"/>
      <c r="M119" s="499"/>
      <c r="N119" s="499"/>
      <c r="O119" s="499"/>
      <c r="P119" s="499"/>
      <c r="Q119" s="499"/>
      <c r="S119" s="499"/>
      <c r="T119" s="499"/>
      <c r="U119" s="499"/>
      <c r="V119" s="499"/>
      <c r="W119" s="499"/>
      <c r="X119" s="499"/>
      <c r="Y119" s="499"/>
      <c r="Z119" s="499"/>
      <c r="AA119" s="499"/>
      <c r="AB119" s="499"/>
      <c r="AC119" s="499"/>
      <c r="AD119" s="499"/>
      <c r="AE119" s="499"/>
      <c r="AF119" s="499"/>
      <c r="AG119" s="499"/>
      <c r="AH119" s="499"/>
      <c r="AI119" s="499"/>
      <c r="AJ119" s="499"/>
      <c r="AK119" s="499"/>
      <c r="AM119" s="499"/>
      <c r="AN119" s="499"/>
      <c r="AO119" s="499"/>
      <c r="AP119" s="499"/>
      <c r="AQ119" s="499"/>
      <c r="AR119" s="499"/>
      <c r="AS119" s="499"/>
      <c r="AT119" s="499"/>
      <c r="AU119" s="499"/>
      <c r="AV119" s="499"/>
      <c r="AW119" s="499"/>
      <c r="AX119" s="499"/>
      <c r="AY119" s="499"/>
      <c r="AZ119" s="499"/>
      <c r="BA119" s="499"/>
      <c r="BB119" s="499"/>
      <c r="BC119" s="499"/>
      <c r="BD119" s="499"/>
      <c r="BE119" s="499"/>
      <c r="BF119" s="499"/>
      <c r="BH119" s="499"/>
      <c r="BI119" s="499"/>
      <c r="BJ119" s="499"/>
      <c r="BL119" s="499"/>
      <c r="BM119" s="499"/>
    </row>
    <row r="120" spans="1:112" ht="15">
      <c r="B120" s="3"/>
      <c r="G120" s="499"/>
      <c r="H120" s="499"/>
      <c r="I120" s="499"/>
      <c r="J120" s="499"/>
      <c r="K120" s="503"/>
      <c r="L120" s="499"/>
      <c r="M120" s="499"/>
      <c r="N120" s="499"/>
      <c r="O120" s="499"/>
      <c r="P120" s="499"/>
      <c r="Q120" s="499"/>
      <c r="S120" s="499"/>
      <c r="T120" s="499"/>
      <c r="U120" s="499"/>
      <c r="V120" s="499"/>
      <c r="W120" s="499"/>
      <c r="X120" s="499"/>
      <c r="Y120" s="499"/>
      <c r="Z120" s="499"/>
      <c r="AA120" s="499"/>
      <c r="AB120" s="499"/>
      <c r="AC120" s="499"/>
      <c r="AD120" s="499"/>
      <c r="AE120" s="499"/>
      <c r="AF120" s="499"/>
      <c r="AG120" s="499"/>
      <c r="AH120" s="499"/>
      <c r="AI120" s="499"/>
      <c r="AJ120" s="499"/>
      <c r="AK120" s="499"/>
      <c r="AM120" s="499"/>
      <c r="AN120" s="499"/>
      <c r="AO120" s="499"/>
      <c r="AP120" s="499"/>
      <c r="AQ120" s="499"/>
      <c r="AR120" s="499"/>
      <c r="AS120" s="499"/>
      <c r="AT120" s="499"/>
      <c r="AU120" s="499"/>
      <c r="AV120" s="499"/>
      <c r="AW120" s="499"/>
      <c r="AX120" s="499"/>
      <c r="AY120" s="499"/>
      <c r="AZ120" s="499"/>
      <c r="BA120" s="499"/>
      <c r="BB120" s="499"/>
      <c r="BC120" s="499"/>
      <c r="BD120" s="499"/>
      <c r="BE120" s="499"/>
      <c r="BF120" s="499"/>
      <c r="BH120" s="499"/>
      <c r="BI120" s="499"/>
      <c r="BJ120" s="499"/>
      <c r="BL120" s="499"/>
      <c r="BM120" s="499"/>
    </row>
    <row r="121" spans="1:112" ht="15">
      <c r="B121" s="3"/>
      <c r="G121" s="499"/>
      <c r="H121" s="499"/>
      <c r="I121" s="499"/>
      <c r="J121" s="499"/>
      <c r="K121" s="503"/>
      <c r="L121" s="499"/>
      <c r="M121" s="499"/>
      <c r="N121" s="499"/>
      <c r="O121" s="499"/>
      <c r="P121" s="499"/>
      <c r="Q121" s="499"/>
      <c r="S121" s="499"/>
      <c r="T121" s="499"/>
      <c r="U121" s="499"/>
      <c r="V121" s="499"/>
      <c r="W121" s="499"/>
      <c r="X121" s="499"/>
      <c r="Y121" s="499"/>
      <c r="Z121" s="499"/>
      <c r="AA121" s="499"/>
      <c r="AB121" s="499"/>
      <c r="AC121" s="499"/>
      <c r="AD121" s="499"/>
      <c r="AE121" s="499"/>
      <c r="AF121" s="499"/>
      <c r="AG121" s="499"/>
      <c r="AH121" s="499"/>
      <c r="AI121" s="499"/>
      <c r="AJ121" s="499"/>
      <c r="AK121" s="499"/>
      <c r="AM121" s="499"/>
      <c r="AN121" s="499"/>
      <c r="AO121" s="499"/>
      <c r="AP121" s="499"/>
      <c r="AQ121" s="499"/>
      <c r="AR121" s="499"/>
      <c r="AS121" s="499"/>
      <c r="AT121" s="499"/>
      <c r="AU121" s="499"/>
      <c r="AV121" s="499"/>
      <c r="AW121" s="499"/>
      <c r="AX121" s="499"/>
      <c r="AY121" s="499"/>
      <c r="AZ121" s="499"/>
      <c r="BA121" s="499"/>
      <c r="BB121" s="499"/>
      <c r="BC121" s="499"/>
      <c r="BD121" s="499"/>
      <c r="BE121" s="499"/>
      <c r="BF121" s="499"/>
      <c r="BH121" s="499"/>
      <c r="BI121" s="499"/>
      <c r="BJ121" s="499"/>
      <c r="BL121" s="499"/>
      <c r="BM121" s="499"/>
    </row>
    <row r="122" spans="1:112">
      <c r="G122" s="499"/>
      <c r="H122" s="499"/>
      <c r="I122" s="499"/>
      <c r="J122" s="499"/>
      <c r="K122" s="503"/>
      <c r="L122" s="499"/>
      <c r="M122" s="499"/>
      <c r="N122" s="499"/>
      <c r="O122" s="499"/>
      <c r="P122" s="499"/>
      <c r="Q122" s="499"/>
      <c r="S122" s="499"/>
      <c r="T122" s="499"/>
      <c r="U122" s="499"/>
      <c r="V122" s="499"/>
      <c r="W122" s="499"/>
      <c r="X122" s="499"/>
      <c r="Y122" s="499"/>
      <c r="Z122" s="499"/>
      <c r="AA122" s="499"/>
      <c r="AB122" s="499"/>
      <c r="AC122" s="499"/>
      <c r="AD122" s="499"/>
      <c r="AE122" s="499"/>
      <c r="AF122" s="499"/>
      <c r="AG122" s="499"/>
      <c r="AH122" s="499"/>
      <c r="AI122" s="499"/>
      <c r="AJ122" s="499"/>
      <c r="AK122" s="499"/>
      <c r="AM122" s="499"/>
      <c r="AN122" s="499"/>
      <c r="AO122" s="499"/>
      <c r="AP122" s="499"/>
      <c r="AQ122" s="499"/>
      <c r="AR122" s="499"/>
      <c r="AS122" s="499"/>
      <c r="AT122" s="499"/>
      <c r="AU122" s="499"/>
      <c r="AV122" s="499"/>
      <c r="AW122" s="499"/>
      <c r="AX122" s="499"/>
      <c r="AY122" s="499"/>
      <c r="AZ122" s="499"/>
      <c r="BA122" s="499"/>
      <c r="BB122" s="499"/>
      <c r="BC122" s="499"/>
      <c r="BD122" s="499"/>
      <c r="BE122" s="499"/>
      <c r="BF122" s="499"/>
      <c r="BH122" s="499"/>
      <c r="BI122" s="499"/>
      <c r="BJ122" s="499"/>
      <c r="BL122" s="499"/>
      <c r="BM122" s="499"/>
    </row>
    <row r="123" spans="1:112" ht="24" customHeight="1">
      <c r="G123" s="499"/>
      <c r="H123" s="499"/>
      <c r="I123" s="499"/>
      <c r="J123" s="499"/>
      <c r="K123" s="503"/>
      <c r="L123" s="499"/>
      <c r="M123" s="499"/>
      <c r="N123" s="499"/>
      <c r="O123" s="499"/>
      <c r="P123" s="499"/>
      <c r="Q123" s="499"/>
      <c r="S123" s="499"/>
      <c r="T123" s="499"/>
      <c r="U123" s="499"/>
      <c r="V123" s="499"/>
      <c r="W123" s="499"/>
      <c r="X123" s="499"/>
      <c r="Y123" s="499"/>
      <c r="Z123" s="499"/>
      <c r="AA123" s="499"/>
      <c r="AB123" s="499"/>
      <c r="AC123" s="499"/>
      <c r="AD123" s="499"/>
      <c r="AE123" s="499"/>
      <c r="AF123" s="499"/>
      <c r="AG123" s="499"/>
      <c r="AH123" s="499"/>
      <c r="AI123" s="499"/>
      <c r="AJ123" s="499"/>
      <c r="AK123" s="499"/>
      <c r="AM123" s="499"/>
      <c r="AN123" s="499"/>
      <c r="AO123" s="499"/>
      <c r="AP123" s="499"/>
      <c r="AQ123" s="499"/>
      <c r="AR123" s="499"/>
      <c r="AS123" s="499"/>
      <c r="AT123" s="499"/>
      <c r="AU123" s="499"/>
      <c r="AV123" s="499"/>
      <c r="AW123" s="499"/>
      <c r="AX123" s="499"/>
      <c r="AY123" s="499"/>
      <c r="AZ123" s="499"/>
      <c r="BA123" s="499"/>
      <c r="BB123" s="499"/>
      <c r="BC123" s="499"/>
      <c r="BD123" s="499"/>
      <c r="BE123" s="499"/>
      <c r="BF123" s="499"/>
      <c r="BH123" s="499"/>
      <c r="BI123" s="499"/>
      <c r="BJ123" s="499"/>
      <c r="BL123" s="499"/>
      <c r="BM123" s="499"/>
    </row>
    <row r="124" spans="1:112">
      <c r="G124" s="499"/>
      <c r="H124" s="499"/>
      <c r="I124" s="499"/>
      <c r="J124" s="499"/>
      <c r="K124" s="503"/>
      <c r="L124" s="499"/>
      <c r="M124" s="499"/>
      <c r="N124" s="499"/>
      <c r="O124" s="499"/>
      <c r="P124" s="499"/>
      <c r="Q124" s="499"/>
      <c r="S124" s="499"/>
      <c r="T124" s="499"/>
      <c r="U124" s="499"/>
      <c r="V124" s="499"/>
      <c r="W124" s="499"/>
      <c r="X124" s="499"/>
      <c r="Y124" s="499"/>
      <c r="Z124" s="499"/>
      <c r="AA124" s="499"/>
      <c r="AB124" s="499"/>
      <c r="AC124" s="499"/>
      <c r="AD124" s="499"/>
      <c r="AE124" s="499"/>
      <c r="AF124" s="499"/>
      <c r="AG124" s="499"/>
      <c r="AH124" s="499"/>
      <c r="AI124" s="499"/>
      <c r="AJ124" s="499"/>
      <c r="AK124" s="499"/>
      <c r="AM124" s="499"/>
      <c r="AN124" s="499"/>
      <c r="AO124" s="499"/>
      <c r="AP124" s="499"/>
      <c r="AQ124" s="499"/>
      <c r="AR124" s="499"/>
      <c r="AS124" s="499"/>
      <c r="AT124" s="499"/>
      <c r="AU124" s="499"/>
      <c r="AV124" s="499"/>
      <c r="AW124" s="499"/>
      <c r="AX124" s="499"/>
      <c r="AY124" s="499"/>
      <c r="AZ124" s="499"/>
      <c r="BA124" s="499"/>
      <c r="BB124" s="499"/>
      <c r="BC124" s="499"/>
      <c r="BD124" s="499"/>
      <c r="BE124" s="499"/>
      <c r="BF124" s="499"/>
      <c r="BH124" s="499"/>
      <c r="BI124" s="499"/>
      <c r="BJ124" s="499"/>
      <c r="BL124" s="499"/>
      <c r="BM124" s="499"/>
    </row>
    <row r="125" spans="1:112">
      <c r="C125" s="504"/>
      <c r="D125" s="34"/>
      <c r="G125" s="499"/>
      <c r="H125" s="499"/>
      <c r="I125" s="499"/>
      <c r="J125" s="499"/>
      <c r="K125" s="503"/>
      <c r="L125" s="499"/>
      <c r="M125" s="499"/>
      <c r="N125" s="499"/>
      <c r="O125" s="499"/>
      <c r="P125" s="499"/>
      <c r="Q125" s="499"/>
      <c r="S125" s="499"/>
      <c r="T125" s="499"/>
      <c r="U125" s="499"/>
      <c r="V125" s="499"/>
      <c r="W125" s="499"/>
      <c r="X125" s="499"/>
      <c r="Y125" s="499"/>
      <c r="Z125" s="499"/>
      <c r="AA125" s="499"/>
      <c r="AB125" s="499"/>
      <c r="AC125" s="499"/>
      <c r="AD125" s="499"/>
      <c r="AE125" s="499"/>
      <c r="AF125" s="499"/>
      <c r="AG125" s="499"/>
      <c r="AH125" s="499"/>
      <c r="AI125" s="499"/>
      <c r="AJ125" s="499"/>
      <c r="AK125" s="499"/>
      <c r="AM125" s="499"/>
      <c r="AN125" s="499"/>
      <c r="AO125" s="499"/>
      <c r="AP125" s="499"/>
      <c r="AQ125" s="499"/>
      <c r="AR125" s="499"/>
      <c r="AS125" s="499"/>
      <c r="AT125" s="499"/>
      <c r="AU125" s="499"/>
      <c r="AV125" s="499"/>
      <c r="AW125" s="499"/>
      <c r="AX125" s="499"/>
      <c r="AY125" s="499"/>
      <c r="AZ125" s="499"/>
      <c r="BA125" s="499"/>
      <c r="BB125" s="499"/>
      <c r="BC125" s="499"/>
      <c r="BD125" s="499"/>
      <c r="BE125" s="499"/>
      <c r="BF125" s="499"/>
      <c r="BH125" s="499"/>
      <c r="BI125" s="499"/>
      <c r="BJ125" s="499"/>
      <c r="BL125" s="499"/>
      <c r="BM125" s="499"/>
    </row>
    <row r="126" spans="1:112">
      <c r="G126" s="499"/>
      <c r="H126" s="499"/>
      <c r="I126" s="499"/>
      <c r="J126" s="499"/>
      <c r="K126" s="503"/>
      <c r="L126" s="499"/>
      <c r="M126" s="499"/>
      <c r="N126" s="499"/>
      <c r="O126" s="499"/>
      <c r="P126" s="499"/>
      <c r="Q126" s="499"/>
      <c r="S126" s="499"/>
      <c r="T126" s="499"/>
      <c r="U126" s="499"/>
      <c r="V126" s="499"/>
      <c r="W126" s="499"/>
      <c r="X126" s="499"/>
      <c r="Y126" s="499"/>
      <c r="Z126" s="499"/>
      <c r="AA126" s="499"/>
      <c r="AB126" s="499"/>
      <c r="AC126" s="499"/>
      <c r="AD126" s="499"/>
      <c r="AE126" s="499"/>
      <c r="AF126" s="499"/>
      <c r="AG126" s="499"/>
      <c r="AH126" s="499"/>
      <c r="AI126" s="499"/>
      <c r="AJ126" s="499"/>
      <c r="AK126" s="499"/>
      <c r="AM126" s="499"/>
      <c r="AN126" s="499"/>
      <c r="AO126" s="499"/>
      <c r="AP126" s="499"/>
      <c r="AQ126" s="499"/>
      <c r="AR126" s="499"/>
      <c r="AS126" s="499"/>
      <c r="AT126" s="499"/>
      <c r="AU126" s="499"/>
      <c r="AV126" s="499"/>
      <c r="AW126" s="499"/>
      <c r="AX126" s="499"/>
      <c r="AY126" s="499"/>
      <c r="AZ126" s="499"/>
      <c r="BA126" s="499"/>
      <c r="BB126" s="499"/>
      <c r="BC126" s="499"/>
      <c r="BD126" s="499"/>
      <c r="BE126" s="499"/>
      <c r="BF126" s="499"/>
      <c r="BH126" s="499"/>
      <c r="BI126" s="499"/>
      <c r="BJ126" s="499"/>
      <c r="BL126" s="499"/>
      <c r="BM126" s="499"/>
    </row>
    <row r="127" spans="1:112">
      <c r="G127" s="499"/>
      <c r="H127" s="499"/>
      <c r="I127" s="499"/>
      <c r="J127" s="499"/>
      <c r="K127" s="503"/>
      <c r="L127" s="499"/>
      <c r="M127" s="499"/>
      <c r="N127" s="499"/>
      <c r="O127" s="499"/>
      <c r="P127" s="499"/>
      <c r="Q127" s="499"/>
      <c r="S127" s="499"/>
      <c r="T127" s="499"/>
      <c r="U127" s="499"/>
      <c r="V127" s="499"/>
      <c r="W127" s="499"/>
      <c r="X127" s="499"/>
      <c r="Y127" s="499"/>
      <c r="Z127" s="499"/>
      <c r="AA127" s="499"/>
      <c r="AB127" s="499"/>
      <c r="AC127" s="499"/>
      <c r="AD127" s="499"/>
      <c r="AE127" s="499"/>
      <c r="AF127" s="499"/>
      <c r="AG127" s="499"/>
      <c r="AH127" s="499"/>
      <c r="AI127" s="499"/>
      <c r="AJ127" s="499"/>
      <c r="AK127" s="499"/>
      <c r="AM127" s="499"/>
      <c r="AN127" s="499"/>
      <c r="AO127" s="499"/>
      <c r="AP127" s="499"/>
      <c r="AQ127" s="499"/>
      <c r="AR127" s="499"/>
      <c r="AS127" s="499"/>
      <c r="AT127" s="499"/>
      <c r="AU127" s="499"/>
      <c r="AV127" s="499"/>
      <c r="AW127" s="499"/>
      <c r="AX127" s="499"/>
      <c r="AY127" s="499"/>
      <c r="AZ127" s="499"/>
      <c r="BA127" s="499"/>
      <c r="BB127" s="499"/>
      <c r="BC127" s="499"/>
      <c r="BD127" s="499"/>
      <c r="BE127" s="499"/>
      <c r="BF127" s="499"/>
      <c r="BH127" s="499"/>
      <c r="BI127" s="499"/>
      <c r="BJ127" s="499"/>
      <c r="BL127" s="499"/>
      <c r="BM127" s="499"/>
    </row>
    <row r="128" spans="1:112">
      <c r="G128" s="499"/>
      <c r="H128" s="499"/>
      <c r="I128" s="499"/>
      <c r="J128" s="499"/>
      <c r="K128" s="503"/>
      <c r="L128" s="499"/>
      <c r="M128" s="499"/>
      <c r="N128" s="499"/>
      <c r="O128" s="499"/>
      <c r="P128" s="499"/>
      <c r="Q128" s="499"/>
      <c r="S128" s="499"/>
      <c r="T128" s="499"/>
      <c r="U128" s="499"/>
      <c r="V128" s="499"/>
      <c r="W128" s="499"/>
      <c r="X128" s="499"/>
      <c r="Y128" s="499"/>
      <c r="Z128" s="499"/>
      <c r="AA128" s="499"/>
      <c r="AB128" s="499"/>
      <c r="AC128" s="499"/>
      <c r="AD128" s="499"/>
      <c r="AE128" s="499"/>
      <c r="AF128" s="499"/>
      <c r="AG128" s="499"/>
      <c r="AH128" s="499"/>
      <c r="AI128" s="499"/>
      <c r="AJ128" s="499"/>
      <c r="AK128" s="499"/>
      <c r="AM128" s="499"/>
      <c r="AN128" s="499"/>
      <c r="AO128" s="499"/>
      <c r="AP128" s="499"/>
      <c r="AQ128" s="499"/>
      <c r="AR128" s="499"/>
      <c r="AS128" s="499"/>
      <c r="AT128" s="499"/>
      <c r="AU128" s="499"/>
      <c r="AV128" s="499"/>
      <c r="AW128" s="499"/>
      <c r="AX128" s="499"/>
      <c r="AY128" s="499"/>
      <c r="AZ128" s="499"/>
      <c r="BA128" s="499"/>
      <c r="BB128" s="499"/>
      <c r="BC128" s="499"/>
      <c r="BD128" s="499"/>
      <c r="BE128" s="499"/>
      <c r="BF128" s="499"/>
      <c r="BH128" s="499"/>
      <c r="BI128" s="499"/>
      <c r="BJ128" s="499"/>
      <c r="BL128" s="499"/>
      <c r="BM128" s="499"/>
    </row>
    <row r="129" spans="7:65">
      <c r="G129" s="499"/>
      <c r="H129" s="499"/>
      <c r="I129" s="499"/>
      <c r="J129" s="499"/>
      <c r="K129" s="503"/>
      <c r="L129" s="499"/>
      <c r="M129" s="499"/>
      <c r="N129" s="499"/>
      <c r="O129" s="499"/>
      <c r="P129" s="499"/>
      <c r="Q129" s="499"/>
      <c r="S129" s="499"/>
      <c r="T129" s="499"/>
      <c r="U129" s="499"/>
      <c r="V129" s="499"/>
      <c r="W129" s="499"/>
      <c r="X129" s="499"/>
      <c r="Y129" s="499"/>
      <c r="Z129" s="499"/>
      <c r="AA129" s="499"/>
      <c r="AB129" s="499"/>
      <c r="AC129" s="499"/>
      <c r="AD129" s="499"/>
      <c r="AE129" s="499"/>
      <c r="AF129" s="499"/>
      <c r="AG129" s="499"/>
      <c r="AH129" s="499"/>
      <c r="AI129" s="499"/>
      <c r="AJ129" s="499"/>
      <c r="AK129" s="499"/>
      <c r="AM129" s="499"/>
      <c r="AN129" s="499"/>
      <c r="AO129" s="499"/>
      <c r="AP129" s="499"/>
      <c r="AQ129" s="499"/>
      <c r="AR129" s="499"/>
      <c r="AS129" s="499"/>
      <c r="AT129" s="499"/>
      <c r="AU129" s="499"/>
      <c r="AV129" s="499"/>
      <c r="AW129" s="499"/>
      <c r="AX129" s="499"/>
      <c r="AY129" s="499"/>
      <c r="AZ129" s="499"/>
      <c r="BA129" s="499"/>
      <c r="BB129" s="499"/>
      <c r="BC129" s="499"/>
      <c r="BD129" s="499"/>
      <c r="BE129" s="499"/>
      <c r="BF129" s="499"/>
      <c r="BH129" s="499"/>
      <c r="BI129" s="499"/>
      <c r="BJ129" s="499"/>
      <c r="BL129" s="499"/>
      <c r="BM129" s="499"/>
    </row>
    <row r="130" spans="7:65">
      <c r="G130" s="499"/>
      <c r="H130" s="499"/>
      <c r="I130" s="499"/>
      <c r="J130" s="499"/>
      <c r="K130" s="503"/>
      <c r="L130" s="499"/>
      <c r="M130" s="499"/>
      <c r="N130" s="499"/>
      <c r="O130" s="499"/>
      <c r="P130" s="499"/>
      <c r="Q130" s="499"/>
      <c r="S130" s="499"/>
      <c r="T130" s="499"/>
      <c r="U130" s="499"/>
      <c r="V130" s="499"/>
      <c r="W130" s="499"/>
      <c r="X130" s="499"/>
      <c r="Y130" s="499"/>
      <c r="Z130" s="499"/>
      <c r="AA130" s="499"/>
      <c r="AB130" s="499"/>
      <c r="AC130" s="499"/>
      <c r="AD130" s="499"/>
      <c r="AE130" s="499"/>
      <c r="AF130" s="499"/>
      <c r="AG130" s="499"/>
      <c r="AH130" s="499"/>
      <c r="AI130" s="499"/>
      <c r="AJ130" s="499"/>
      <c r="AK130" s="499"/>
      <c r="AM130" s="499"/>
      <c r="AN130" s="499"/>
      <c r="AO130" s="499"/>
      <c r="AP130" s="499"/>
      <c r="AQ130" s="499"/>
      <c r="AR130" s="499"/>
      <c r="AS130" s="499"/>
      <c r="AT130" s="499"/>
      <c r="AU130" s="499"/>
      <c r="AV130" s="499"/>
      <c r="AW130" s="499"/>
      <c r="AX130" s="499"/>
      <c r="AY130" s="499"/>
      <c r="AZ130" s="499"/>
      <c r="BA130" s="499"/>
      <c r="BB130" s="499"/>
      <c r="BC130" s="499"/>
      <c r="BD130" s="499"/>
      <c r="BE130" s="499"/>
      <c r="BF130" s="499"/>
      <c r="BH130" s="499"/>
      <c r="BI130" s="499"/>
      <c r="BJ130" s="499"/>
      <c r="BL130" s="499"/>
      <c r="BM130" s="499"/>
    </row>
    <row r="131" spans="7:65">
      <c r="G131" s="499"/>
      <c r="H131" s="499"/>
      <c r="I131" s="499"/>
      <c r="J131" s="499"/>
      <c r="K131" s="503"/>
      <c r="L131" s="499"/>
      <c r="M131" s="499"/>
      <c r="N131" s="499"/>
      <c r="O131" s="499"/>
      <c r="P131" s="499"/>
      <c r="Q131" s="499"/>
      <c r="S131" s="499"/>
      <c r="T131" s="499"/>
      <c r="U131" s="499"/>
      <c r="V131" s="499"/>
      <c r="W131" s="499"/>
      <c r="X131" s="499"/>
      <c r="Y131" s="499"/>
      <c r="Z131" s="499"/>
      <c r="AA131" s="499"/>
      <c r="AB131" s="499"/>
      <c r="AC131" s="499"/>
      <c r="AD131" s="499"/>
      <c r="AE131" s="499"/>
      <c r="AF131" s="499"/>
      <c r="AG131" s="499"/>
      <c r="AH131" s="499"/>
      <c r="AI131" s="499"/>
      <c r="AJ131" s="499"/>
      <c r="AK131" s="499"/>
      <c r="AM131" s="499"/>
      <c r="AN131" s="499"/>
      <c r="AO131" s="499"/>
      <c r="AP131" s="499"/>
      <c r="AQ131" s="499"/>
      <c r="AR131" s="499"/>
      <c r="AS131" s="499"/>
      <c r="AT131" s="499"/>
      <c r="AU131" s="499"/>
      <c r="AV131" s="499"/>
      <c r="AW131" s="499"/>
      <c r="AX131" s="499"/>
      <c r="AY131" s="499"/>
      <c r="AZ131" s="499"/>
      <c r="BA131" s="499"/>
      <c r="BB131" s="499"/>
      <c r="BC131" s="499"/>
      <c r="BD131" s="499"/>
      <c r="BE131" s="499"/>
      <c r="BF131" s="499"/>
      <c r="BH131" s="499"/>
      <c r="BI131" s="499"/>
      <c r="BJ131" s="499"/>
      <c r="BL131" s="499"/>
      <c r="BM131" s="499"/>
    </row>
    <row r="132" spans="7:65">
      <c r="G132" s="499"/>
      <c r="H132" s="499"/>
      <c r="I132" s="499"/>
      <c r="J132" s="499"/>
      <c r="K132" s="503"/>
      <c r="L132" s="499"/>
      <c r="M132" s="499"/>
      <c r="N132" s="499"/>
      <c r="O132" s="499"/>
      <c r="P132" s="499"/>
      <c r="Q132" s="499"/>
      <c r="S132" s="499"/>
      <c r="T132" s="499"/>
      <c r="U132" s="499"/>
      <c r="V132" s="499"/>
      <c r="W132" s="499"/>
      <c r="X132" s="499"/>
      <c r="Y132" s="499"/>
      <c r="Z132" s="499"/>
      <c r="AA132" s="499"/>
      <c r="AB132" s="499"/>
      <c r="AC132" s="499"/>
      <c r="AD132" s="499"/>
      <c r="AE132" s="499"/>
      <c r="AF132" s="499"/>
      <c r="AG132" s="499"/>
      <c r="AH132" s="499"/>
      <c r="AI132" s="499"/>
      <c r="AJ132" s="499"/>
      <c r="AK132" s="499"/>
      <c r="AM132" s="499"/>
      <c r="AN132" s="499"/>
      <c r="AO132" s="499"/>
      <c r="AP132" s="499"/>
      <c r="AQ132" s="499"/>
      <c r="AR132" s="499"/>
      <c r="AS132" s="499"/>
      <c r="AT132" s="499"/>
      <c r="AU132" s="499"/>
      <c r="AV132" s="499"/>
      <c r="AW132" s="499"/>
      <c r="AX132" s="499"/>
      <c r="AY132" s="499"/>
      <c r="AZ132" s="499"/>
      <c r="BA132" s="499"/>
      <c r="BB132" s="499"/>
      <c r="BC132" s="499"/>
      <c r="BD132" s="499"/>
      <c r="BE132" s="499"/>
      <c r="BF132" s="499"/>
      <c r="BH132" s="499"/>
      <c r="BI132" s="499"/>
      <c r="BJ132" s="499"/>
      <c r="BL132" s="499"/>
      <c r="BM132" s="499"/>
    </row>
    <row r="133" spans="7:65">
      <c r="G133" s="499"/>
      <c r="H133" s="499"/>
      <c r="I133" s="499"/>
      <c r="J133" s="499"/>
      <c r="K133" s="503"/>
      <c r="L133" s="499"/>
      <c r="M133" s="499"/>
      <c r="N133" s="499"/>
      <c r="O133" s="499"/>
      <c r="P133" s="499"/>
      <c r="Q133" s="499"/>
      <c r="S133" s="499"/>
      <c r="T133" s="499"/>
      <c r="U133" s="499"/>
      <c r="V133" s="499"/>
      <c r="W133" s="499"/>
      <c r="X133" s="499"/>
      <c r="Y133" s="499"/>
      <c r="Z133" s="499"/>
      <c r="AA133" s="499"/>
      <c r="AB133" s="499"/>
      <c r="AC133" s="499"/>
      <c r="AD133" s="499"/>
      <c r="AE133" s="499"/>
      <c r="AF133" s="499"/>
      <c r="AG133" s="499"/>
      <c r="AH133" s="499"/>
      <c r="AI133" s="499"/>
      <c r="AJ133" s="499"/>
      <c r="AK133" s="499"/>
      <c r="AM133" s="499"/>
      <c r="AN133" s="499"/>
      <c r="AO133" s="499"/>
      <c r="AP133" s="499"/>
      <c r="AQ133" s="499"/>
      <c r="AR133" s="499"/>
      <c r="AS133" s="499"/>
      <c r="AT133" s="499"/>
      <c r="AU133" s="499"/>
      <c r="AV133" s="499"/>
      <c r="AW133" s="499"/>
      <c r="AX133" s="499"/>
      <c r="AY133" s="499"/>
      <c r="AZ133" s="499"/>
      <c r="BA133" s="499"/>
      <c r="BB133" s="499"/>
      <c r="BC133" s="499"/>
      <c r="BD133" s="499"/>
      <c r="BE133" s="499"/>
      <c r="BF133" s="499"/>
      <c r="BH133" s="499"/>
      <c r="BI133" s="499"/>
      <c r="BJ133" s="499"/>
      <c r="BL133" s="499"/>
      <c r="BM133" s="499"/>
    </row>
    <row r="134" spans="7:65">
      <c r="G134" s="499"/>
      <c r="H134" s="499"/>
      <c r="I134" s="499"/>
      <c r="J134" s="499"/>
      <c r="K134" s="503"/>
      <c r="L134" s="499"/>
      <c r="M134" s="499"/>
      <c r="N134" s="499"/>
      <c r="O134" s="499"/>
      <c r="P134" s="499"/>
      <c r="Q134" s="499"/>
      <c r="S134" s="499"/>
      <c r="T134" s="499"/>
      <c r="U134" s="499"/>
      <c r="V134" s="499"/>
      <c r="W134" s="499"/>
      <c r="X134" s="499"/>
      <c r="Y134" s="499"/>
      <c r="Z134" s="499"/>
      <c r="AA134" s="499"/>
      <c r="AB134" s="499"/>
      <c r="AC134" s="499"/>
      <c r="AD134" s="499"/>
      <c r="AE134" s="499"/>
      <c r="AF134" s="499"/>
      <c r="AG134" s="499"/>
      <c r="AH134" s="499"/>
      <c r="AI134" s="499"/>
      <c r="AJ134" s="499"/>
      <c r="AK134" s="499"/>
      <c r="AM134" s="499"/>
      <c r="AN134" s="499"/>
      <c r="AO134" s="499"/>
      <c r="AP134" s="499"/>
      <c r="AQ134" s="499"/>
      <c r="AR134" s="499"/>
      <c r="AS134" s="499"/>
      <c r="AT134" s="499"/>
      <c r="AU134" s="499"/>
      <c r="AV134" s="499"/>
      <c r="AW134" s="499"/>
      <c r="AX134" s="499"/>
      <c r="AY134" s="499"/>
      <c r="AZ134" s="499"/>
      <c r="BA134" s="499"/>
      <c r="BB134" s="499"/>
      <c r="BC134" s="499"/>
      <c r="BD134" s="499"/>
      <c r="BE134" s="499"/>
      <c r="BF134" s="499"/>
      <c r="BH134" s="499"/>
      <c r="BI134" s="499"/>
      <c r="BJ134" s="499"/>
      <c r="BL134" s="499"/>
      <c r="BM134" s="499"/>
    </row>
    <row r="135" spans="7:65">
      <c r="G135" s="499"/>
      <c r="H135" s="499"/>
      <c r="I135" s="499"/>
      <c r="J135" s="499"/>
      <c r="K135" s="503"/>
      <c r="L135" s="499"/>
      <c r="M135" s="499"/>
      <c r="N135" s="499"/>
      <c r="O135" s="499"/>
      <c r="P135" s="499"/>
      <c r="Q135" s="499"/>
      <c r="S135" s="499"/>
      <c r="T135" s="499"/>
      <c r="U135" s="499"/>
      <c r="V135" s="499"/>
      <c r="W135" s="499"/>
      <c r="X135" s="499"/>
      <c r="Y135" s="499"/>
      <c r="Z135" s="499"/>
      <c r="AA135" s="499"/>
      <c r="AB135" s="499"/>
      <c r="AC135" s="499"/>
      <c r="AD135" s="499"/>
      <c r="AE135" s="499"/>
      <c r="AF135" s="499"/>
      <c r="AG135" s="499"/>
      <c r="AH135" s="499"/>
      <c r="AI135" s="499"/>
      <c r="AJ135" s="499"/>
      <c r="AK135" s="499"/>
      <c r="AM135" s="499"/>
      <c r="AN135" s="499"/>
      <c r="AO135" s="499"/>
      <c r="AP135" s="499"/>
      <c r="AQ135" s="499"/>
      <c r="AR135" s="499"/>
      <c r="AS135" s="499"/>
      <c r="AT135" s="499"/>
      <c r="AU135" s="499"/>
      <c r="AV135" s="499"/>
      <c r="AW135" s="499"/>
      <c r="AX135" s="499"/>
      <c r="AY135" s="499"/>
      <c r="AZ135" s="499"/>
      <c r="BA135" s="499"/>
      <c r="BB135" s="499"/>
      <c r="BC135" s="499"/>
      <c r="BD135" s="499"/>
      <c r="BE135" s="499"/>
      <c r="BF135" s="499"/>
      <c r="BH135" s="499"/>
      <c r="BI135" s="499"/>
      <c r="BJ135" s="499"/>
      <c r="BL135" s="499"/>
      <c r="BM135" s="499"/>
    </row>
    <row r="136" spans="7:65">
      <c r="G136" s="499"/>
      <c r="H136" s="499"/>
      <c r="I136" s="499"/>
      <c r="J136" s="499"/>
      <c r="K136" s="503"/>
      <c r="L136" s="499"/>
      <c r="M136" s="499"/>
      <c r="N136" s="499"/>
      <c r="O136" s="499"/>
      <c r="P136" s="499"/>
      <c r="Q136" s="499"/>
      <c r="S136" s="499"/>
      <c r="T136" s="499"/>
      <c r="U136" s="499"/>
      <c r="V136" s="499"/>
      <c r="W136" s="499"/>
      <c r="X136" s="499"/>
      <c r="Y136" s="499"/>
      <c r="Z136" s="499"/>
      <c r="AA136" s="499"/>
      <c r="AB136" s="499"/>
      <c r="AC136" s="499"/>
      <c r="AD136" s="499"/>
      <c r="AE136" s="499"/>
      <c r="AF136" s="499"/>
      <c r="AG136" s="499"/>
      <c r="AH136" s="499"/>
      <c r="AI136" s="499"/>
      <c r="AJ136" s="499"/>
      <c r="AK136" s="499"/>
      <c r="AM136" s="499"/>
      <c r="AN136" s="499"/>
      <c r="AO136" s="499"/>
      <c r="AP136" s="499"/>
      <c r="AQ136" s="499"/>
      <c r="AR136" s="499"/>
      <c r="AS136" s="499"/>
      <c r="AT136" s="499"/>
      <c r="AU136" s="499"/>
      <c r="AV136" s="499"/>
      <c r="AW136" s="499"/>
      <c r="AX136" s="499"/>
      <c r="AY136" s="499"/>
      <c r="AZ136" s="499"/>
      <c r="BA136" s="499"/>
      <c r="BB136" s="499"/>
      <c r="BC136" s="499"/>
      <c r="BD136" s="499"/>
      <c r="BE136" s="499"/>
      <c r="BF136" s="499"/>
      <c r="BH136" s="499"/>
      <c r="BI136" s="499"/>
      <c r="BJ136" s="499"/>
      <c r="BL136" s="499"/>
      <c r="BM136" s="499"/>
    </row>
    <row r="137" spans="7:65">
      <c r="G137" s="499"/>
      <c r="H137" s="499"/>
      <c r="I137" s="499"/>
      <c r="J137" s="499"/>
      <c r="K137" s="503"/>
      <c r="L137" s="499"/>
      <c r="M137" s="499"/>
      <c r="N137" s="499"/>
      <c r="O137" s="499"/>
      <c r="P137" s="499"/>
      <c r="Q137" s="499"/>
      <c r="S137" s="499"/>
      <c r="T137" s="499"/>
      <c r="U137" s="499"/>
      <c r="V137" s="499"/>
      <c r="W137" s="499"/>
      <c r="X137" s="499"/>
      <c r="Y137" s="499"/>
      <c r="Z137" s="499"/>
      <c r="AA137" s="499"/>
      <c r="AB137" s="499"/>
      <c r="AC137" s="499"/>
      <c r="AD137" s="499"/>
      <c r="AE137" s="499"/>
      <c r="AF137" s="499"/>
      <c r="AG137" s="499"/>
      <c r="AH137" s="499"/>
      <c r="AI137" s="499"/>
      <c r="AJ137" s="499"/>
      <c r="AK137" s="499"/>
      <c r="AM137" s="499"/>
      <c r="AN137" s="499"/>
      <c r="AO137" s="499"/>
      <c r="AP137" s="499"/>
      <c r="AQ137" s="499"/>
      <c r="AR137" s="499"/>
      <c r="AS137" s="499"/>
      <c r="AT137" s="499"/>
      <c r="AU137" s="499"/>
      <c r="AV137" s="499"/>
      <c r="AW137" s="499"/>
      <c r="AX137" s="499"/>
      <c r="AY137" s="499"/>
      <c r="AZ137" s="499"/>
      <c r="BA137" s="499"/>
      <c r="BB137" s="499"/>
      <c r="BC137" s="499"/>
      <c r="BD137" s="499"/>
      <c r="BE137" s="499"/>
      <c r="BF137" s="499"/>
      <c r="BH137" s="499"/>
      <c r="BI137" s="499"/>
      <c r="BJ137" s="499"/>
      <c r="BL137" s="499"/>
      <c r="BM137" s="499"/>
    </row>
    <row r="138" spans="7:65">
      <c r="G138" s="499"/>
      <c r="H138" s="499"/>
      <c r="I138" s="499"/>
      <c r="J138" s="499"/>
      <c r="K138" s="503"/>
      <c r="L138" s="499"/>
      <c r="M138" s="499"/>
      <c r="N138" s="499"/>
      <c r="O138" s="499"/>
      <c r="P138" s="499"/>
      <c r="Q138" s="499"/>
      <c r="S138" s="499"/>
      <c r="T138" s="499"/>
      <c r="U138" s="499"/>
      <c r="V138" s="499"/>
      <c r="W138" s="499"/>
      <c r="X138" s="499"/>
      <c r="Y138" s="499"/>
      <c r="Z138" s="499"/>
      <c r="AA138" s="499"/>
      <c r="AB138" s="499"/>
      <c r="AC138" s="499"/>
      <c r="AD138" s="499"/>
      <c r="AE138" s="499"/>
      <c r="AF138" s="499"/>
      <c r="AG138" s="499"/>
      <c r="AH138" s="499"/>
      <c r="AI138" s="499"/>
      <c r="AJ138" s="499"/>
      <c r="AK138" s="499"/>
      <c r="AM138" s="499"/>
      <c r="AN138" s="499"/>
      <c r="AO138" s="499"/>
      <c r="AP138" s="499"/>
      <c r="AQ138" s="499"/>
      <c r="AR138" s="499"/>
      <c r="AS138" s="499"/>
      <c r="AT138" s="499"/>
      <c r="AU138" s="499"/>
      <c r="AV138" s="499"/>
      <c r="AW138" s="499"/>
      <c r="AX138" s="499"/>
      <c r="AY138" s="499"/>
      <c r="AZ138" s="499"/>
      <c r="BA138" s="499"/>
      <c r="BB138" s="499"/>
      <c r="BC138" s="499"/>
      <c r="BD138" s="499"/>
      <c r="BE138" s="499"/>
      <c r="BF138" s="499"/>
      <c r="BH138" s="499"/>
      <c r="BI138" s="499"/>
      <c r="BJ138" s="499"/>
      <c r="BL138" s="499"/>
      <c r="BM138" s="499"/>
    </row>
    <row r="139" spans="7:65">
      <c r="G139" s="499"/>
      <c r="H139" s="499"/>
      <c r="I139" s="499"/>
      <c r="J139" s="499"/>
      <c r="K139" s="503"/>
      <c r="L139" s="499"/>
      <c r="M139" s="499"/>
      <c r="N139" s="499"/>
      <c r="O139" s="499"/>
      <c r="P139" s="499"/>
      <c r="Q139" s="499"/>
      <c r="S139" s="499"/>
      <c r="T139" s="499"/>
      <c r="U139" s="499"/>
      <c r="V139" s="499"/>
      <c r="W139" s="499"/>
      <c r="X139" s="499"/>
      <c r="Y139" s="499"/>
      <c r="Z139" s="499"/>
      <c r="AA139" s="499"/>
      <c r="AB139" s="499"/>
      <c r="AC139" s="499"/>
      <c r="AD139" s="499"/>
      <c r="AE139" s="499"/>
      <c r="AF139" s="499"/>
      <c r="AG139" s="499"/>
      <c r="AH139" s="499"/>
      <c r="AI139" s="499"/>
      <c r="AJ139" s="499"/>
      <c r="AK139" s="499"/>
      <c r="AM139" s="499"/>
      <c r="AN139" s="499"/>
      <c r="AO139" s="499"/>
      <c r="AP139" s="499"/>
      <c r="AQ139" s="499"/>
      <c r="AR139" s="499"/>
      <c r="AS139" s="499"/>
      <c r="AT139" s="499"/>
      <c r="AU139" s="499"/>
      <c r="AV139" s="499"/>
      <c r="AW139" s="499"/>
      <c r="AX139" s="499"/>
      <c r="AY139" s="499"/>
      <c r="AZ139" s="499"/>
      <c r="BA139" s="499"/>
      <c r="BB139" s="499"/>
      <c r="BC139" s="499"/>
      <c r="BD139" s="499"/>
      <c r="BE139" s="499"/>
      <c r="BF139" s="499"/>
      <c r="BH139" s="499"/>
      <c r="BI139" s="499"/>
      <c r="BJ139" s="499"/>
      <c r="BL139" s="499"/>
      <c r="BM139" s="499"/>
    </row>
    <row r="140" spans="7:65">
      <c r="G140" s="499"/>
      <c r="H140" s="499"/>
      <c r="I140" s="499"/>
      <c r="J140" s="499"/>
      <c r="K140" s="503"/>
      <c r="L140" s="499"/>
      <c r="M140" s="499"/>
      <c r="N140" s="499"/>
      <c r="O140" s="499"/>
      <c r="P140" s="499"/>
      <c r="Q140" s="499"/>
      <c r="S140" s="499"/>
      <c r="T140" s="499"/>
      <c r="U140" s="499"/>
      <c r="V140" s="499"/>
      <c r="W140" s="499"/>
      <c r="X140" s="499"/>
      <c r="Y140" s="499"/>
      <c r="Z140" s="499"/>
      <c r="AA140" s="499"/>
      <c r="AB140" s="499"/>
      <c r="AC140" s="499"/>
      <c r="AD140" s="499"/>
      <c r="AE140" s="499"/>
      <c r="AF140" s="499"/>
      <c r="AG140" s="499"/>
      <c r="AH140" s="499"/>
      <c r="AI140" s="499"/>
      <c r="AJ140" s="499"/>
      <c r="AK140" s="499"/>
      <c r="AM140" s="499"/>
      <c r="AN140" s="499"/>
      <c r="AO140" s="499"/>
      <c r="AP140" s="499"/>
      <c r="AQ140" s="499"/>
      <c r="AR140" s="499"/>
      <c r="AS140" s="499"/>
      <c r="AT140" s="499"/>
      <c r="AU140" s="499"/>
      <c r="AV140" s="499"/>
      <c r="AW140" s="499"/>
      <c r="AX140" s="499"/>
      <c r="AY140" s="499"/>
      <c r="AZ140" s="499"/>
      <c r="BA140" s="499"/>
      <c r="BB140" s="499"/>
      <c r="BC140" s="499"/>
      <c r="BD140" s="499"/>
      <c r="BE140" s="499"/>
      <c r="BF140" s="499"/>
      <c r="BH140" s="499"/>
      <c r="BI140" s="499"/>
      <c r="BJ140" s="499"/>
      <c r="BL140" s="499"/>
      <c r="BM140" s="499"/>
    </row>
    <row r="141" spans="7:65">
      <c r="G141" s="499"/>
      <c r="H141" s="499"/>
      <c r="I141" s="499"/>
      <c r="J141" s="499"/>
      <c r="K141" s="503"/>
      <c r="L141" s="499"/>
      <c r="M141" s="499"/>
      <c r="N141" s="499"/>
      <c r="O141" s="499"/>
      <c r="P141" s="499"/>
      <c r="Q141" s="499"/>
      <c r="S141" s="499"/>
      <c r="T141" s="499"/>
      <c r="U141" s="499"/>
      <c r="V141" s="499"/>
      <c r="W141" s="499"/>
      <c r="X141" s="499"/>
      <c r="Y141" s="499"/>
      <c r="Z141" s="499"/>
      <c r="AA141" s="499"/>
      <c r="AB141" s="499"/>
      <c r="AC141" s="499"/>
      <c r="AD141" s="499"/>
      <c r="AE141" s="499"/>
      <c r="AF141" s="499"/>
      <c r="AG141" s="499"/>
      <c r="AH141" s="499"/>
      <c r="AI141" s="499"/>
      <c r="AJ141" s="499"/>
      <c r="AK141" s="499"/>
      <c r="AM141" s="499"/>
      <c r="AN141" s="499"/>
      <c r="AO141" s="499"/>
      <c r="AP141" s="499"/>
      <c r="AQ141" s="499"/>
      <c r="AR141" s="499"/>
      <c r="AS141" s="499"/>
      <c r="AT141" s="499"/>
      <c r="AU141" s="499"/>
      <c r="AV141" s="499"/>
      <c r="AW141" s="499"/>
      <c r="AX141" s="499"/>
      <c r="AY141" s="499"/>
      <c r="AZ141" s="499"/>
      <c r="BA141" s="499"/>
      <c r="BB141" s="499"/>
      <c r="BC141" s="499"/>
      <c r="BD141" s="499"/>
      <c r="BE141" s="499"/>
      <c r="BF141" s="499"/>
      <c r="BH141" s="499"/>
      <c r="BI141" s="499"/>
      <c r="BJ141" s="499"/>
      <c r="BL141" s="499"/>
      <c r="BM141" s="499"/>
    </row>
    <row r="142" spans="7:65">
      <c r="G142" s="499"/>
      <c r="H142" s="499"/>
      <c r="I142" s="499"/>
      <c r="J142" s="499"/>
      <c r="K142" s="503"/>
      <c r="L142" s="499"/>
      <c r="M142" s="499"/>
      <c r="N142" s="499"/>
      <c r="O142" s="499"/>
      <c r="P142" s="499"/>
      <c r="Q142" s="499"/>
      <c r="S142" s="499"/>
      <c r="T142" s="499"/>
      <c r="U142" s="499"/>
      <c r="V142" s="499"/>
      <c r="W142" s="499"/>
      <c r="X142" s="499"/>
      <c r="Y142" s="499"/>
      <c r="Z142" s="499"/>
      <c r="AA142" s="499"/>
      <c r="AB142" s="499"/>
      <c r="AC142" s="499"/>
      <c r="AD142" s="499"/>
      <c r="AE142" s="499"/>
      <c r="AF142" s="499"/>
      <c r="AG142" s="499"/>
      <c r="AH142" s="499"/>
      <c r="AI142" s="499"/>
      <c r="AJ142" s="499"/>
      <c r="AK142" s="499"/>
      <c r="AM142" s="499"/>
      <c r="AN142" s="499"/>
      <c r="AO142" s="499"/>
      <c r="AP142" s="499"/>
      <c r="AQ142" s="499"/>
      <c r="AR142" s="499"/>
      <c r="AS142" s="499"/>
      <c r="AT142" s="499"/>
      <c r="AU142" s="499"/>
      <c r="AV142" s="499"/>
      <c r="AW142" s="499"/>
      <c r="AX142" s="499"/>
      <c r="AY142" s="499"/>
      <c r="AZ142" s="499"/>
      <c r="BA142" s="499"/>
      <c r="BB142" s="499"/>
      <c r="BC142" s="499"/>
      <c r="BD142" s="499"/>
      <c r="BE142" s="499"/>
      <c r="BF142" s="499"/>
      <c r="BH142" s="499"/>
      <c r="BI142" s="499"/>
      <c r="BJ142" s="499"/>
      <c r="BL142" s="499"/>
      <c r="BM142" s="499"/>
    </row>
    <row r="143" spans="7:65">
      <c r="G143" s="499"/>
      <c r="H143" s="499"/>
      <c r="I143" s="499"/>
      <c r="J143" s="499"/>
      <c r="K143" s="503"/>
      <c r="L143" s="499"/>
      <c r="M143" s="499"/>
      <c r="N143" s="499"/>
      <c r="O143" s="499"/>
      <c r="P143" s="499"/>
      <c r="Q143" s="499"/>
      <c r="S143" s="499"/>
      <c r="T143" s="499"/>
      <c r="U143" s="499"/>
      <c r="V143" s="499"/>
      <c r="W143" s="499"/>
      <c r="X143" s="499"/>
      <c r="Y143" s="499"/>
      <c r="Z143" s="499"/>
      <c r="AA143" s="499"/>
      <c r="AB143" s="499"/>
      <c r="AC143" s="499"/>
      <c r="AD143" s="499"/>
      <c r="AE143" s="499"/>
      <c r="AF143" s="499"/>
      <c r="AG143" s="499"/>
      <c r="AH143" s="499"/>
      <c r="AI143" s="499"/>
      <c r="AJ143" s="499"/>
      <c r="AK143" s="499"/>
      <c r="AM143" s="499"/>
      <c r="AN143" s="499"/>
      <c r="AO143" s="499"/>
      <c r="AP143" s="499"/>
      <c r="AQ143" s="499"/>
      <c r="AR143" s="499"/>
      <c r="AS143" s="499"/>
      <c r="AT143" s="499"/>
      <c r="AU143" s="499"/>
      <c r="AV143" s="499"/>
      <c r="AW143" s="499"/>
      <c r="AX143" s="499"/>
      <c r="AY143" s="499"/>
      <c r="AZ143" s="499"/>
      <c r="BA143" s="499"/>
      <c r="BB143" s="499"/>
      <c r="BC143" s="499"/>
      <c r="BD143" s="499"/>
      <c r="BE143" s="499"/>
      <c r="BF143" s="499"/>
      <c r="BH143" s="499"/>
      <c r="BI143" s="499"/>
      <c r="BJ143" s="499"/>
      <c r="BL143" s="499"/>
      <c r="BM143" s="499"/>
    </row>
    <row r="144" spans="7:65">
      <c r="G144" s="499"/>
      <c r="H144" s="499"/>
      <c r="I144" s="499"/>
      <c r="J144" s="499"/>
      <c r="K144" s="503"/>
      <c r="L144" s="499"/>
      <c r="M144" s="499"/>
      <c r="N144" s="499"/>
      <c r="O144" s="499"/>
      <c r="P144" s="499"/>
      <c r="Q144" s="499"/>
      <c r="S144" s="499"/>
      <c r="T144" s="499"/>
      <c r="U144" s="499"/>
      <c r="V144" s="499"/>
      <c r="W144" s="499"/>
      <c r="X144" s="499"/>
      <c r="Y144" s="499"/>
      <c r="Z144" s="499"/>
      <c r="AA144" s="499"/>
      <c r="AB144" s="499"/>
      <c r="AC144" s="499"/>
      <c r="AD144" s="499"/>
      <c r="AE144" s="499"/>
      <c r="AF144" s="499"/>
      <c r="AG144" s="499"/>
      <c r="AH144" s="499"/>
      <c r="AI144" s="499"/>
      <c r="AJ144" s="499"/>
      <c r="AK144" s="499"/>
      <c r="AM144" s="499"/>
      <c r="AN144" s="499"/>
      <c r="AO144" s="499"/>
      <c r="AP144" s="499"/>
      <c r="AQ144" s="499"/>
      <c r="AR144" s="499"/>
      <c r="AS144" s="499"/>
      <c r="AT144" s="499"/>
      <c r="AU144" s="499"/>
      <c r="AV144" s="499"/>
      <c r="AW144" s="499"/>
      <c r="AX144" s="499"/>
      <c r="AY144" s="499"/>
      <c r="AZ144" s="499"/>
      <c r="BA144" s="499"/>
      <c r="BB144" s="499"/>
      <c r="BC144" s="499"/>
      <c r="BD144" s="499"/>
      <c r="BE144" s="499"/>
      <c r="BF144" s="499"/>
      <c r="BH144" s="499"/>
      <c r="BI144" s="499"/>
      <c r="BJ144" s="499"/>
      <c r="BL144" s="499"/>
      <c r="BM144" s="499"/>
    </row>
    <row r="145" spans="7:65">
      <c r="G145" s="499"/>
      <c r="H145" s="499"/>
      <c r="I145" s="499"/>
      <c r="J145" s="499"/>
      <c r="K145" s="503"/>
      <c r="L145" s="499"/>
      <c r="M145" s="499"/>
      <c r="N145" s="499"/>
      <c r="O145" s="499"/>
      <c r="P145" s="499"/>
      <c r="Q145" s="499"/>
      <c r="S145" s="499"/>
      <c r="T145" s="499"/>
      <c r="U145" s="499"/>
      <c r="V145" s="499"/>
      <c r="W145" s="499"/>
      <c r="X145" s="499"/>
      <c r="Y145" s="499"/>
      <c r="Z145" s="499"/>
      <c r="AA145" s="499"/>
      <c r="AB145" s="499"/>
      <c r="AC145" s="499"/>
      <c r="AD145" s="499"/>
      <c r="AE145" s="499"/>
      <c r="AF145" s="499"/>
      <c r="AG145" s="499"/>
      <c r="AH145" s="499"/>
      <c r="AI145" s="499"/>
      <c r="AJ145" s="499"/>
      <c r="AK145" s="499"/>
      <c r="AM145" s="499"/>
      <c r="AN145" s="499"/>
      <c r="AO145" s="499"/>
      <c r="AP145" s="499"/>
      <c r="AQ145" s="499"/>
      <c r="AR145" s="499"/>
      <c r="AS145" s="499"/>
      <c r="AT145" s="499"/>
      <c r="AU145" s="499"/>
      <c r="AV145" s="499"/>
      <c r="AW145" s="499"/>
      <c r="AX145" s="499"/>
      <c r="AY145" s="499"/>
      <c r="AZ145" s="499"/>
      <c r="BA145" s="499"/>
      <c r="BB145" s="499"/>
      <c r="BC145" s="499"/>
      <c r="BD145" s="499"/>
      <c r="BE145" s="499"/>
      <c r="BF145" s="499"/>
      <c r="BH145" s="499"/>
      <c r="BI145" s="499"/>
      <c r="BJ145" s="499"/>
      <c r="BL145" s="499"/>
      <c r="BM145" s="499"/>
    </row>
    <row r="146" spans="7:65">
      <c r="G146" s="499"/>
      <c r="H146" s="499"/>
      <c r="I146" s="499"/>
      <c r="J146" s="499"/>
      <c r="K146" s="503"/>
      <c r="L146" s="499"/>
      <c r="M146" s="499"/>
      <c r="N146" s="499"/>
      <c r="O146" s="499"/>
      <c r="P146" s="499"/>
      <c r="Q146" s="499"/>
      <c r="S146" s="499"/>
      <c r="T146" s="499"/>
      <c r="U146" s="499"/>
      <c r="V146" s="499"/>
      <c r="W146" s="499"/>
      <c r="X146" s="499"/>
      <c r="Y146" s="499"/>
      <c r="Z146" s="499"/>
      <c r="AA146" s="499"/>
      <c r="AB146" s="499"/>
      <c r="AC146" s="499"/>
      <c r="AD146" s="499"/>
      <c r="AE146" s="499"/>
      <c r="AF146" s="499"/>
      <c r="AG146" s="499"/>
      <c r="AH146" s="499"/>
      <c r="AI146" s="499"/>
      <c r="AJ146" s="499"/>
      <c r="AK146" s="499"/>
      <c r="AM146" s="499"/>
      <c r="AN146" s="499"/>
      <c r="AO146" s="499"/>
      <c r="AP146" s="499"/>
      <c r="AQ146" s="499"/>
      <c r="AR146" s="499"/>
      <c r="AS146" s="499"/>
      <c r="AT146" s="499"/>
      <c r="AU146" s="499"/>
      <c r="AV146" s="499"/>
      <c r="AW146" s="499"/>
      <c r="AX146" s="499"/>
      <c r="AY146" s="499"/>
      <c r="AZ146" s="499"/>
      <c r="BA146" s="499"/>
      <c r="BB146" s="499"/>
      <c r="BC146" s="499"/>
      <c r="BD146" s="499"/>
      <c r="BE146" s="499"/>
      <c r="BF146" s="499"/>
      <c r="BH146" s="499"/>
      <c r="BI146" s="499"/>
      <c r="BJ146" s="499"/>
      <c r="BL146" s="499"/>
      <c r="BM146" s="499"/>
    </row>
    <row r="147" spans="7:65">
      <c r="G147" s="499"/>
      <c r="H147" s="499"/>
      <c r="I147" s="499"/>
      <c r="J147" s="499"/>
      <c r="K147" s="503"/>
      <c r="L147" s="499"/>
      <c r="M147" s="499"/>
      <c r="N147" s="499"/>
      <c r="O147" s="499"/>
      <c r="P147" s="499"/>
      <c r="Q147" s="499"/>
      <c r="S147" s="499"/>
      <c r="T147" s="499"/>
      <c r="U147" s="499"/>
      <c r="V147" s="499"/>
      <c r="W147" s="499"/>
      <c r="X147" s="499"/>
      <c r="Y147" s="499"/>
      <c r="Z147" s="499"/>
      <c r="AA147" s="499"/>
      <c r="AB147" s="499"/>
      <c r="AC147" s="499"/>
      <c r="AD147" s="499"/>
      <c r="AE147" s="499"/>
      <c r="AF147" s="499"/>
      <c r="AG147" s="499"/>
      <c r="AH147" s="499"/>
      <c r="AI147" s="499"/>
      <c r="AJ147" s="499"/>
      <c r="AK147" s="499"/>
      <c r="AM147" s="499"/>
      <c r="AN147" s="499"/>
      <c r="AO147" s="499"/>
      <c r="AP147" s="499"/>
      <c r="AQ147" s="499"/>
      <c r="AR147" s="499"/>
      <c r="AS147" s="499"/>
      <c r="AT147" s="499"/>
      <c r="AU147" s="499"/>
      <c r="AV147" s="499"/>
      <c r="AW147" s="499"/>
      <c r="AX147" s="499"/>
      <c r="AY147" s="499"/>
      <c r="AZ147" s="499"/>
      <c r="BA147" s="499"/>
      <c r="BB147" s="499"/>
      <c r="BC147" s="499"/>
      <c r="BD147" s="499"/>
      <c r="BE147" s="499"/>
      <c r="BF147" s="499"/>
      <c r="BH147" s="499"/>
      <c r="BI147" s="499"/>
      <c r="BJ147" s="499"/>
      <c r="BL147" s="499"/>
      <c r="BM147" s="499"/>
    </row>
    <row r="148" spans="7:65">
      <c r="G148" s="499"/>
      <c r="H148" s="499"/>
      <c r="I148" s="499"/>
      <c r="J148" s="499"/>
      <c r="K148" s="503"/>
      <c r="L148" s="499"/>
      <c r="M148" s="499"/>
      <c r="N148" s="499"/>
      <c r="O148" s="499"/>
      <c r="P148" s="499"/>
      <c r="Q148" s="499"/>
      <c r="S148" s="499"/>
      <c r="T148" s="499"/>
      <c r="U148" s="499"/>
      <c r="V148" s="499"/>
      <c r="W148" s="499"/>
      <c r="X148" s="499"/>
      <c r="Y148" s="499"/>
      <c r="Z148" s="499"/>
      <c r="AA148" s="499"/>
      <c r="AB148" s="499"/>
      <c r="AC148" s="499"/>
      <c r="AD148" s="499"/>
      <c r="AE148" s="499"/>
      <c r="AF148" s="499"/>
      <c r="AG148" s="499"/>
      <c r="AH148" s="499"/>
      <c r="AI148" s="499"/>
      <c r="AJ148" s="499"/>
      <c r="AK148" s="499"/>
      <c r="AM148" s="499"/>
      <c r="AN148" s="499"/>
      <c r="AO148" s="499"/>
      <c r="AP148" s="499"/>
      <c r="AQ148" s="499"/>
      <c r="AR148" s="499"/>
      <c r="AS148" s="499"/>
      <c r="AT148" s="499"/>
      <c r="AU148" s="499"/>
      <c r="AV148" s="499"/>
      <c r="AW148" s="499"/>
      <c r="AX148" s="499"/>
      <c r="AY148" s="499"/>
      <c r="AZ148" s="499"/>
      <c r="BA148" s="499"/>
      <c r="BB148" s="499"/>
      <c r="BC148" s="499"/>
      <c r="BD148" s="499"/>
      <c r="BE148" s="499"/>
      <c r="BF148" s="499"/>
      <c r="BH148" s="499"/>
      <c r="BI148" s="499"/>
      <c r="BJ148" s="499"/>
      <c r="BL148" s="499"/>
      <c r="BM148" s="499"/>
    </row>
  </sheetData>
  <pageMargins left="0.25" right="0.25" top="0.75" bottom="0.75" header="0.3" footer="0.3"/>
  <headerFooter>
    <oddFooter>&amp;L&amp;"+,Regular"Pathways to 2050 -- Energy Flow Model&amp;R&amp;"+,Regular"&amp;F  |  This version printed &amp;D</oddFooter>
  </headerFooter>
  <ignoredErrors>
    <ignoredError sqref="AJ11 AJ28:AK28 BE28 G11:Q11 G28:Q28 BH11:BI11 BH28:BI28 AV28:BC28 S28:W28 BO11:DF11 BO28:DF28 AM11:BE11 AF28 AF11 S11:AC11 AA28:AC28" formula="1"/>
  </ignoredError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5" enableFormatConditionsCalculation="0">
    <pageSetUpPr fitToPage="1"/>
  </sheetPr>
  <dimension ref="A1:AI109"/>
  <sheetViews>
    <sheetView workbookViewId="0"/>
  </sheetViews>
  <sheetFormatPr baseColWidth="10" defaultColWidth="8.83203125" defaultRowHeight="12" x14ac:dyDescent="0"/>
  <cols>
    <col min="1" max="1" width="19.1640625" style="48" customWidth="1"/>
    <col min="2" max="2" width="7" style="48" bestFit="1" customWidth="1"/>
    <col min="3" max="3" width="12.6640625" style="48" customWidth="1"/>
    <col min="4" max="4" width="8.33203125" style="48" customWidth="1"/>
    <col min="5" max="5" width="9" style="48" customWidth="1"/>
    <col min="6" max="6" width="6.83203125" style="48" customWidth="1"/>
    <col min="7" max="7" width="9.5" style="48" customWidth="1"/>
    <col min="8" max="9" width="8.5" style="48" customWidth="1"/>
    <col min="10" max="10" width="5.33203125" style="48" customWidth="1"/>
    <col min="11" max="11" width="7.5" style="48" customWidth="1"/>
    <col min="12" max="24" width="8.83203125" style="48"/>
    <col min="25" max="33" width="9.33203125" style="48" bestFit="1" customWidth="1"/>
    <col min="34" max="34" width="9.6640625" style="48" bestFit="1" customWidth="1"/>
    <col min="35" max="35" width="9.33203125" style="48" bestFit="1" customWidth="1"/>
    <col min="36" max="256" width="8.83203125" style="48"/>
    <col min="257" max="257" width="19.1640625" style="48" customWidth="1"/>
    <col min="258" max="258" width="7" style="48" bestFit="1" customWidth="1"/>
    <col min="259" max="259" width="12.6640625" style="48" customWidth="1"/>
    <col min="260" max="260" width="8.33203125" style="48" customWidth="1"/>
    <col min="261" max="261" width="9" style="48" customWidth="1"/>
    <col min="262" max="262" width="6.83203125" style="48" customWidth="1"/>
    <col min="263" max="263" width="9.5" style="48" customWidth="1"/>
    <col min="264" max="265" width="8.5" style="48" customWidth="1"/>
    <col min="266" max="266" width="5.33203125" style="48" customWidth="1"/>
    <col min="267" max="267" width="7.5" style="48" customWidth="1"/>
    <col min="268" max="280" width="8.83203125" style="48"/>
    <col min="281" max="289" width="9.33203125" style="48" bestFit="1" customWidth="1"/>
    <col min="290" max="290" width="9.6640625" style="48" bestFit="1" customWidth="1"/>
    <col min="291" max="291" width="9.33203125" style="48" bestFit="1" customWidth="1"/>
    <col min="292" max="512" width="8.83203125" style="48"/>
    <col min="513" max="513" width="19.1640625" style="48" customWidth="1"/>
    <col min="514" max="514" width="7" style="48" bestFit="1" customWidth="1"/>
    <col min="515" max="515" width="12.6640625" style="48" customWidth="1"/>
    <col min="516" max="516" width="8.33203125" style="48" customWidth="1"/>
    <col min="517" max="517" width="9" style="48" customWidth="1"/>
    <col min="518" max="518" width="6.83203125" style="48" customWidth="1"/>
    <col min="519" max="519" width="9.5" style="48" customWidth="1"/>
    <col min="520" max="521" width="8.5" style="48" customWidth="1"/>
    <col min="522" max="522" width="5.33203125" style="48" customWidth="1"/>
    <col min="523" max="523" width="7.5" style="48" customWidth="1"/>
    <col min="524" max="536" width="8.83203125" style="48"/>
    <col min="537" max="545" width="9.33203125" style="48" bestFit="1" customWidth="1"/>
    <col min="546" max="546" width="9.6640625" style="48" bestFit="1" customWidth="1"/>
    <col min="547" max="547" width="9.33203125" style="48" bestFit="1" customWidth="1"/>
    <col min="548" max="768" width="8.83203125" style="48"/>
    <col min="769" max="769" width="19.1640625" style="48" customWidth="1"/>
    <col min="770" max="770" width="7" style="48" bestFit="1" customWidth="1"/>
    <col min="771" max="771" width="12.6640625" style="48" customWidth="1"/>
    <col min="772" max="772" width="8.33203125" style="48" customWidth="1"/>
    <col min="773" max="773" width="9" style="48" customWidth="1"/>
    <col min="774" max="774" width="6.83203125" style="48" customWidth="1"/>
    <col min="775" max="775" width="9.5" style="48" customWidth="1"/>
    <col min="776" max="777" width="8.5" style="48" customWidth="1"/>
    <col min="778" max="778" width="5.33203125" style="48" customWidth="1"/>
    <col min="779" max="779" width="7.5" style="48" customWidth="1"/>
    <col min="780" max="792" width="8.83203125" style="48"/>
    <col min="793" max="801" width="9.33203125" style="48" bestFit="1" customWidth="1"/>
    <col min="802" max="802" width="9.6640625" style="48" bestFit="1" customWidth="1"/>
    <col min="803" max="803" width="9.33203125" style="48" bestFit="1" customWidth="1"/>
    <col min="804" max="1024" width="8.83203125" style="48"/>
    <col min="1025" max="1025" width="19.1640625" style="48" customWidth="1"/>
    <col min="1026" max="1026" width="7" style="48" bestFit="1" customWidth="1"/>
    <col min="1027" max="1027" width="12.6640625" style="48" customWidth="1"/>
    <col min="1028" max="1028" width="8.33203125" style="48" customWidth="1"/>
    <col min="1029" max="1029" width="9" style="48" customWidth="1"/>
    <col min="1030" max="1030" width="6.83203125" style="48" customWidth="1"/>
    <col min="1031" max="1031" width="9.5" style="48" customWidth="1"/>
    <col min="1032" max="1033" width="8.5" style="48" customWidth="1"/>
    <col min="1034" max="1034" width="5.33203125" style="48" customWidth="1"/>
    <col min="1035" max="1035" width="7.5" style="48" customWidth="1"/>
    <col min="1036" max="1048" width="8.83203125" style="48"/>
    <col min="1049" max="1057" width="9.33203125" style="48" bestFit="1" customWidth="1"/>
    <col min="1058" max="1058" width="9.6640625" style="48" bestFit="1" customWidth="1"/>
    <col min="1059" max="1059" width="9.33203125" style="48" bestFit="1" customWidth="1"/>
    <col min="1060" max="1280" width="8.83203125" style="48"/>
    <col min="1281" max="1281" width="19.1640625" style="48" customWidth="1"/>
    <col min="1282" max="1282" width="7" style="48" bestFit="1" customWidth="1"/>
    <col min="1283" max="1283" width="12.6640625" style="48" customWidth="1"/>
    <col min="1284" max="1284" width="8.33203125" style="48" customWidth="1"/>
    <col min="1285" max="1285" width="9" style="48" customWidth="1"/>
    <col min="1286" max="1286" width="6.83203125" style="48" customWidth="1"/>
    <col min="1287" max="1287" width="9.5" style="48" customWidth="1"/>
    <col min="1288" max="1289" width="8.5" style="48" customWidth="1"/>
    <col min="1290" max="1290" width="5.33203125" style="48" customWidth="1"/>
    <col min="1291" max="1291" width="7.5" style="48" customWidth="1"/>
    <col min="1292" max="1304" width="8.83203125" style="48"/>
    <col min="1305" max="1313" width="9.33203125" style="48" bestFit="1" customWidth="1"/>
    <col min="1314" max="1314" width="9.6640625" style="48" bestFit="1" customWidth="1"/>
    <col min="1315" max="1315" width="9.33203125" style="48" bestFit="1" customWidth="1"/>
    <col min="1316" max="1536" width="8.83203125" style="48"/>
    <col min="1537" max="1537" width="19.1640625" style="48" customWidth="1"/>
    <col min="1538" max="1538" width="7" style="48" bestFit="1" customWidth="1"/>
    <col min="1539" max="1539" width="12.6640625" style="48" customWidth="1"/>
    <col min="1540" max="1540" width="8.33203125" style="48" customWidth="1"/>
    <col min="1541" max="1541" width="9" style="48" customWidth="1"/>
    <col min="1542" max="1542" width="6.83203125" style="48" customWidth="1"/>
    <col min="1543" max="1543" width="9.5" style="48" customWidth="1"/>
    <col min="1544" max="1545" width="8.5" style="48" customWidth="1"/>
    <col min="1546" max="1546" width="5.33203125" style="48" customWidth="1"/>
    <col min="1547" max="1547" width="7.5" style="48" customWidth="1"/>
    <col min="1548" max="1560" width="8.83203125" style="48"/>
    <col min="1561" max="1569" width="9.33203125" style="48" bestFit="1" customWidth="1"/>
    <col min="1570" max="1570" width="9.6640625" style="48" bestFit="1" customWidth="1"/>
    <col min="1571" max="1571" width="9.33203125" style="48" bestFit="1" customWidth="1"/>
    <col min="1572" max="1792" width="8.83203125" style="48"/>
    <col min="1793" max="1793" width="19.1640625" style="48" customWidth="1"/>
    <col min="1794" max="1794" width="7" style="48" bestFit="1" customWidth="1"/>
    <col min="1795" max="1795" width="12.6640625" style="48" customWidth="1"/>
    <col min="1796" max="1796" width="8.33203125" style="48" customWidth="1"/>
    <col min="1797" max="1797" width="9" style="48" customWidth="1"/>
    <col min="1798" max="1798" width="6.83203125" style="48" customWidth="1"/>
    <col min="1799" max="1799" width="9.5" style="48" customWidth="1"/>
    <col min="1800" max="1801" width="8.5" style="48" customWidth="1"/>
    <col min="1802" max="1802" width="5.33203125" style="48" customWidth="1"/>
    <col min="1803" max="1803" width="7.5" style="48" customWidth="1"/>
    <col min="1804" max="1816" width="8.83203125" style="48"/>
    <col min="1817" max="1825" width="9.33203125" style="48" bestFit="1" customWidth="1"/>
    <col min="1826" max="1826" width="9.6640625" style="48" bestFit="1" customWidth="1"/>
    <col min="1827" max="1827" width="9.33203125" style="48" bestFit="1" customWidth="1"/>
    <col min="1828" max="2048" width="8.83203125" style="48"/>
    <col min="2049" max="2049" width="19.1640625" style="48" customWidth="1"/>
    <col min="2050" max="2050" width="7" style="48" bestFit="1" customWidth="1"/>
    <col min="2051" max="2051" width="12.6640625" style="48" customWidth="1"/>
    <col min="2052" max="2052" width="8.33203125" style="48" customWidth="1"/>
    <col min="2053" max="2053" width="9" style="48" customWidth="1"/>
    <col min="2054" max="2054" width="6.83203125" style="48" customWidth="1"/>
    <col min="2055" max="2055" width="9.5" style="48" customWidth="1"/>
    <col min="2056" max="2057" width="8.5" style="48" customWidth="1"/>
    <col min="2058" max="2058" width="5.33203125" style="48" customWidth="1"/>
    <col min="2059" max="2059" width="7.5" style="48" customWidth="1"/>
    <col min="2060" max="2072" width="8.83203125" style="48"/>
    <col min="2073" max="2081" width="9.33203125" style="48" bestFit="1" customWidth="1"/>
    <col min="2082" max="2082" width="9.6640625" style="48" bestFit="1" customWidth="1"/>
    <col min="2083" max="2083" width="9.33203125" style="48" bestFit="1" customWidth="1"/>
    <col min="2084" max="2304" width="8.83203125" style="48"/>
    <col min="2305" max="2305" width="19.1640625" style="48" customWidth="1"/>
    <col min="2306" max="2306" width="7" style="48" bestFit="1" customWidth="1"/>
    <col min="2307" max="2307" width="12.6640625" style="48" customWidth="1"/>
    <col min="2308" max="2308" width="8.33203125" style="48" customWidth="1"/>
    <col min="2309" max="2309" width="9" style="48" customWidth="1"/>
    <col min="2310" max="2310" width="6.83203125" style="48" customWidth="1"/>
    <col min="2311" max="2311" width="9.5" style="48" customWidth="1"/>
    <col min="2312" max="2313" width="8.5" style="48" customWidth="1"/>
    <col min="2314" max="2314" width="5.33203125" style="48" customWidth="1"/>
    <col min="2315" max="2315" width="7.5" style="48" customWidth="1"/>
    <col min="2316" max="2328" width="8.83203125" style="48"/>
    <col min="2329" max="2337" width="9.33203125" style="48" bestFit="1" customWidth="1"/>
    <col min="2338" max="2338" width="9.6640625" style="48" bestFit="1" customWidth="1"/>
    <col min="2339" max="2339" width="9.33203125" style="48" bestFit="1" customWidth="1"/>
    <col min="2340" max="2560" width="8.83203125" style="48"/>
    <col min="2561" max="2561" width="19.1640625" style="48" customWidth="1"/>
    <col min="2562" max="2562" width="7" style="48" bestFit="1" customWidth="1"/>
    <col min="2563" max="2563" width="12.6640625" style="48" customWidth="1"/>
    <col min="2564" max="2564" width="8.33203125" style="48" customWidth="1"/>
    <col min="2565" max="2565" width="9" style="48" customWidth="1"/>
    <col min="2566" max="2566" width="6.83203125" style="48" customWidth="1"/>
    <col min="2567" max="2567" width="9.5" style="48" customWidth="1"/>
    <col min="2568" max="2569" width="8.5" style="48" customWidth="1"/>
    <col min="2570" max="2570" width="5.33203125" style="48" customWidth="1"/>
    <col min="2571" max="2571" width="7.5" style="48" customWidth="1"/>
    <col min="2572" max="2584" width="8.83203125" style="48"/>
    <col min="2585" max="2593" width="9.33203125" style="48" bestFit="1" customWidth="1"/>
    <col min="2594" max="2594" width="9.6640625" style="48" bestFit="1" customWidth="1"/>
    <col min="2595" max="2595" width="9.33203125" style="48" bestFit="1" customWidth="1"/>
    <col min="2596" max="2816" width="8.83203125" style="48"/>
    <col min="2817" max="2817" width="19.1640625" style="48" customWidth="1"/>
    <col min="2818" max="2818" width="7" style="48" bestFit="1" customWidth="1"/>
    <col min="2819" max="2819" width="12.6640625" style="48" customWidth="1"/>
    <col min="2820" max="2820" width="8.33203125" style="48" customWidth="1"/>
    <col min="2821" max="2821" width="9" style="48" customWidth="1"/>
    <col min="2822" max="2822" width="6.83203125" style="48" customWidth="1"/>
    <col min="2823" max="2823" width="9.5" style="48" customWidth="1"/>
    <col min="2824" max="2825" width="8.5" style="48" customWidth="1"/>
    <col min="2826" max="2826" width="5.33203125" style="48" customWidth="1"/>
    <col min="2827" max="2827" width="7.5" style="48" customWidth="1"/>
    <col min="2828" max="2840" width="8.83203125" style="48"/>
    <col min="2841" max="2849" width="9.33203125" style="48" bestFit="1" customWidth="1"/>
    <col min="2850" max="2850" width="9.6640625" style="48" bestFit="1" customWidth="1"/>
    <col min="2851" max="2851" width="9.33203125" style="48" bestFit="1" customWidth="1"/>
    <col min="2852" max="3072" width="8.83203125" style="48"/>
    <col min="3073" max="3073" width="19.1640625" style="48" customWidth="1"/>
    <col min="3074" max="3074" width="7" style="48" bestFit="1" customWidth="1"/>
    <col min="3075" max="3075" width="12.6640625" style="48" customWidth="1"/>
    <col min="3076" max="3076" width="8.33203125" style="48" customWidth="1"/>
    <col min="3077" max="3077" width="9" style="48" customWidth="1"/>
    <col min="3078" max="3078" width="6.83203125" style="48" customWidth="1"/>
    <col min="3079" max="3079" width="9.5" style="48" customWidth="1"/>
    <col min="3080" max="3081" width="8.5" style="48" customWidth="1"/>
    <col min="3082" max="3082" width="5.33203125" style="48" customWidth="1"/>
    <col min="3083" max="3083" width="7.5" style="48" customWidth="1"/>
    <col min="3084" max="3096" width="8.83203125" style="48"/>
    <col min="3097" max="3105" width="9.33203125" style="48" bestFit="1" customWidth="1"/>
    <col min="3106" max="3106" width="9.6640625" style="48" bestFit="1" customWidth="1"/>
    <col min="3107" max="3107" width="9.33203125" style="48" bestFit="1" customWidth="1"/>
    <col min="3108" max="3328" width="8.83203125" style="48"/>
    <col min="3329" max="3329" width="19.1640625" style="48" customWidth="1"/>
    <col min="3330" max="3330" width="7" style="48" bestFit="1" customWidth="1"/>
    <col min="3331" max="3331" width="12.6640625" style="48" customWidth="1"/>
    <col min="3332" max="3332" width="8.33203125" style="48" customWidth="1"/>
    <col min="3333" max="3333" width="9" style="48" customWidth="1"/>
    <col min="3334" max="3334" width="6.83203125" style="48" customWidth="1"/>
    <col min="3335" max="3335" width="9.5" style="48" customWidth="1"/>
    <col min="3336" max="3337" width="8.5" style="48" customWidth="1"/>
    <col min="3338" max="3338" width="5.33203125" style="48" customWidth="1"/>
    <col min="3339" max="3339" width="7.5" style="48" customWidth="1"/>
    <col min="3340" max="3352" width="8.83203125" style="48"/>
    <col min="3353" max="3361" width="9.33203125" style="48" bestFit="1" customWidth="1"/>
    <col min="3362" max="3362" width="9.6640625" style="48" bestFit="1" customWidth="1"/>
    <col min="3363" max="3363" width="9.33203125" style="48" bestFit="1" customWidth="1"/>
    <col min="3364" max="3584" width="8.83203125" style="48"/>
    <col min="3585" max="3585" width="19.1640625" style="48" customWidth="1"/>
    <col min="3586" max="3586" width="7" style="48" bestFit="1" customWidth="1"/>
    <col min="3587" max="3587" width="12.6640625" style="48" customWidth="1"/>
    <col min="3588" max="3588" width="8.33203125" style="48" customWidth="1"/>
    <col min="3589" max="3589" width="9" style="48" customWidth="1"/>
    <col min="3590" max="3590" width="6.83203125" style="48" customWidth="1"/>
    <col min="3591" max="3591" width="9.5" style="48" customWidth="1"/>
    <col min="3592" max="3593" width="8.5" style="48" customWidth="1"/>
    <col min="3594" max="3594" width="5.33203125" style="48" customWidth="1"/>
    <col min="3595" max="3595" width="7.5" style="48" customWidth="1"/>
    <col min="3596" max="3608" width="8.83203125" style="48"/>
    <col min="3609" max="3617" width="9.33203125" style="48" bestFit="1" customWidth="1"/>
    <col min="3618" max="3618" width="9.6640625" style="48" bestFit="1" customWidth="1"/>
    <col min="3619" max="3619" width="9.33203125" style="48" bestFit="1" customWidth="1"/>
    <col min="3620" max="3840" width="8.83203125" style="48"/>
    <col min="3841" max="3841" width="19.1640625" style="48" customWidth="1"/>
    <col min="3842" max="3842" width="7" style="48" bestFit="1" customWidth="1"/>
    <col min="3843" max="3843" width="12.6640625" style="48" customWidth="1"/>
    <col min="3844" max="3844" width="8.33203125" style="48" customWidth="1"/>
    <col min="3845" max="3845" width="9" style="48" customWidth="1"/>
    <col min="3846" max="3846" width="6.83203125" style="48" customWidth="1"/>
    <col min="3847" max="3847" width="9.5" style="48" customWidth="1"/>
    <col min="3848" max="3849" width="8.5" style="48" customWidth="1"/>
    <col min="3850" max="3850" width="5.33203125" style="48" customWidth="1"/>
    <col min="3851" max="3851" width="7.5" style="48" customWidth="1"/>
    <col min="3852" max="3864" width="8.83203125" style="48"/>
    <col min="3865" max="3873" width="9.33203125" style="48" bestFit="1" customWidth="1"/>
    <col min="3874" max="3874" width="9.6640625" style="48" bestFit="1" customWidth="1"/>
    <col min="3875" max="3875" width="9.33203125" style="48" bestFit="1" customWidth="1"/>
    <col min="3876" max="4096" width="8.83203125" style="48"/>
    <col min="4097" max="4097" width="19.1640625" style="48" customWidth="1"/>
    <col min="4098" max="4098" width="7" style="48" bestFit="1" customWidth="1"/>
    <col min="4099" max="4099" width="12.6640625" style="48" customWidth="1"/>
    <col min="4100" max="4100" width="8.33203125" style="48" customWidth="1"/>
    <col min="4101" max="4101" width="9" style="48" customWidth="1"/>
    <col min="4102" max="4102" width="6.83203125" style="48" customWidth="1"/>
    <col min="4103" max="4103" width="9.5" style="48" customWidth="1"/>
    <col min="4104" max="4105" width="8.5" style="48" customWidth="1"/>
    <col min="4106" max="4106" width="5.33203125" style="48" customWidth="1"/>
    <col min="4107" max="4107" width="7.5" style="48" customWidth="1"/>
    <col min="4108" max="4120" width="8.83203125" style="48"/>
    <col min="4121" max="4129" width="9.33203125" style="48" bestFit="1" customWidth="1"/>
    <col min="4130" max="4130" width="9.6640625" style="48" bestFit="1" customWidth="1"/>
    <col min="4131" max="4131" width="9.33203125" style="48" bestFit="1" customWidth="1"/>
    <col min="4132" max="4352" width="8.83203125" style="48"/>
    <col min="4353" max="4353" width="19.1640625" style="48" customWidth="1"/>
    <col min="4354" max="4354" width="7" style="48" bestFit="1" customWidth="1"/>
    <col min="4355" max="4355" width="12.6640625" style="48" customWidth="1"/>
    <col min="4356" max="4356" width="8.33203125" style="48" customWidth="1"/>
    <col min="4357" max="4357" width="9" style="48" customWidth="1"/>
    <col min="4358" max="4358" width="6.83203125" style="48" customWidth="1"/>
    <col min="4359" max="4359" width="9.5" style="48" customWidth="1"/>
    <col min="4360" max="4361" width="8.5" style="48" customWidth="1"/>
    <col min="4362" max="4362" width="5.33203125" style="48" customWidth="1"/>
    <col min="4363" max="4363" width="7.5" style="48" customWidth="1"/>
    <col min="4364" max="4376" width="8.83203125" style="48"/>
    <col min="4377" max="4385" width="9.33203125" style="48" bestFit="1" customWidth="1"/>
    <col min="4386" max="4386" width="9.6640625" style="48" bestFit="1" customWidth="1"/>
    <col min="4387" max="4387" width="9.33203125" style="48" bestFit="1" customWidth="1"/>
    <col min="4388" max="4608" width="8.83203125" style="48"/>
    <col min="4609" max="4609" width="19.1640625" style="48" customWidth="1"/>
    <col min="4610" max="4610" width="7" style="48" bestFit="1" customWidth="1"/>
    <col min="4611" max="4611" width="12.6640625" style="48" customWidth="1"/>
    <col min="4612" max="4612" width="8.33203125" style="48" customWidth="1"/>
    <col min="4613" max="4613" width="9" style="48" customWidth="1"/>
    <col min="4614" max="4614" width="6.83203125" style="48" customWidth="1"/>
    <col min="4615" max="4615" width="9.5" style="48" customWidth="1"/>
    <col min="4616" max="4617" width="8.5" style="48" customWidth="1"/>
    <col min="4618" max="4618" width="5.33203125" style="48" customWidth="1"/>
    <col min="4619" max="4619" width="7.5" style="48" customWidth="1"/>
    <col min="4620" max="4632" width="8.83203125" style="48"/>
    <col min="4633" max="4641" width="9.33203125" style="48" bestFit="1" customWidth="1"/>
    <col min="4642" max="4642" width="9.6640625" style="48" bestFit="1" customWidth="1"/>
    <col min="4643" max="4643" width="9.33203125" style="48" bestFit="1" customWidth="1"/>
    <col min="4644" max="4864" width="8.83203125" style="48"/>
    <col min="4865" max="4865" width="19.1640625" style="48" customWidth="1"/>
    <col min="4866" max="4866" width="7" style="48" bestFit="1" customWidth="1"/>
    <col min="4867" max="4867" width="12.6640625" style="48" customWidth="1"/>
    <col min="4868" max="4868" width="8.33203125" style="48" customWidth="1"/>
    <col min="4869" max="4869" width="9" style="48" customWidth="1"/>
    <col min="4870" max="4870" width="6.83203125" style="48" customWidth="1"/>
    <col min="4871" max="4871" width="9.5" style="48" customWidth="1"/>
    <col min="4872" max="4873" width="8.5" style="48" customWidth="1"/>
    <col min="4874" max="4874" width="5.33203125" style="48" customWidth="1"/>
    <col min="4875" max="4875" width="7.5" style="48" customWidth="1"/>
    <col min="4876" max="4888" width="8.83203125" style="48"/>
    <col min="4889" max="4897" width="9.33203125" style="48" bestFit="1" customWidth="1"/>
    <col min="4898" max="4898" width="9.6640625" style="48" bestFit="1" customWidth="1"/>
    <col min="4899" max="4899" width="9.33203125" style="48" bestFit="1" customWidth="1"/>
    <col min="4900" max="5120" width="8.83203125" style="48"/>
    <col min="5121" max="5121" width="19.1640625" style="48" customWidth="1"/>
    <col min="5122" max="5122" width="7" style="48" bestFit="1" customWidth="1"/>
    <col min="5123" max="5123" width="12.6640625" style="48" customWidth="1"/>
    <col min="5124" max="5124" width="8.33203125" style="48" customWidth="1"/>
    <col min="5125" max="5125" width="9" style="48" customWidth="1"/>
    <col min="5126" max="5126" width="6.83203125" style="48" customWidth="1"/>
    <col min="5127" max="5127" width="9.5" style="48" customWidth="1"/>
    <col min="5128" max="5129" width="8.5" style="48" customWidth="1"/>
    <col min="5130" max="5130" width="5.33203125" style="48" customWidth="1"/>
    <col min="5131" max="5131" width="7.5" style="48" customWidth="1"/>
    <col min="5132" max="5144" width="8.83203125" style="48"/>
    <col min="5145" max="5153" width="9.33203125" style="48" bestFit="1" customWidth="1"/>
    <col min="5154" max="5154" width="9.6640625" style="48" bestFit="1" customWidth="1"/>
    <col min="5155" max="5155" width="9.33203125" style="48" bestFit="1" customWidth="1"/>
    <col min="5156" max="5376" width="8.83203125" style="48"/>
    <col min="5377" max="5377" width="19.1640625" style="48" customWidth="1"/>
    <col min="5378" max="5378" width="7" style="48" bestFit="1" customWidth="1"/>
    <col min="5379" max="5379" width="12.6640625" style="48" customWidth="1"/>
    <col min="5380" max="5380" width="8.33203125" style="48" customWidth="1"/>
    <col min="5381" max="5381" width="9" style="48" customWidth="1"/>
    <col min="5382" max="5382" width="6.83203125" style="48" customWidth="1"/>
    <col min="5383" max="5383" width="9.5" style="48" customWidth="1"/>
    <col min="5384" max="5385" width="8.5" style="48" customWidth="1"/>
    <col min="5386" max="5386" width="5.33203125" style="48" customWidth="1"/>
    <col min="5387" max="5387" width="7.5" style="48" customWidth="1"/>
    <col min="5388" max="5400" width="8.83203125" style="48"/>
    <col min="5401" max="5409" width="9.33203125" style="48" bestFit="1" customWidth="1"/>
    <col min="5410" max="5410" width="9.6640625" style="48" bestFit="1" customWidth="1"/>
    <col min="5411" max="5411" width="9.33203125" style="48" bestFit="1" customWidth="1"/>
    <col min="5412" max="5632" width="8.83203125" style="48"/>
    <col min="5633" max="5633" width="19.1640625" style="48" customWidth="1"/>
    <col min="5634" max="5634" width="7" style="48" bestFit="1" customWidth="1"/>
    <col min="5635" max="5635" width="12.6640625" style="48" customWidth="1"/>
    <col min="5636" max="5636" width="8.33203125" style="48" customWidth="1"/>
    <col min="5637" max="5637" width="9" style="48" customWidth="1"/>
    <col min="5638" max="5638" width="6.83203125" style="48" customWidth="1"/>
    <col min="5639" max="5639" width="9.5" style="48" customWidth="1"/>
    <col min="5640" max="5641" width="8.5" style="48" customWidth="1"/>
    <col min="5642" max="5642" width="5.33203125" style="48" customWidth="1"/>
    <col min="5643" max="5643" width="7.5" style="48" customWidth="1"/>
    <col min="5644" max="5656" width="8.83203125" style="48"/>
    <col min="5657" max="5665" width="9.33203125" style="48" bestFit="1" customWidth="1"/>
    <col min="5666" max="5666" width="9.6640625" style="48" bestFit="1" customWidth="1"/>
    <col min="5667" max="5667" width="9.33203125" style="48" bestFit="1" customWidth="1"/>
    <col min="5668" max="5888" width="8.83203125" style="48"/>
    <col min="5889" max="5889" width="19.1640625" style="48" customWidth="1"/>
    <col min="5890" max="5890" width="7" style="48" bestFit="1" customWidth="1"/>
    <col min="5891" max="5891" width="12.6640625" style="48" customWidth="1"/>
    <col min="5892" max="5892" width="8.33203125" style="48" customWidth="1"/>
    <col min="5893" max="5893" width="9" style="48" customWidth="1"/>
    <col min="5894" max="5894" width="6.83203125" style="48" customWidth="1"/>
    <col min="5895" max="5895" width="9.5" style="48" customWidth="1"/>
    <col min="5896" max="5897" width="8.5" style="48" customWidth="1"/>
    <col min="5898" max="5898" width="5.33203125" style="48" customWidth="1"/>
    <col min="5899" max="5899" width="7.5" style="48" customWidth="1"/>
    <col min="5900" max="5912" width="8.83203125" style="48"/>
    <col min="5913" max="5921" width="9.33203125" style="48" bestFit="1" customWidth="1"/>
    <col min="5922" max="5922" width="9.6640625" style="48" bestFit="1" customWidth="1"/>
    <col min="5923" max="5923" width="9.33203125" style="48" bestFit="1" customWidth="1"/>
    <col min="5924" max="6144" width="8.83203125" style="48"/>
    <col min="6145" max="6145" width="19.1640625" style="48" customWidth="1"/>
    <col min="6146" max="6146" width="7" style="48" bestFit="1" customWidth="1"/>
    <col min="6147" max="6147" width="12.6640625" style="48" customWidth="1"/>
    <col min="6148" max="6148" width="8.33203125" style="48" customWidth="1"/>
    <col min="6149" max="6149" width="9" style="48" customWidth="1"/>
    <col min="6150" max="6150" width="6.83203125" style="48" customWidth="1"/>
    <col min="6151" max="6151" width="9.5" style="48" customWidth="1"/>
    <col min="6152" max="6153" width="8.5" style="48" customWidth="1"/>
    <col min="6154" max="6154" width="5.33203125" style="48" customWidth="1"/>
    <col min="6155" max="6155" width="7.5" style="48" customWidth="1"/>
    <col min="6156" max="6168" width="8.83203125" style="48"/>
    <col min="6169" max="6177" width="9.33203125" style="48" bestFit="1" customWidth="1"/>
    <col min="6178" max="6178" width="9.6640625" style="48" bestFit="1" customWidth="1"/>
    <col min="6179" max="6179" width="9.33203125" style="48" bestFit="1" customWidth="1"/>
    <col min="6180" max="6400" width="8.83203125" style="48"/>
    <col min="6401" max="6401" width="19.1640625" style="48" customWidth="1"/>
    <col min="6402" max="6402" width="7" style="48" bestFit="1" customWidth="1"/>
    <col min="6403" max="6403" width="12.6640625" style="48" customWidth="1"/>
    <col min="6404" max="6404" width="8.33203125" style="48" customWidth="1"/>
    <col min="6405" max="6405" width="9" style="48" customWidth="1"/>
    <col min="6406" max="6406" width="6.83203125" style="48" customWidth="1"/>
    <col min="6407" max="6407" width="9.5" style="48" customWidth="1"/>
    <col min="6408" max="6409" width="8.5" style="48" customWidth="1"/>
    <col min="6410" max="6410" width="5.33203125" style="48" customWidth="1"/>
    <col min="6411" max="6411" width="7.5" style="48" customWidth="1"/>
    <col min="6412" max="6424" width="8.83203125" style="48"/>
    <col min="6425" max="6433" width="9.33203125" style="48" bestFit="1" customWidth="1"/>
    <col min="6434" max="6434" width="9.6640625" style="48" bestFit="1" customWidth="1"/>
    <col min="6435" max="6435" width="9.33203125" style="48" bestFit="1" customWidth="1"/>
    <col min="6436" max="6656" width="8.83203125" style="48"/>
    <col min="6657" max="6657" width="19.1640625" style="48" customWidth="1"/>
    <col min="6658" max="6658" width="7" style="48" bestFit="1" customWidth="1"/>
    <col min="6659" max="6659" width="12.6640625" style="48" customWidth="1"/>
    <col min="6660" max="6660" width="8.33203125" style="48" customWidth="1"/>
    <col min="6661" max="6661" width="9" style="48" customWidth="1"/>
    <col min="6662" max="6662" width="6.83203125" style="48" customWidth="1"/>
    <col min="6663" max="6663" width="9.5" style="48" customWidth="1"/>
    <col min="6664" max="6665" width="8.5" style="48" customWidth="1"/>
    <col min="6666" max="6666" width="5.33203125" style="48" customWidth="1"/>
    <col min="6667" max="6667" width="7.5" style="48" customWidth="1"/>
    <col min="6668" max="6680" width="8.83203125" style="48"/>
    <col min="6681" max="6689" width="9.33203125" style="48" bestFit="1" customWidth="1"/>
    <col min="6690" max="6690" width="9.6640625" style="48" bestFit="1" customWidth="1"/>
    <col min="6691" max="6691" width="9.33203125" style="48" bestFit="1" customWidth="1"/>
    <col min="6692" max="6912" width="8.83203125" style="48"/>
    <col min="6913" max="6913" width="19.1640625" style="48" customWidth="1"/>
    <col min="6914" max="6914" width="7" style="48" bestFit="1" customWidth="1"/>
    <col min="6915" max="6915" width="12.6640625" style="48" customWidth="1"/>
    <col min="6916" max="6916" width="8.33203125" style="48" customWidth="1"/>
    <col min="6917" max="6917" width="9" style="48" customWidth="1"/>
    <col min="6918" max="6918" width="6.83203125" style="48" customWidth="1"/>
    <col min="6919" max="6919" width="9.5" style="48" customWidth="1"/>
    <col min="6920" max="6921" width="8.5" style="48" customWidth="1"/>
    <col min="6922" max="6922" width="5.33203125" style="48" customWidth="1"/>
    <col min="6923" max="6923" width="7.5" style="48" customWidth="1"/>
    <col min="6924" max="6936" width="8.83203125" style="48"/>
    <col min="6937" max="6945" width="9.33203125" style="48" bestFit="1" customWidth="1"/>
    <col min="6946" max="6946" width="9.6640625" style="48" bestFit="1" customWidth="1"/>
    <col min="6947" max="6947" width="9.33203125" style="48" bestFit="1" customWidth="1"/>
    <col min="6948" max="7168" width="8.83203125" style="48"/>
    <col min="7169" max="7169" width="19.1640625" style="48" customWidth="1"/>
    <col min="7170" max="7170" width="7" style="48" bestFit="1" customWidth="1"/>
    <col min="7171" max="7171" width="12.6640625" style="48" customWidth="1"/>
    <col min="7172" max="7172" width="8.33203125" style="48" customWidth="1"/>
    <col min="7173" max="7173" width="9" style="48" customWidth="1"/>
    <col min="7174" max="7174" width="6.83203125" style="48" customWidth="1"/>
    <col min="7175" max="7175" width="9.5" style="48" customWidth="1"/>
    <col min="7176" max="7177" width="8.5" style="48" customWidth="1"/>
    <col min="7178" max="7178" width="5.33203125" style="48" customWidth="1"/>
    <col min="7179" max="7179" width="7.5" style="48" customWidth="1"/>
    <col min="7180" max="7192" width="8.83203125" style="48"/>
    <col min="7193" max="7201" width="9.33203125" style="48" bestFit="1" customWidth="1"/>
    <col min="7202" max="7202" width="9.6640625" style="48" bestFit="1" customWidth="1"/>
    <col min="7203" max="7203" width="9.33203125" style="48" bestFit="1" customWidth="1"/>
    <col min="7204" max="7424" width="8.83203125" style="48"/>
    <col min="7425" max="7425" width="19.1640625" style="48" customWidth="1"/>
    <col min="7426" max="7426" width="7" style="48" bestFit="1" customWidth="1"/>
    <col min="7427" max="7427" width="12.6640625" style="48" customWidth="1"/>
    <col min="7428" max="7428" width="8.33203125" style="48" customWidth="1"/>
    <col min="7429" max="7429" width="9" style="48" customWidth="1"/>
    <col min="7430" max="7430" width="6.83203125" style="48" customWidth="1"/>
    <col min="7431" max="7431" width="9.5" style="48" customWidth="1"/>
    <col min="7432" max="7433" width="8.5" style="48" customWidth="1"/>
    <col min="7434" max="7434" width="5.33203125" style="48" customWidth="1"/>
    <col min="7435" max="7435" width="7.5" style="48" customWidth="1"/>
    <col min="7436" max="7448" width="8.83203125" style="48"/>
    <col min="7449" max="7457" width="9.33203125" style="48" bestFit="1" customWidth="1"/>
    <col min="7458" max="7458" width="9.6640625" style="48" bestFit="1" customWidth="1"/>
    <col min="7459" max="7459" width="9.33203125" style="48" bestFit="1" customWidth="1"/>
    <col min="7460" max="7680" width="8.83203125" style="48"/>
    <col min="7681" max="7681" width="19.1640625" style="48" customWidth="1"/>
    <col min="7682" max="7682" width="7" style="48" bestFit="1" customWidth="1"/>
    <col min="7683" max="7683" width="12.6640625" style="48" customWidth="1"/>
    <col min="7684" max="7684" width="8.33203125" style="48" customWidth="1"/>
    <col min="7685" max="7685" width="9" style="48" customWidth="1"/>
    <col min="7686" max="7686" width="6.83203125" style="48" customWidth="1"/>
    <col min="7687" max="7687" width="9.5" style="48" customWidth="1"/>
    <col min="7688" max="7689" width="8.5" style="48" customWidth="1"/>
    <col min="7690" max="7690" width="5.33203125" style="48" customWidth="1"/>
    <col min="7691" max="7691" width="7.5" style="48" customWidth="1"/>
    <col min="7692" max="7704" width="8.83203125" style="48"/>
    <col min="7705" max="7713" width="9.33203125" style="48" bestFit="1" customWidth="1"/>
    <col min="7714" max="7714" width="9.6640625" style="48" bestFit="1" customWidth="1"/>
    <col min="7715" max="7715" width="9.33203125" style="48" bestFit="1" customWidth="1"/>
    <col min="7716" max="7936" width="8.83203125" style="48"/>
    <col min="7937" max="7937" width="19.1640625" style="48" customWidth="1"/>
    <col min="7938" max="7938" width="7" style="48" bestFit="1" customWidth="1"/>
    <col min="7939" max="7939" width="12.6640625" style="48" customWidth="1"/>
    <col min="7940" max="7940" width="8.33203125" style="48" customWidth="1"/>
    <col min="7941" max="7941" width="9" style="48" customWidth="1"/>
    <col min="7942" max="7942" width="6.83203125" style="48" customWidth="1"/>
    <col min="7943" max="7943" width="9.5" style="48" customWidth="1"/>
    <col min="7944" max="7945" width="8.5" style="48" customWidth="1"/>
    <col min="7946" max="7946" width="5.33203125" style="48" customWidth="1"/>
    <col min="7947" max="7947" width="7.5" style="48" customWidth="1"/>
    <col min="7948" max="7960" width="8.83203125" style="48"/>
    <col min="7961" max="7969" width="9.33203125" style="48" bestFit="1" customWidth="1"/>
    <col min="7970" max="7970" width="9.6640625" style="48" bestFit="1" customWidth="1"/>
    <col min="7971" max="7971" width="9.33203125" style="48" bestFit="1" customWidth="1"/>
    <col min="7972" max="8192" width="8.83203125" style="48"/>
    <col min="8193" max="8193" width="19.1640625" style="48" customWidth="1"/>
    <col min="8194" max="8194" width="7" style="48" bestFit="1" customWidth="1"/>
    <col min="8195" max="8195" width="12.6640625" style="48" customWidth="1"/>
    <col min="8196" max="8196" width="8.33203125" style="48" customWidth="1"/>
    <col min="8197" max="8197" width="9" style="48" customWidth="1"/>
    <col min="8198" max="8198" width="6.83203125" style="48" customWidth="1"/>
    <col min="8199" max="8199" width="9.5" style="48" customWidth="1"/>
    <col min="8200" max="8201" width="8.5" style="48" customWidth="1"/>
    <col min="8202" max="8202" width="5.33203125" style="48" customWidth="1"/>
    <col min="8203" max="8203" width="7.5" style="48" customWidth="1"/>
    <col min="8204" max="8216" width="8.83203125" style="48"/>
    <col min="8217" max="8225" width="9.33203125" style="48" bestFit="1" customWidth="1"/>
    <col min="8226" max="8226" width="9.6640625" style="48" bestFit="1" customWidth="1"/>
    <col min="8227" max="8227" width="9.33203125" style="48" bestFit="1" customWidth="1"/>
    <col min="8228" max="8448" width="8.83203125" style="48"/>
    <col min="8449" max="8449" width="19.1640625" style="48" customWidth="1"/>
    <col min="8450" max="8450" width="7" style="48" bestFit="1" customWidth="1"/>
    <col min="8451" max="8451" width="12.6640625" style="48" customWidth="1"/>
    <col min="8452" max="8452" width="8.33203125" style="48" customWidth="1"/>
    <col min="8453" max="8453" width="9" style="48" customWidth="1"/>
    <col min="8454" max="8454" width="6.83203125" style="48" customWidth="1"/>
    <col min="8455" max="8455" width="9.5" style="48" customWidth="1"/>
    <col min="8456" max="8457" width="8.5" style="48" customWidth="1"/>
    <col min="8458" max="8458" width="5.33203125" style="48" customWidth="1"/>
    <col min="8459" max="8459" width="7.5" style="48" customWidth="1"/>
    <col min="8460" max="8472" width="8.83203125" style="48"/>
    <col min="8473" max="8481" width="9.33203125" style="48" bestFit="1" customWidth="1"/>
    <col min="8482" max="8482" width="9.6640625" style="48" bestFit="1" customWidth="1"/>
    <col min="8483" max="8483" width="9.33203125" style="48" bestFit="1" customWidth="1"/>
    <col min="8484" max="8704" width="8.83203125" style="48"/>
    <col min="8705" max="8705" width="19.1640625" style="48" customWidth="1"/>
    <col min="8706" max="8706" width="7" style="48" bestFit="1" customWidth="1"/>
    <col min="8707" max="8707" width="12.6640625" style="48" customWidth="1"/>
    <col min="8708" max="8708" width="8.33203125" style="48" customWidth="1"/>
    <col min="8709" max="8709" width="9" style="48" customWidth="1"/>
    <col min="8710" max="8710" width="6.83203125" style="48" customWidth="1"/>
    <col min="8711" max="8711" width="9.5" style="48" customWidth="1"/>
    <col min="8712" max="8713" width="8.5" style="48" customWidth="1"/>
    <col min="8714" max="8714" width="5.33203125" style="48" customWidth="1"/>
    <col min="8715" max="8715" width="7.5" style="48" customWidth="1"/>
    <col min="8716" max="8728" width="8.83203125" style="48"/>
    <col min="8729" max="8737" width="9.33203125" style="48" bestFit="1" customWidth="1"/>
    <col min="8738" max="8738" width="9.6640625" style="48" bestFit="1" customWidth="1"/>
    <col min="8739" max="8739" width="9.33203125" style="48" bestFit="1" customWidth="1"/>
    <col min="8740" max="8960" width="8.83203125" style="48"/>
    <col min="8961" max="8961" width="19.1640625" style="48" customWidth="1"/>
    <col min="8962" max="8962" width="7" style="48" bestFit="1" customWidth="1"/>
    <col min="8963" max="8963" width="12.6640625" style="48" customWidth="1"/>
    <col min="8964" max="8964" width="8.33203125" style="48" customWidth="1"/>
    <col min="8965" max="8965" width="9" style="48" customWidth="1"/>
    <col min="8966" max="8966" width="6.83203125" style="48" customWidth="1"/>
    <col min="8967" max="8967" width="9.5" style="48" customWidth="1"/>
    <col min="8968" max="8969" width="8.5" style="48" customWidth="1"/>
    <col min="8970" max="8970" width="5.33203125" style="48" customWidth="1"/>
    <col min="8971" max="8971" width="7.5" style="48" customWidth="1"/>
    <col min="8972" max="8984" width="8.83203125" style="48"/>
    <col min="8985" max="8993" width="9.33203125" style="48" bestFit="1" customWidth="1"/>
    <col min="8994" max="8994" width="9.6640625" style="48" bestFit="1" customWidth="1"/>
    <col min="8995" max="8995" width="9.33203125" style="48" bestFit="1" customWidth="1"/>
    <col min="8996" max="9216" width="8.83203125" style="48"/>
    <col min="9217" max="9217" width="19.1640625" style="48" customWidth="1"/>
    <col min="9218" max="9218" width="7" style="48" bestFit="1" customWidth="1"/>
    <col min="9219" max="9219" width="12.6640625" style="48" customWidth="1"/>
    <col min="9220" max="9220" width="8.33203125" style="48" customWidth="1"/>
    <col min="9221" max="9221" width="9" style="48" customWidth="1"/>
    <col min="9222" max="9222" width="6.83203125" style="48" customWidth="1"/>
    <col min="9223" max="9223" width="9.5" style="48" customWidth="1"/>
    <col min="9224" max="9225" width="8.5" style="48" customWidth="1"/>
    <col min="9226" max="9226" width="5.33203125" style="48" customWidth="1"/>
    <col min="9227" max="9227" width="7.5" style="48" customWidth="1"/>
    <col min="9228" max="9240" width="8.83203125" style="48"/>
    <col min="9241" max="9249" width="9.33203125" style="48" bestFit="1" customWidth="1"/>
    <col min="9250" max="9250" width="9.6640625" style="48" bestFit="1" customWidth="1"/>
    <col min="9251" max="9251" width="9.33203125" style="48" bestFit="1" customWidth="1"/>
    <col min="9252" max="9472" width="8.83203125" style="48"/>
    <col min="9473" max="9473" width="19.1640625" style="48" customWidth="1"/>
    <col min="9474" max="9474" width="7" style="48" bestFit="1" customWidth="1"/>
    <col min="9475" max="9475" width="12.6640625" style="48" customWidth="1"/>
    <col min="9476" max="9476" width="8.33203125" style="48" customWidth="1"/>
    <col min="9477" max="9477" width="9" style="48" customWidth="1"/>
    <col min="9478" max="9478" width="6.83203125" style="48" customWidth="1"/>
    <col min="9479" max="9479" width="9.5" style="48" customWidth="1"/>
    <col min="9480" max="9481" width="8.5" style="48" customWidth="1"/>
    <col min="9482" max="9482" width="5.33203125" style="48" customWidth="1"/>
    <col min="9483" max="9483" width="7.5" style="48" customWidth="1"/>
    <col min="9484" max="9496" width="8.83203125" style="48"/>
    <col min="9497" max="9505" width="9.33203125" style="48" bestFit="1" customWidth="1"/>
    <col min="9506" max="9506" width="9.6640625" style="48" bestFit="1" customWidth="1"/>
    <col min="9507" max="9507" width="9.33203125" style="48" bestFit="1" customWidth="1"/>
    <col min="9508" max="9728" width="8.83203125" style="48"/>
    <col min="9729" max="9729" width="19.1640625" style="48" customWidth="1"/>
    <col min="9730" max="9730" width="7" style="48" bestFit="1" customWidth="1"/>
    <col min="9731" max="9731" width="12.6640625" style="48" customWidth="1"/>
    <col min="9732" max="9732" width="8.33203125" style="48" customWidth="1"/>
    <col min="9733" max="9733" width="9" style="48" customWidth="1"/>
    <col min="9734" max="9734" width="6.83203125" style="48" customWidth="1"/>
    <col min="9735" max="9735" width="9.5" style="48" customWidth="1"/>
    <col min="9736" max="9737" width="8.5" style="48" customWidth="1"/>
    <col min="9738" max="9738" width="5.33203125" style="48" customWidth="1"/>
    <col min="9739" max="9739" width="7.5" style="48" customWidth="1"/>
    <col min="9740" max="9752" width="8.83203125" style="48"/>
    <col min="9753" max="9761" width="9.33203125" style="48" bestFit="1" customWidth="1"/>
    <col min="9762" max="9762" width="9.6640625" style="48" bestFit="1" customWidth="1"/>
    <col min="9763" max="9763" width="9.33203125" style="48" bestFit="1" customWidth="1"/>
    <col min="9764" max="9984" width="8.83203125" style="48"/>
    <col min="9985" max="9985" width="19.1640625" style="48" customWidth="1"/>
    <col min="9986" max="9986" width="7" style="48" bestFit="1" customWidth="1"/>
    <col min="9987" max="9987" width="12.6640625" style="48" customWidth="1"/>
    <col min="9988" max="9988" width="8.33203125" style="48" customWidth="1"/>
    <col min="9989" max="9989" width="9" style="48" customWidth="1"/>
    <col min="9990" max="9990" width="6.83203125" style="48" customWidth="1"/>
    <col min="9991" max="9991" width="9.5" style="48" customWidth="1"/>
    <col min="9992" max="9993" width="8.5" style="48" customWidth="1"/>
    <col min="9994" max="9994" width="5.33203125" style="48" customWidth="1"/>
    <col min="9995" max="9995" width="7.5" style="48" customWidth="1"/>
    <col min="9996" max="10008" width="8.83203125" style="48"/>
    <col min="10009" max="10017" width="9.33203125" style="48" bestFit="1" customWidth="1"/>
    <col min="10018" max="10018" width="9.6640625" style="48" bestFit="1" customWidth="1"/>
    <col min="10019" max="10019" width="9.33203125" style="48" bestFit="1" customWidth="1"/>
    <col min="10020" max="10240" width="8.83203125" style="48"/>
    <col min="10241" max="10241" width="19.1640625" style="48" customWidth="1"/>
    <col min="10242" max="10242" width="7" style="48" bestFit="1" customWidth="1"/>
    <col min="10243" max="10243" width="12.6640625" style="48" customWidth="1"/>
    <col min="10244" max="10244" width="8.33203125" style="48" customWidth="1"/>
    <col min="10245" max="10245" width="9" style="48" customWidth="1"/>
    <col min="10246" max="10246" width="6.83203125" style="48" customWidth="1"/>
    <col min="10247" max="10247" width="9.5" style="48" customWidth="1"/>
    <col min="10248" max="10249" width="8.5" style="48" customWidth="1"/>
    <col min="10250" max="10250" width="5.33203125" style="48" customWidth="1"/>
    <col min="10251" max="10251" width="7.5" style="48" customWidth="1"/>
    <col min="10252" max="10264" width="8.83203125" style="48"/>
    <col min="10265" max="10273" width="9.33203125" style="48" bestFit="1" customWidth="1"/>
    <col min="10274" max="10274" width="9.6640625" style="48" bestFit="1" customWidth="1"/>
    <col min="10275" max="10275" width="9.33203125" style="48" bestFit="1" customWidth="1"/>
    <col min="10276" max="10496" width="8.83203125" style="48"/>
    <col min="10497" max="10497" width="19.1640625" style="48" customWidth="1"/>
    <col min="10498" max="10498" width="7" style="48" bestFit="1" customWidth="1"/>
    <col min="10499" max="10499" width="12.6640625" style="48" customWidth="1"/>
    <col min="10500" max="10500" width="8.33203125" style="48" customWidth="1"/>
    <col min="10501" max="10501" width="9" style="48" customWidth="1"/>
    <col min="10502" max="10502" width="6.83203125" style="48" customWidth="1"/>
    <col min="10503" max="10503" width="9.5" style="48" customWidth="1"/>
    <col min="10504" max="10505" width="8.5" style="48" customWidth="1"/>
    <col min="10506" max="10506" width="5.33203125" style="48" customWidth="1"/>
    <col min="10507" max="10507" width="7.5" style="48" customWidth="1"/>
    <col min="10508" max="10520" width="8.83203125" style="48"/>
    <col min="10521" max="10529" width="9.33203125" style="48" bestFit="1" customWidth="1"/>
    <col min="10530" max="10530" width="9.6640625" style="48" bestFit="1" customWidth="1"/>
    <col min="10531" max="10531" width="9.33203125" style="48" bestFit="1" customWidth="1"/>
    <col min="10532" max="10752" width="8.83203125" style="48"/>
    <col min="10753" max="10753" width="19.1640625" style="48" customWidth="1"/>
    <col min="10754" max="10754" width="7" style="48" bestFit="1" customWidth="1"/>
    <col min="10755" max="10755" width="12.6640625" style="48" customWidth="1"/>
    <col min="10756" max="10756" width="8.33203125" style="48" customWidth="1"/>
    <col min="10757" max="10757" width="9" style="48" customWidth="1"/>
    <col min="10758" max="10758" width="6.83203125" style="48" customWidth="1"/>
    <col min="10759" max="10759" width="9.5" style="48" customWidth="1"/>
    <col min="10760" max="10761" width="8.5" style="48" customWidth="1"/>
    <col min="10762" max="10762" width="5.33203125" style="48" customWidth="1"/>
    <col min="10763" max="10763" width="7.5" style="48" customWidth="1"/>
    <col min="10764" max="10776" width="8.83203125" style="48"/>
    <col min="10777" max="10785" width="9.33203125" style="48" bestFit="1" customWidth="1"/>
    <col min="10786" max="10786" width="9.6640625" style="48" bestFit="1" customWidth="1"/>
    <col min="10787" max="10787" width="9.33203125" style="48" bestFit="1" customWidth="1"/>
    <col min="10788" max="11008" width="8.83203125" style="48"/>
    <col min="11009" max="11009" width="19.1640625" style="48" customWidth="1"/>
    <col min="11010" max="11010" width="7" style="48" bestFit="1" customWidth="1"/>
    <col min="11011" max="11011" width="12.6640625" style="48" customWidth="1"/>
    <col min="11012" max="11012" width="8.33203125" style="48" customWidth="1"/>
    <col min="11013" max="11013" width="9" style="48" customWidth="1"/>
    <col min="11014" max="11014" width="6.83203125" style="48" customWidth="1"/>
    <col min="11015" max="11015" width="9.5" style="48" customWidth="1"/>
    <col min="11016" max="11017" width="8.5" style="48" customWidth="1"/>
    <col min="11018" max="11018" width="5.33203125" style="48" customWidth="1"/>
    <col min="11019" max="11019" width="7.5" style="48" customWidth="1"/>
    <col min="11020" max="11032" width="8.83203125" style="48"/>
    <col min="11033" max="11041" width="9.33203125" style="48" bestFit="1" customWidth="1"/>
    <col min="11042" max="11042" width="9.6640625" style="48" bestFit="1" customWidth="1"/>
    <col min="11043" max="11043" width="9.33203125" style="48" bestFit="1" customWidth="1"/>
    <col min="11044" max="11264" width="8.83203125" style="48"/>
    <col min="11265" max="11265" width="19.1640625" style="48" customWidth="1"/>
    <col min="11266" max="11266" width="7" style="48" bestFit="1" customWidth="1"/>
    <col min="11267" max="11267" width="12.6640625" style="48" customWidth="1"/>
    <col min="11268" max="11268" width="8.33203125" style="48" customWidth="1"/>
    <col min="11269" max="11269" width="9" style="48" customWidth="1"/>
    <col min="11270" max="11270" width="6.83203125" style="48" customWidth="1"/>
    <col min="11271" max="11271" width="9.5" style="48" customWidth="1"/>
    <col min="11272" max="11273" width="8.5" style="48" customWidth="1"/>
    <col min="11274" max="11274" width="5.33203125" style="48" customWidth="1"/>
    <col min="11275" max="11275" width="7.5" style="48" customWidth="1"/>
    <col min="11276" max="11288" width="8.83203125" style="48"/>
    <col min="11289" max="11297" width="9.33203125" style="48" bestFit="1" customWidth="1"/>
    <col min="11298" max="11298" width="9.6640625" style="48" bestFit="1" customWidth="1"/>
    <col min="11299" max="11299" width="9.33203125" style="48" bestFit="1" customWidth="1"/>
    <col min="11300" max="11520" width="8.83203125" style="48"/>
    <col min="11521" max="11521" width="19.1640625" style="48" customWidth="1"/>
    <col min="11522" max="11522" width="7" style="48" bestFit="1" customWidth="1"/>
    <col min="11523" max="11523" width="12.6640625" style="48" customWidth="1"/>
    <col min="11524" max="11524" width="8.33203125" style="48" customWidth="1"/>
    <col min="11525" max="11525" width="9" style="48" customWidth="1"/>
    <col min="11526" max="11526" width="6.83203125" style="48" customWidth="1"/>
    <col min="11527" max="11527" width="9.5" style="48" customWidth="1"/>
    <col min="11528" max="11529" width="8.5" style="48" customWidth="1"/>
    <col min="11530" max="11530" width="5.33203125" style="48" customWidth="1"/>
    <col min="11531" max="11531" width="7.5" style="48" customWidth="1"/>
    <col min="11532" max="11544" width="8.83203125" style="48"/>
    <col min="11545" max="11553" width="9.33203125" style="48" bestFit="1" customWidth="1"/>
    <col min="11554" max="11554" width="9.6640625" style="48" bestFit="1" customWidth="1"/>
    <col min="11555" max="11555" width="9.33203125" style="48" bestFit="1" customWidth="1"/>
    <col min="11556" max="11776" width="8.83203125" style="48"/>
    <col min="11777" max="11777" width="19.1640625" style="48" customWidth="1"/>
    <col min="11778" max="11778" width="7" style="48" bestFit="1" customWidth="1"/>
    <col min="11779" max="11779" width="12.6640625" style="48" customWidth="1"/>
    <col min="11780" max="11780" width="8.33203125" style="48" customWidth="1"/>
    <col min="11781" max="11781" width="9" style="48" customWidth="1"/>
    <col min="11782" max="11782" width="6.83203125" style="48" customWidth="1"/>
    <col min="11783" max="11783" width="9.5" style="48" customWidth="1"/>
    <col min="11784" max="11785" width="8.5" style="48" customWidth="1"/>
    <col min="11786" max="11786" width="5.33203125" style="48" customWidth="1"/>
    <col min="11787" max="11787" width="7.5" style="48" customWidth="1"/>
    <col min="11788" max="11800" width="8.83203125" style="48"/>
    <col min="11801" max="11809" width="9.33203125" style="48" bestFit="1" customWidth="1"/>
    <col min="11810" max="11810" width="9.6640625" style="48" bestFit="1" customWidth="1"/>
    <col min="11811" max="11811" width="9.33203125" style="48" bestFit="1" customWidth="1"/>
    <col min="11812" max="12032" width="8.83203125" style="48"/>
    <col min="12033" max="12033" width="19.1640625" style="48" customWidth="1"/>
    <col min="12034" max="12034" width="7" style="48" bestFit="1" customWidth="1"/>
    <col min="12035" max="12035" width="12.6640625" style="48" customWidth="1"/>
    <col min="12036" max="12036" width="8.33203125" style="48" customWidth="1"/>
    <col min="12037" max="12037" width="9" style="48" customWidth="1"/>
    <col min="12038" max="12038" width="6.83203125" style="48" customWidth="1"/>
    <col min="12039" max="12039" width="9.5" style="48" customWidth="1"/>
    <col min="12040" max="12041" width="8.5" style="48" customWidth="1"/>
    <col min="12042" max="12042" width="5.33203125" style="48" customWidth="1"/>
    <col min="12043" max="12043" width="7.5" style="48" customWidth="1"/>
    <col min="12044" max="12056" width="8.83203125" style="48"/>
    <col min="12057" max="12065" width="9.33203125" style="48" bestFit="1" customWidth="1"/>
    <col min="12066" max="12066" width="9.6640625" style="48" bestFit="1" customWidth="1"/>
    <col min="12067" max="12067" width="9.33203125" style="48" bestFit="1" customWidth="1"/>
    <col min="12068" max="12288" width="8.83203125" style="48"/>
    <col min="12289" max="12289" width="19.1640625" style="48" customWidth="1"/>
    <col min="12290" max="12290" width="7" style="48" bestFit="1" customWidth="1"/>
    <col min="12291" max="12291" width="12.6640625" style="48" customWidth="1"/>
    <col min="12292" max="12292" width="8.33203125" style="48" customWidth="1"/>
    <col min="12293" max="12293" width="9" style="48" customWidth="1"/>
    <col min="12294" max="12294" width="6.83203125" style="48" customWidth="1"/>
    <col min="12295" max="12295" width="9.5" style="48" customWidth="1"/>
    <col min="12296" max="12297" width="8.5" style="48" customWidth="1"/>
    <col min="12298" max="12298" width="5.33203125" style="48" customWidth="1"/>
    <col min="12299" max="12299" width="7.5" style="48" customWidth="1"/>
    <col min="12300" max="12312" width="8.83203125" style="48"/>
    <col min="12313" max="12321" width="9.33203125" style="48" bestFit="1" customWidth="1"/>
    <col min="12322" max="12322" width="9.6640625" style="48" bestFit="1" customWidth="1"/>
    <col min="12323" max="12323" width="9.33203125" style="48" bestFit="1" customWidth="1"/>
    <col min="12324" max="12544" width="8.83203125" style="48"/>
    <col min="12545" max="12545" width="19.1640625" style="48" customWidth="1"/>
    <col min="12546" max="12546" width="7" style="48" bestFit="1" customWidth="1"/>
    <col min="12547" max="12547" width="12.6640625" style="48" customWidth="1"/>
    <col min="12548" max="12548" width="8.33203125" style="48" customWidth="1"/>
    <col min="12549" max="12549" width="9" style="48" customWidth="1"/>
    <col min="12550" max="12550" width="6.83203125" style="48" customWidth="1"/>
    <col min="12551" max="12551" width="9.5" style="48" customWidth="1"/>
    <col min="12552" max="12553" width="8.5" style="48" customWidth="1"/>
    <col min="12554" max="12554" width="5.33203125" style="48" customWidth="1"/>
    <col min="12555" max="12555" width="7.5" style="48" customWidth="1"/>
    <col min="12556" max="12568" width="8.83203125" style="48"/>
    <col min="12569" max="12577" width="9.33203125" style="48" bestFit="1" customWidth="1"/>
    <col min="12578" max="12578" width="9.6640625" style="48" bestFit="1" customWidth="1"/>
    <col min="12579" max="12579" width="9.33203125" style="48" bestFit="1" customWidth="1"/>
    <col min="12580" max="12800" width="8.83203125" style="48"/>
    <col min="12801" max="12801" width="19.1640625" style="48" customWidth="1"/>
    <col min="12802" max="12802" width="7" style="48" bestFit="1" customWidth="1"/>
    <col min="12803" max="12803" width="12.6640625" style="48" customWidth="1"/>
    <col min="12804" max="12804" width="8.33203125" style="48" customWidth="1"/>
    <col min="12805" max="12805" width="9" style="48" customWidth="1"/>
    <col min="12806" max="12806" width="6.83203125" style="48" customWidth="1"/>
    <col min="12807" max="12807" width="9.5" style="48" customWidth="1"/>
    <col min="12808" max="12809" width="8.5" style="48" customWidth="1"/>
    <col min="12810" max="12810" width="5.33203125" style="48" customWidth="1"/>
    <col min="12811" max="12811" width="7.5" style="48" customWidth="1"/>
    <col min="12812" max="12824" width="8.83203125" style="48"/>
    <col min="12825" max="12833" width="9.33203125" style="48" bestFit="1" customWidth="1"/>
    <col min="12834" max="12834" width="9.6640625" style="48" bestFit="1" customWidth="1"/>
    <col min="12835" max="12835" width="9.33203125" style="48" bestFit="1" customWidth="1"/>
    <col min="12836" max="13056" width="8.83203125" style="48"/>
    <col min="13057" max="13057" width="19.1640625" style="48" customWidth="1"/>
    <col min="13058" max="13058" width="7" style="48" bestFit="1" customWidth="1"/>
    <col min="13059" max="13059" width="12.6640625" style="48" customWidth="1"/>
    <col min="13060" max="13060" width="8.33203125" style="48" customWidth="1"/>
    <col min="13061" max="13061" width="9" style="48" customWidth="1"/>
    <col min="13062" max="13062" width="6.83203125" style="48" customWidth="1"/>
    <col min="13063" max="13063" width="9.5" style="48" customWidth="1"/>
    <col min="13064" max="13065" width="8.5" style="48" customWidth="1"/>
    <col min="13066" max="13066" width="5.33203125" style="48" customWidth="1"/>
    <col min="13067" max="13067" width="7.5" style="48" customWidth="1"/>
    <col min="13068" max="13080" width="8.83203125" style="48"/>
    <col min="13081" max="13089" width="9.33203125" style="48" bestFit="1" customWidth="1"/>
    <col min="13090" max="13090" width="9.6640625" style="48" bestFit="1" customWidth="1"/>
    <col min="13091" max="13091" width="9.33203125" style="48" bestFit="1" customWidth="1"/>
    <col min="13092" max="13312" width="8.83203125" style="48"/>
    <col min="13313" max="13313" width="19.1640625" style="48" customWidth="1"/>
    <col min="13314" max="13314" width="7" style="48" bestFit="1" customWidth="1"/>
    <col min="13315" max="13315" width="12.6640625" style="48" customWidth="1"/>
    <col min="13316" max="13316" width="8.33203125" style="48" customWidth="1"/>
    <col min="13317" max="13317" width="9" style="48" customWidth="1"/>
    <col min="13318" max="13318" width="6.83203125" style="48" customWidth="1"/>
    <col min="13319" max="13319" width="9.5" style="48" customWidth="1"/>
    <col min="13320" max="13321" width="8.5" style="48" customWidth="1"/>
    <col min="13322" max="13322" width="5.33203125" style="48" customWidth="1"/>
    <col min="13323" max="13323" width="7.5" style="48" customWidth="1"/>
    <col min="13324" max="13336" width="8.83203125" style="48"/>
    <col min="13337" max="13345" width="9.33203125" style="48" bestFit="1" customWidth="1"/>
    <col min="13346" max="13346" width="9.6640625" style="48" bestFit="1" customWidth="1"/>
    <col min="13347" max="13347" width="9.33203125" style="48" bestFit="1" customWidth="1"/>
    <col min="13348" max="13568" width="8.83203125" style="48"/>
    <col min="13569" max="13569" width="19.1640625" style="48" customWidth="1"/>
    <col min="13570" max="13570" width="7" style="48" bestFit="1" customWidth="1"/>
    <col min="13571" max="13571" width="12.6640625" style="48" customWidth="1"/>
    <col min="13572" max="13572" width="8.33203125" style="48" customWidth="1"/>
    <col min="13573" max="13573" width="9" style="48" customWidth="1"/>
    <col min="13574" max="13574" width="6.83203125" style="48" customWidth="1"/>
    <col min="13575" max="13575" width="9.5" style="48" customWidth="1"/>
    <col min="13576" max="13577" width="8.5" style="48" customWidth="1"/>
    <col min="13578" max="13578" width="5.33203125" style="48" customWidth="1"/>
    <col min="13579" max="13579" width="7.5" style="48" customWidth="1"/>
    <col min="13580" max="13592" width="8.83203125" style="48"/>
    <col min="13593" max="13601" width="9.33203125" style="48" bestFit="1" customWidth="1"/>
    <col min="13602" max="13602" width="9.6640625" style="48" bestFit="1" customWidth="1"/>
    <col min="13603" max="13603" width="9.33203125" style="48" bestFit="1" customWidth="1"/>
    <col min="13604" max="13824" width="8.83203125" style="48"/>
    <col min="13825" max="13825" width="19.1640625" style="48" customWidth="1"/>
    <col min="13826" max="13826" width="7" style="48" bestFit="1" customWidth="1"/>
    <col min="13827" max="13827" width="12.6640625" style="48" customWidth="1"/>
    <col min="13828" max="13828" width="8.33203125" style="48" customWidth="1"/>
    <col min="13829" max="13829" width="9" style="48" customWidth="1"/>
    <col min="13830" max="13830" width="6.83203125" style="48" customWidth="1"/>
    <col min="13831" max="13831" width="9.5" style="48" customWidth="1"/>
    <col min="13832" max="13833" width="8.5" style="48" customWidth="1"/>
    <col min="13834" max="13834" width="5.33203125" style="48" customWidth="1"/>
    <col min="13835" max="13835" width="7.5" style="48" customWidth="1"/>
    <col min="13836" max="13848" width="8.83203125" style="48"/>
    <col min="13849" max="13857" width="9.33203125" style="48" bestFit="1" customWidth="1"/>
    <col min="13858" max="13858" width="9.6640625" style="48" bestFit="1" customWidth="1"/>
    <col min="13859" max="13859" width="9.33203125" style="48" bestFit="1" customWidth="1"/>
    <col min="13860" max="14080" width="8.83203125" style="48"/>
    <col min="14081" max="14081" width="19.1640625" style="48" customWidth="1"/>
    <col min="14082" max="14082" width="7" style="48" bestFit="1" customWidth="1"/>
    <col min="14083" max="14083" width="12.6640625" style="48" customWidth="1"/>
    <col min="14084" max="14084" width="8.33203125" style="48" customWidth="1"/>
    <col min="14085" max="14085" width="9" style="48" customWidth="1"/>
    <col min="14086" max="14086" width="6.83203125" style="48" customWidth="1"/>
    <col min="14087" max="14087" width="9.5" style="48" customWidth="1"/>
    <col min="14088" max="14089" width="8.5" style="48" customWidth="1"/>
    <col min="14090" max="14090" width="5.33203125" style="48" customWidth="1"/>
    <col min="14091" max="14091" width="7.5" style="48" customWidth="1"/>
    <col min="14092" max="14104" width="8.83203125" style="48"/>
    <col min="14105" max="14113" width="9.33203125" style="48" bestFit="1" customWidth="1"/>
    <col min="14114" max="14114" width="9.6640625" style="48" bestFit="1" customWidth="1"/>
    <col min="14115" max="14115" width="9.33203125" style="48" bestFit="1" customWidth="1"/>
    <col min="14116" max="14336" width="8.83203125" style="48"/>
    <col min="14337" max="14337" width="19.1640625" style="48" customWidth="1"/>
    <col min="14338" max="14338" width="7" style="48" bestFit="1" customWidth="1"/>
    <col min="14339" max="14339" width="12.6640625" style="48" customWidth="1"/>
    <col min="14340" max="14340" width="8.33203125" style="48" customWidth="1"/>
    <col min="14341" max="14341" width="9" style="48" customWidth="1"/>
    <col min="14342" max="14342" width="6.83203125" style="48" customWidth="1"/>
    <col min="14343" max="14343" width="9.5" style="48" customWidth="1"/>
    <col min="14344" max="14345" width="8.5" style="48" customWidth="1"/>
    <col min="14346" max="14346" width="5.33203125" style="48" customWidth="1"/>
    <col min="14347" max="14347" width="7.5" style="48" customWidth="1"/>
    <col min="14348" max="14360" width="8.83203125" style="48"/>
    <col min="14361" max="14369" width="9.33203125" style="48" bestFit="1" customWidth="1"/>
    <col min="14370" max="14370" width="9.6640625" style="48" bestFit="1" customWidth="1"/>
    <col min="14371" max="14371" width="9.33203125" style="48" bestFit="1" customWidth="1"/>
    <col min="14372" max="14592" width="8.83203125" style="48"/>
    <col min="14593" max="14593" width="19.1640625" style="48" customWidth="1"/>
    <col min="14594" max="14594" width="7" style="48" bestFit="1" customWidth="1"/>
    <col min="14595" max="14595" width="12.6640625" style="48" customWidth="1"/>
    <col min="14596" max="14596" width="8.33203125" style="48" customWidth="1"/>
    <col min="14597" max="14597" width="9" style="48" customWidth="1"/>
    <col min="14598" max="14598" width="6.83203125" style="48" customWidth="1"/>
    <col min="14599" max="14599" width="9.5" style="48" customWidth="1"/>
    <col min="14600" max="14601" width="8.5" style="48" customWidth="1"/>
    <col min="14602" max="14602" width="5.33203125" style="48" customWidth="1"/>
    <col min="14603" max="14603" width="7.5" style="48" customWidth="1"/>
    <col min="14604" max="14616" width="8.83203125" style="48"/>
    <col min="14617" max="14625" width="9.33203125" style="48" bestFit="1" customWidth="1"/>
    <col min="14626" max="14626" width="9.6640625" style="48" bestFit="1" customWidth="1"/>
    <col min="14627" max="14627" width="9.33203125" style="48" bestFit="1" customWidth="1"/>
    <col min="14628" max="14848" width="8.83203125" style="48"/>
    <col min="14849" max="14849" width="19.1640625" style="48" customWidth="1"/>
    <col min="14850" max="14850" width="7" style="48" bestFit="1" customWidth="1"/>
    <col min="14851" max="14851" width="12.6640625" style="48" customWidth="1"/>
    <col min="14852" max="14852" width="8.33203125" style="48" customWidth="1"/>
    <col min="14853" max="14853" width="9" style="48" customWidth="1"/>
    <col min="14854" max="14854" width="6.83203125" style="48" customWidth="1"/>
    <col min="14855" max="14855" width="9.5" style="48" customWidth="1"/>
    <col min="14856" max="14857" width="8.5" style="48" customWidth="1"/>
    <col min="14858" max="14858" width="5.33203125" style="48" customWidth="1"/>
    <col min="14859" max="14859" width="7.5" style="48" customWidth="1"/>
    <col min="14860" max="14872" width="8.83203125" style="48"/>
    <col min="14873" max="14881" width="9.33203125" style="48" bestFit="1" customWidth="1"/>
    <col min="14882" max="14882" width="9.6640625" style="48" bestFit="1" customWidth="1"/>
    <col min="14883" max="14883" width="9.33203125" style="48" bestFit="1" customWidth="1"/>
    <col min="14884" max="15104" width="8.83203125" style="48"/>
    <col min="15105" max="15105" width="19.1640625" style="48" customWidth="1"/>
    <col min="15106" max="15106" width="7" style="48" bestFit="1" customWidth="1"/>
    <col min="15107" max="15107" width="12.6640625" style="48" customWidth="1"/>
    <col min="15108" max="15108" width="8.33203125" style="48" customWidth="1"/>
    <col min="15109" max="15109" width="9" style="48" customWidth="1"/>
    <col min="15110" max="15110" width="6.83203125" style="48" customWidth="1"/>
    <col min="15111" max="15111" width="9.5" style="48" customWidth="1"/>
    <col min="15112" max="15113" width="8.5" style="48" customWidth="1"/>
    <col min="15114" max="15114" width="5.33203125" style="48" customWidth="1"/>
    <col min="15115" max="15115" width="7.5" style="48" customWidth="1"/>
    <col min="15116" max="15128" width="8.83203125" style="48"/>
    <col min="15129" max="15137" width="9.33203125" style="48" bestFit="1" customWidth="1"/>
    <col min="15138" max="15138" width="9.6640625" style="48" bestFit="1" customWidth="1"/>
    <col min="15139" max="15139" width="9.33203125" style="48" bestFit="1" customWidth="1"/>
    <col min="15140" max="15360" width="8.83203125" style="48"/>
    <col min="15361" max="15361" width="19.1640625" style="48" customWidth="1"/>
    <col min="15362" max="15362" width="7" style="48" bestFit="1" customWidth="1"/>
    <col min="15363" max="15363" width="12.6640625" style="48" customWidth="1"/>
    <col min="15364" max="15364" width="8.33203125" style="48" customWidth="1"/>
    <col min="15365" max="15365" width="9" style="48" customWidth="1"/>
    <col min="15366" max="15366" width="6.83203125" style="48" customWidth="1"/>
    <col min="15367" max="15367" width="9.5" style="48" customWidth="1"/>
    <col min="15368" max="15369" width="8.5" style="48" customWidth="1"/>
    <col min="15370" max="15370" width="5.33203125" style="48" customWidth="1"/>
    <col min="15371" max="15371" width="7.5" style="48" customWidth="1"/>
    <col min="15372" max="15384" width="8.83203125" style="48"/>
    <col min="15385" max="15393" width="9.33203125" style="48" bestFit="1" customWidth="1"/>
    <col min="15394" max="15394" width="9.6640625" style="48" bestFit="1" customWidth="1"/>
    <col min="15395" max="15395" width="9.33203125" style="48" bestFit="1" customWidth="1"/>
    <col min="15396" max="15616" width="8.83203125" style="48"/>
    <col min="15617" max="15617" width="19.1640625" style="48" customWidth="1"/>
    <col min="15618" max="15618" width="7" style="48" bestFit="1" customWidth="1"/>
    <col min="15619" max="15619" width="12.6640625" style="48" customWidth="1"/>
    <col min="15620" max="15620" width="8.33203125" style="48" customWidth="1"/>
    <col min="15621" max="15621" width="9" style="48" customWidth="1"/>
    <col min="15622" max="15622" width="6.83203125" style="48" customWidth="1"/>
    <col min="15623" max="15623" width="9.5" style="48" customWidth="1"/>
    <col min="15624" max="15625" width="8.5" style="48" customWidth="1"/>
    <col min="15626" max="15626" width="5.33203125" style="48" customWidth="1"/>
    <col min="15627" max="15627" width="7.5" style="48" customWidth="1"/>
    <col min="15628" max="15640" width="8.83203125" style="48"/>
    <col min="15641" max="15649" width="9.33203125" style="48" bestFit="1" customWidth="1"/>
    <col min="15650" max="15650" width="9.6640625" style="48" bestFit="1" customWidth="1"/>
    <col min="15651" max="15651" width="9.33203125" style="48" bestFit="1" customWidth="1"/>
    <col min="15652" max="15872" width="8.83203125" style="48"/>
    <col min="15873" max="15873" width="19.1640625" style="48" customWidth="1"/>
    <col min="15874" max="15874" width="7" style="48" bestFit="1" customWidth="1"/>
    <col min="15875" max="15875" width="12.6640625" style="48" customWidth="1"/>
    <col min="15876" max="15876" width="8.33203125" style="48" customWidth="1"/>
    <col min="15877" max="15877" width="9" style="48" customWidth="1"/>
    <col min="15878" max="15878" width="6.83203125" style="48" customWidth="1"/>
    <col min="15879" max="15879" width="9.5" style="48" customWidth="1"/>
    <col min="15880" max="15881" width="8.5" style="48" customWidth="1"/>
    <col min="15882" max="15882" width="5.33203125" style="48" customWidth="1"/>
    <col min="15883" max="15883" width="7.5" style="48" customWidth="1"/>
    <col min="15884" max="15896" width="8.83203125" style="48"/>
    <col min="15897" max="15905" width="9.33203125" style="48" bestFit="1" customWidth="1"/>
    <col min="15906" max="15906" width="9.6640625" style="48" bestFit="1" customWidth="1"/>
    <col min="15907" max="15907" width="9.33203125" style="48" bestFit="1" customWidth="1"/>
    <col min="15908" max="16128" width="8.83203125" style="48"/>
    <col min="16129" max="16129" width="19.1640625" style="48" customWidth="1"/>
    <col min="16130" max="16130" width="7" style="48" bestFit="1" customWidth="1"/>
    <col min="16131" max="16131" width="12.6640625" style="48" customWidth="1"/>
    <col min="16132" max="16132" width="8.33203125" style="48" customWidth="1"/>
    <col min="16133" max="16133" width="9" style="48" customWidth="1"/>
    <col min="16134" max="16134" width="6.83203125" style="48" customWidth="1"/>
    <col min="16135" max="16135" width="9.5" style="48" customWidth="1"/>
    <col min="16136" max="16137" width="8.5" style="48" customWidth="1"/>
    <col min="16138" max="16138" width="5.33203125" style="48" customWidth="1"/>
    <col min="16139" max="16139" width="7.5" style="48" customWidth="1"/>
    <col min="16140" max="16152" width="8.83203125" style="48"/>
    <col min="16153" max="16161" width="9.33203125" style="48" bestFit="1" customWidth="1"/>
    <col min="16162" max="16162" width="9.6640625" style="48" bestFit="1" customWidth="1"/>
    <col min="16163" max="16163" width="9.33203125" style="48" bestFit="1" customWidth="1"/>
    <col min="16164" max="16384" width="8.83203125" style="48"/>
  </cols>
  <sheetData>
    <row r="1" spans="1:35" s="41" customFormat="1" ht="21.75" customHeight="1">
      <c r="A1" s="38" t="s">
        <v>123</v>
      </c>
      <c r="B1" s="39"/>
      <c r="C1" s="39"/>
      <c r="D1" s="39"/>
      <c r="E1" s="39"/>
      <c r="F1" s="39"/>
      <c r="G1" s="39"/>
      <c r="H1" s="40"/>
      <c r="J1" s="42"/>
    </row>
    <row r="2" spans="1:35" ht="15.75" customHeight="1" thickBot="1">
      <c r="A2" s="43"/>
      <c r="B2" s="43"/>
      <c r="C2" s="43"/>
      <c r="D2" s="43"/>
      <c r="E2" s="43"/>
      <c r="F2" s="43"/>
      <c r="G2" s="44"/>
      <c r="H2" s="45"/>
      <c r="I2" s="46"/>
      <c r="J2" s="46"/>
      <c r="K2" s="47" t="s">
        <v>124</v>
      </c>
    </row>
    <row r="3" spans="1:35" s="52" customFormat="1" ht="33.75" customHeight="1" thickTop="1">
      <c r="A3" s="49"/>
      <c r="B3" s="50" t="s">
        <v>125</v>
      </c>
      <c r="C3" s="51" t="s">
        <v>126</v>
      </c>
      <c r="D3" s="50" t="s">
        <v>127</v>
      </c>
      <c r="E3" s="50" t="s">
        <v>128</v>
      </c>
      <c r="F3" s="51" t="s">
        <v>129</v>
      </c>
      <c r="G3" s="51" t="s">
        <v>130</v>
      </c>
      <c r="H3" s="50" t="s">
        <v>131</v>
      </c>
      <c r="I3" s="50" t="s">
        <v>5</v>
      </c>
      <c r="J3" s="50" t="s">
        <v>16</v>
      </c>
      <c r="K3" s="50" t="s">
        <v>132</v>
      </c>
    </row>
    <row r="4" spans="1:35" s="56" customFormat="1" ht="10.5" customHeight="1">
      <c r="A4" s="53" t="s">
        <v>133</v>
      </c>
      <c r="B4" s="54"/>
      <c r="C4" s="55"/>
      <c r="D4" s="55"/>
      <c r="E4" s="55"/>
      <c r="F4" s="55"/>
      <c r="G4" s="55"/>
      <c r="H4" s="55"/>
      <c r="I4" s="55"/>
      <c r="J4" s="55"/>
      <c r="K4" s="55"/>
      <c r="M4" s="55"/>
      <c r="N4" s="55"/>
      <c r="O4" s="55"/>
      <c r="P4" s="55"/>
      <c r="Q4" s="55"/>
      <c r="R4" s="55"/>
      <c r="S4" s="55"/>
      <c r="T4" s="55"/>
      <c r="U4" s="55"/>
      <c r="V4" s="55"/>
      <c r="W4" s="57"/>
      <c r="AB4" s="55"/>
      <c r="AC4" s="55"/>
      <c r="AD4" s="55"/>
      <c r="AE4" s="55"/>
      <c r="AF4" s="55"/>
      <c r="AG4" s="55"/>
      <c r="AH4" s="55"/>
      <c r="AI4" s="57"/>
    </row>
    <row r="5" spans="1:35" s="56" customFormat="1" ht="10.5" customHeight="1">
      <c r="A5" s="43" t="s">
        <v>134</v>
      </c>
      <c r="B5" s="58">
        <v>10696.083047160781</v>
      </c>
      <c r="C5" s="54">
        <v>0</v>
      </c>
      <c r="D5" s="58">
        <v>83911.539840911268</v>
      </c>
      <c r="E5" s="54">
        <v>0</v>
      </c>
      <c r="F5" s="54">
        <v>72124.616785399121</v>
      </c>
      <c r="G5" s="58">
        <v>4356.7008211972789</v>
      </c>
      <c r="H5" s="55">
        <v>14928.085856213287</v>
      </c>
      <c r="I5" s="54">
        <v>0</v>
      </c>
      <c r="J5" s="54">
        <v>0</v>
      </c>
      <c r="K5" s="58">
        <v>186017.02635088173</v>
      </c>
      <c r="L5" s="54"/>
      <c r="M5" s="55"/>
      <c r="N5" s="55"/>
      <c r="O5" s="55"/>
      <c r="P5" s="55"/>
      <c r="Q5" s="55"/>
      <c r="R5" s="55"/>
      <c r="S5" s="55"/>
      <c r="T5" s="55"/>
      <c r="U5" s="55"/>
      <c r="V5" s="55"/>
      <c r="W5" s="57"/>
      <c r="AB5" s="55"/>
      <c r="AC5" s="55"/>
      <c r="AD5" s="55"/>
      <c r="AE5" s="55"/>
      <c r="AF5" s="55"/>
      <c r="AG5" s="55"/>
      <c r="AH5" s="55"/>
      <c r="AI5" s="57"/>
    </row>
    <row r="6" spans="1:35" s="56" customFormat="1" ht="10.5" customHeight="1">
      <c r="A6" s="43" t="s">
        <v>4</v>
      </c>
      <c r="B6" s="58">
        <v>28197.303077449134</v>
      </c>
      <c r="C6" s="58">
        <v>732.70241770266057</v>
      </c>
      <c r="D6" s="58">
        <v>62610.668562862113</v>
      </c>
      <c r="E6" s="58">
        <v>27500.819475971544</v>
      </c>
      <c r="F6" s="54">
        <v>29065.04276575569</v>
      </c>
      <c r="G6" s="54">
        <v>378.1990757892263</v>
      </c>
      <c r="H6" s="54">
        <v>0</v>
      </c>
      <c r="I6" s="54">
        <v>740.57489251934669</v>
      </c>
      <c r="J6" s="54">
        <v>0</v>
      </c>
      <c r="K6" s="58">
        <v>149225.31026804971</v>
      </c>
      <c r="L6" s="54"/>
      <c r="M6" s="55"/>
      <c r="N6" s="55"/>
      <c r="O6" s="55"/>
      <c r="P6" s="55"/>
      <c r="Q6" s="55"/>
      <c r="R6" s="55"/>
      <c r="S6" s="55"/>
      <c r="T6" s="55"/>
      <c r="U6" s="55"/>
      <c r="V6" s="55"/>
      <c r="W6" s="57"/>
      <c r="AB6" s="55"/>
      <c r="AC6" s="55"/>
      <c r="AD6" s="55"/>
      <c r="AE6" s="55"/>
      <c r="AF6" s="55"/>
      <c r="AG6" s="55"/>
      <c r="AH6" s="55"/>
      <c r="AI6" s="57"/>
    </row>
    <row r="7" spans="1:35" s="56" customFormat="1" ht="10.5" customHeight="1">
      <c r="A7" s="43" t="s">
        <v>135</v>
      </c>
      <c r="B7" s="58">
        <v>-418.85810329210875</v>
      </c>
      <c r="C7" s="58">
        <v>-170.41374128212479</v>
      </c>
      <c r="D7" s="54">
        <v>-55753.92076361864</v>
      </c>
      <c r="E7" s="58">
        <v>-32709.85248511305</v>
      </c>
      <c r="F7" s="54">
        <v>-10589.664168786079</v>
      </c>
      <c r="G7" s="58">
        <v>-33.830762525597763</v>
      </c>
      <c r="H7" s="54">
        <v>0</v>
      </c>
      <c r="I7" s="54">
        <v>-292.20651332760116</v>
      </c>
      <c r="J7" s="54">
        <v>0</v>
      </c>
      <c r="K7" s="58">
        <v>-99968.746537945219</v>
      </c>
      <c r="L7" s="54"/>
      <c r="M7" s="55"/>
      <c r="N7" s="55"/>
      <c r="O7" s="55"/>
      <c r="P7" s="55"/>
      <c r="Q7" s="55"/>
      <c r="R7" s="55"/>
      <c r="S7" s="55"/>
      <c r="T7" s="55"/>
      <c r="U7" s="55"/>
      <c r="V7" s="55"/>
      <c r="W7" s="57"/>
      <c r="AB7" s="55"/>
      <c r="AC7" s="55"/>
      <c r="AD7" s="55"/>
      <c r="AE7" s="55"/>
      <c r="AF7" s="55"/>
      <c r="AG7" s="55"/>
      <c r="AH7" s="55"/>
      <c r="AI7" s="57"/>
    </row>
    <row r="8" spans="1:35" s="56" customFormat="1" ht="10.5" customHeight="1">
      <c r="A8" s="43" t="s">
        <v>136</v>
      </c>
      <c r="B8" s="54">
        <v>0</v>
      </c>
      <c r="C8" s="54">
        <v>0</v>
      </c>
      <c r="D8" s="54">
        <v>0</v>
      </c>
      <c r="E8" s="54">
        <v>-2512.6647831668879</v>
      </c>
      <c r="F8" s="54">
        <v>0</v>
      </c>
      <c r="G8" s="54">
        <v>0</v>
      </c>
      <c r="H8" s="54">
        <v>0</v>
      </c>
      <c r="I8" s="54">
        <v>0</v>
      </c>
      <c r="J8" s="54">
        <v>0</v>
      </c>
      <c r="K8" s="54">
        <v>-2512.6647831668879</v>
      </c>
      <c r="L8" s="54"/>
      <c r="M8" s="55"/>
      <c r="N8" s="55"/>
      <c r="O8" s="55"/>
      <c r="P8" s="55"/>
      <c r="Q8" s="55"/>
      <c r="R8" s="55"/>
      <c r="S8" s="55"/>
      <c r="T8" s="55"/>
      <c r="U8" s="55"/>
      <c r="V8" s="55"/>
      <c r="W8" s="57"/>
      <c r="AB8" s="55"/>
      <c r="AC8" s="55"/>
      <c r="AD8" s="55"/>
      <c r="AE8" s="55"/>
      <c r="AF8" s="55"/>
      <c r="AG8" s="55"/>
      <c r="AH8" s="55"/>
      <c r="AI8" s="57"/>
    </row>
    <row r="9" spans="1:35" s="56" customFormat="1" ht="10.5" customHeight="1">
      <c r="A9" s="59" t="s">
        <v>137</v>
      </c>
      <c r="B9" s="58">
        <v>1862.112589495056</v>
      </c>
      <c r="C9" s="54">
        <v>-21.699939703353486</v>
      </c>
      <c r="D9" s="54">
        <v>856.21824163238955</v>
      </c>
      <c r="E9" s="58">
        <v>1090.1022239432027</v>
      </c>
      <c r="F9" s="54">
        <v>471.19518486672553</v>
      </c>
      <c r="G9" s="54">
        <v>0</v>
      </c>
      <c r="H9" s="54">
        <v>0</v>
      </c>
      <c r="I9" s="54">
        <v>0</v>
      </c>
      <c r="J9" s="54">
        <v>0</v>
      </c>
      <c r="K9" s="58">
        <v>4257.9283002340208</v>
      </c>
      <c r="L9" s="54"/>
      <c r="M9" s="55"/>
      <c r="N9" s="55"/>
      <c r="O9" s="55"/>
      <c r="P9" s="55"/>
      <c r="Q9" s="55"/>
      <c r="R9" s="55"/>
      <c r="S9" s="55"/>
      <c r="T9" s="55"/>
      <c r="U9" s="55"/>
      <c r="V9" s="55"/>
      <c r="W9" s="57"/>
      <c r="AB9" s="55"/>
      <c r="AC9" s="55"/>
      <c r="AD9" s="55"/>
      <c r="AE9" s="55"/>
      <c r="AF9" s="55"/>
      <c r="AG9" s="55"/>
      <c r="AH9" s="55"/>
      <c r="AI9" s="57"/>
    </row>
    <row r="10" spans="1:35" s="63" customFormat="1" ht="10.5" customHeight="1">
      <c r="A10" s="60" t="s">
        <v>138</v>
      </c>
      <c r="B10" s="61">
        <v>40336.640610812858</v>
      </c>
      <c r="C10" s="61">
        <v>540.58873671718231</v>
      </c>
      <c r="D10" s="62">
        <v>91624.505881787132</v>
      </c>
      <c r="E10" s="61">
        <v>-6631.59556836519</v>
      </c>
      <c r="F10" s="62">
        <v>91071.190567235448</v>
      </c>
      <c r="G10" s="61">
        <v>4701.0691344609077</v>
      </c>
      <c r="H10" s="62">
        <v>14928.085856213287</v>
      </c>
      <c r="I10" s="62">
        <v>448.36837919174553</v>
      </c>
      <c r="J10" s="62">
        <v>0</v>
      </c>
      <c r="K10" s="61">
        <v>237018.85359805339</v>
      </c>
      <c r="L10" s="54"/>
      <c r="M10" s="55"/>
      <c r="N10" s="55"/>
      <c r="O10" s="55"/>
      <c r="P10" s="55"/>
      <c r="Q10" s="55"/>
      <c r="R10" s="55"/>
      <c r="S10" s="55"/>
      <c r="T10" s="55"/>
      <c r="U10" s="55"/>
      <c r="V10" s="55"/>
      <c r="W10" s="57"/>
      <c r="AB10" s="55"/>
      <c r="AC10" s="55"/>
      <c r="AD10" s="55"/>
      <c r="AE10" s="55"/>
      <c r="AF10" s="55"/>
      <c r="AG10" s="55"/>
      <c r="AH10" s="55"/>
      <c r="AI10" s="57"/>
    </row>
    <row r="11" spans="1:35" s="63" customFormat="1" ht="11.25" customHeight="1">
      <c r="A11" s="60" t="s">
        <v>139</v>
      </c>
      <c r="B11" s="64">
        <v>36.847441528429044</v>
      </c>
      <c r="C11" s="64">
        <v>-13.404097824114501</v>
      </c>
      <c r="D11" s="65">
        <v>-116.55915158498101</v>
      </c>
      <c r="E11" s="64">
        <v>-79.177700019243275</v>
      </c>
      <c r="F11" s="64">
        <v>81.233600401916192</v>
      </c>
      <c r="G11" s="65">
        <v>0</v>
      </c>
      <c r="H11" s="65">
        <v>0</v>
      </c>
      <c r="I11" s="64">
        <v>84.598169826650462</v>
      </c>
      <c r="J11" s="65">
        <v>0</v>
      </c>
      <c r="K11" s="64">
        <v>-6.7460036423353245</v>
      </c>
      <c r="L11" s="54"/>
      <c r="M11" s="55"/>
      <c r="N11" s="55"/>
      <c r="O11" s="55"/>
      <c r="P11" s="55"/>
      <c r="Q11" s="55"/>
      <c r="R11" s="55"/>
      <c r="S11" s="55"/>
      <c r="T11" s="55"/>
      <c r="U11" s="55"/>
      <c r="V11" s="55"/>
      <c r="W11" s="57"/>
      <c r="AB11" s="55"/>
      <c r="AC11" s="55"/>
      <c r="AD11" s="55"/>
      <c r="AE11" s="55"/>
      <c r="AF11" s="55"/>
      <c r="AG11" s="55"/>
      <c r="AH11" s="55"/>
      <c r="AI11" s="57"/>
    </row>
    <row r="12" spans="1:35" s="63" customFormat="1" ht="10.5" customHeight="1">
      <c r="A12" s="60" t="s">
        <v>140</v>
      </c>
      <c r="B12" s="61">
        <v>40299.793169284429</v>
      </c>
      <c r="C12" s="61">
        <v>553.99283454129682</v>
      </c>
      <c r="D12" s="62">
        <v>91741.065033372113</v>
      </c>
      <c r="E12" s="61">
        <v>-6552.4178683459468</v>
      </c>
      <c r="F12" s="61">
        <v>90989.956966833532</v>
      </c>
      <c r="G12" s="61">
        <v>4701.0725849609071</v>
      </c>
      <c r="H12" s="62">
        <v>14928.085856213287</v>
      </c>
      <c r="I12" s="61">
        <v>363.77020936509507</v>
      </c>
      <c r="J12" s="62">
        <v>0</v>
      </c>
      <c r="K12" s="61">
        <v>237025.59960169569</v>
      </c>
      <c r="L12" s="54"/>
      <c r="M12" s="55"/>
      <c r="N12" s="55"/>
      <c r="O12" s="55"/>
      <c r="P12" s="55"/>
      <c r="Q12" s="55"/>
      <c r="R12" s="55"/>
      <c r="S12" s="55"/>
      <c r="T12" s="55"/>
      <c r="U12" s="55"/>
      <c r="V12" s="55"/>
      <c r="W12" s="57"/>
      <c r="AB12" s="55"/>
      <c r="AC12" s="55"/>
      <c r="AD12" s="55"/>
      <c r="AE12" s="55"/>
      <c r="AF12" s="55"/>
      <c r="AG12" s="55"/>
      <c r="AH12" s="55"/>
      <c r="AI12" s="57"/>
    </row>
    <row r="13" spans="1:35" s="56" customFormat="1" ht="4.5" customHeight="1">
      <c r="A13" s="43"/>
      <c r="B13" s="54"/>
      <c r="C13" s="54"/>
      <c r="D13" s="54"/>
      <c r="E13" s="54"/>
      <c r="F13" s="54"/>
      <c r="G13" s="54"/>
      <c r="H13" s="54"/>
      <c r="I13" s="54"/>
      <c r="J13" s="54"/>
      <c r="K13" s="66"/>
      <c r="L13" s="54"/>
      <c r="M13" s="55"/>
      <c r="N13" s="55"/>
      <c r="O13" s="55"/>
      <c r="P13" s="55"/>
      <c r="Q13" s="55"/>
      <c r="R13" s="55"/>
      <c r="S13" s="55"/>
      <c r="T13" s="55"/>
      <c r="U13" s="55"/>
      <c r="V13" s="55"/>
      <c r="W13" s="57"/>
      <c r="AB13" s="55"/>
      <c r="AC13" s="55"/>
      <c r="AD13" s="55"/>
      <c r="AE13" s="55"/>
      <c r="AF13" s="55"/>
      <c r="AG13" s="55"/>
      <c r="AH13" s="55"/>
      <c r="AI13" s="57"/>
    </row>
    <row r="14" spans="1:35" s="56" customFormat="1" ht="10.5" customHeight="1">
      <c r="A14" s="43" t="s">
        <v>141</v>
      </c>
      <c r="B14" s="65">
        <v>0</v>
      </c>
      <c r="C14" s="65">
        <v>-126.41460315085507</v>
      </c>
      <c r="D14" s="65">
        <v>-3211.4964193979745</v>
      </c>
      <c r="E14" s="64">
        <v>3234.5246809327177</v>
      </c>
      <c r="F14" s="65">
        <v>-6.6868108168529661</v>
      </c>
      <c r="G14" s="65">
        <v>0</v>
      </c>
      <c r="H14" s="65">
        <v>-892.19826526225268</v>
      </c>
      <c r="I14" s="65">
        <v>892.19826526225268</v>
      </c>
      <c r="J14" s="65">
        <v>0</v>
      </c>
      <c r="K14" s="65">
        <v>-110.07315243296455</v>
      </c>
      <c r="L14" s="54"/>
      <c r="M14" s="55"/>
      <c r="N14" s="55"/>
      <c r="O14" s="55"/>
      <c r="P14" s="55"/>
      <c r="Q14" s="55"/>
      <c r="R14" s="55"/>
      <c r="S14" s="55"/>
      <c r="T14" s="55"/>
      <c r="U14" s="55"/>
      <c r="V14" s="55"/>
      <c r="W14" s="57"/>
      <c r="AB14" s="55"/>
      <c r="AC14" s="55"/>
      <c r="AD14" s="55"/>
      <c r="AE14" s="55"/>
      <c r="AF14" s="55"/>
      <c r="AG14" s="55"/>
      <c r="AH14" s="55"/>
      <c r="AI14" s="57"/>
    </row>
    <row r="15" spans="1:35" s="56" customFormat="1" ht="10.5" customHeight="1">
      <c r="A15" s="53" t="s">
        <v>142</v>
      </c>
      <c r="B15" s="67">
        <v>-38554.557209522733</v>
      </c>
      <c r="C15" s="68">
        <v>1724.6129556237615</v>
      </c>
      <c r="D15" s="68">
        <v>-88529.568613974145</v>
      </c>
      <c r="E15" s="67">
        <v>87861.506742448197</v>
      </c>
      <c r="F15" s="67">
        <v>-32213.749562274745</v>
      </c>
      <c r="G15" s="67">
        <v>-3480.7278322865568</v>
      </c>
      <c r="H15" s="68">
        <v>-14035.887590951035</v>
      </c>
      <c r="I15" s="67">
        <v>32915.569469839887</v>
      </c>
      <c r="J15" s="67">
        <v>1195.5378034599423</v>
      </c>
      <c r="K15" s="67">
        <v>-53117.544653108438</v>
      </c>
      <c r="L15" s="54"/>
      <c r="M15" s="55"/>
      <c r="N15" s="55"/>
      <c r="O15" s="55"/>
      <c r="P15" s="55"/>
      <c r="Q15" s="55"/>
      <c r="R15" s="55"/>
      <c r="S15" s="55"/>
      <c r="T15" s="55"/>
      <c r="U15" s="55"/>
      <c r="V15" s="55"/>
      <c r="W15" s="57"/>
      <c r="AB15" s="55"/>
      <c r="AC15" s="55"/>
      <c r="AD15" s="55"/>
      <c r="AE15" s="55"/>
      <c r="AF15" s="55"/>
      <c r="AG15" s="55"/>
      <c r="AH15" s="55"/>
      <c r="AI15" s="57"/>
    </row>
    <row r="16" spans="1:35" s="56" customFormat="1" ht="10.5" customHeight="1">
      <c r="A16" s="43" t="s">
        <v>143</v>
      </c>
      <c r="B16" s="58">
        <v>-32873.331920050019</v>
      </c>
      <c r="C16" s="54">
        <v>-937.09389509888206</v>
      </c>
      <c r="D16" s="54">
        <v>0</v>
      </c>
      <c r="E16" s="54">
        <v>-677.15088152328644</v>
      </c>
      <c r="F16" s="58">
        <v>-30329.943797488933</v>
      </c>
      <c r="G16" s="58">
        <v>-3480.7278322865568</v>
      </c>
      <c r="H16" s="54">
        <v>-14035.887590951035</v>
      </c>
      <c r="I16" s="58">
        <v>32915.569469839887</v>
      </c>
      <c r="J16" s="54">
        <v>0</v>
      </c>
      <c r="K16" s="58">
        <v>-49418.566447558842</v>
      </c>
      <c r="L16" s="54"/>
      <c r="M16" s="55"/>
      <c r="N16" s="55"/>
      <c r="O16" s="55"/>
      <c r="P16" s="55"/>
      <c r="Q16" s="55"/>
      <c r="R16" s="55"/>
      <c r="S16" s="55"/>
      <c r="T16" s="55"/>
      <c r="U16" s="55"/>
      <c r="V16" s="55"/>
      <c r="W16" s="57"/>
      <c r="AB16" s="55"/>
      <c r="AC16" s="55"/>
      <c r="AD16" s="55"/>
      <c r="AE16" s="55"/>
      <c r="AF16" s="55"/>
      <c r="AG16" s="55"/>
      <c r="AH16" s="55"/>
      <c r="AI16" s="57"/>
    </row>
    <row r="17" spans="1:35" s="56" customFormat="1" ht="10.5" customHeight="1">
      <c r="A17" s="43" t="s">
        <v>144</v>
      </c>
      <c r="B17" s="58">
        <v>-31974.974477193351</v>
      </c>
      <c r="C17" s="54">
        <v>0</v>
      </c>
      <c r="D17" s="54">
        <v>0</v>
      </c>
      <c r="E17" s="54">
        <v>-210.99978836147974</v>
      </c>
      <c r="F17" s="58">
        <v>-27501.979051143277</v>
      </c>
      <c r="G17" s="58">
        <v>-625.21439095550647</v>
      </c>
      <c r="H17" s="54">
        <v>-14035.887590951035</v>
      </c>
      <c r="I17" s="58">
        <v>30080.684253072908</v>
      </c>
      <c r="J17" s="54">
        <v>0</v>
      </c>
      <c r="K17" s="58">
        <v>-44268.371045531749</v>
      </c>
      <c r="L17" s="54"/>
      <c r="M17" s="55"/>
      <c r="N17" s="55"/>
      <c r="O17" s="55"/>
      <c r="P17" s="55"/>
      <c r="Q17" s="55"/>
      <c r="R17" s="55"/>
      <c r="S17" s="55"/>
      <c r="T17" s="55"/>
      <c r="U17" s="55"/>
      <c r="V17" s="55"/>
      <c r="W17" s="57"/>
      <c r="AB17" s="55"/>
      <c r="AC17" s="55"/>
      <c r="AD17" s="55"/>
      <c r="AE17" s="55"/>
      <c r="AF17" s="55"/>
      <c r="AG17" s="55"/>
      <c r="AH17" s="55"/>
      <c r="AI17" s="57"/>
    </row>
    <row r="18" spans="1:35" s="56" customFormat="1" ht="10.5" customHeight="1">
      <c r="A18" s="43" t="s">
        <v>114</v>
      </c>
      <c r="B18" s="58">
        <v>-898.35744285666703</v>
      </c>
      <c r="C18" s="54">
        <v>-937.09389509888206</v>
      </c>
      <c r="D18" s="54">
        <v>0</v>
      </c>
      <c r="E18" s="54">
        <v>-466.15109316180667</v>
      </c>
      <c r="F18" s="58">
        <v>-2827.9647463456577</v>
      </c>
      <c r="G18" s="58">
        <v>-2855.5134413310502</v>
      </c>
      <c r="H18" s="54">
        <v>0</v>
      </c>
      <c r="I18" s="58">
        <v>2834.8852167669825</v>
      </c>
      <c r="J18" s="54">
        <v>0</v>
      </c>
      <c r="K18" s="58">
        <v>-5150.1954020270805</v>
      </c>
      <c r="L18" s="54"/>
      <c r="M18" s="55"/>
      <c r="N18" s="55"/>
      <c r="O18" s="55"/>
      <c r="P18" s="55"/>
      <c r="Q18" s="55"/>
      <c r="R18" s="55"/>
      <c r="S18" s="55"/>
      <c r="T18" s="55"/>
      <c r="U18" s="55"/>
      <c r="V18" s="55"/>
      <c r="W18" s="57"/>
      <c r="AB18" s="55"/>
      <c r="AC18" s="55"/>
      <c r="AD18" s="55"/>
      <c r="AE18" s="55"/>
      <c r="AF18" s="55"/>
      <c r="AG18" s="55"/>
      <c r="AH18" s="55"/>
      <c r="AI18" s="57"/>
    </row>
    <row r="19" spans="1:35" s="69" customFormat="1" ht="10.5" customHeight="1">
      <c r="A19" s="43" t="s">
        <v>145</v>
      </c>
      <c r="B19" s="54">
        <v>-286.07079043843385</v>
      </c>
      <c r="C19" s="54">
        <v>-51.380051590713663</v>
      </c>
      <c r="D19" s="54">
        <v>0</v>
      </c>
      <c r="E19" s="54">
        <v>-59.952651222606548</v>
      </c>
      <c r="F19" s="58">
        <v>-1883.8057647858118</v>
      </c>
      <c r="G19" s="54">
        <v>0</v>
      </c>
      <c r="H19" s="54">
        <v>0</v>
      </c>
      <c r="I19" s="54"/>
      <c r="J19" s="58">
        <v>1195.5378034599423</v>
      </c>
      <c r="K19" s="58">
        <v>-1085.9522700486116</v>
      </c>
      <c r="L19" s="54"/>
      <c r="M19" s="55"/>
      <c r="N19" s="55"/>
      <c r="O19" s="55"/>
      <c r="P19" s="55"/>
      <c r="Q19" s="55"/>
      <c r="R19" s="55"/>
      <c r="S19" s="55"/>
      <c r="T19" s="55"/>
      <c r="U19" s="55"/>
      <c r="V19" s="55"/>
      <c r="W19" s="57"/>
      <c r="AB19" s="55"/>
      <c r="AC19" s="55"/>
      <c r="AD19" s="55"/>
      <c r="AE19" s="55"/>
      <c r="AF19" s="55"/>
      <c r="AG19" s="55"/>
      <c r="AH19" s="55"/>
      <c r="AI19" s="57"/>
    </row>
    <row r="20" spans="1:35" s="56" customFormat="1" ht="10.5" customHeight="1">
      <c r="A20" s="43" t="s">
        <v>146</v>
      </c>
      <c r="B20" s="65">
        <v>0</v>
      </c>
      <c r="C20" s="65">
        <v>0</v>
      </c>
      <c r="D20" s="54">
        <v>-88529.568613974145</v>
      </c>
      <c r="E20" s="58">
        <v>88808.264036450899</v>
      </c>
      <c r="F20" s="54">
        <v>0</v>
      </c>
      <c r="G20" s="54">
        <v>0</v>
      </c>
      <c r="H20" s="54">
        <v>0</v>
      </c>
      <c r="I20" s="54">
        <v>0</v>
      </c>
      <c r="J20" s="54">
        <v>0</v>
      </c>
      <c r="K20" s="58">
        <v>278.69542247675417</v>
      </c>
      <c r="L20" s="54"/>
      <c r="M20" s="55"/>
      <c r="N20" s="55"/>
      <c r="O20" s="55"/>
      <c r="P20" s="55"/>
      <c r="Q20" s="55"/>
      <c r="R20" s="55"/>
      <c r="S20" s="55"/>
      <c r="T20" s="55"/>
      <c r="U20" s="55"/>
      <c r="V20" s="55"/>
      <c r="W20" s="57"/>
      <c r="AB20" s="55"/>
      <c r="AC20" s="55"/>
      <c r="AD20" s="55"/>
      <c r="AE20" s="55"/>
      <c r="AF20" s="55"/>
      <c r="AG20" s="55"/>
      <c r="AH20" s="55"/>
      <c r="AI20" s="57"/>
    </row>
    <row r="21" spans="1:35" s="56" customFormat="1" ht="10.5" customHeight="1">
      <c r="A21" s="43" t="s">
        <v>147</v>
      </c>
      <c r="B21" s="54">
        <v>-4319.0008832812655</v>
      </c>
      <c r="C21" s="58">
        <v>4169.4215397819735</v>
      </c>
      <c r="D21" s="54">
        <v>0</v>
      </c>
      <c r="E21" s="54">
        <v>0</v>
      </c>
      <c r="F21" s="54">
        <v>0</v>
      </c>
      <c r="G21" s="54">
        <v>0</v>
      </c>
      <c r="H21" s="54">
        <v>0</v>
      </c>
      <c r="I21" s="54">
        <v>0</v>
      </c>
      <c r="J21" s="54">
        <v>0</v>
      </c>
      <c r="K21" s="58">
        <v>-149.57934349929201</v>
      </c>
      <c r="L21" s="54"/>
      <c r="M21" s="55"/>
      <c r="N21" s="55"/>
      <c r="O21" s="55"/>
      <c r="P21" s="55"/>
      <c r="Q21" s="55"/>
      <c r="R21" s="55"/>
      <c r="S21" s="55"/>
      <c r="T21" s="55"/>
      <c r="U21" s="55"/>
      <c r="V21" s="55"/>
      <c r="W21" s="57"/>
      <c r="AB21" s="55"/>
      <c r="AC21" s="55"/>
      <c r="AD21" s="55"/>
      <c r="AE21" s="55"/>
      <c r="AF21" s="55"/>
      <c r="AG21" s="55"/>
      <c r="AH21" s="55"/>
      <c r="AI21" s="57"/>
    </row>
    <row r="22" spans="1:35" s="56" customFormat="1" ht="10.5" customHeight="1">
      <c r="A22" s="43" t="s">
        <v>115</v>
      </c>
      <c r="B22" s="54">
        <v>-904.44038775362071</v>
      </c>
      <c r="C22" s="54">
        <v>-1632.6849250390758</v>
      </c>
      <c r="D22" s="54">
        <v>0</v>
      </c>
      <c r="E22" s="54">
        <v>-209.65376125681584</v>
      </c>
      <c r="F22" s="54">
        <v>0</v>
      </c>
      <c r="G22" s="54">
        <v>0</v>
      </c>
      <c r="H22" s="54">
        <v>0</v>
      </c>
      <c r="I22" s="54">
        <v>0</v>
      </c>
      <c r="J22" s="54">
        <v>0</v>
      </c>
      <c r="K22" s="54">
        <v>-2746.7790740495125</v>
      </c>
      <c r="L22" s="54"/>
      <c r="M22" s="55"/>
      <c r="N22" s="55"/>
      <c r="O22" s="55"/>
      <c r="P22" s="55"/>
      <c r="Q22" s="55"/>
      <c r="R22" s="55"/>
      <c r="S22" s="55"/>
      <c r="T22" s="55"/>
      <c r="U22" s="55"/>
      <c r="V22" s="55"/>
      <c r="W22" s="57"/>
      <c r="AB22" s="55"/>
      <c r="AC22" s="55"/>
      <c r="AD22" s="55"/>
      <c r="AE22" s="55"/>
      <c r="AF22" s="55"/>
      <c r="AG22" s="55"/>
      <c r="AH22" s="55"/>
      <c r="AI22" s="57"/>
    </row>
    <row r="23" spans="1:35" s="56" customFormat="1" ht="10.5" customHeight="1">
      <c r="A23" s="43" t="s">
        <v>148</v>
      </c>
      <c r="B23" s="54">
        <v>-171.71322799939193</v>
      </c>
      <c r="C23" s="54">
        <v>176.35028757045953</v>
      </c>
      <c r="D23" s="54">
        <v>0</v>
      </c>
      <c r="E23" s="54">
        <v>0</v>
      </c>
      <c r="F23" s="54">
        <v>0</v>
      </c>
      <c r="G23" s="54">
        <v>0</v>
      </c>
      <c r="H23" s="54">
        <v>0</v>
      </c>
      <c r="I23" s="54">
        <v>0</v>
      </c>
      <c r="J23" s="54">
        <v>0</v>
      </c>
      <c r="K23" s="54">
        <v>4.6370595710675957</v>
      </c>
      <c r="L23" s="54"/>
      <c r="M23" s="55"/>
      <c r="N23" s="55"/>
      <c r="O23" s="55"/>
      <c r="P23" s="55"/>
      <c r="Q23" s="55"/>
      <c r="R23" s="55"/>
      <c r="S23" s="55"/>
      <c r="T23" s="55"/>
      <c r="U23" s="55"/>
      <c r="V23" s="55"/>
      <c r="W23" s="57"/>
      <c r="AB23" s="55"/>
      <c r="AC23" s="55"/>
      <c r="AD23" s="55"/>
      <c r="AE23" s="55"/>
      <c r="AF23" s="55"/>
      <c r="AG23" s="55"/>
      <c r="AH23" s="55"/>
      <c r="AI23" s="57"/>
    </row>
    <row r="24" spans="1:35" s="56" customFormat="1" ht="10.5" customHeight="1">
      <c r="A24" s="70" t="s">
        <v>113</v>
      </c>
      <c r="B24" s="71">
        <v>0</v>
      </c>
      <c r="C24" s="71">
        <v>0</v>
      </c>
      <c r="D24" s="71">
        <v>0</v>
      </c>
      <c r="E24" s="71">
        <v>0</v>
      </c>
      <c r="F24" s="71">
        <v>0</v>
      </c>
      <c r="G24" s="71">
        <v>0</v>
      </c>
      <c r="H24" s="71">
        <v>0</v>
      </c>
      <c r="I24" s="71">
        <v>0</v>
      </c>
      <c r="J24" s="71">
        <v>0</v>
      </c>
      <c r="K24" s="71">
        <v>0</v>
      </c>
      <c r="L24" s="54"/>
      <c r="M24" s="55"/>
      <c r="N24" s="55"/>
      <c r="O24" s="55"/>
      <c r="P24" s="55"/>
      <c r="Q24" s="55"/>
      <c r="R24" s="55"/>
      <c r="S24" s="55"/>
      <c r="T24" s="55"/>
      <c r="U24" s="55"/>
      <c r="V24" s="55"/>
      <c r="W24" s="57"/>
      <c r="AB24" s="55"/>
      <c r="AC24" s="55"/>
      <c r="AD24" s="55"/>
      <c r="AE24" s="55"/>
      <c r="AF24" s="55"/>
      <c r="AG24" s="55"/>
      <c r="AH24" s="55"/>
      <c r="AI24" s="57"/>
    </row>
    <row r="25" spans="1:35" s="56" customFormat="1" ht="10.5" customHeight="1">
      <c r="A25" s="72" t="s">
        <v>149</v>
      </c>
      <c r="B25" s="68">
        <v>3.8428609674794316</v>
      </c>
      <c r="C25" s="67">
        <v>881.47682251004414</v>
      </c>
      <c r="D25" s="68">
        <v>0</v>
      </c>
      <c r="E25" s="67">
        <v>4718.7701610732329</v>
      </c>
      <c r="F25" s="67">
        <v>6299.2256223459626</v>
      </c>
      <c r="G25" s="68">
        <v>0</v>
      </c>
      <c r="H25" s="68">
        <v>0</v>
      </c>
      <c r="I25" s="67">
        <v>2543.5577240986504</v>
      </c>
      <c r="J25" s="67">
        <v>67.606119023141133</v>
      </c>
      <c r="K25" s="67">
        <v>14514.479310018509</v>
      </c>
      <c r="L25" s="54"/>
      <c r="M25" s="55"/>
      <c r="N25" s="55"/>
      <c r="O25" s="55"/>
      <c r="P25" s="55"/>
      <c r="Q25" s="55"/>
      <c r="R25" s="55"/>
      <c r="S25" s="55"/>
      <c r="T25" s="55"/>
      <c r="U25" s="55"/>
      <c r="V25" s="55"/>
      <c r="W25" s="57"/>
      <c r="AB25" s="55"/>
      <c r="AC25" s="55"/>
      <c r="AD25" s="55"/>
      <c r="AE25" s="55"/>
      <c r="AF25" s="55"/>
      <c r="AG25" s="55"/>
      <c r="AH25" s="55"/>
      <c r="AI25" s="57"/>
    </row>
    <row r="26" spans="1:35" s="56" customFormat="1" ht="10.5" customHeight="1">
      <c r="A26" s="43" t="s">
        <v>143</v>
      </c>
      <c r="B26" s="65">
        <v>0</v>
      </c>
      <c r="C26" s="65">
        <v>0</v>
      </c>
      <c r="D26" s="68">
        <v>0</v>
      </c>
      <c r="E26" s="68">
        <v>0</v>
      </c>
      <c r="F26" s="68">
        <v>0</v>
      </c>
      <c r="G26" s="68">
        <v>0</v>
      </c>
      <c r="H26" s="68">
        <v>0</v>
      </c>
      <c r="I26" s="58">
        <v>1521.8145950184091</v>
      </c>
      <c r="J26" s="54">
        <v>0</v>
      </c>
      <c r="K26" s="58">
        <v>1521.8145950184091</v>
      </c>
      <c r="L26" s="54"/>
      <c r="M26" s="55"/>
      <c r="N26" s="55"/>
      <c r="O26" s="55"/>
      <c r="P26" s="55"/>
      <c r="Q26" s="55"/>
      <c r="R26" s="55"/>
      <c r="S26" s="55"/>
      <c r="T26" s="55"/>
      <c r="U26" s="55"/>
      <c r="V26" s="55"/>
      <c r="W26" s="57"/>
      <c r="AB26" s="55"/>
      <c r="AC26" s="55"/>
      <c r="AD26" s="55"/>
      <c r="AE26" s="55"/>
      <c r="AF26" s="55"/>
      <c r="AG26" s="55"/>
      <c r="AH26" s="55"/>
      <c r="AI26" s="57"/>
    </row>
    <row r="27" spans="1:35" s="56" customFormat="1" ht="10.5" customHeight="1">
      <c r="A27" s="43" t="s">
        <v>150</v>
      </c>
      <c r="B27" s="65">
        <v>0</v>
      </c>
      <c r="C27" s="65">
        <v>0</v>
      </c>
      <c r="D27" s="68">
        <v>0</v>
      </c>
      <c r="E27" s="68">
        <v>0</v>
      </c>
      <c r="F27" s="54">
        <v>5522.7680375910086</v>
      </c>
      <c r="G27" s="68">
        <v>0</v>
      </c>
      <c r="H27" s="68">
        <v>0</v>
      </c>
      <c r="I27" s="54">
        <v>48.18436493896882</v>
      </c>
      <c r="J27" s="54">
        <v>0</v>
      </c>
      <c r="K27" s="54">
        <v>5570.952402529977</v>
      </c>
      <c r="L27" s="54"/>
      <c r="M27" s="55"/>
      <c r="N27" s="55"/>
      <c r="O27" s="55"/>
      <c r="P27" s="55"/>
      <c r="Q27" s="55"/>
      <c r="R27" s="55"/>
      <c r="S27" s="55"/>
      <c r="T27" s="55"/>
      <c r="U27" s="55"/>
      <c r="V27" s="55"/>
      <c r="W27" s="57"/>
      <c r="AB27" s="55"/>
      <c r="AC27" s="55"/>
      <c r="AD27" s="55"/>
      <c r="AE27" s="55"/>
      <c r="AF27" s="55"/>
      <c r="AG27" s="55"/>
      <c r="AH27" s="55"/>
      <c r="AI27" s="57"/>
    </row>
    <row r="28" spans="1:35" s="56" customFormat="1" ht="10.5" customHeight="1">
      <c r="A28" s="43" t="s">
        <v>146</v>
      </c>
      <c r="B28" s="65">
        <v>0</v>
      </c>
      <c r="C28" s="65">
        <v>0</v>
      </c>
      <c r="D28" s="68">
        <v>0</v>
      </c>
      <c r="E28" s="54">
        <v>4718.7375265188602</v>
      </c>
      <c r="F28" s="58">
        <v>209.92072940392129</v>
      </c>
      <c r="G28" s="68">
        <v>0</v>
      </c>
      <c r="H28" s="68">
        <v>0</v>
      </c>
      <c r="I28" s="58">
        <v>575.709506035652</v>
      </c>
      <c r="J28" s="58">
        <v>67.606119023141133</v>
      </c>
      <c r="K28" s="58">
        <v>5571.9738809815753</v>
      </c>
      <c r="L28" s="54"/>
      <c r="M28" s="55"/>
      <c r="N28" s="55"/>
      <c r="O28" s="55"/>
      <c r="P28" s="55"/>
      <c r="Q28" s="55"/>
      <c r="R28" s="55"/>
      <c r="S28" s="55"/>
      <c r="T28" s="55"/>
      <c r="U28" s="55"/>
      <c r="V28" s="55"/>
      <c r="W28" s="57"/>
      <c r="AB28" s="55"/>
      <c r="AC28" s="55"/>
      <c r="AD28" s="55"/>
      <c r="AE28" s="55"/>
      <c r="AF28" s="55"/>
      <c r="AG28" s="55"/>
      <c r="AH28" s="55"/>
      <c r="AI28" s="57"/>
    </row>
    <row r="29" spans="1:35" s="56" customFormat="1" ht="10.5" customHeight="1">
      <c r="A29" s="43" t="s">
        <v>151</v>
      </c>
      <c r="B29" s="54">
        <v>3.8428609674794316</v>
      </c>
      <c r="C29" s="65">
        <v>0</v>
      </c>
      <c r="D29" s="68">
        <v>0</v>
      </c>
      <c r="E29" s="68">
        <v>0</v>
      </c>
      <c r="F29" s="54">
        <v>7.8245915735167664</v>
      </c>
      <c r="G29" s="68">
        <v>0</v>
      </c>
      <c r="H29" s="68">
        <v>0</v>
      </c>
      <c r="I29" s="54">
        <v>84.52519815677114</v>
      </c>
      <c r="J29" s="68">
        <v>0</v>
      </c>
      <c r="K29" s="54">
        <v>96.192650697767334</v>
      </c>
      <c r="L29" s="54"/>
      <c r="M29" s="55"/>
      <c r="N29" s="55"/>
      <c r="O29" s="55"/>
      <c r="P29" s="55"/>
      <c r="Q29" s="55"/>
      <c r="R29" s="55"/>
      <c r="S29" s="55"/>
      <c r="T29" s="55"/>
      <c r="U29" s="55"/>
      <c r="V29" s="55"/>
      <c r="W29" s="57"/>
      <c r="AB29" s="55"/>
      <c r="AC29" s="55"/>
      <c r="AD29" s="55"/>
      <c r="AE29" s="55"/>
      <c r="AF29" s="55"/>
      <c r="AG29" s="55"/>
      <c r="AH29" s="55"/>
      <c r="AI29" s="57"/>
    </row>
    <row r="30" spans="1:35" s="56" customFormat="1" ht="11.25" customHeight="1">
      <c r="A30" s="43" t="s">
        <v>147</v>
      </c>
      <c r="B30" s="65">
        <v>0</v>
      </c>
      <c r="C30" s="54">
        <v>423.9398886304225</v>
      </c>
      <c r="D30" s="68">
        <v>0</v>
      </c>
      <c r="E30" s="68">
        <v>0</v>
      </c>
      <c r="F30" s="68">
        <v>0</v>
      </c>
      <c r="G30" s="68">
        <v>0</v>
      </c>
      <c r="H30" s="68">
        <v>0</v>
      </c>
      <c r="I30" s="54">
        <v>7.7140557991952763</v>
      </c>
      <c r="J30" s="68">
        <v>0</v>
      </c>
      <c r="K30" s="58">
        <v>431.91851614586881</v>
      </c>
      <c r="L30" s="54"/>
      <c r="M30" s="55"/>
      <c r="N30" s="55"/>
      <c r="O30" s="55"/>
      <c r="P30" s="55"/>
      <c r="Q30" s="55"/>
      <c r="R30" s="55"/>
      <c r="S30" s="55"/>
      <c r="T30" s="55"/>
      <c r="U30" s="55"/>
      <c r="V30" s="55"/>
      <c r="W30" s="57"/>
      <c r="AB30" s="55"/>
      <c r="AC30" s="55"/>
      <c r="AD30" s="55"/>
      <c r="AE30" s="55"/>
      <c r="AF30" s="55"/>
      <c r="AG30" s="55"/>
      <c r="AH30" s="55"/>
      <c r="AI30" s="57"/>
    </row>
    <row r="31" spans="1:35" s="56" customFormat="1" ht="10.5" customHeight="1">
      <c r="A31" s="43" t="s">
        <v>115</v>
      </c>
      <c r="B31" s="65">
        <v>0</v>
      </c>
      <c r="C31" s="54">
        <v>457.53693387962164</v>
      </c>
      <c r="D31" s="68">
        <v>0</v>
      </c>
      <c r="E31" s="68">
        <v>0</v>
      </c>
      <c r="F31" s="54">
        <v>61.82336646603612</v>
      </c>
      <c r="G31" s="68">
        <v>0</v>
      </c>
      <c r="H31" s="68">
        <v>0</v>
      </c>
      <c r="I31" s="54">
        <v>41.168132812308137</v>
      </c>
      <c r="J31" s="68">
        <v>0</v>
      </c>
      <c r="K31" s="54">
        <v>560.56106771233885</v>
      </c>
      <c r="L31" s="54"/>
      <c r="M31" s="55"/>
      <c r="N31" s="55"/>
      <c r="O31" s="55"/>
      <c r="P31" s="55"/>
      <c r="Q31" s="55"/>
      <c r="R31" s="55"/>
      <c r="S31" s="55"/>
      <c r="T31" s="55"/>
      <c r="U31" s="55"/>
      <c r="V31" s="55"/>
      <c r="W31" s="57"/>
      <c r="AB31" s="55"/>
      <c r="AC31" s="55"/>
      <c r="AD31" s="55"/>
      <c r="AE31" s="55"/>
      <c r="AF31" s="55"/>
      <c r="AG31" s="55"/>
      <c r="AH31" s="55"/>
      <c r="AI31" s="57"/>
    </row>
    <row r="32" spans="1:35" s="56" customFormat="1" ht="11.25" customHeight="1">
      <c r="A32" s="43" t="s">
        <v>148</v>
      </c>
      <c r="B32" s="65">
        <v>0</v>
      </c>
      <c r="C32" s="54">
        <v>0</v>
      </c>
      <c r="D32" s="68">
        <v>0</v>
      </c>
      <c r="E32" s="68">
        <v>0</v>
      </c>
      <c r="F32" s="68">
        <v>0</v>
      </c>
      <c r="G32" s="68">
        <v>0</v>
      </c>
      <c r="H32" s="68">
        <v>0</v>
      </c>
      <c r="I32" s="68">
        <v>0</v>
      </c>
      <c r="J32" s="68">
        <v>0</v>
      </c>
      <c r="K32" s="54">
        <v>0</v>
      </c>
      <c r="L32" s="54"/>
      <c r="M32" s="55"/>
      <c r="N32" s="55"/>
      <c r="O32" s="55"/>
      <c r="P32" s="55"/>
      <c r="Q32" s="55"/>
      <c r="R32" s="55"/>
      <c r="S32" s="55"/>
      <c r="T32" s="55"/>
      <c r="U32" s="55"/>
      <c r="V32" s="55"/>
      <c r="W32" s="57"/>
      <c r="AB32" s="55"/>
      <c r="AC32" s="55"/>
      <c r="AD32" s="55"/>
      <c r="AE32" s="55"/>
      <c r="AF32" s="55"/>
      <c r="AG32" s="55"/>
      <c r="AH32" s="55"/>
      <c r="AI32" s="57"/>
    </row>
    <row r="33" spans="1:35" s="56" customFormat="1" ht="10.5" customHeight="1">
      <c r="A33" s="43" t="s">
        <v>152</v>
      </c>
      <c r="B33" s="65">
        <v>0</v>
      </c>
      <c r="C33" s="54">
        <v>0</v>
      </c>
      <c r="D33" s="68">
        <v>0</v>
      </c>
      <c r="E33" s="68">
        <v>0</v>
      </c>
      <c r="F33" s="68">
        <v>0</v>
      </c>
      <c r="G33" s="68">
        <v>0</v>
      </c>
      <c r="H33" s="68">
        <v>0</v>
      </c>
      <c r="I33" s="54">
        <v>104.2166654342218</v>
      </c>
      <c r="J33" s="68">
        <v>0</v>
      </c>
      <c r="K33" s="54">
        <v>104.2166654342218</v>
      </c>
      <c r="L33" s="54"/>
      <c r="M33" s="55"/>
      <c r="N33" s="55"/>
      <c r="O33" s="55"/>
      <c r="P33" s="55"/>
      <c r="Q33" s="55"/>
      <c r="R33" s="55"/>
      <c r="S33" s="55"/>
      <c r="T33" s="55"/>
      <c r="U33" s="55"/>
      <c r="V33" s="55"/>
      <c r="W33" s="57"/>
      <c r="AB33" s="55"/>
      <c r="AC33" s="55"/>
      <c r="AD33" s="55"/>
      <c r="AE33" s="55"/>
      <c r="AF33" s="55"/>
      <c r="AG33" s="55"/>
      <c r="AH33" s="55"/>
      <c r="AI33" s="57"/>
    </row>
    <row r="34" spans="1:35" s="56" customFormat="1" ht="10.5" customHeight="1">
      <c r="A34" s="43" t="s">
        <v>113</v>
      </c>
      <c r="B34" s="65">
        <v>0</v>
      </c>
      <c r="C34" s="54">
        <v>0</v>
      </c>
      <c r="D34" s="68">
        <v>0</v>
      </c>
      <c r="E34" s="68">
        <v>0</v>
      </c>
      <c r="F34" s="54">
        <v>496.62432559522813</v>
      </c>
      <c r="G34" s="68">
        <v>0</v>
      </c>
      <c r="H34" s="68">
        <v>0</v>
      </c>
      <c r="I34" s="58">
        <v>160.22520590312376</v>
      </c>
      <c r="J34" s="68">
        <v>0</v>
      </c>
      <c r="K34" s="58">
        <v>656.84953149835189</v>
      </c>
      <c r="L34" s="54"/>
      <c r="M34" s="55"/>
      <c r="N34" s="55"/>
      <c r="O34" s="55"/>
      <c r="P34" s="55"/>
      <c r="Q34" s="55"/>
      <c r="R34" s="55"/>
      <c r="S34" s="55"/>
      <c r="T34" s="55"/>
      <c r="U34" s="55"/>
      <c r="V34" s="55"/>
      <c r="W34" s="57"/>
      <c r="AB34" s="55"/>
      <c r="AC34" s="55"/>
      <c r="AD34" s="55"/>
      <c r="AE34" s="55"/>
      <c r="AF34" s="55"/>
      <c r="AG34" s="55"/>
      <c r="AH34" s="55"/>
      <c r="AI34" s="57"/>
    </row>
    <row r="35" spans="1:35" s="56" customFormat="1" ht="10.5" customHeight="1">
      <c r="A35" s="73" t="s">
        <v>52</v>
      </c>
      <c r="B35" s="68">
        <v>0</v>
      </c>
      <c r="C35" s="68">
        <v>216.34202534995705</v>
      </c>
      <c r="D35" s="68">
        <v>0</v>
      </c>
      <c r="E35" s="68">
        <v>0</v>
      </c>
      <c r="F35" s="68">
        <v>1037.6687767050994</v>
      </c>
      <c r="G35" s="68">
        <v>0</v>
      </c>
      <c r="H35" s="68">
        <v>0</v>
      </c>
      <c r="I35" s="67">
        <v>2275.9493123434181</v>
      </c>
      <c r="J35" s="68">
        <v>0</v>
      </c>
      <c r="K35" s="67">
        <v>3529.9601143984746</v>
      </c>
      <c r="L35" s="54"/>
      <c r="M35" s="55"/>
      <c r="N35" s="55"/>
      <c r="O35" s="55"/>
      <c r="P35" s="55"/>
      <c r="Q35" s="55"/>
      <c r="R35" s="55"/>
      <c r="S35" s="55"/>
      <c r="T35" s="55"/>
      <c r="U35" s="55"/>
      <c r="V35" s="55"/>
      <c r="W35" s="57"/>
      <c r="AB35" s="55"/>
      <c r="AC35" s="55"/>
      <c r="AD35" s="55"/>
      <c r="AE35" s="55"/>
      <c r="AF35" s="55"/>
      <c r="AG35" s="55"/>
      <c r="AH35" s="55"/>
      <c r="AI35" s="57"/>
    </row>
    <row r="36" spans="1:35" s="56" customFormat="1" ht="10.5" customHeight="1">
      <c r="A36" s="74" t="s">
        <v>153</v>
      </c>
      <c r="B36" s="75">
        <v>1741.393098794214</v>
      </c>
      <c r="C36" s="75">
        <v>1054.3723391542021</v>
      </c>
      <c r="D36" s="76">
        <v>0</v>
      </c>
      <c r="E36" s="75">
        <v>79824.843393961739</v>
      </c>
      <c r="F36" s="75">
        <v>51432.626194690871</v>
      </c>
      <c r="G36" s="75">
        <v>1220.3447526743503</v>
      </c>
      <c r="H36" s="76">
        <v>0</v>
      </c>
      <c r="I36" s="75">
        <v>29352.030908025168</v>
      </c>
      <c r="J36" s="75">
        <v>1127.9316844368013</v>
      </c>
      <c r="K36" s="75">
        <v>165753.54237173733</v>
      </c>
      <c r="L36" s="54"/>
      <c r="M36" s="55"/>
      <c r="N36" s="55"/>
      <c r="O36" s="55"/>
      <c r="P36" s="55"/>
      <c r="Q36" s="57"/>
      <c r="R36" s="55"/>
      <c r="V36" s="55"/>
      <c r="W36" s="55"/>
      <c r="AB36" s="55"/>
      <c r="AC36" s="55"/>
      <c r="AD36" s="55"/>
      <c r="AE36" s="55"/>
      <c r="AF36" s="55"/>
      <c r="AG36" s="55"/>
      <c r="AH36" s="55"/>
      <c r="AI36" s="57"/>
    </row>
    <row r="37" spans="1:35" s="56" customFormat="1" ht="10.5" customHeight="1">
      <c r="A37" s="53" t="s">
        <v>39</v>
      </c>
      <c r="B37" s="67">
        <v>1240.4875496309458</v>
      </c>
      <c r="C37" s="68">
        <v>861.34517357351172</v>
      </c>
      <c r="D37" s="68">
        <v>0</v>
      </c>
      <c r="E37" s="68">
        <v>6826.8147628055231</v>
      </c>
      <c r="F37" s="67">
        <v>11630.301010071018</v>
      </c>
      <c r="G37" s="67">
        <v>276.33064723402265</v>
      </c>
      <c r="H37" s="68">
        <v>0</v>
      </c>
      <c r="I37" s="67">
        <v>10060.801902903399</v>
      </c>
      <c r="J37" s="67">
        <v>690.26303439380911</v>
      </c>
      <c r="K37" s="67">
        <v>31586.344080612234</v>
      </c>
      <c r="L37" s="54"/>
      <c r="M37" s="55"/>
      <c r="N37" s="55"/>
      <c r="O37" s="55"/>
      <c r="P37" s="55"/>
      <c r="Q37" s="57"/>
      <c r="R37" s="55"/>
      <c r="V37" s="55"/>
      <c r="W37" s="55"/>
      <c r="AB37" s="55"/>
      <c r="AC37" s="55"/>
      <c r="AD37" s="55"/>
      <c r="AE37" s="55"/>
      <c r="AF37" s="55"/>
      <c r="AG37" s="55"/>
      <c r="AH37" s="55"/>
      <c r="AI37" s="57"/>
    </row>
    <row r="38" spans="1:35" s="56" customFormat="1" ht="10.5" customHeight="1">
      <c r="A38" s="43" t="s">
        <v>154</v>
      </c>
      <c r="B38" s="54">
        <v>0</v>
      </c>
      <c r="C38" s="54">
        <v>237.32264460895635</v>
      </c>
      <c r="D38" s="68">
        <v>0</v>
      </c>
      <c r="E38" s="54">
        <v>2640.2587526636494</v>
      </c>
      <c r="F38" s="54">
        <v>3.4393809114359413</v>
      </c>
      <c r="G38" s="58">
        <v>276.33064723402265</v>
      </c>
      <c r="H38" s="54">
        <v>0</v>
      </c>
      <c r="I38" s="54">
        <v>0</v>
      </c>
      <c r="J38" s="54">
        <v>0</v>
      </c>
      <c r="K38" s="58">
        <v>3157.3514254180641</v>
      </c>
      <c r="L38" s="54"/>
      <c r="M38" s="55"/>
      <c r="N38" s="55"/>
      <c r="O38" s="55"/>
      <c r="P38" s="55"/>
      <c r="Q38" s="57"/>
      <c r="R38" s="55"/>
      <c r="V38" s="55"/>
      <c r="W38" s="55"/>
      <c r="AB38" s="55"/>
      <c r="AC38" s="55"/>
      <c r="AD38" s="55"/>
      <c r="AE38" s="55"/>
      <c r="AF38" s="55"/>
      <c r="AG38" s="55"/>
      <c r="AH38" s="55"/>
      <c r="AI38" s="57"/>
    </row>
    <row r="39" spans="1:35" s="56" customFormat="1" ht="11.25" customHeight="1">
      <c r="A39" s="43" t="s">
        <v>155</v>
      </c>
      <c r="B39" s="54">
        <v>0.72609152574758762</v>
      </c>
      <c r="C39" s="54">
        <v>624.02252896455536</v>
      </c>
      <c r="D39" s="68">
        <v>0</v>
      </c>
      <c r="E39" s="54">
        <v>19.900492553787309</v>
      </c>
      <c r="F39" s="58">
        <v>628.62156585540276</v>
      </c>
      <c r="G39" s="54">
        <v>0</v>
      </c>
      <c r="H39" s="54">
        <v>0</v>
      </c>
      <c r="I39" s="54">
        <v>423.35971716674726</v>
      </c>
      <c r="J39" s="54">
        <v>0</v>
      </c>
      <c r="K39" s="58">
        <v>1696.6303960662403</v>
      </c>
      <c r="L39" s="54"/>
      <c r="M39" s="55"/>
      <c r="N39" s="55"/>
      <c r="O39" s="55"/>
      <c r="P39" s="55"/>
      <c r="Q39" s="57"/>
      <c r="R39" s="55"/>
      <c r="V39" s="55"/>
      <c r="W39" s="55"/>
      <c r="AB39" s="55"/>
      <c r="AC39" s="55"/>
      <c r="AD39" s="55"/>
      <c r="AE39" s="55"/>
      <c r="AF39" s="55"/>
      <c r="AG39" s="55"/>
      <c r="AH39" s="55"/>
      <c r="AI39" s="57"/>
    </row>
    <row r="40" spans="1:35" s="56" customFormat="1" ht="11.25" customHeight="1">
      <c r="A40" s="43" t="s">
        <v>156</v>
      </c>
      <c r="B40" s="54">
        <v>21.884482632167458</v>
      </c>
      <c r="C40" s="54">
        <v>0</v>
      </c>
      <c r="D40" s="68">
        <v>0</v>
      </c>
      <c r="E40" s="54">
        <v>48.364440689883232</v>
      </c>
      <c r="F40" s="54">
        <v>291.62889836699475</v>
      </c>
      <c r="G40" s="54">
        <v>0</v>
      </c>
      <c r="H40" s="54">
        <v>0</v>
      </c>
      <c r="I40" s="58">
        <v>630.31673484735825</v>
      </c>
      <c r="J40" s="54">
        <v>0</v>
      </c>
      <c r="K40" s="58">
        <v>992.19455653640375</v>
      </c>
      <c r="L40" s="54"/>
      <c r="M40" s="55"/>
      <c r="N40" s="55"/>
      <c r="O40" s="55"/>
      <c r="P40" s="55"/>
      <c r="Q40" s="57"/>
      <c r="R40" s="55"/>
      <c r="V40" s="55"/>
      <c r="W40" s="55"/>
      <c r="AB40" s="55"/>
      <c r="AC40" s="55"/>
      <c r="AD40" s="55"/>
      <c r="AE40" s="55"/>
      <c r="AF40" s="55"/>
      <c r="AG40" s="55"/>
      <c r="AH40" s="55"/>
      <c r="AI40" s="57"/>
    </row>
    <row r="41" spans="1:35" s="56" customFormat="1" ht="10.5" customHeight="1">
      <c r="A41" s="43" t="s">
        <v>157</v>
      </c>
      <c r="B41" s="58">
        <v>759.22852775389333</v>
      </c>
      <c r="C41" s="54">
        <v>0</v>
      </c>
      <c r="D41" s="68">
        <v>0</v>
      </c>
      <c r="E41" s="54">
        <v>197.08748361030496</v>
      </c>
      <c r="F41" s="54">
        <v>964.40095726298898</v>
      </c>
      <c r="G41" s="54">
        <v>0</v>
      </c>
      <c r="H41" s="54">
        <v>0</v>
      </c>
      <c r="I41" s="58">
        <v>675.78834137154035</v>
      </c>
      <c r="J41" s="54">
        <v>0</v>
      </c>
      <c r="K41" s="58">
        <v>2596.5053099987276</v>
      </c>
      <c r="L41" s="54"/>
      <c r="M41" s="55"/>
      <c r="N41" s="55"/>
      <c r="O41" s="55"/>
      <c r="P41" s="55"/>
      <c r="Q41" s="57"/>
      <c r="R41" s="55"/>
      <c r="V41" s="55"/>
      <c r="W41" s="55"/>
      <c r="AB41" s="55"/>
      <c r="AC41" s="55"/>
      <c r="AD41" s="55"/>
      <c r="AE41" s="55"/>
      <c r="AF41" s="55"/>
      <c r="AG41" s="55"/>
      <c r="AH41" s="55"/>
      <c r="AI41" s="57"/>
    </row>
    <row r="42" spans="1:35" s="56" customFormat="1" ht="10.5" customHeight="1">
      <c r="A42" s="43" t="s">
        <v>158</v>
      </c>
      <c r="B42" s="54">
        <v>91.415627854253842</v>
      </c>
      <c r="C42" s="54">
        <v>0</v>
      </c>
      <c r="D42" s="68">
        <v>0</v>
      </c>
      <c r="E42" s="54">
        <v>192.48558232174452</v>
      </c>
      <c r="F42" s="58">
        <v>3161.4027801091688</v>
      </c>
      <c r="G42" s="54">
        <v>0</v>
      </c>
      <c r="H42" s="54">
        <v>0</v>
      </c>
      <c r="I42" s="58">
        <v>1908.8138953501298</v>
      </c>
      <c r="J42" s="58">
        <v>276.5900318142734</v>
      </c>
      <c r="K42" s="58">
        <v>5630.7079174495693</v>
      </c>
      <c r="L42" s="54"/>
      <c r="M42" s="55"/>
      <c r="N42" s="55"/>
      <c r="O42" s="55"/>
      <c r="P42" s="55"/>
      <c r="Q42" s="57"/>
      <c r="R42" s="55"/>
      <c r="V42" s="55"/>
      <c r="W42" s="55"/>
      <c r="AB42" s="55"/>
      <c r="AC42" s="55"/>
      <c r="AD42" s="55"/>
      <c r="AE42" s="55"/>
      <c r="AF42" s="55"/>
      <c r="AG42" s="55"/>
      <c r="AH42" s="55"/>
      <c r="AI42" s="57"/>
    </row>
    <row r="43" spans="1:35" s="56" customFormat="1" ht="10.5" customHeight="1">
      <c r="A43" s="43" t="s">
        <v>159</v>
      </c>
      <c r="B43" s="54">
        <v>6.8576236036661511</v>
      </c>
      <c r="C43" s="54">
        <v>0</v>
      </c>
      <c r="D43" s="68">
        <v>0</v>
      </c>
      <c r="E43" s="54">
        <v>107.40562780627575</v>
      </c>
      <c r="F43" s="58">
        <v>672.11810362537369</v>
      </c>
      <c r="G43" s="54">
        <v>0</v>
      </c>
      <c r="H43" s="54">
        <v>0</v>
      </c>
      <c r="I43" s="58">
        <v>732.42177145015921</v>
      </c>
      <c r="J43" s="58">
        <v>0</v>
      </c>
      <c r="K43" s="58">
        <v>1518.8031264854749</v>
      </c>
      <c r="L43" s="54"/>
      <c r="M43" s="55"/>
      <c r="N43" s="55"/>
      <c r="O43" s="55"/>
      <c r="P43" s="55"/>
      <c r="Q43" s="57"/>
      <c r="R43" s="55"/>
      <c r="V43" s="55"/>
      <c r="W43" s="55"/>
      <c r="AB43" s="55"/>
      <c r="AC43" s="55"/>
      <c r="AD43" s="55"/>
      <c r="AE43" s="55"/>
      <c r="AF43" s="55"/>
      <c r="AG43" s="55"/>
      <c r="AH43" s="55"/>
      <c r="AI43" s="57"/>
    </row>
    <row r="44" spans="1:35" s="56" customFormat="1" ht="10.5" customHeight="1">
      <c r="A44" s="43" t="s">
        <v>160</v>
      </c>
      <c r="B44" s="54">
        <v>3.9284638587304435</v>
      </c>
      <c r="C44" s="54">
        <v>0</v>
      </c>
      <c r="D44" s="68">
        <v>0</v>
      </c>
      <c r="E44" s="54">
        <v>35.550087867351941</v>
      </c>
      <c r="F44" s="58">
        <v>338.7842483754726</v>
      </c>
      <c r="G44" s="54">
        <v>0</v>
      </c>
      <c r="H44" s="54">
        <v>0</v>
      </c>
      <c r="I44" s="58">
        <v>626.77839440929563</v>
      </c>
      <c r="J44" s="54">
        <v>0</v>
      </c>
      <c r="K44" s="58">
        <v>1005.0411945108506</v>
      </c>
      <c r="L44" s="54"/>
      <c r="M44" s="55"/>
      <c r="N44" s="55"/>
      <c r="O44" s="55"/>
      <c r="P44" s="55"/>
      <c r="Q44" s="57"/>
      <c r="R44" s="55"/>
      <c r="V44" s="55"/>
      <c r="W44" s="55"/>
      <c r="AB44" s="55"/>
      <c r="AC44" s="55"/>
      <c r="AD44" s="55"/>
      <c r="AE44" s="55"/>
      <c r="AF44" s="55"/>
      <c r="AG44" s="55"/>
      <c r="AH44" s="55"/>
      <c r="AI44" s="57"/>
    </row>
    <row r="45" spans="1:35" s="56" customFormat="1" ht="10.5" customHeight="1">
      <c r="A45" s="43" t="s">
        <v>161</v>
      </c>
      <c r="B45" s="54">
        <v>34.696747610971791</v>
      </c>
      <c r="C45" s="54">
        <v>0</v>
      </c>
      <c r="D45" s="68">
        <v>0</v>
      </c>
      <c r="E45" s="54">
        <v>122.79265925065245</v>
      </c>
      <c r="F45" s="58">
        <v>760.16149156706035</v>
      </c>
      <c r="G45" s="54">
        <v>0</v>
      </c>
      <c r="H45" s="54">
        <v>0</v>
      </c>
      <c r="I45" s="58">
        <v>492.77976343551956</v>
      </c>
      <c r="J45" s="54">
        <v>0</v>
      </c>
      <c r="K45" s="58">
        <v>1410.4306618642042</v>
      </c>
      <c r="L45" s="54"/>
      <c r="M45" s="55"/>
      <c r="N45" s="55"/>
      <c r="O45" s="55"/>
      <c r="P45" s="55"/>
      <c r="Q45" s="57"/>
      <c r="R45" s="55"/>
      <c r="V45" s="55"/>
      <c r="W45" s="55"/>
      <c r="AB45" s="55"/>
      <c r="AC45" s="55"/>
      <c r="AD45" s="55"/>
      <c r="AE45" s="55"/>
      <c r="AF45" s="55"/>
      <c r="AG45" s="55"/>
      <c r="AH45" s="55"/>
      <c r="AI45" s="57"/>
    </row>
    <row r="46" spans="1:35" s="56" customFormat="1" ht="10.5" customHeight="1">
      <c r="A46" s="43" t="s">
        <v>162</v>
      </c>
      <c r="B46" s="58">
        <v>29.449642318359071</v>
      </c>
      <c r="C46" s="54">
        <v>0</v>
      </c>
      <c r="D46" s="68">
        <v>0</v>
      </c>
      <c r="E46" s="54">
        <v>267.62756105858762</v>
      </c>
      <c r="F46" s="58">
        <v>2250.3734032613634</v>
      </c>
      <c r="G46" s="54">
        <v>0</v>
      </c>
      <c r="H46" s="54">
        <v>0</v>
      </c>
      <c r="I46" s="58">
        <v>1056.1831551668772</v>
      </c>
      <c r="J46" s="58">
        <v>1.8537420464316423</v>
      </c>
      <c r="K46" s="58">
        <v>3605.4875038516193</v>
      </c>
      <c r="L46" s="54"/>
      <c r="M46" s="55"/>
      <c r="N46" s="55"/>
      <c r="O46" s="55"/>
      <c r="P46" s="55"/>
      <c r="Q46" s="57"/>
      <c r="R46" s="55"/>
      <c r="V46" s="55"/>
      <c r="W46" s="55"/>
      <c r="AB46" s="55"/>
      <c r="AC46" s="55"/>
      <c r="AD46" s="55"/>
      <c r="AE46" s="55"/>
      <c r="AF46" s="55"/>
      <c r="AG46" s="55"/>
      <c r="AH46" s="55"/>
      <c r="AI46" s="57"/>
    </row>
    <row r="47" spans="1:35" s="56" customFormat="1" ht="10.5" customHeight="1">
      <c r="A47" s="43" t="s">
        <v>163</v>
      </c>
      <c r="B47" s="54">
        <v>52.394962261044078</v>
      </c>
      <c r="C47" s="54">
        <v>0</v>
      </c>
      <c r="D47" s="68">
        <v>0</v>
      </c>
      <c r="E47" s="54">
        <v>119.08852815103786</v>
      </c>
      <c r="F47" s="54">
        <v>548.54967223060169</v>
      </c>
      <c r="G47" s="54">
        <v>0</v>
      </c>
      <c r="H47" s="54">
        <v>0</v>
      </c>
      <c r="I47" s="54">
        <v>287.99730125593561</v>
      </c>
      <c r="J47" s="54">
        <v>0</v>
      </c>
      <c r="K47" s="54">
        <v>1008.0304638986192</v>
      </c>
      <c r="L47" s="54"/>
      <c r="M47" s="55"/>
      <c r="N47" s="55"/>
      <c r="O47" s="55"/>
      <c r="P47" s="55"/>
      <c r="Q47" s="57"/>
      <c r="R47" s="55"/>
      <c r="V47" s="55"/>
      <c r="W47" s="55"/>
      <c r="AB47" s="55"/>
      <c r="AC47" s="55"/>
      <c r="AD47" s="55"/>
      <c r="AE47" s="55"/>
      <c r="AF47" s="55"/>
      <c r="AG47" s="55"/>
      <c r="AH47" s="55"/>
      <c r="AI47" s="57"/>
    </row>
    <row r="48" spans="1:35" s="56" customFormat="1" ht="10.5" customHeight="1">
      <c r="A48" s="43" t="s">
        <v>164</v>
      </c>
      <c r="B48" s="54">
        <v>101.07267246935464</v>
      </c>
      <c r="C48" s="54">
        <v>0</v>
      </c>
      <c r="D48" s="68">
        <v>0</v>
      </c>
      <c r="E48" s="54">
        <v>64.793519163184271</v>
      </c>
      <c r="F48" s="58">
        <v>930.49100984541735</v>
      </c>
      <c r="G48" s="54">
        <v>0</v>
      </c>
      <c r="H48" s="54">
        <v>0</v>
      </c>
      <c r="I48" s="58">
        <v>1148.4158702814241</v>
      </c>
      <c r="J48" s="54">
        <v>1.2411865864144453</v>
      </c>
      <c r="K48" s="58">
        <v>2246.014258345795</v>
      </c>
      <c r="L48" s="54"/>
      <c r="M48" s="55"/>
      <c r="N48" s="55"/>
      <c r="O48" s="55"/>
      <c r="P48" s="55"/>
      <c r="Q48" s="57"/>
      <c r="R48" s="55"/>
      <c r="V48" s="55"/>
      <c r="W48" s="55"/>
      <c r="AB48" s="55"/>
      <c r="AC48" s="55"/>
      <c r="AD48" s="55"/>
      <c r="AE48" s="55"/>
      <c r="AF48" s="55"/>
      <c r="AG48" s="55"/>
      <c r="AH48" s="55"/>
      <c r="AI48" s="57"/>
    </row>
    <row r="49" spans="1:35" s="56" customFormat="1" ht="11.25" customHeight="1">
      <c r="A49" s="43" t="s">
        <v>165</v>
      </c>
      <c r="B49" s="58">
        <v>138.83270774275735</v>
      </c>
      <c r="C49" s="54">
        <v>0</v>
      </c>
      <c r="D49" s="68">
        <v>0</v>
      </c>
      <c r="E49" s="54">
        <v>2842.5744712221363</v>
      </c>
      <c r="F49" s="58">
        <v>849.59817536314358</v>
      </c>
      <c r="G49" s="54">
        <v>0</v>
      </c>
      <c r="H49" s="54">
        <v>0</v>
      </c>
      <c r="I49" s="58">
        <v>1940.4999441703956</v>
      </c>
      <c r="J49" s="54">
        <v>410.57807394668959</v>
      </c>
      <c r="K49" s="58">
        <v>6182.0833724451231</v>
      </c>
      <c r="L49" s="54"/>
      <c r="M49" s="55"/>
      <c r="N49" s="55"/>
      <c r="O49" s="55"/>
      <c r="P49" s="55"/>
      <c r="Q49" s="57"/>
      <c r="R49" s="55"/>
      <c r="V49" s="55"/>
      <c r="W49" s="55"/>
      <c r="AB49" s="55"/>
      <c r="AC49" s="55"/>
      <c r="AD49" s="55"/>
      <c r="AE49" s="55"/>
      <c r="AF49" s="55"/>
      <c r="AG49" s="55"/>
      <c r="AH49" s="55"/>
      <c r="AI49" s="57"/>
    </row>
    <row r="50" spans="1:35" s="56" customFormat="1" ht="11.25" customHeight="1">
      <c r="A50" s="43" t="s">
        <v>166</v>
      </c>
      <c r="B50" s="54">
        <v>0</v>
      </c>
      <c r="C50" s="54">
        <v>0</v>
      </c>
      <c r="D50" s="68">
        <v>0</v>
      </c>
      <c r="E50" s="54">
        <v>168.88555644692795</v>
      </c>
      <c r="F50" s="54">
        <v>230.73132329659407</v>
      </c>
      <c r="G50" s="54">
        <v>0</v>
      </c>
      <c r="H50" s="54">
        <v>0</v>
      </c>
      <c r="I50" s="54">
        <v>137.44701399801724</v>
      </c>
      <c r="J50" s="68">
        <v>0</v>
      </c>
      <c r="K50" s="54">
        <v>537.06389374153923</v>
      </c>
      <c r="L50" s="54"/>
      <c r="M50" s="55"/>
      <c r="N50" s="55"/>
      <c r="O50" s="55"/>
      <c r="P50" s="55"/>
      <c r="Q50" s="57"/>
      <c r="R50" s="55"/>
      <c r="V50" s="55"/>
      <c r="W50" s="55"/>
      <c r="AB50" s="55"/>
      <c r="AC50" s="55"/>
      <c r="AD50" s="55"/>
      <c r="AE50" s="55"/>
      <c r="AF50" s="55"/>
      <c r="AG50" s="55"/>
      <c r="AH50" s="55"/>
      <c r="AI50" s="57"/>
    </row>
    <row r="51" spans="1:35" s="56" customFormat="1" ht="10.5" customHeight="1">
      <c r="A51" s="53" t="s">
        <v>167</v>
      </c>
      <c r="B51" s="68">
        <v>0</v>
      </c>
      <c r="C51" s="68">
        <v>0</v>
      </c>
      <c r="D51" s="68">
        <v>0</v>
      </c>
      <c r="E51" s="67">
        <v>59070.638824150628</v>
      </c>
      <c r="F51" s="68">
        <v>0</v>
      </c>
      <c r="G51" s="67">
        <v>361.69050647440218</v>
      </c>
      <c r="H51" s="68">
        <v>0</v>
      </c>
      <c r="I51" s="67">
        <v>696.49866033915998</v>
      </c>
      <c r="J51" s="68">
        <v>0</v>
      </c>
      <c r="K51" s="67">
        <v>60128.827990964193</v>
      </c>
      <c r="L51" s="54"/>
      <c r="M51" s="55"/>
      <c r="N51" s="55"/>
      <c r="O51" s="55"/>
      <c r="P51" s="55"/>
      <c r="Q51" s="57"/>
      <c r="R51" s="55"/>
      <c r="V51" s="55"/>
      <c r="W51" s="55"/>
      <c r="AB51" s="55"/>
      <c r="AC51" s="55"/>
      <c r="AD51" s="55"/>
      <c r="AE51" s="55"/>
      <c r="AF51" s="55"/>
      <c r="AG51" s="55"/>
      <c r="AH51" s="55"/>
      <c r="AI51" s="57"/>
    </row>
    <row r="52" spans="1:35" s="56" customFormat="1" ht="10.5" customHeight="1">
      <c r="A52" s="43" t="s">
        <v>168</v>
      </c>
      <c r="B52" s="68">
        <v>0</v>
      </c>
      <c r="C52" s="68">
        <v>0</v>
      </c>
      <c r="D52" s="68">
        <v>0</v>
      </c>
      <c r="E52" s="58">
        <v>13905.964685498053</v>
      </c>
      <c r="F52" s="68">
        <v>0</v>
      </c>
      <c r="G52" s="68">
        <v>0</v>
      </c>
      <c r="H52" s="68">
        <v>0</v>
      </c>
      <c r="I52" s="68">
        <v>0</v>
      </c>
      <c r="J52" s="68">
        <v>0</v>
      </c>
      <c r="K52" s="58">
        <v>13905.964685498053</v>
      </c>
      <c r="L52" s="54"/>
      <c r="M52" s="55"/>
      <c r="N52" s="55"/>
      <c r="O52" s="55"/>
      <c r="P52" s="55"/>
      <c r="Q52" s="57"/>
      <c r="R52" s="55"/>
      <c r="V52" s="55"/>
      <c r="W52" s="55"/>
      <c r="AB52" s="55"/>
      <c r="AC52" s="55"/>
      <c r="AD52" s="55"/>
      <c r="AE52" s="55"/>
      <c r="AF52" s="55"/>
      <c r="AG52" s="55"/>
      <c r="AH52" s="55"/>
      <c r="AI52" s="57"/>
    </row>
    <row r="53" spans="1:35" s="56" customFormat="1" ht="10.5" customHeight="1">
      <c r="A53" s="43" t="s">
        <v>24</v>
      </c>
      <c r="B53" s="68">
        <v>0</v>
      </c>
      <c r="C53" s="68">
        <v>0</v>
      </c>
      <c r="D53" s="68">
        <v>0</v>
      </c>
      <c r="E53" s="54">
        <v>700.49172370520387</v>
      </c>
      <c r="F53" s="68">
        <v>0</v>
      </c>
      <c r="G53" s="68">
        <v>0</v>
      </c>
      <c r="H53" s="68">
        <v>0</v>
      </c>
      <c r="I53" s="58">
        <v>696.49866033915998</v>
      </c>
      <c r="J53" s="68">
        <v>0</v>
      </c>
      <c r="K53" s="58">
        <v>1396.990384044364</v>
      </c>
      <c r="L53" s="54"/>
      <c r="M53" s="55"/>
      <c r="N53" s="55"/>
      <c r="O53" s="55"/>
      <c r="P53" s="55"/>
      <c r="Q53" s="57"/>
      <c r="R53" s="55"/>
      <c r="V53" s="55"/>
      <c r="W53" s="55"/>
      <c r="AB53" s="55"/>
      <c r="AC53" s="55"/>
      <c r="AD53" s="55"/>
      <c r="AE53" s="55"/>
      <c r="AF53" s="55"/>
      <c r="AG53" s="55"/>
      <c r="AH53" s="55"/>
      <c r="AI53" s="57"/>
    </row>
    <row r="54" spans="1:35" s="56" customFormat="1" ht="10.5" customHeight="1">
      <c r="A54" s="43" t="s">
        <v>23</v>
      </c>
      <c r="B54" s="68">
        <v>0</v>
      </c>
      <c r="C54" s="68">
        <v>0</v>
      </c>
      <c r="D54" s="68">
        <v>0</v>
      </c>
      <c r="E54" s="58">
        <v>42846.007659541894</v>
      </c>
      <c r="F54" s="68">
        <v>0</v>
      </c>
      <c r="G54" s="58">
        <v>361.69050647440218</v>
      </c>
      <c r="H54" s="68">
        <v>0</v>
      </c>
      <c r="I54" s="68">
        <v>0</v>
      </c>
      <c r="J54" s="68">
        <v>0</v>
      </c>
      <c r="K54" s="58">
        <v>43207.698166016293</v>
      </c>
      <c r="L54" s="54"/>
      <c r="M54" s="55"/>
      <c r="N54" s="55"/>
      <c r="O54" s="55"/>
      <c r="P54" s="55"/>
      <c r="Q54" s="57"/>
      <c r="R54" s="55"/>
      <c r="V54" s="55"/>
      <c r="W54" s="55"/>
      <c r="AB54" s="55"/>
      <c r="AC54" s="55"/>
      <c r="AD54" s="55"/>
      <c r="AE54" s="55"/>
      <c r="AF54" s="55"/>
      <c r="AG54" s="55"/>
      <c r="AH54" s="55"/>
      <c r="AI54" s="57"/>
    </row>
    <row r="55" spans="1:35" s="56" customFormat="1" ht="10.5" customHeight="1">
      <c r="A55" s="43" t="s">
        <v>169</v>
      </c>
      <c r="B55" s="68">
        <v>0</v>
      </c>
      <c r="C55" s="68">
        <v>0</v>
      </c>
      <c r="D55" s="68">
        <v>0</v>
      </c>
      <c r="E55" s="54">
        <v>1618.174755405485</v>
      </c>
      <c r="F55" s="68">
        <v>0</v>
      </c>
      <c r="G55" s="68">
        <v>0</v>
      </c>
      <c r="H55" s="68">
        <v>0</v>
      </c>
      <c r="I55" s="68">
        <v>0</v>
      </c>
      <c r="J55" s="68">
        <v>0</v>
      </c>
      <c r="K55" s="54">
        <v>1618.174755405485</v>
      </c>
      <c r="L55" s="54"/>
      <c r="M55" s="55"/>
      <c r="N55" s="55"/>
      <c r="O55" s="55"/>
      <c r="P55" s="55"/>
      <c r="Q55" s="57"/>
      <c r="R55" s="55"/>
      <c r="V55" s="55"/>
      <c r="W55" s="55"/>
      <c r="AB55" s="55"/>
      <c r="AC55" s="55"/>
      <c r="AD55" s="55"/>
      <c r="AE55" s="55"/>
      <c r="AF55" s="55"/>
      <c r="AG55" s="55"/>
      <c r="AH55" s="55"/>
      <c r="AI55" s="57"/>
    </row>
    <row r="56" spans="1:35" s="56" customFormat="1" ht="10.5" customHeight="1">
      <c r="A56" s="43" t="s">
        <v>170</v>
      </c>
      <c r="B56" s="68">
        <v>0</v>
      </c>
      <c r="C56" s="68">
        <v>0</v>
      </c>
      <c r="D56" s="68">
        <v>0</v>
      </c>
      <c r="E56" s="54">
        <v>0</v>
      </c>
      <c r="F56" s="68">
        <v>0</v>
      </c>
      <c r="G56" s="68">
        <v>0</v>
      </c>
      <c r="H56" s="68">
        <v>0</v>
      </c>
      <c r="I56" s="68">
        <v>0</v>
      </c>
      <c r="J56" s="68">
        <v>0</v>
      </c>
      <c r="K56" s="54">
        <v>0</v>
      </c>
      <c r="L56" s="54"/>
      <c r="M56" s="55"/>
      <c r="N56" s="55"/>
      <c r="O56" s="55"/>
      <c r="P56" s="55"/>
      <c r="Q56" s="57"/>
      <c r="R56" s="55"/>
      <c r="V56" s="55"/>
      <c r="W56" s="55"/>
      <c r="AB56" s="55"/>
      <c r="AC56" s="55"/>
      <c r="AD56" s="55"/>
      <c r="AE56" s="55"/>
      <c r="AF56" s="55"/>
      <c r="AG56" s="55"/>
      <c r="AH56" s="55"/>
      <c r="AI56" s="57"/>
    </row>
    <row r="57" spans="1:35" s="56" customFormat="1" ht="10.5" customHeight="1">
      <c r="A57" s="53" t="s">
        <v>113</v>
      </c>
      <c r="B57" s="68">
        <v>500.90554916326829</v>
      </c>
      <c r="C57" s="67">
        <v>193.02716558069034</v>
      </c>
      <c r="D57" s="68">
        <v>0</v>
      </c>
      <c r="E57" s="68">
        <v>4377.360603702904</v>
      </c>
      <c r="F57" s="67">
        <v>38922.863189778924</v>
      </c>
      <c r="G57" s="67">
        <v>582.3235989659255</v>
      </c>
      <c r="H57" s="68">
        <v>0</v>
      </c>
      <c r="I57" s="67">
        <v>18594.730344782609</v>
      </c>
      <c r="J57" s="67">
        <v>437.66865004299228</v>
      </c>
      <c r="K57" s="67">
        <v>63608.624445095564</v>
      </c>
      <c r="L57" s="54"/>
      <c r="M57" s="55"/>
      <c r="N57" s="55"/>
      <c r="O57" s="55"/>
      <c r="P57" s="55"/>
      <c r="Q57" s="57"/>
      <c r="R57" s="55"/>
      <c r="V57" s="55"/>
      <c r="W57" s="55"/>
      <c r="AB57" s="55"/>
      <c r="AC57" s="55"/>
      <c r="AD57" s="55"/>
      <c r="AE57" s="55"/>
      <c r="AF57" s="55"/>
      <c r="AG57" s="55"/>
      <c r="AH57" s="55"/>
      <c r="AI57" s="57"/>
    </row>
    <row r="58" spans="1:35" s="56" customFormat="1" ht="10.5" customHeight="1">
      <c r="A58" s="43" t="s">
        <v>38</v>
      </c>
      <c r="B58" s="54">
        <v>486.96862452451853</v>
      </c>
      <c r="C58" s="58">
        <v>193.02716558069034</v>
      </c>
      <c r="D58" s="68">
        <v>0</v>
      </c>
      <c r="E58" s="54">
        <v>2876.5544716071427</v>
      </c>
      <c r="F58" s="58">
        <v>30347.596000306152</v>
      </c>
      <c r="G58" s="58">
        <v>399.72912132656188</v>
      </c>
      <c r="H58" s="68">
        <v>0</v>
      </c>
      <c r="I58" s="54">
        <v>9892.5696315601908</v>
      </c>
      <c r="J58" s="54">
        <v>51.934651762682712</v>
      </c>
      <c r="K58" s="58">
        <v>44248.379666667941</v>
      </c>
      <c r="L58" s="54"/>
      <c r="M58" s="55"/>
      <c r="N58" s="55"/>
      <c r="O58" s="55"/>
      <c r="P58" s="55"/>
      <c r="Q58" s="57"/>
      <c r="R58" s="55"/>
      <c r="V58" s="55"/>
      <c r="W58" s="55"/>
      <c r="AB58" s="55"/>
      <c r="AC58" s="55"/>
      <c r="AD58" s="55"/>
      <c r="AE58" s="55"/>
      <c r="AF58" s="55"/>
      <c r="AG58" s="55"/>
      <c r="AH58" s="55"/>
      <c r="AI58" s="57"/>
    </row>
    <row r="59" spans="1:35" s="56" customFormat="1" ht="10.5" customHeight="1">
      <c r="A59" s="43" t="s">
        <v>171</v>
      </c>
      <c r="B59" s="58">
        <v>5.5990507192131513</v>
      </c>
      <c r="C59" s="54">
        <v>0</v>
      </c>
      <c r="D59" s="68">
        <v>0</v>
      </c>
      <c r="E59" s="54">
        <v>487.49356628005404</v>
      </c>
      <c r="F59" s="58">
        <v>3825.0752565601806</v>
      </c>
      <c r="G59" s="58">
        <v>89.031229430691653</v>
      </c>
      <c r="H59" s="68">
        <v>0</v>
      </c>
      <c r="I59" s="58">
        <v>1921.4708964229239</v>
      </c>
      <c r="J59" s="54">
        <v>376.22828976784172</v>
      </c>
      <c r="K59" s="58">
        <v>6704.8982891809046</v>
      </c>
      <c r="L59" s="54"/>
      <c r="M59" s="55"/>
      <c r="N59" s="55"/>
      <c r="O59" s="55"/>
      <c r="P59" s="55"/>
      <c r="Q59" s="57"/>
      <c r="R59" s="55"/>
      <c r="V59" s="55"/>
      <c r="W59" s="55"/>
      <c r="AB59" s="55"/>
      <c r="AC59" s="55"/>
      <c r="AD59" s="55"/>
      <c r="AE59" s="55"/>
      <c r="AF59" s="55"/>
      <c r="AG59" s="55"/>
      <c r="AH59" s="55"/>
      <c r="AI59" s="57"/>
    </row>
    <row r="60" spans="1:35" s="56" customFormat="1" ht="10.5" customHeight="1">
      <c r="A60" s="43" t="s">
        <v>47</v>
      </c>
      <c r="B60" s="54">
        <v>4.1936311113122446</v>
      </c>
      <c r="C60" s="54">
        <v>0</v>
      </c>
      <c r="D60" s="68">
        <v>0</v>
      </c>
      <c r="E60" s="54">
        <v>408.57956181445161</v>
      </c>
      <c r="F60" s="54">
        <v>3090.5764029765669</v>
      </c>
      <c r="G60" s="58">
        <v>19.277650340423136</v>
      </c>
      <c r="H60" s="68">
        <v>0</v>
      </c>
      <c r="I60" s="58">
        <v>6426.0158214275434</v>
      </c>
      <c r="J60" s="54">
        <v>9.2510515907136721</v>
      </c>
      <c r="K60" s="58">
        <v>9957.8941192610109</v>
      </c>
      <c r="L60" s="54"/>
      <c r="M60" s="55"/>
      <c r="N60" s="55"/>
      <c r="O60" s="55"/>
      <c r="P60" s="55"/>
      <c r="Q60" s="57"/>
      <c r="R60" s="55"/>
      <c r="V60" s="55"/>
      <c r="W60" s="55"/>
      <c r="AB60" s="55"/>
      <c r="AC60" s="55"/>
      <c r="AD60" s="55"/>
      <c r="AE60" s="55"/>
      <c r="AF60" s="55"/>
      <c r="AG60" s="55"/>
      <c r="AH60" s="55"/>
      <c r="AI60" s="57"/>
    </row>
    <row r="61" spans="1:35" s="56" customFormat="1" ht="11.25" customHeight="1">
      <c r="A61" s="43" t="s">
        <v>172</v>
      </c>
      <c r="B61" s="54">
        <v>2.6750740422279544</v>
      </c>
      <c r="C61" s="54">
        <v>0</v>
      </c>
      <c r="D61" s="68">
        <v>0</v>
      </c>
      <c r="E61" s="54">
        <v>294.37351313668415</v>
      </c>
      <c r="F61" s="54">
        <v>171.87620514677769</v>
      </c>
      <c r="G61" s="54">
        <v>73.871322138248786</v>
      </c>
      <c r="H61" s="68">
        <v>0</v>
      </c>
      <c r="I61" s="58">
        <v>354.67399537195223</v>
      </c>
      <c r="J61" s="54">
        <v>0</v>
      </c>
      <c r="K61" s="58">
        <v>897.47010983589075</v>
      </c>
      <c r="L61" s="54"/>
      <c r="M61" s="55"/>
      <c r="N61" s="55"/>
      <c r="O61" s="55"/>
      <c r="P61" s="55"/>
      <c r="Q61" s="55"/>
      <c r="R61" s="55"/>
      <c r="S61" s="55"/>
      <c r="T61" s="55"/>
      <c r="U61" s="55"/>
      <c r="V61" s="55"/>
      <c r="W61" s="57"/>
      <c r="AB61" s="55"/>
      <c r="AC61" s="55"/>
      <c r="AD61" s="55"/>
      <c r="AE61" s="55"/>
      <c r="AF61" s="55"/>
      <c r="AG61" s="55"/>
      <c r="AH61" s="55"/>
      <c r="AI61" s="57"/>
    </row>
    <row r="62" spans="1:35" s="56" customFormat="1" ht="10.5" customHeight="1">
      <c r="A62" s="70" t="s">
        <v>173</v>
      </c>
      <c r="B62" s="71">
        <v>1.4691687659963895</v>
      </c>
      <c r="C62" s="54">
        <v>0</v>
      </c>
      <c r="D62" s="54">
        <v>0</v>
      </c>
      <c r="E62" s="54">
        <v>310.35949086457185</v>
      </c>
      <c r="F62" s="58">
        <v>1487.7393247892408</v>
      </c>
      <c r="G62" s="58">
        <v>0</v>
      </c>
      <c r="H62" s="54">
        <v>0</v>
      </c>
      <c r="I62" s="54">
        <v>0</v>
      </c>
      <c r="J62" s="54">
        <v>0</v>
      </c>
      <c r="K62" s="58">
        <v>1799.982260149809</v>
      </c>
      <c r="L62" s="54"/>
      <c r="M62" s="55"/>
      <c r="N62" s="55"/>
      <c r="O62" s="55"/>
      <c r="P62" s="55"/>
      <c r="Q62" s="55"/>
      <c r="R62" s="55"/>
      <c r="S62" s="55"/>
      <c r="T62" s="55"/>
      <c r="U62" s="55"/>
      <c r="V62" s="55"/>
      <c r="W62" s="57"/>
      <c r="AB62" s="55"/>
      <c r="AC62" s="55"/>
      <c r="AD62" s="55"/>
      <c r="AE62" s="55"/>
      <c r="AF62" s="55"/>
      <c r="AG62" s="55"/>
      <c r="AH62" s="55"/>
      <c r="AI62" s="57"/>
    </row>
    <row r="63" spans="1:35" s="63" customFormat="1" ht="10.5" customHeight="1" thickBot="1">
      <c r="A63" s="77" t="s">
        <v>174</v>
      </c>
      <c r="B63" s="78">
        <v>0</v>
      </c>
      <c r="C63" s="78">
        <v>0</v>
      </c>
      <c r="D63" s="78">
        <v>0</v>
      </c>
      <c r="E63" s="79">
        <v>9550.0292033026835</v>
      </c>
      <c r="F63" s="79">
        <v>879.46199484092858</v>
      </c>
      <c r="G63" s="78">
        <v>0</v>
      </c>
      <c r="H63" s="78">
        <v>0</v>
      </c>
      <c r="I63" s="78">
        <v>0</v>
      </c>
      <c r="J63" s="78">
        <v>0</v>
      </c>
      <c r="K63" s="79">
        <v>10429.491198143613</v>
      </c>
      <c r="L63" s="54"/>
      <c r="M63" s="55"/>
      <c r="N63" s="55"/>
      <c r="O63" s="55"/>
      <c r="P63" s="55"/>
      <c r="Q63" s="55"/>
      <c r="R63" s="55"/>
      <c r="S63" s="55"/>
      <c r="T63" s="55"/>
      <c r="U63" s="55"/>
      <c r="V63" s="55"/>
      <c r="W63" s="57"/>
      <c r="AB63" s="55"/>
      <c r="AC63" s="55"/>
      <c r="AD63" s="55"/>
      <c r="AE63" s="55"/>
      <c r="AF63" s="55"/>
      <c r="AG63" s="55"/>
      <c r="AH63" s="55"/>
      <c r="AI63" s="57"/>
    </row>
    <row r="64" spans="1:35" ht="12" customHeight="1" thickTop="1">
      <c r="A64" s="80" t="s">
        <v>175</v>
      </c>
      <c r="B64" s="80"/>
      <c r="C64" s="80"/>
      <c r="D64" s="80"/>
      <c r="E64" s="80"/>
      <c r="F64" s="80"/>
      <c r="G64" s="80"/>
      <c r="H64" s="43"/>
      <c r="I64" s="43"/>
      <c r="J64" s="43"/>
      <c r="K64" s="43"/>
      <c r="P64" s="55"/>
      <c r="R64" s="55"/>
    </row>
    <row r="65" spans="1:18" ht="10" customHeight="1">
      <c r="A65" s="80" t="s">
        <v>176</v>
      </c>
      <c r="B65" s="80"/>
      <c r="C65" s="80"/>
      <c r="D65" s="80"/>
      <c r="E65" s="80"/>
      <c r="F65" s="80"/>
      <c r="G65" s="80"/>
      <c r="H65" s="43"/>
      <c r="I65" s="43"/>
      <c r="J65" s="43"/>
      <c r="K65" s="43"/>
      <c r="P65" s="55"/>
      <c r="R65" s="55"/>
    </row>
    <row r="66" spans="1:18" ht="10" customHeight="1">
      <c r="A66" s="80" t="s">
        <v>177</v>
      </c>
      <c r="B66" s="80"/>
      <c r="C66" s="80"/>
      <c r="D66" s="80"/>
      <c r="E66" s="80"/>
      <c r="F66" s="80"/>
      <c r="G66" s="80"/>
      <c r="H66" s="43"/>
      <c r="I66" s="43"/>
      <c r="J66" s="43"/>
      <c r="K66" s="43"/>
      <c r="P66" s="55"/>
      <c r="R66" s="55"/>
    </row>
    <row r="67" spans="1:18" ht="10" customHeight="1">
      <c r="A67" s="80" t="s">
        <v>178</v>
      </c>
      <c r="B67" s="80"/>
      <c r="C67" s="80"/>
      <c r="D67" s="80"/>
      <c r="E67" s="80"/>
      <c r="F67" s="80"/>
      <c r="G67" s="80"/>
      <c r="H67" s="43"/>
      <c r="I67" s="43"/>
      <c r="J67" s="43"/>
      <c r="K67" s="43"/>
      <c r="P67" s="55"/>
      <c r="R67" s="55"/>
    </row>
    <row r="68" spans="1:18" ht="10" customHeight="1">
      <c r="A68" s="80" t="s">
        <v>179</v>
      </c>
      <c r="B68" s="80"/>
      <c r="C68" s="80"/>
      <c r="D68" s="80"/>
      <c r="E68" s="80"/>
      <c r="F68" s="80"/>
      <c r="G68" s="80"/>
      <c r="H68" s="43"/>
      <c r="I68" s="43"/>
      <c r="J68" s="43"/>
      <c r="K68" s="43"/>
      <c r="P68" s="55"/>
      <c r="R68" s="55"/>
    </row>
    <row r="69" spans="1:18" ht="9.75" customHeight="1">
      <c r="A69" s="80" t="s">
        <v>180</v>
      </c>
      <c r="B69" s="81"/>
      <c r="C69" s="81"/>
      <c r="D69" s="81"/>
      <c r="E69" s="81"/>
      <c r="F69" s="81"/>
      <c r="G69" s="81"/>
      <c r="H69" s="81"/>
      <c r="I69" s="81"/>
      <c r="J69" s="81"/>
      <c r="K69" s="81"/>
      <c r="P69" s="55"/>
      <c r="R69" s="55"/>
    </row>
    <row r="70" spans="1:18">
      <c r="P70" s="55"/>
      <c r="R70" s="55"/>
    </row>
    <row r="71" spans="1:18">
      <c r="P71" s="55"/>
      <c r="R71" s="55"/>
    </row>
    <row r="72" spans="1:18">
      <c r="B72" s="82"/>
      <c r="C72" s="82"/>
      <c r="D72" s="82"/>
      <c r="E72" s="82"/>
      <c r="F72" s="82"/>
      <c r="G72" s="82"/>
      <c r="H72" s="82"/>
      <c r="I72" s="82"/>
      <c r="J72" s="82"/>
      <c r="K72" s="82"/>
      <c r="P72" s="55"/>
      <c r="R72" s="55"/>
    </row>
    <row r="73" spans="1:18">
      <c r="P73" s="55"/>
      <c r="R73" s="55"/>
    </row>
    <row r="74" spans="1:18">
      <c r="P74" s="55"/>
      <c r="R74" s="55"/>
    </row>
    <row r="75" spans="1:18">
      <c r="P75" s="55"/>
      <c r="R75" s="55"/>
    </row>
    <row r="76" spans="1:18">
      <c r="P76" s="55"/>
      <c r="R76" s="55"/>
    </row>
    <row r="77" spans="1:18">
      <c r="P77" s="55"/>
      <c r="R77" s="55"/>
    </row>
    <row r="78" spans="1:18">
      <c r="P78" s="55"/>
      <c r="R78" s="55"/>
    </row>
    <row r="79" spans="1:18">
      <c r="P79" s="55"/>
      <c r="R79" s="55"/>
    </row>
    <row r="80" spans="1:18">
      <c r="P80" s="55"/>
      <c r="R80" s="55"/>
    </row>
    <row r="81" spans="16:18">
      <c r="P81" s="55"/>
      <c r="R81" s="55"/>
    </row>
    <row r="82" spans="16:18">
      <c r="P82" s="55"/>
      <c r="R82" s="55"/>
    </row>
    <row r="83" spans="16:18">
      <c r="R83" s="55"/>
    </row>
    <row r="84" spans="16:18">
      <c r="R84" s="55"/>
    </row>
    <row r="85" spans="16:18">
      <c r="R85" s="55"/>
    </row>
    <row r="86" spans="16:18">
      <c r="R86" s="55"/>
    </row>
    <row r="87" spans="16:18">
      <c r="R87" s="55"/>
    </row>
    <row r="88" spans="16:18">
      <c r="R88" s="55"/>
    </row>
    <row r="89" spans="16:18">
      <c r="R89" s="55"/>
    </row>
    <row r="90" spans="16:18">
      <c r="R90" s="55"/>
    </row>
    <row r="91" spans="16:18">
      <c r="R91" s="55"/>
    </row>
    <row r="92" spans="16:18">
      <c r="R92" s="55"/>
    </row>
    <row r="93" spans="16:18">
      <c r="R93" s="55"/>
    </row>
    <row r="94" spans="16:18">
      <c r="R94" s="55"/>
    </row>
    <row r="95" spans="16:18">
      <c r="R95" s="55"/>
    </row>
    <row r="96" spans="16:18">
      <c r="R96" s="55"/>
    </row>
    <row r="97" spans="18:18">
      <c r="R97" s="55"/>
    </row>
    <row r="98" spans="18:18">
      <c r="R98" s="55"/>
    </row>
    <row r="99" spans="18:18">
      <c r="R99" s="55"/>
    </row>
    <row r="100" spans="18:18">
      <c r="R100" s="55"/>
    </row>
    <row r="101" spans="18:18">
      <c r="R101" s="55"/>
    </row>
    <row r="102" spans="18:18">
      <c r="R102" s="55"/>
    </row>
    <row r="103" spans="18:18">
      <c r="R103" s="55"/>
    </row>
    <row r="104" spans="18:18">
      <c r="R104" s="55"/>
    </row>
    <row r="105" spans="18:18">
      <c r="R105" s="55"/>
    </row>
    <row r="106" spans="18:18">
      <c r="R106" s="55"/>
    </row>
    <row r="107" spans="18:18">
      <c r="R107" s="55"/>
    </row>
    <row r="108" spans="18:18">
      <c r="R108" s="55"/>
    </row>
    <row r="109" spans="18:18">
      <c r="R109" s="55"/>
    </row>
  </sheetData>
  <pageMargins left="0.51181102362204722" right="0.51181102362204722" top="0.51181102362204722" bottom="0.51181102362204722" header="0.27559055118110237" footer="0.27559055118110237"/>
  <pageSetup paperSize="9" scale="29" orientation="portrait"/>
  <headerFooter alignWithMargins="0">
    <oddFooter>&amp;C28</oddFooter>
  </headerFooter>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enableFormatConditionsCalculation="0"/>
  <dimension ref="A1:IV129"/>
  <sheetViews>
    <sheetView workbookViewId="0"/>
  </sheetViews>
  <sheetFormatPr baseColWidth="10" defaultColWidth="8.83203125" defaultRowHeight="12" x14ac:dyDescent="0"/>
  <cols>
    <col min="1" max="1" width="44.5" style="879" customWidth="1"/>
    <col min="2" max="2" width="8.5" style="879" hidden="1" customWidth="1"/>
    <col min="3" max="3" width="10.6640625" style="879" hidden="1" customWidth="1"/>
    <col min="4" max="6" width="9.83203125" style="879" hidden="1" customWidth="1"/>
    <col min="7" max="9" width="9.83203125" style="955" hidden="1" customWidth="1"/>
    <col min="10" max="10" width="9.83203125" style="955" customWidth="1"/>
    <col min="11" max="12" width="9.83203125" style="879" customWidth="1"/>
    <col min="13" max="256" width="8.83203125" style="879"/>
    <col min="257" max="257" width="44.5" style="879" customWidth="1"/>
    <col min="258" max="265" width="0" style="879" hidden="1" customWidth="1"/>
    <col min="266" max="268" width="9.83203125" style="879" customWidth="1"/>
    <col min="269" max="512" width="8.83203125" style="879"/>
    <col min="513" max="513" width="44.5" style="879" customWidth="1"/>
    <col min="514" max="521" width="0" style="879" hidden="1" customWidth="1"/>
    <col min="522" max="524" width="9.83203125" style="879" customWidth="1"/>
    <col min="525" max="768" width="8.83203125" style="879"/>
    <col min="769" max="769" width="44.5" style="879" customWidth="1"/>
    <col min="770" max="777" width="0" style="879" hidden="1" customWidth="1"/>
    <col min="778" max="780" width="9.83203125" style="879" customWidth="1"/>
    <col min="781" max="1024" width="8.83203125" style="879"/>
    <col min="1025" max="1025" width="44.5" style="879" customWidth="1"/>
    <col min="1026" max="1033" width="0" style="879" hidden="1" customWidth="1"/>
    <col min="1034" max="1036" width="9.83203125" style="879" customWidth="1"/>
    <col min="1037" max="1280" width="8.83203125" style="879"/>
    <col min="1281" max="1281" width="44.5" style="879" customWidth="1"/>
    <col min="1282" max="1289" width="0" style="879" hidden="1" customWidth="1"/>
    <col min="1290" max="1292" width="9.83203125" style="879" customWidth="1"/>
    <col min="1293" max="1536" width="8.83203125" style="879"/>
    <col min="1537" max="1537" width="44.5" style="879" customWidth="1"/>
    <col min="1538" max="1545" width="0" style="879" hidden="1" customWidth="1"/>
    <col min="1546" max="1548" width="9.83203125" style="879" customWidth="1"/>
    <col min="1549" max="1792" width="8.83203125" style="879"/>
    <col min="1793" max="1793" width="44.5" style="879" customWidth="1"/>
    <col min="1794" max="1801" width="0" style="879" hidden="1" customWidth="1"/>
    <col min="1802" max="1804" width="9.83203125" style="879" customWidth="1"/>
    <col min="1805" max="2048" width="8.83203125" style="879"/>
    <col min="2049" max="2049" width="44.5" style="879" customWidth="1"/>
    <col min="2050" max="2057" width="0" style="879" hidden="1" customWidth="1"/>
    <col min="2058" max="2060" width="9.83203125" style="879" customWidth="1"/>
    <col min="2061" max="2304" width="8.83203125" style="879"/>
    <col min="2305" max="2305" width="44.5" style="879" customWidth="1"/>
    <col min="2306" max="2313" width="0" style="879" hidden="1" customWidth="1"/>
    <col min="2314" max="2316" width="9.83203125" style="879" customWidth="1"/>
    <col min="2317" max="2560" width="8.83203125" style="879"/>
    <col min="2561" max="2561" width="44.5" style="879" customWidth="1"/>
    <col min="2562" max="2569" width="0" style="879" hidden="1" customWidth="1"/>
    <col min="2570" max="2572" width="9.83203125" style="879" customWidth="1"/>
    <col min="2573" max="2816" width="8.83203125" style="879"/>
    <col min="2817" max="2817" width="44.5" style="879" customWidth="1"/>
    <col min="2818" max="2825" width="0" style="879" hidden="1" customWidth="1"/>
    <col min="2826" max="2828" width="9.83203125" style="879" customWidth="1"/>
    <col min="2829" max="3072" width="8.83203125" style="879"/>
    <col min="3073" max="3073" width="44.5" style="879" customWidth="1"/>
    <col min="3074" max="3081" width="0" style="879" hidden="1" customWidth="1"/>
    <col min="3082" max="3084" width="9.83203125" style="879" customWidth="1"/>
    <col min="3085" max="3328" width="8.83203125" style="879"/>
    <col min="3329" max="3329" width="44.5" style="879" customWidth="1"/>
    <col min="3330" max="3337" width="0" style="879" hidden="1" customWidth="1"/>
    <col min="3338" max="3340" width="9.83203125" style="879" customWidth="1"/>
    <col min="3341" max="3584" width="8.83203125" style="879"/>
    <col min="3585" max="3585" width="44.5" style="879" customWidth="1"/>
    <col min="3586" max="3593" width="0" style="879" hidden="1" customWidth="1"/>
    <col min="3594" max="3596" width="9.83203125" style="879" customWidth="1"/>
    <col min="3597" max="3840" width="8.83203125" style="879"/>
    <col min="3841" max="3841" width="44.5" style="879" customWidth="1"/>
    <col min="3842" max="3849" width="0" style="879" hidden="1" customWidth="1"/>
    <col min="3850" max="3852" width="9.83203125" style="879" customWidth="1"/>
    <col min="3853" max="4096" width="8.83203125" style="879"/>
    <col min="4097" max="4097" width="44.5" style="879" customWidth="1"/>
    <col min="4098" max="4105" width="0" style="879" hidden="1" customWidth="1"/>
    <col min="4106" max="4108" width="9.83203125" style="879" customWidth="1"/>
    <col min="4109" max="4352" width="8.83203125" style="879"/>
    <col min="4353" max="4353" width="44.5" style="879" customWidth="1"/>
    <col min="4354" max="4361" width="0" style="879" hidden="1" customWidth="1"/>
    <col min="4362" max="4364" width="9.83203125" style="879" customWidth="1"/>
    <col min="4365" max="4608" width="8.83203125" style="879"/>
    <col min="4609" max="4609" width="44.5" style="879" customWidth="1"/>
    <col min="4610" max="4617" width="0" style="879" hidden="1" customWidth="1"/>
    <col min="4618" max="4620" width="9.83203125" style="879" customWidth="1"/>
    <col min="4621" max="4864" width="8.83203125" style="879"/>
    <col min="4865" max="4865" width="44.5" style="879" customWidth="1"/>
    <col min="4866" max="4873" width="0" style="879" hidden="1" customWidth="1"/>
    <col min="4874" max="4876" width="9.83203125" style="879" customWidth="1"/>
    <col min="4877" max="5120" width="8.83203125" style="879"/>
    <col min="5121" max="5121" width="44.5" style="879" customWidth="1"/>
    <col min="5122" max="5129" width="0" style="879" hidden="1" customWidth="1"/>
    <col min="5130" max="5132" width="9.83203125" style="879" customWidth="1"/>
    <col min="5133" max="5376" width="8.83203125" style="879"/>
    <col min="5377" max="5377" width="44.5" style="879" customWidth="1"/>
    <col min="5378" max="5385" width="0" style="879" hidden="1" customWidth="1"/>
    <col min="5386" max="5388" width="9.83203125" style="879" customWidth="1"/>
    <col min="5389" max="5632" width="8.83203125" style="879"/>
    <col min="5633" max="5633" width="44.5" style="879" customWidth="1"/>
    <col min="5634" max="5641" width="0" style="879" hidden="1" customWidth="1"/>
    <col min="5642" max="5644" width="9.83203125" style="879" customWidth="1"/>
    <col min="5645" max="5888" width="8.83203125" style="879"/>
    <col min="5889" max="5889" width="44.5" style="879" customWidth="1"/>
    <col min="5890" max="5897" width="0" style="879" hidden="1" customWidth="1"/>
    <col min="5898" max="5900" width="9.83203125" style="879" customWidth="1"/>
    <col min="5901" max="6144" width="8.83203125" style="879"/>
    <col min="6145" max="6145" width="44.5" style="879" customWidth="1"/>
    <col min="6146" max="6153" width="0" style="879" hidden="1" customWidth="1"/>
    <col min="6154" max="6156" width="9.83203125" style="879" customWidth="1"/>
    <col min="6157" max="6400" width="8.83203125" style="879"/>
    <col min="6401" max="6401" width="44.5" style="879" customWidth="1"/>
    <col min="6402" max="6409" width="0" style="879" hidden="1" customWidth="1"/>
    <col min="6410" max="6412" width="9.83203125" style="879" customWidth="1"/>
    <col min="6413" max="6656" width="8.83203125" style="879"/>
    <col min="6657" max="6657" width="44.5" style="879" customWidth="1"/>
    <col min="6658" max="6665" width="0" style="879" hidden="1" customWidth="1"/>
    <col min="6666" max="6668" width="9.83203125" style="879" customWidth="1"/>
    <col min="6669" max="6912" width="8.83203125" style="879"/>
    <col min="6913" max="6913" width="44.5" style="879" customWidth="1"/>
    <col min="6914" max="6921" width="0" style="879" hidden="1" customWidth="1"/>
    <col min="6922" max="6924" width="9.83203125" style="879" customWidth="1"/>
    <col min="6925" max="7168" width="8.83203125" style="879"/>
    <col min="7169" max="7169" width="44.5" style="879" customWidth="1"/>
    <col min="7170" max="7177" width="0" style="879" hidden="1" customWidth="1"/>
    <col min="7178" max="7180" width="9.83203125" style="879" customWidth="1"/>
    <col min="7181" max="7424" width="8.83203125" style="879"/>
    <col min="7425" max="7425" width="44.5" style="879" customWidth="1"/>
    <col min="7426" max="7433" width="0" style="879" hidden="1" customWidth="1"/>
    <col min="7434" max="7436" width="9.83203125" style="879" customWidth="1"/>
    <col min="7437" max="7680" width="8.83203125" style="879"/>
    <col min="7681" max="7681" width="44.5" style="879" customWidth="1"/>
    <col min="7682" max="7689" width="0" style="879" hidden="1" customWidth="1"/>
    <col min="7690" max="7692" width="9.83203125" style="879" customWidth="1"/>
    <col min="7693" max="7936" width="8.83203125" style="879"/>
    <col min="7937" max="7937" width="44.5" style="879" customWidth="1"/>
    <col min="7938" max="7945" width="0" style="879" hidden="1" customWidth="1"/>
    <col min="7946" max="7948" width="9.83203125" style="879" customWidth="1"/>
    <col min="7949" max="8192" width="8.83203125" style="879"/>
    <col min="8193" max="8193" width="44.5" style="879" customWidth="1"/>
    <col min="8194" max="8201" width="0" style="879" hidden="1" customWidth="1"/>
    <col min="8202" max="8204" width="9.83203125" style="879" customWidth="1"/>
    <col min="8205" max="8448" width="8.83203125" style="879"/>
    <col min="8449" max="8449" width="44.5" style="879" customWidth="1"/>
    <col min="8450" max="8457" width="0" style="879" hidden="1" customWidth="1"/>
    <col min="8458" max="8460" width="9.83203125" style="879" customWidth="1"/>
    <col min="8461" max="8704" width="8.83203125" style="879"/>
    <col min="8705" max="8705" width="44.5" style="879" customWidth="1"/>
    <col min="8706" max="8713" width="0" style="879" hidden="1" customWidth="1"/>
    <col min="8714" max="8716" width="9.83203125" style="879" customWidth="1"/>
    <col min="8717" max="8960" width="8.83203125" style="879"/>
    <col min="8961" max="8961" width="44.5" style="879" customWidth="1"/>
    <col min="8962" max="8969" width="0" style="879" hidden="1" customWidth="1"/>
    <col min="8970" max="8972" width="9.83203125" style="879" customWidth="1"/>
    <col min="8973" max="9216" width="8.83203125" style="879"/>
    <col min="9217" max="9217" width="44.5" style="879" customWidth="1"/>
    <col min="9218" max="9225" width="0" style="879" hidden="1" customWidth="1"/>
    <col min="9226" max="9228" width="9.83203125" style="879" customWidth="1"/>
    <col min="9229" max="9472" width="8.83203125" style="879"/>
    <col min="9473" max="9473" width="44.5" style="879" customWidth="1"/>
    <col min="9474" max="9481" width="0" style="879" hidden="1" customWidth="1"/>
    <col min="9482" max="9484" width="9.83203125" style="879" customWidth="1"/>
    <col min="9485" max="9728" width="8.83203125" style="879"/>
    <col min="9729" max="9729" width="44.5" style="879" customWidth="1"/>
    <col min="9730" max="9737" width="0" style="879" hidden="1" customWidth="1"/>
    <col min="9738" max="9740" width="9.83203125" style="879" customWidth="1"/>
    <col min="9741" max="9984" width="8.83203125" style="879"/>
    <col min="9985" max="9985" width="44.5" style="879" customWidth="1"/>
    <col min="9986" max="9993" width="0" style="879" hidden="1" customWidth="1"/>
    <col min="9994" max="9996" width="9.83203125" style="879" customWidth="1"/>
    <col min="9997" max="10240" width="8.83203125" style="879"/>
    <col min="10241" max="10241" width="44.5" style="879" customWidth="1"/>
    <col min="10242" max="10249" width="0" style="879" hidden="1" customWidth="1"/>
    <col min="10250" max="10252" width="9.83203125" style="879" customWidth="1"/>
    <col min="10253" max="10496" width="8.83203125" style="879"/>
    <col min="10497" max="10497" width="44.5" style="879" customWidth="1"/>
    <col min="10498" max="10505" width="0" style="879" hidden="1" customWidth="1"/>
    <col min="10506" max="10508" width="9.83203125" style="879" customWidth="1"/>
    <col min="10509" max="10752" width="8.83203125" style="879"/>
    <col min="10753" max="10753" width="44.5" style="879" customWidth="1"/>
    <col min="10754" max="10761" width="0" style="879" hidden="1" customWidth="1"/>
    <col min="10762" max="10764" width="9.83203125" style="879" customWidth="1"/>
    <col min="10765" max="11008" width="8.83203125" style="879"/>
    <col min="11009" max="11009" width="44.5" style="879" customWidth="1"/>
    <col min="11010" max="11017" width="0" style="879" hidden="1" customWidth="1"/>
    <col min="11018" max="11020" width="9.83203125" style="879" customWidth="1"/>
    <col min="11021" max="11264" width="8.83203125" style="879"/>
    <col min="11265" max="11265" width="44.5" style="879" customWidth="1"/>
    <col min="11266" max="11273" width="0" style="879" hidden="1" customWidth="1"/>
    <col min="11274" max="11276" width="9.83203125" style="879" customWidth="1"/>
    <col min="11277" max="11520" width="8.83203125" style="879"/>
    <col min="11521" max="11521" width="44.5" style="879" customWidth="1"/>
    <col min="11522" max="11529" width="0" style="879" hidden="1" customWidth="1"/>
    <col min="11530" max="11532" width="9.83203125" style="879" customWidth="1"/>
    <col min="11533" max="11776" width="8.83203125" style="879"/>
    <col min="11777" max="11777" width="44.5" style="879" customWidth="1"/>
    <col min="11778" max="11785" width="0" style="879" hidden="1" customWidth="1"/>
    <col min="11786" max="11788" width="9.83203125" style="879" customWidth="1"/>
    <col min="11789" max="12032" width="8.83203125" style="879"/>
    <col min="12033" max="12033" width="44.5" style="879" customWidth="1"/>
    <col min="12034" max="12041" width="0" style="879" hidden="1" customWidth="1"/>
    <col min="12042" max="12044" width="9.83203125" style="879" customWidth="1"/>
    <col min="12045" max="12288" width="8.83203125" style="879"/>
    <col min="12289" max="12289" width="44.5" style="879" customWidth="1"/>
    <col min="12290" max="12297" width="0" style="879" hidden="1" customWidth="1"/>
    <col min="12298" max="12300" width="9.83203125" style="879" customWidth="1"/>
    <col min="12301" max="12544" width="8.83203125" style="879"/>
    <col min="12545" max="12545" width="44.5" style="879" customWidth="1"/>
    <col min="12546" max="12553" width="0" style="879" hidden="1" customWidth="1"/>
    <col min="12554" max="12556" width="9.83203125" style="879" customWidth="1"/>
    <col min="12557" max="12800" width="8.83203125" style="879"/>
    <col min="12801" max="12801" width="44.5" style="879" customWidth="1"/>
    <col min="12802" max="12809" width="0" style="879" hidden="1" customWidth="1"/>
    <col min="12810" max="12812" width="9.83203125" style="879" customWidth="1"/>
    <col min="12813" max="13056" width="8.83203125" style="879"/>
    <col min="13057" max="13057" width="44.5" style="879" customWidth="1"/>
    <col min="13058" max="13065" width="0" style="879" hidden="1" customWidth="1"/>
    <col min="13066" max="13068" width="9.83203125" style="879" customWidth="1"/>
    <col min="13069" max="13312" width="8.83203125" style="879"/>
    <col min="13313" max="13313" width="44.5" style="879" customWidth="1"/>
    <col min="13314" max="13321" width="0" style="879" hidden="1" customWidth="1"/>
    <col min="13322" max="13324" width="9.83203125" style="879" customWidth="1"/>
    <col min="13325" max="13568" width="8.83203125" style="879"/>
    <col min="13569" max="13569" width="44.5" style="879" customWidth="1"/>
    <col min="13570" max="13577" width="0" style="879" hidden="1" customWidth="1"/>
    <col min="13578" max="13580" width="9.83203125" style="879" customWidth="1"/>
    <col min="13581" max="13824" width="8.83203125" style="879"/>
    <col min="13825" max="13825" width="44.5" style="879" customWidth="1"/>
    <col min="13826" max="13833" width="0" style="879" hidden="1" customWidth="1"/>
    <col min="13834" max="13836" width="9.83203125" style="879" customWidth="1"/>
    <col min="13837" max="14080" width="8.83203125" style="879"/>
    <col min="14081" max="14081" width="44.5" style="879" customWidth="1"/>
    <col min="14082" max="14089" width="0" style="879" hidden="1" customWidth="1"/>
    <col min="14090" max="14092" width="9.83203125" style="879" customWidth="1"/>
    <col min="14093" max="14336" width="8.83203125" style="879"/>
    <col min="14337" max="14337" width="44.5" style="879" customWidth="1"/>
    <col min="14338" max="14345" width="0" style="879" hidden="1" customWidth="1"/>
    <col min="14346" max="14348" width="9.83203125" style="879" customWidth="1"/>
    <col min="14349" max="14592" width="8.83203125" style="879"/>
    <col min="14593" max="14593" width="44.5" style="879" customWidth="1"/>
    <col min="14594" max="14601" width="0" style="879" hidden="1" customWidth="1"/>
    <col min="14602" max="14604" width="9.83203125" style="879" customWidth="1"/>
    <col min="14605" max="14848" width="8.83203125" style="879"/>
    <col min="14849" max="14849" width="44.5" style="879" customWidth="1"/>
    <col min="14850" max="14857" width="0" style="879" hidden="1" customWidth="1"/>
    <col min="14858" max="14860" width="9.83203125" style="879" customWidth="1"/>
    <col min="14861" max="15104" width="8.83203125" style="879"/>
    <col min="15105" max="15105" width="44.5" style="879" customWidth="1"/>
    <col min="15106" max="15113" width="0" style="879" hidden="1" customWidth="1"/>
    <col min="15114" max="15116" width="9.83203125" style="879" customWidth="1"/>
    <col min="15117" max="15360" width="8.83203125" style="879"/>
    <col min="15361" max="15361" width="44.5" style="879" customWidth="1"/>
    <col min="15362" max="15369" width="0" style="879" hidden="1" customWidth="1"/>
    <col min="15370" max="15372" width="9.83203125" style="879" customWidth="1"/>
    <col min="15373" max="15616" width="8.83203125" style="879"/>
    <col min="15617" max="15617" width="44.5" style="879" customWidth="1"/>
    <col min="15618" max="15625" width="0" style="879" hidden="1" customWidth="1"/>
    <col min="15626" max="15628" width="9.83203125" style="879" customWidth="1"/>
    <col min="15629" max="15872" width="8.83203125" style="879"/>
    <col min="15873" max="15873" width="44.5" style="879" customWidth="1"/>
    <col min="15874" max="15881" width="0" style="879" hidden="1" customWidth="1"/>
    <col min="15882" max="15884" width="9.83203125" style="879" customWidth="1"/>
    <col min="15885" max="16128" width="8.83203125" style="879"/>
    <col min="16129" max="16129" width="44.5" style="879" customWidth="1"/>
    <col min="16130" max="16137" width="0" style="879" hidden="1" customWidth="1"/>
    <col min="16138" max="16140" width="9.83203125" style="879" customWidth="1"/>
    <col min="16141" max="16384" width="8.83203125" style="879"/>
  </cols>
  <sheetData>
    <row r="1" spans="1:256" s="866" customFormat="1" ht="26">
      <c r="A1" s="865" t="s">
        <v>791</v>
      </c>
      <c r="G1" s="867"/>
      <c r="H1" s="867"/>
      <c r="I1" s="868"/>
      <c r="J1" s="869"/>
      <c r="K1" s="870"/>
      <c r="L1" s="870"/>
      <c r="M1" s="870"/>
      <c r="N1" s="870"/>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871"/>
      <c r="AN1" s="871"/>
      <c r="AO1" s="871"/>
      <c r="AP1" s="871"/>
      <c r="AQ1" s="871"/>
      <c r="AR1" s="871"/>
      <c r="AS1" s="871"/>
      <c r="AT1" s="871"/>
      <c r="AU1" s="871"/>
      <c r="AV1" s="871"/>
      <c r="AW1" s="871"/>
      <c r="AX1" s="871"/>
      <c r="AY1" s="871"/>
      <c r="AZ1" s="871"/>
      <c r="BA1" s="871"/>
      <c r="BB1" s="871"/>
      <c r="BC1" s="871"/>
      <c r="BD1" s="871"/>
      <c r="BE1" s="871"/>
      <c r="BF1" s="871"/>
      <c r="BG1" s="871"/>
      <c r="BH1" s="871"/>
      <c r="BI1" s="871"/>
      <c r="BJ1" s="871"/>
      <c r="BK1" s="871"/>
      <c r="BL1" s="871"/>
      <c r="BM1" s="871"/>
      <c r="BN1" s="871"/>
      <c r="BO1" s="871"/>
      <c r="BP1" s="871"/>
      <c r="BQ1" s="871"/>
      <c r="BR1" s="871"/>
      <c r="BS1" s="871"/>
      <c r="BT1" s="871"/>
      <c r="BU1" s="871"/>
      <c r="BV1" s="871"/>
      <c r="BW1" s="871"/>
      <c r="BX1" s="871"/>
      <c r="BY1" s="871"/>
      <c r="BZ1" s="871"/>
      <c r="CA1" s="871"/>
      <c r="CB1" s="871"/>
      <c r="CC1" s="871"/>
      <c r="CD1" s="871"/>
      <c r="CE1" s="871"/>
      <c r="CF1" s="871"/>
      <c r="CG1" s="871"/>
      <c r="CH1" s="871"/>
      <c r="CI1" s="871"/>
      <c r="CJ1" s="871"/>
      <c r="CK1" s="871"/>
      <c r="CL1" s="871"/>
      <c r="CM1" s="871"/>
      <c r="CN1" s="871"/>
      <c r="CO1" s="871"/>
      <c r="CP1" s="871"/>
      <c r="CQ1" s="871"/>
      <c r="CR1" s="871"/>
      <c r="CS1" s="871"/>
      <c r="CT1" s="871"/>
      <c r="CU1" s="871"/>
      <c r="CV1" s="871"/>
      <c r="CW1" s="871"/>
      <c r="CX1" s="871"/>
      <c r="CY1" s="871"/>
      <c r="CZ1" s="871"/>
      <c r="DA1" s="871"/>
      <c r="DB1" s="871"/>
      <c r="DC1" s="871"/>
      <c r="DD1" s="871"/>
      <c r="DE1" s="871"/>
      <c r="DF1" s="871"/>
      <c r="DG1" s="871"/>
      <c r="DH1" s="871"/>
      <c r="DI1" s="871"/>
      <c r="DJ1" s="871"/>
      <c r="DK1" s="871"/>
      <c r="DL1" s="871"/>
      <c r="DM1" s="871"/>
      <c r="DN1" s="871"/>
      <c r="DO1" s="871"/>
      <c r="DP1" s="871"/>
      <c r="DQ1" s="871"/>
      <c r="DR1" s="871"/>
      <c r="DS1" s="871"/>
      <c r="DT1" s="871"/>
      <c r="DU1" s="871"/>
      <c r="DV1" s="871"/>
      <c r="DW1" s="871"/>
      <c r="DX1" s="871"/>
      <c r="DY1" s="871"/>
      <c r="DZ1" s="871"/>
      <c r="EA1" s="871"/>
      <c r="EB1" s="871"/>
      <c r="EC1" s="871"/>
      <c r="ED1" s="871"/>
      <c r="EE1" s="871"/>
      <c r="EF1" s="871"/>
      <c r="EG1" s="871"/>
      <c r="EH1" s="871"/>
      <c r="EI1" s="871"/>
      <c r="EJ1" s="871"/>
      <c r="EK1" s="871"/>
      <c r="EL1" s="871"/>
      <c r="EM1" s="871"/>
      <c r="EN1" s="871"/>
      <c r="EO1" s="871"/>
      <c r="EP1" s="871"/>
      <c r="EQ1" s="871"/>
      <c r="ER1" s="871"/>
      <c r="ES1" s="871"/>
      <c r="ET1" s="871"/>
      <c r="EU1" s="871"/>
      <c r="EV1" s="871"/>
      <c r="EW1" s="871"/>
      <c r="EX1" s="871"/>
      <c r="EY1" s="871"/>
      <c r="EZ1" s="871"/>
      <c r="FA1" s="871"/>
      <c r="FB1" s="871"/>
      <c r="FC1" s="871"/>
      <c r="FD1" s="871"/>
      <c r="FE1" s="871"/>
      <c r="FF1" s="871"/>
      <c r="FG1" s="871"/>
      <c r="FH1" s="871"/>
      <c r="FI1" s="871"/>
      <c r="FJ1" s="871"/>
      <c r="FK1" s="871"/>
      <c r="FL1" s="871"/>
      <c r="FM1" s="871"/>
      <c r="FN1" s="871"/>
      <c r="FO1" s="871"/>
      <c r="FP1" s="871"/>
      <c r="FQ1" s="871"/>
      <c r="FR1" s="871"/>
      <c r="FS1" s="871"/>
      <c r="FT1" s="871"/>
      <c r="FU1" s="871"/>
      <c r="FV1" s="871"/>
      <c r="FW1" s="871"/>
      <c r="FX1" s="871"/>
      <c r="FY1" s="871"/>
      <c r="FZ1" s="871"/>
      <c r="GA1" s="871"/>
      <c r="GB1" s="871"/>
      <c r="GC1" s="871"/>
      <c r="GD1" s="871"/>
      <c r="GE1" s="871"/>
      <c r="GF1" s="871"/>
      <c r="GG1" s="871"/>
      <c r="GH1" s="871"/>
      <c r="GI1" s="871"/>
      <c r="GJ1" s="871"/>
      <c r="GK1" s="871"/>
      <c r="GL1" s="871"/>
      <c r="GM1" s="871"/>
      <c r="GN1" s="871"/>
      <c r="GO1" s="871"/>
      <c r="GP1" s="871"/>
      <c r="GQ1" s="871"/>
      <c r="GR1" s="871"/>
      <c r="GS1" s="871"/>
      <c r="GT1" s="871"/>
      <c r="GU1" s="871"/>
      <c r="GV1" s="871"/>
      <c r="GW1" s="871"/>
      <c r="GX1" s="871"/>
      <c r="GY1" s="871"/>
      <c r="GZ1" s="871"/>
      <c r="HA1" s="871"/>
      <c r="HB1" s="871"/>
      <c r="HC1" s="871"/>
      <c r="HD1" s="871"/>
      <c r="HE1" s="871"/>
      <c r="HF1" s="871"/>
      <c r="HG1" s="871"/>
      <c r="HH1" s="871"/>
      <c r="HI1" s="871"/>
      <c r="HJ1" s="871"/>
      <c r="HK1" s="871"/>
      <c r="HL1" s="871"/>
      <c r="HM1" s="871"/>
      <c r="HN1" s="871"/>
      <c r="HO1" s="871"/>
      <c r="HP1" s="871"/>
      <c r="HQ1" s="871"/>
      <c r="HR1" s="871"/>
      <c r="HS1" s="871"/>
      <c r="HT1" s="871"/>
      <c r="HU1" s="871"/>
      <c r="HV1" s="871"/>
      <c r="HW1" s="871"/>
      <c r="HX1" s="871"/>
      <c r="HY1" s="871"/>
      <c r="HZ1" s="871"/>
      <c r="IA1" s="871"/>
      <c r="IB1" s="871"/>
      <c r="IC1" s="871"/>
      <c r="ID1" s="871"/>
      <c r="IE1" s="871"/>
      <c r="IF1" s="871"/>
      <c r="IG1" s="871"/>
      <c r="IH1" s="871"/>
      <c r="II1" s="871"/>
      <c r="IJ1" s="871"/>
      <c r="IK1" s="871"/>
      <c r="IL1" s="871"/>
      <c r="IM1" s="871"/>
      <c r="IN1" s="871"/>
      <c r="IO1" s="871"/>
      <c r="IP1" s="871"/>
      <c r="IQ1" s="871"/>
      <c r="IR1" s="871"/>
      <c r="IS1" s="871"/>
      <c r="IT1" s="871"/>
      <c r="IU1" s="871"/>
      <c r="IV1" s="871"/>
    </row>
    <row r="2" spans="1:256" s="872" customFormat="1" ht="26">
      <c r="A2" s="865" t="s">
        <v>792</v>
      </c>
      <c r="G2" s="873"/>
      <c r="H2" s="873"/>
      <c r="I2" s="873"/>
      <c r="J2" s="873"/>
      <c r="K2" s="870"/>
      <c r="L2" s="870"/>
      <c r="M2" s="870"/>
      <c r="N2" s="870"/>
      <c r="O2" s="874"/>
      <c r="P2" s="874"/>
      <c r="Q2" s="874"/>
      <c r="R2" s="874"/>
      <c r="S2" s="874"/>
      <c r="T2" s="874"/>
      <c r="U2" s="874"/>
      <c r="V2" s="874"/>
      <c r="W2" s="874"/>
      <c r="X2" s="874"/>
      <c r="Y2" s="874"/>
      <c r="Z2" s="874"/>
      <c r="AA2" s="874"/>
      <c r="AB2" s="874"/>
      <c r="AC2" s="874"/>
      <c r="AD2" s="874"/>
      <c r="AE2" s="874"/>
      <c r="AF2" s="874"/>
      <c r="AG2" s="874"/>
      <c r="AH2" s="874"/>
      <c r="AI2" s="874"/>
      <c r="AJ2" s="874"/>
      <c r="AK2" s="874"/>
      <c r="AL2" s="874"/>
      <c r="AM2" s="874"/>
      <c r="AN2" s="874"/>
      <c r="AO2" s="874"/>
      <c r="AP2" s="874"/>
      <c r="AQ2" s="874"/>
      <c r="AR2" s="874"/>
      <c r="AS2" s="874"/>
      <c r="AT2" s="874"/>
      <c r="AU2" s="874"/>
      <c r="AV2" s="874"/>
      <c r="AW2" s="874"/>
      <c r="AX2" s="874"/>
      <c r="AY2" s="874"/>
      <c r="AZ2" s="874"/>
      <c r="BA2" s="874"/>
      <c r="BB2" s="874"/>
      <c r="BC2" s="874"/>
      <c r="BD2" s="874"/>
      <c r="BE2" s="874"/>
      <c r="BF2" s="874"/>
      <c r="BG2" s="874"/>
      <c r="BH2" s="874"/>
      <c r="BI2" s="874"/>
      <c r="BJ2" s="874"/>
      <c r="BK2" s="874"/>
      <c r="BL2" s="874"/>
      <c r="BM2" s="874"/>
      <c r="BN2" s="874"/>
      <c r="BO2" s="874"/>
      <c r="BP2" s="874"/>
      <c r="BQ2" s="874"/>
      <c r="BR2" s="874"/>
      <c r="BS2" s="874"/>
      <c r="BT2" s="874"/>
      <c r="BU2" s="874"/>
      <c r="BV2" s="874"/>
      <c r="BW2" s="874"/>
      <c r="BX2" s="874"/>
      <c r="BY2" s="874"/>
      <c r="BZ2" s="874"/>
      <c r="CA2" s="874"/>
      <c r="CB2" s="874"/>
      <c r="CC2" s="874"/>
      <c r="CD2" s="874"/>
      <c r="CE2" s="874"/>
      <c r="CF2" s="874"/>
      <c r="CG2" s="874"/>
      <c r="CH2" s="874"/>
      <c r="CI2" s="874"/>
      <c r="CJ2" s="874"/>
      <c r="CK2" s="874"/>
      <c r="CL2" s="874"/>
      <c r="CM2" s="874"/>
      <c r="CN2" s="874"/>
      <c r="CO2" s="874"/>
      <c r="CP2" s="874"/>
      <c r="CQ2" s="874"/>
      <c r="CR2" s="874"/>
      <c r="CS2" s="874"/>
      <c r="CT2" s="874"/>
      <c r="CU2" s="874"/>
      <c r="CV2" s="874"/>
      <c r="CW2" s="874"/>
      <c r="CX2" s="874"/>
      <c r="CY2" s="874"/>
      <c r="CZ2" s="874"/>
      <c r="DA2" s="874"/>
      <c r="DB2" s="874"/>
      <c r="DC2" s="874"/>
      <c r="DD2" s="874"/>
      <c r="DE2" s="874"/>
      <c r="DF2" s="874"/>
      <c r="DG2" s="874"/>
      <c r="DH2" s="874"/>
      <c r="DI2" s="874"/>
      <c r="DJ2" s="874"/>
      <c r="DK2" s="874"/>
      <c r="DL2" s="874"/>
      <c r="DM2" s="874"/>
      <c r="DN2" s="874"/>
      <c r="DO2" s="874"/>
      <c r="DP2" s="874"/>
      <c r="DQ2" s="874"/>
      <c r="DR2" s="874"/>
      <c r="DS2" s="874"/>
      <c r="DT2" s="874"/>
      <c r="DU2" s="874"/>
      <c r="DV2" s="874"/>
      <c r="DW2" s="874"/>
      <c r="DX2" s="874"/>
      <c r="DY2" s="874"/>
      <c r="DZ2" s="874"/>
      <c r="EA2" s="874"/>
      <c r="EB2" s="874"/>
      <c r="EC2" s="874"/>
      <c r="ED2" s="874"/>
      <c r="EE2" s="874"/>
      <c r="EF2" s="874"/>
      <c r="EG2" s="874"/>
      <c r="EH2" s="874"/>
      <c r="EI2" s="874"/>
      <c r="EJ2" s="874"/>
      <c r="EK2" s="874"/>
      <c r="EL2" s="874"/>
      <c r="EM2" s="874"/>
      <c r="EN2" s="874"/>
      <c r="EO2" s="874"/>
      <c r="EP2" s="874"/>
      <c r="EQ2" s="874"/>
      <c r="ER2" s="874"/>
      <c r="ES2" s="874"/>
      <c r="ET2" s="874"/>
      <c r="EU2" s="874"/>
      <c r="EV2" s="874"/>
      <c r="EW2" s="874"/>
      <c r="EX2" s="874"/>
      <c r="EY2" s="874"/>
      <c r="EZ2" s="874"/>
      <c r="FA2" s="874"/>
      <c r="FB2" s="874"/>
      <c r="FC2" s="874"/>
      <c r="FD2" s="874"/>
      <c r="FE2" s="874"/>
      <c r="FF2" s="874"/>
      <c r="FG2" s="874"/>
      <c r="FH2" s="874"/>
      <c r="FI2" s="874"/>
      <c r="FJ2" s="874"/>
      <c r="FK2" s="874"/>
      <c r="FL2" s="874"/>
      <c r="FM2" s="874"/>
      <c r="FN2" s="874"/>
      <c r="FO2" s="874"/>
      <c r="FP2" s="874"/>
      <c r="FQ2" s="874"/>
      <c r="FR2" s="874"/>
      <c r="FS2" s="874"/>
      <c r="FT2" s="874"/>
      <c r="FU2" s="874"/>
      <c r="FV2" s="874"/>
      <c r="FW2" s="874"/>
      <c r="FX2" s="874"/>
      <c r="FY2" s="874"/>
      <c r="FZ2" s="874"/>
      <c r="GA2" s="874"/>
      <c r="GB2" s="874"/>
      <c r="GC2" s="874"/>
      <c r="GD2" s="874"/>
      <c r="GE2" s="874"/>
      <c r="GF2" s="874"/>
      <c r="GG2" s="874"/>
      <c r="GH2" s="874"/>
      <c r="GI2" s="874"/>
      <c r="GJ2" s="874"/>
      <c r="GK2" s="874"/>
      <c r="GL2" s="874"/>
      <c r="GM2" s="874"/>
      <c r="GN2" s="874"/>
      <c r="GO2" s="874"/>
      <c r="GP2" s="874"/>
      <c r="GQ2" s="874"/>
      <c r="GR2" s="874"/>
      <c r="GS2" s="874"/>
      <c r="GT2" s="874"/>
      <c r="GU2" s="874"/>
      <c r="GV2" s="874"/>
      <c r="GW2" s="874"/>
      <c r="GX2" s="874"/>
      <c r="GY2" s="874"/>
      <c r="GZ2" s="874"/>
      <c r="HA2" s="874"/>
      <c r="HB2" s="874"/>
      <c r="HC2" s="874"/>
      <c r="HD2" s="874"/>
      <c r="HE2" s="874"/>
      <c r="HF2" s="874"/>
      <c r="HG2" s="874"/>
      <c r="HH2" s="874"/>
      <c r="HI2" s="874"/>
      <c r="HJ2" s="874"/>
      <c r="HK2" s="874"/>
      <c r="HL2" s="874"/>
      <c r="HM2" s="874"/>
      <c r="HN2" s="874"/>
      <c r="HO2" s="874"/>
      <c r="HP2" s="874"/>
      <c r="HQ2" s="874"/>
      <c r="HR2" s="874"/>
      <c r="HS2" s="874"/>
      <c r="HT2" s="874"/>
      <c r="HU2" s="874"/>
      <c r="HV2" s="874"/>
      <c r="HW2" s="874"/>
      <c r="HX2" s="874"/>
      <c r="HY2" s="874"/>
      <c r="HZ2" s="874"/>
      <c r="IA2" s="874"/>
      <c r="IB2" s="874"/>
      <c r="IC2" s="874"/>
      <c r="ID2" s="874"/>
      <c r="IE2" s="874"/>
      <c r="IF2" s="874"/>
      <c r="IG2" s="874"/>
      <c r="IH2" s="874"/>
      <c r="II2" s="874"/>
      <c r="IJ2" s="874"/>
      <c r="IK2" s="874"/>
      <c r="IL2" s="874"/>
      <c r="IM2" s="874"/>
      <c r="IN2" s="874"/>
      <c r="IO2" s="874"/>
      <c r="IP2" s="874"/>
      <c r="IQ2" s="874"/>
      <c r="IR2" s="874"/>
      <c r="IS2" s="874"/>
      <c r="IT2" s="874"/>
      <c r="IU2" s="874"/>
      <c r="IV2" s="874"/>
    </row>
    <row r="3" spans="1:256" s="875" customFormat="1">
      <c r="D3" s="876"/>
      <c r="E3" s="877"/>
      <c r="F3" s="878"/>
      <c r="G3" s="879"/>
      <c r="H3" s="880"/>
      <c r="I3" s="880"/>
      <c r="K3" s="880"/>
      <c r="M3" s="880"/>
      <c r="N3" s="880" t="s">
        <v>793</v>
      </c>
      <c r="O3" s="881"/>
      <c r="P3" s="881"/>
      <c r="Q3" s="881"/>
      <c r="R3" s="881"/>
      <c r="S3" s="881"/>
      <c r="T3" s="881"/>
      <c r="U3" s="881"/>
      <c r="V3" s="881"/>
      <c r="W3" s="881"/>
      <c r="X3" s="881"/>
      <c r="Y3" s="881"/>
      <c r="Z3" s="881"/>
      <c r="AA3" s="881"/>
      <c r="AB3" s="881"/>
      <c r="AC3" s="881"/>
      <c r="AD3" s="881"/>
      <c r="AE3" s="881"/>
      <c r="AF3" s="881"/>
      <c r="AG3" s="881"/>
      <c r="AH3" s="881"/>
      <c r="AI3" s="881"/>
      <c r="AJ3" s="881"/>
      <c r="AK3" s="881"/>
      <c r="AL3" s="881"/>
      <c r="AM3" s="881"/>
      <c r="AN3" s="881"/>
      <c r="AO3" s="881"/>
      <c r="AP3" s="881"/>
      <c r="AQ3" s="881"/>
      <c r="AR3" s="881"/>
      <c r="AS3" s="881"/>
      <c r="AT3" s="881"/>
      <c r="AU3" s="881"/>
      <c r="AV3" s="881"/>
      <c r="AW3" s="881"/>
      <c r="AX3" s="881"/>
      <c r="AY3" s="881"/>
      <c r="AZ3" s="881"/>
      <c r="BA3" s="881"/>
      <c r="BB3" s="881"/>
      <c r="BC3" s="881"/>
      <c r="BD3" s="881"/>
      <c r="BE3" s="881"/>
      <c r="BF3" s="881"/>
      <c r="BG3" s="881"/>
      <c r="BH3" s="881"/>
      <c r="BI3" s="881"/>
      <c r="BJ3" s="881"/>
      <c r="BK3" s="881"/>
      <c r="BL3" s="881"/>
      <c r="BM3" s="881"/>
      <c r="BN3" s="881"/>
      <c r="BO3" s="881"/>
      <c r="BP3" s="881"/>
      <c r="BQ3" s="881"/>
      <c r="BR3" s="881"/>
      <c r="BS3" s="881"/>
      <c r="BT3" s="881"/>
      <c r="BU3" s="881"/>
      <c r="BV3" s="881"/>
      <c r="BW3" s="881"/>
      <c r="BX3" s="881"/>
      <c r="BY3" s="881"/>
      <c r="BZ3" s="881"/>
      <c r="CA3" s="881"/>
      <c r="CB3" s="881"/>
      <c r="CC3" s="881"/>
      <c r="CD3" s="881"/>
      <c r="CE3" s="881"/>
      <c r="CF3" s="881"/>
      <c r="CG3" s="881"/>
      <c r="CH3" s="881"/>
      <c r="CI3" s="881"/>
      <c r="CJ3" s="881"/>
      <c r="CK3" s="881"/>
      <c r="CL3" s="881"/>
      <c r="CM3" s="881"/>
      <c r="CN3" s="881"/>
      <c r="CO3" s="881"/>
      <c r="CP3" s="881"/>
      <c r="CQ3" s="881"/>
      <c r="CR3" s="881"/>
      <c r="CS3" s="881"/>
      <c r="CT3" s="881"/>
      <c r="CU3" s="881"/>
      <c r="CV3" s="881"/>
      <c r="CW3" s="881"/>
      <c r="CX3" s="881"/>
      <c r="CY3" s="881"/>
      <c r="CZ3" s="881"/>
      <c r="DA3" s="881"/>
      <c r="DB3" s="881"/>
      <c r="DC3" s="881"/>
      <c r="DD3" s="881"/>
      <c r="DE3" s="881"/>
      <c r="DF3" s="881"/>
      <c r="DG3" s="881"/>
      <c r="DH3" s="881"/>
      <c r="DI3" s="881"/>
      <c r="DJ3" s="881"/>
      <c r="DK3" s="881"/>
      <c r="DL3" s="881"/>
      <c r="DM3" s="881"/>
      <c r="DN3" s="881"/>
      <c r="DO3" s="881"/>
      <c r="DP3" s="881"/>
      <c r="DQ3" s="881"/>
      <c r="DR3" s="881"/>
      <c r="DS3" s="881"/>
      <c r="DT3" s="881"/>
      <c r="DU3" s="881"/>
      <c r="DV3" s="881"/>
      <c r="DW3" s="881"/>
      <c r="DX3" s="881"/>
      <c r="DY3" s="881"/>
      <c r="DZ3" s="881"/>
      <c r="EA3" s="881"/>
      <c r="EB3" s="881"/>
      <c r="EC3" s="881"/>
      <c r="ED3" s="881"/>
      <c r="EE3" s="881"/>
      <c r="EF3" s="881"/>
      <c r="EG3" s="881"/>
      <c r="EH3" s="881"/>
      <c r="EI3" s="881"/>
      <c r="EJ3" s="881"/>
      <c r="EK3" s="881"/>
      <c r="EL3" s="881"/>
      <c r="EM3" s="881"/>
      <c r="EN3" s="881"/>
      <c r="EO3" s="881"/>
      <c r="EP3" s="881"/>
      <c r="EQ3" s="881"/>
      <c r="ER3" s="881"/>
      <c r="ES3" s="881"/>
      <c r="ET3" s="881"/>
      <c r="EU3" s="881"/>
      <c r="EV3" s="881"/>
      <c r="EW3" s="881"/>
      <c r="EX3" s="881"/>
      <c r="EY3" s="881"/>
      <c r="EZ3" s="881"/>
      <c r="FA3" s="881"/>
      <c r="FB3" s="881"/>
      <c r="FC3" s="881"/>
      <c r="FD3" s="881"/>
      <c r="FE3" s="881"/>
      <c r="FF3" s="881"/>
      <c r="FG3" s="881"/>
      <c r="FH3" s="881"/>
      <c r="FI3" s="881"/>
      <c r="FJ3" s="881"/>
      <c r="FK3" s="881"/>
      <c r="FL3" s="881"/>
      <c r="FM3" s="881"/>
      <c r="FN3" s="881"/>
      <c r="FO3" s="881"/>
      <c r="FP3" s="881"/>
      <c r="FQ3" s="881"/>
      <c r="FR3" s="881"/>
      <c r="FS3" s="881"/>
      <c r="FT3" s="881"/>
      <c r="FU3" s="881"/>
      <c r="FV3" s="881"/>
      <c r="FW3" s="881"/>
      <c r="FX3" s="881"/>
      <c r="FY3" s="881"/>
      <c r="FZ3" s="881"/>
      <c r="GA3" s="881"/>
      <c r="GB3" s="881"/>
      <c r="GC3" s="881"/>
      <c r="GD3" s="881"/>
      <c r="GE3" s="881"/>
      <c r="GF3" s="881"/>
      <c r="GG3" s="881"/>
      <c r="GH3" s="881"/>
      <c r="GI3" s="881"/>
      <c r="GJ3" s="881"/>
      <c r="GK3" s="881"/>
      <c r="GL3" s="881"/>
      <c r="GM3" s="881"/>
      <c r="GN3" s="881"/>
      <c r="GO3" s="881"/>
      <c r="GP3" s="881"/>
      <c r="GQ3" s="881"/>
      <c r="GR3" s="881"/>
      <c r="GS3" s="881"/>
      <c r="GT3" s="881"/>
      <c r="GU3" s="881"/>
      <c r="GV3" s="881"/>
      <c r="GW3" s="881"/>
      <c r="GX3" s="881"/>
      <c r="GY3" s="881"/>
      <c r="GZ3" s="881"/>
      <c r="HA3" s="881"/>
      <c r="HB3" s="881"/>
      <c r="HC3" s="881"/>
      <c r="HD3" s="881"/>
      <c r="HE3" s="881"/>
      <c r="HF3" s="881"/>
      <c r="HG3" s="881"/>
      <c r="HH3" s="881"/>
      <c r="HI3" s="881"/>
      <c r="HJ3" s="881"/>
      <c r="HK3" s="881"/>
      <c r="HL3" s="881"/>
      <c r="HM3" s="881"/>
      <c r="HN3" s="881"/>
      <c r="HO3" s="881"/>
      <c r="HP3" s="881"/>
      <c r="HQ3" s="881"/>
      <c r="HR3" s="881"/>
      <c r="HS3" s="881"/>
      <c r="HT3" s="881"/>
      <c r="HU3" s="881"/>
      <c r="HV3" s="881"/>
      <c r="HW3" s="881"/>
      <c r="HX3" s="881"/>
      <c r="HY3" s="881"/>
      <c r="HZ3" s="881"/>
      <c r="IA3" s="881"/>
      <c r="IB3" s="881"/>
      <c r="IC3" s="881"/>
      <c r="ID3" s="881"/>
      <c r="IE3" s="881"/>
      <c r="IF3" s="881"/>
      <c r="IG3" s="881"/>
      <c r="IH3" s="881"/>
      <c r="II3" s="881"/>
      <c r="IJ3" s="881"/>
      <c r="IK3" s="881"/>
      <c r="IL3" s="881"/>
      <c r="IM3" s="881"/>
      <c r="IN3" s="881"/>
      <c r="IO3" s="881"/>
      <c r="IP3" s="881"/>
      <c r="IQ3" s="881"/>
      <c r="IR3" s="881"/>
      <c r="IS3" s="881"/>
      <c r="IT3" s="881"/>
      <c r="IU3" s="881"/>
      <c r="IV3" s="881"/>
    </row>
    <row r="4" spans="1:256" s="875" customFormat="1" ht="13" thickBot="1">
      <c r="D4" s="882"/>
      <c r="E4" s="877"/>
      <c r="F4" s="878"/>
      <c r="G4" s="883"/>
      <c r="H4" s="884"/>
      <c r="I4" s="884"/>
      <c r="K4" s="884"/>
      <c r="M4" s="885"/>
      <c r="N4" s="885" t="s">
        <v>794</v>
      </c>
      <c r="O4" s="881"/>
      <c r="P4" s="881"/>
      <c r="Q4" s="881"/>
      <c r="R4" s="881"/>
      <c r="S4" s="881"/>
      <c r="T4" s="881"/>
      <c r="U4" s="881"/>
      <c r="V4" s="881"/>
      <c r="W4" s="881"/>
      <c r="X4" s="881"/>
      <c r="Y4" s="881"/>
      <c r="Z4" s="881"/>
      <c r="AA4" s="881"/>
      <c r="AB4" s="881"/>
      <c r="AC4" s="881"/>
      <c r="AD4" s="881"/>
      <c r="AE4" s="881"/>
      <c r="AF4" s="881"/>
      <c r="AG4" s="881"/>
      <c r="AH4" s="881"/>
      <c r="AI4" s="881"/>
      <c r="AJ4" s="881"/>
      <c r="AK4" s="881"/>
      <c r="AL4" s="881"/>
      <c r="AM4" s="881"/>
      <c r="AN4" s="881"/>
      <c r="AO4" s="881"/>
      <c r="AP4" s="881"/>
      <c r="AQ4" s="881"/>
      <c r="AR4" s="881"/>
      <c r="AS4" s="881"/>
      <c r="AT4" s="881"/>
      <c r="AU4" s="881"/>
      <c r="AV4" s="881"/>
      <c r="AW4" s="881"/>
      <c r="AX4" s="881"/>
      <c r="AY4" s="881"/>
      <c r="AZ4" s="881"/>
      <c r="BA4" s="881"/>
      <c r="BB4" s="881"/>
      <c r="BC4" s="881"/>
      <c r="BD4" s="881"/>
      <c r="BE4" s="881"/>
      <c r="BF4" s="881"/>
      <c r="BG4" s="881"/>
      <c r="BH4" s="881"/>
      <c r="BI4" s="881"/>
      <c r="BJ4" s="881"/>
      <c r="BK4" s="881"/>
      <c r="BL4" s="881"/>
      <c r="BM4" s="881"/>
      <c r="BN4" s="881"/>
      <c r="BO4" s="881"/>
      <c r="BP4" s="881"/>
      <c r="BQ4" s="881"/>
      <c r="BR4" s="881"/>
      <c r="BS4" s="881"/>
      <c r="BT4" s="881"/>
      <c r="BU4" s="881"/>
      <c r="BV4" s="881"/>
      <c r="BW4" s="881"/>
      <c r="BX4" s="881"/>
      <c r="BY4" s="881"/>
      <c r="BZ4" s="881"/>
      <c r="CA4" s="881"/>
      <c r="CB4" s="881"/>
      <c r="CC4" s="881"/>
      <c r="CD4" s="881"/>
      <c r="CE4" s="881"/>
      <c r="CF4" s="881"/>
      <c r="CG4" s="881"/>
      <c r="CH4" s="881"/>
      <c r="CI4" s="881"/>
      <c r="CJ4" s="881"/>
      <c r="CK4" s="881"/>
      <c r="CL4" s="881"/>
      <c r="CM4" s="881"/>
      <c r="CN4" s="881"/>
      <c r="CO4" s="881"/>
      <c r="CP4" s="881"/>
      <c r="CQ4" s="881"/>
      <c r="CR4" s="881"/>
      <c r="CS4" s="881"/>
      <c r="CT4" s="881"/>
      <c r="CU4" s="881"/>
      <c r="CV4" s="881"/>
      <c r="CW4" s="881"/>
      <c r="CX4" s="881"/>
      <c r="CY4" s="881"/>
      <c r="CZ4" s="881"/>
      <c r="DA4" s="881"/>
      <c r="DB4" s="881"/>
      <c r="DC4" s="881"/>
      <c r="DD4" s="881"/>
      <c r="DE4" s="881"/>
      <c r="DF4" s="881"/>
      <c r="DG4" s="881"/>
      <c r="DH4" s="881"/>
      <c r="DI4" s="881"/>
      <c r="DJ4" s="881"/>
      <c r="DK4" s="881"/>
      <c r="DL4" s="881"/>
      <c r="DM4" s="881"/>
      <c r="DN4" s="881"/>
      <c r="DO4" s="881"/>
      <c r="DP4" s="881"/>
      <c r="DQ4" s="881"/>
      <c r="DR4" s="881"/>
      <c r="DS4" s="881"/>
      <c r="DT4" s="881"/>
      <c r="DU4" s="881"/>
      <c r="DV4" s="881"/>
      <c r="DW4" s="881"/>
      <c r="DX4" s="881"/>
      <c r="DY4" s="881"/>
      <c r="DZ4" s="881"/>
      <c r="EA4" s="881"/>
      <c r="EB4" s="881"/>
      <c r="EC4" s="881"/>
      <c r="ED4" s="881"/>
      <c r="EE4" s="881"/>
      <c r="EF4" s="881"/>
      <c r="EG4" s="881"/>
      <c r="EH4" s="881"/>
      <c r="EI4" s="881"/>
      <c r="EJ4" s="881"/>
      <c r="EK4" s="881"/>
      <c r="EL4" s="881"/>
      <c r="EM4" s="881"/>
      <c r="EN4" s="881"/>
      <c r="EO4" s="881"/>
      <c r="EP4" s="881"/>
      <c r="EQ4" s="881"/>
      <c r="ER4" s="881"/>
      <c r="ES4" s="881"/>
      <c r="ET4" s="881"/>
      <c r="EU4" s="881"/>
      <c r="EV4" s="881"/>
      <c r="EW4" s="881"/>
      <c r="EX4" s="881"/>
      <c r="EY4" s="881"/>
      <c r="EZ4" s="881"/>
      <c r="FA4" s="881"/>
      <c r="FB4" s="881"/>
      <c r="FC4" s="881"/>
      <c r="FD4" s="881"/>
      <c r="FE4" s="881"/>
      <c r="FF4" s="881"/>
      <c r="FG4" s="881"/>
      <c r="FH4" s="881"/>
      <c r="FI4" s="881"/>
      <c r="FJ4" s="881"/>
      <c r="FK4" s="881"/>
      <c r="FL4" s="881"/>
      <c r="FM4" s="881"/>
      <c r="FN4" s="881"/>
      <c r="FO4" s="881"/>
      <c r="FP4" s="881"/>
      <c r="FQ4" s="881"/>
      <c r="FR4" s="881"/>
      <c r="FS4" s="881"/>
      <c r="FT4" s="881"/>
      <c r="FU4" s="881"/>
      <c r="FV4" s="881"/>
      <c r="FW4" s="881"/>
      <c r="FX4" s="881"/>
      <c r="FY4" s="881"/>
      <c r="FZ4" s="881"/>
      <c r="GA4" s="881"/>
      <c r="GB4" s="881"/>
      <c r="GC4" s="881"/>
      <c r="GD4" s="881"/>
      <c r="GE4" s="881"/>
      <c r="GF4" s="881"/>
      <c r="GG4" s="881"/>
      <c r="GH4" s="881"/>
      <c r="GI4" s="881"/>
      <c r="GJ4" s="881"/>
      <c r="GK4" s="881"/>
      <c r="GL4" s="881"/>
      <c r="GM4" s="881"/>
      <c r="GN4" s="881"/>
      <c r="GO4" s="881"/>
      <c r="GP4" s="881"/>
      <c r="GQ4" s="881"/>
      <c r="GR4" s="881"/>
      <c r="GS4" s="881"/>
      <c r="GT4" s="881"/>
      <c r="GU4" s="881"/>
      <c r="GV4" s="881"/>
      <c r="GW4" s="881"/>
      <c r="GX4" s="881"/>
      <c r="GY4" s="881"/>
      <c r="GZ4" s="881"/>
      <c r="HA4" s="881"/>
      <c r="HB4" s="881"/>
      <c r="HC4" s="881"/>
      <c r="HD4" s="881"/>
      <c r="HE4" s="881"/>
      <c r="HF4" s="881"/>
      <c r="HG4" s="881"/>
      <c r="HH4" s="881"/>
      <c r="HI4" s="881"/>
      <c r="HJ4" s="881"/>
      <c r="HK4" s="881"/>
      <c r="HL4" s="881"/>
      <c r="HM4" s="881"/>
      <c r="HN4" s="881"/>
      <c r="HO4" s="881"/>
      <c r="HP4" s="881"/>
      <c r="HQ4" s="881"/>
      <c r="HR4" s="881"/>
      <c r="HS4" s="881"/>
      <c r="HT4" s="881"/>
      <c r="HU4" s="881"/>
      <c r="HV4" s="881"/>
      <c r="HW4" s="881"/>
      <c r="HX4" s="881"/>
      <c r="HY4" s="881"/>
      <c r="HZ4" s="881"/>
      <c r="IA4" s="881"/>
      <c r="IB4" s="881"/>
      <c r="IC4" s="881"/>
      <c r="ID4" s="881"/>
      <c r="IE4" s="881"/>
      <c r="IF4" s="881"/>
      <c r="IG4" s="881"/>
      <c r="IH4" s="881"/>
      <c r="II4" s="881"/>
      <c r="IJ4" s="881"/>
      <c r="IK4" s="881"/>
      <c r="IL4" s="881"/>
      <c r="IM4" s="881"/>
      <c r="IN4" s="881"/>
      <c r="IO4" s="881"/>
      <c r="IP4" s="881"/>
      <c r="IQ4" s="881"/>
      <c r="IR4" s="881"/>
      <c r="IS4" s="881"/>
      <c r="IT4" s="881"/>
      <c r="IU4" s="881"/>
      <c r="IV4" s="881"/>
    </row>
    <row r="5" spans="1:256" ht="13.5" customHeight="1" thickTop="1">
      <c r="A5" s="886"/>
      <c r="B5" s="887">
        <v>1996</v>
      </c>
      <c r="C5" s="887">
        <v>1997</v>
      </c>
      <c r="D5" s="887">
        <v>1998</v>
      </c>
      <c r="E5" s="887">
        <v>1999</v>
      </c>
      <c r="F5" s="887">
        <v>2000</v>
      </c>
      <c r="G5" s="887">
        <v>2001</v>
      </c>
      <c r="H5" s="887">
        <v>2002</v>
      </c>
      <c r="I5" s="887">
        <v>2003</v>
      </c>
      <c r="J5" s="887">
        <v>2004</v>
      </c>
      <c r="K5" s="887">
        <v>2005</v>
      </c>
      <c r="L5" s="887">
        <v>2006</v>
      </c>
      <c r="M5" s="888">
        <v>2007</v>
      </c>
      <c r="N5" s="888">
        <v>2008</v>
      </c>
      <c r="O5" s="889"/>
      <c r="P5" s="889"/>
      <c r="Q5" s="889"/>
      <c r="R5" s="889"/>
      <c r="S5" s="889"/>
      <c r="T5" s="889"/>
      <c r="U5" s="889"/>
      <c r="V5" s="889"/>
      <c r="W5" s="889"/>
      <c r="X5" s="889"/>
      <c r="Y5" s="889"/>
      <c r="Z5" s="889"/>
      <c r="AA5" s="889"/>
      <c r="AB5" s="889"/>
      <c r="AC5" s="889"/>
      <c r="AD5" s="889"/>
      <c r="AE5" s="889"/>
      <c r="AF5" s="889"/>
      <c r="AG5" s="889"/>
      <c r="AH5" s="889"/>
      <c r="AI5" s="889"/>
      <c r="AJ5" s="889"/>
      <c r="AK5" s="889"/>
      <c r="AL5" s="889"/>
      <c r="AM5" s="889"/>
      <c r="AN5" s="889"/>
      <c r="AO5" s="889"/>
      <c r="AP5" s="889"/>
      <c r="AQ5" s="889"/>
      <c r="AR5" s="889"/>
      <c r="AS5" s="889"/>
      <c r="AT5" s="889"/>
      <c r="AU5" s="889"/>
      <c r="AV5" s="889"/>
      <c r="AW5" s="889"/>
      <c r="AX5" s="889"/>
      <c r="AY5" s="889"/>
      <c r="AZ5" s="889"/>
      <c r="BA5" s="889"/>
      <c r="BB5" s="889"/>
      <c r="BC5" s="889"/>
      <c r="BD5" s="889"/>
      <c r="BE5" s="889"/>
      <c r="BF5" s="889"/>
      <c r="BG5" s="889"/>
      <c r="BH5" s="889"/>
      <c r="BI5" s="889"/>
      <c r="BJ5" s="889"/>
      <c r="BK5" s="889"/>
      <c r="BL5" s="889"/>
      <c r="BM5" s="889"/>
      <c r="BN5" s="889"/>
      <c r="BO5" s="889"/>
      <c r="BP5" s="889"/>
      <c r="BQ5" s="889"/>
      <c r="BR5" s="889"/>
      <c r="BS5" s="889"/>
      <c r="BT5" s="889"/>
      <c r="BU5" s="889"/>
      <c r="BV5" s="889"/>
      <c r="BW5" s="889"/>
      <c r="BX5" s="889"/>
      <c r="BY5" s="889"/>
      <c r="BZ5" s="889"/>
      <c r="CA5" s="889"/>
      <c r="CB5" s="889"/>
      <c r="CC5" s="889"/>
      <c r="CD5" s="889"/>
      <c r="CE5" s="889"/>
      <c r="CF5" s="889"/>
      <c r="CG5" s="889"/>
      <c r="CH5" s="889"/>
      <c r="CI5" s="889"/>
      <c r="CJ5" s="889"/>
      <c r="CK5" s="889"/>
      <c r="CL5" s="889"/>
      <c r="CM5" s="889"/>
      <c r="CN5" s="889"/>
      <c r="CO5" s="889"/>
      <c r="CP5" s="889"/>
      <c r="CQ5" s="889"/>
      <c r="CR5" s="889"/>
      <c r="CS5" s="889"/>
      <c r="CT5" s="889"/>
      <c r="CU5" s="889"/>
      <c r="CV5" s="889"/>
      <c r="CW5" s="889"/>
      <c r="CX5" s="889"/>
      <c r="CY5" s="889"/>
      <c r="CZ5" s="889"/>
      <c r="DA5" s="889"/>
      <c r="DB5" s="889"/>
      <c r="DC5" s="889"/>
      <c r="DD5" s="889"/>
      <c r="DE5" s="889"/>
      <c r="DF5" s="889"/>
      <c r="DG5" s="889"/>
      <c r="DH5" s="889"/>
      <c r="DI5" s="889"/>
      <c r="DJ5" s="889"/>
      <c r="DK5" s="889"/>
      <c r="DL5" s="889"/>
      <c r="DM5" s="889"/>
      <c r="DN5" s="889"/>
      <c r="DO5" s="889"/>
      <c r="DP5" s="889"/>
      <c r="DQ5" s="889"/>
      <c r="DR5" s="889"/>
      <c r="DS5" s="889"/>
      <c r="DT5" s="889"/>
      <c r="DU5" s="889"/>
      <c r="DV5" s="889"/>
      <c r="DW5" s="889"/>
      <c r="DX5" s="889"/>
      <c r="DY5" s="889"/>
      <c r="DZ5" s="889"/>
      <c r="EA5" s="889"/>
      <c r="EB5" s="889"/>
      <c r="EC5" s="889"/>
      <c r="ED5" s="889"/>
      <c r="EE5" s="889"/>
      <c r="EF5" s="889"/>
      <c r="EG5" s="889"/>
      <c r="EH5" s="889"/>
      <c r="EI5" s="889"/>
      <c r="EJ5" s="889"/>
      <c r="EK5" s="889"/>
      <c r="EL5" s="889"/>
      <c r="EM5" s="889"/>
      <c r="EN5" s="889"/>
      <c r="EO5" s="889"/>
      <c r="EP5" s="889"/>
      <c r="EQ5" s="889"/>
      <c r="ER5" s="889"/>
      <c r="ES5" s="889"/>
      <c r="ET5" s="889"/>
      <c r="EU5" s="889"/>
      <c r="EV5" s="889"/>
      <c r="EW5" s="889"/>
      <c r="EX5" s="889"/>
      <c r="EY5" s="889"/>
      <c r="EZ5" s="889"/>
      <c r="FA5" s="889"/>
      <c r="FB5" s="889"/>
      <c r="FC5" s="889"/>
      <c r="FD5" s="889"/>
      <c r="FE5" s="889"/>
      <c r="FF5" s="889"/>
      <c r="FG5" s="889"/>
      <c r="FH5" s="889"/>
      <c r="FI5" s="889"/>
      <c r="FJ5" s="889"/>
      <c r="FK5" s="889"/>
      <c r="FL5" s="889"/>
      <c r="FM5" s="889"/>
      <c r="FN5" s="889"/>
      <c r="FO5" s="889"/>
      <c r="FP5" s="889"/>
      <c r="FQ5" s="889"/>
      <c r="FR5" s="889"/>
      <c r="FS5" s="889"/>
      <c r="FT5" s="889"/>
      <c r="FU5" s="889"/>
      <c r="FV5" s="889"/>
      <c r="FW5" s="889"/>
      <c r="FX5" s="889"/>
      <c r="FY5" s="889"/>
      <c r="FZ5" s="889"/>
      <c r="GA5" s="889"/>
      <c r="GB5" s="889"/>
      <c r="GC5" s="889"/>
      <c r="GD5" s="889"/>
      <c r="GE5" s="889"/>
      <c r="GF5" s="889"/>
      <c r="GG5" s="889"/>
      <c r="GH5" s="889"/>
      <c r="GI5" s="889"/>
      <c r="GJ5" s="889"/>
      <c r="GK5" s="889"/>
      <c r="GL5" s="889"/>
      <c r="GM5" s="889"/>
      <c r="GN5" s="889"/>
      <c r="GO5" s="889"/>
      <c r="GP5" s="889"/>
      <c r="GQ5" s="889"/>
      <c r="GR5" s="889"/>
      <c r="GS5" s="889"/>
      <c r="GT5" s="889"/>
      <c r="GU5" s="889"/>
      <c r="GV5" s="889"/>
      <c r="GW5" s="889"/>
      <c r="GX5" s="889"/>
      <c r="GY5" s="889"/>
      <c r="GZ5" s="889"/>
      <c r="HA5" s="889"/>
      <c r="HB5" s="889"/>
      <c r="HC5" s="889"/>
      <c r="HD5" s="889"/>
      <c r="HE5" s="889"/>
      <c r="HF5" s="889"/>
      <c r="HG5" s="889"/>
      <c r="HH5" s="889"/>
      <c r="HI5" s="889"/>
      <c r="HJ5" s="889"/>
      <c r="HK5" s="889"/>
      <c r="HL5" s="889"/>
      <c r="HM5" s="889"/>
      <c r="HN5" s="889"/>
      <c r="HO5" s="889"/>
      <c r="HP5" s="889"/>
      <c r="HQ5" s="889"/>
      <c r="HR5" s="889"/>
      <c r="HS5" s="889"/>
      <c r="HT5" s="889"/>
      <c r="HU5" s="889"/>
      <c r="HV5" s="889"/>
      <c r="HW5" s="889"/>
      <c r="HX5" s="889"/>
      <c r="HY5" s="889"/>
      <c r="HZ5" s="889"/>
      <c r="IA5" s="889"/>
      <c r="IB5" s="889"/>
      <c r="IC5" s="889"/>
      <c r="ID5" s="889"/>
      <c r="IE5" s="889"/>
      <c r="IF5" s="889"/>
      <c r="IG5" s="889"/>
      <c r="IH5" s="889"/>
      <c r="II5" s="889"/>
      <c r="IJ5" s="889"/>
      <c r="IK5" s="889"/>
      <c r="IL5" s="889"/>
      <c r="IM5" s="889"/>
      <c r="IN5" s="889"/>
      <c r="IO5" s="889"/>
      <c r="IP5" s="889"/>
      <c r="IQ5" s="889"/>
      <c r="IR5" s="889"/>
      <c r="IS5" s="889"/>
      <c r="IT5" s="889"/>
      <c r="IU5" s="889"/>
      <c r="IV5" s="889"/>
    </row>
    <row r="6" spans="1:256" s="897" customFormat="1" ht="12" customHeight="1">
      <c r="A6" s="890" t="s">
        <v>795</v>
      </c>
      <c r="B6" s="875"/>
      <c r="C6" s="875"/>
      <c r="D6" s="875"/>
      <c r="E6" s="875"/>
      <c r="F6" s="891"/>
      <c r="G6" s="892"/>
      <c r="H6" s="893"/>
      <c r="I6" s="894"/>
      <c r="J6" s="894"/>
      <c r="K6" s="894"/>
      <c r="L6" s="894"/>
      <c r="M6" s="895"/>
      <c r="N6" s="895"/>
      <c r="O6" s="896"/>
      <c r="P6" s="896"/>
      <c r="Q6" s="896"/>
      <c r="R6" s="896"/>
      <c r="S6" s="896"/>
      <c r="T6" s="896"/>
      <c r="U6" s="896"/>
      <c r="V6" s="896"/>
      <c r="W6" s="896"/>
      <c r="X6" s="896"/>
      <c r="Y6" s="896"/>
      <c r="Z6" s="896"/>
      <c r="AA6" s="896"/>
      <c r="AB6" s="896"/>
      <c r="AC6" s="896"/>
      <c r="AD6" s="896"/>
      <c r="AE6" s="896"/>
      <c r="AF6" s="896"/>
      <c r="AG6" s="896"/>
      <c r="AH6" s="896"/>
      <c r="AI6" s="896"/>
      <c r="AJ6" s="896"/>
      <c r="AK6" s="896"/>
      <c r="AL6" s="896"/>
      <c r="AM6" s="896"/>
      <c r="AN6" s="896"/>
      <c r="AO6" s="896"/>
      <c r="AP6" s="896"/>
      <c r="AQ6" s="896"/>
      <c r="AR6" s="896"/>
      <c r="AS6" s="896"/>
      <c r="AT6" s="896"/>
      <c r="AU6" s="896"/>
      <c r="AV6" s="896"/>
      <c r="AW6" s="896"/>
      <c r="AX6" s="896"/>
      <c r="AY6" s="896"/>
      <c r="AZ6" s="896"/>
      <c r="BA6" s="896"/>
      <c r="BB6" s="896"/>
      <c r="BC6" s="896"/>
      <c r="BD6" s="896"/>
      <c r="BE6" s="896"/>
      <c r="BF6" s="896"/>
      <c r="BG6" s="896"/>
      <c r="BH6" s="896"/>
      <c r="BI6" s="896"/>
      <c r="BJ6" s="896"/>
      <c r="BK6" s="896"/>
      <c r="BL6" s="896"/>
      <c r="BM6" s="896"/>
      <c r="BN6" s="896"/>
      <c r="BO6" s="896"/>
      <c r="BP6" s="896"/>
      <c r="BQ6" s="896"/>
      <c r="BR6" s="896"/>
      <c r="BS6" s="896"/>
      <c r="BT6" s="896"/>
      <c r="BU6" s="896"/>
      <c r="BV6" s="896"/>
      <c r="BW6" s="896"/>
      <c r="BX6" s="896"/>
      <c r="BY6" s="896"/>
      <c r="BZ6" s="896"/>
      <c r="CA6" s="896"/>
      <c r="CB6" s="896"/>
      <c r="CC6" s="896"/>
      <c r="CD6" s="896"/>
      <c r="CE6" s="896"/>
      <c r="CF6" s="896"/>
      <c r="CG6" s="896"/>
      <c r="CH6" s="896"/>
      <c r="CI6" s="896"/>
      <c r="CJ6" s="896"/>
      <c r="CK6" s="896"/>
      <c r="CL6" s="896"/>
      <c r="CM6" s="896"/>
      <c r="CN6" s="896"/>
      <c r="CO6" s="896"/>
      <c r="CP6" s="896"/>
      <c r="CQ6" s="896"/>
      <c r="CR6" s="896"/>
      <c r="CS6" s="896"/>
      <c r="CT6" s="896"/>
      <c r="CU6" s="896"/>
      <c r="CV6" s="896"/>
      <c r="CW6" s="896"/>
      <c r="CX6" s="896"/>
      <c r="CY6" s="896"/>
      <c r="CZ6" s="896"/>
      <c r="DA6" s="896"/>
      <c r="DB6" s="896"/>
      <c r="DC6" s="896"/>
      <c r="DD6" s="896"/>
      <c r="DE6" s="896"/>
      <c r="DF6" s="896"/>
      <c r="DG6" s="896"/>
      <c r="DH6" s="896"/>
      <c r="DI6" s="896"/>
      <c r="DJ6" s="896"/>
      <c r="DK6" s="896"/>
      <c r="DL6" s="896"/>
      <c r="DM6" s="896"/>
      <c r="DN6" s="896"/>
      <c r="DO6" s="896"/>
      <c r="DP6" s="896"/>
      <c r="DQ6" s="896"/>
      <c r="DR6" s="896"/>
      <c r="DS6" s="896"/>
      <c r="DT6" s="896"/>
      <c r="DU6" s="896"/>
      <c r="DV6" s="896"/>
      <c r="DW6" s="896"/>
      <c r="DX6" s="896"/>
      <c r="DY6" s="896"/>
      <c r="DZ6" s="896"/>
      <c r="EA6" s="896"/>
      <c r="EB6" s="896"/>
      <c r="EC6" s="896"/>
      <c r="ED6" s="896"/>
      <c r="EE6" s="896"/>
      <c r="EF6" s="896"/>
      <c r="EG6" s="896"/>
      <c r="EH6" s="896"/>
      <c r="EI6" s="896"/>
      <c r="EJ6" s="896"/>
      <c r="EK6" s="896"/>
      <c r="EL6" s="896"/>
      <c r="EM6" s="896"/>
      <c r="EN6" s="896"/>
      <c r="EO6" s="896"/>
      <c r="EP6" s="896"/>
      <c r="EQ6" s="896"/>
      <c r="ER6" s="896"/>
      <c r="ES6" s="896"/>
      <c r="ET6" s="896"/>
      <c r="EU6" s="896"/>
      <c r="EV6" s="896"/>
      <c r="EW6" s="896"/>
      <c r="EX6" s="896"/>
      <c r="EY6" s="896"/>
      <c r="EZ6" s="896"/>
      <c r="FA6" s="896"/>
      <c r="FB6" s="896"/>
      <c r="FC6" s="896"/>
      <c r="FD6" s="896"/>
      <c r="FE6" s="896"/>
      <c r="FF6" s="896"/>
      <c r="FG6" s="896"/>
      <c r="FH6" s="896"/>
      <c r="FI6" s="896"/>
      <c r="FJ6" s="896"/>
      <c r="FK6" s="896"/>
      <c r="FL6" s="896"/>
      <c r="FM6" s="896"/>
      <c r="FN6" s="896"/>
      <c r="FO6" s="896"/>
      <c r="FP6" s="896"/>
      <c r="FQ6" s="896"/>
      <c r="FR6" s="896"/>
      <c r="FS6" s="896"/>
      <c r="FT6" s="896"/>
      <c r="FU6" s="896"/>
      <c r="FV6" s="896"/>
      <c r="FW6" s="896"/>
      <c r="FX6" s="896"/>
      <c r="FY6" s="896"/>
      <c r="FZ6" s="896"/>
      <c r="GA6" s="896"/>
      <c r="GB6" s="896"/>
      <c r="GC6" s="896"/>
      <c r="GD6" s="896"/>
      <c r="GE6" s="896"/>
      <c r="GF6" s="896"/>
      <c r="GG6" s="896"/>
      <c r="GH6" s="896"/>
      <c r="GI6" s="896"/>
      <c r="GJ6" s="896"/>
      <c r="GK6" s="896"/>
      <c r="GL6" s="896"/>
      <c r="GM6" s="896"/>
      <c r="GN6" s="896"/>
      <c r="GO6" s="896"/>
      <c r="GP6" s="896"/>
      <c r="GQ6" s="896"/>
      <c r="GR6" s="896"/>
      <c r="GS6" s="896"/>
      <c r="GT6" s="896"/>
      <c r="GU6" s="896"/>
      <c r="GV6" s="896"/>
      <c r="GW6" s="896"/>
      <c r="GX6" s="896"/>
      <c r="GY6" s="896"/>
      <c r="GZ6" s="896"/>
      <c r="HA6" s="896"/>
      <c r="HB6" s="896"/>
      <c r="HC6" s="896"/>
      <c r="HD6" s="896"/>
      <c r="HE6" s="896"/>
      <c r="HF6" s="896"/>
      <c r="HG6" s="896"/>
      <c r="HH6" s="896"/>
      <c r="HI6" s="896"/>
      <c r="HJ6" s="896"/>
      <c r="HK6" s="896"/>
      <c r="HL6" s="896"/>
      <c r="HM6" s="896"/>
      <c r="HN6" s="896"/>
      <c r="HO6" s="896"/>
      <c r="HP6" s="896"/>
      <c r="HQ6" s="896"/>
      <c r="HR6" s="896"/>
      <c r="HS6" s="896"/>
      <c r="HT6" s="896"/>
      <c r="HU6" s="896"/>
      <c r="HV6" s="896"/>
      <c r="HW6" s="896"/>
      <c r="HX6" s="896"/>
      <c r="HY6" s="896"/>
      <c r="HZ6" s="896"/>
      <c r="IA6" s="896"/>
      <c r="IB6" s="896"/>
      <c r="IC6" s="896"/>
      <c r="ID6" s="896"/>
      <c r="IE6" s="896"/>
      <c r="IF6" s="896"/>
      <c r="IG6" s="896"/>
      <c r="IH6" s="896"/>
      <c r="II6" s="896"/>
      <c r="IJ6" s="896"/>
      <c r="IK6" s="896"/>
      <c r="IL6" s="896"/>
      <c r="IM6" s="896"/>
      <c r="IN6" s="896"/>
      <c r="IO6" s="896"/>
      <c r="IP6" s="896"/>
      <c r="IQ6" s="896"/>
      <c r="IR6" s="896"/>
      <c r="IS6" s="896"/>
      <c r="IT6" s="896"/>
      <c r="IU6" s="896"/>
      <c r="IV6" s="896"/>
    </row>
    <row r="7" spans="1:256" ht="10.5" customHeight="1">
      <c r="A7" s="875" t="s">
        <v>457</v>
      </c>
      <c r="B7" s="898">
        <v>788.3</v>
      </c>
      <c r="C7" s="898">
        <v>795.9</v>
      </c>
      <c r="D7" s="899">
        <v>852.1</v>
      </c>
      <c r="E7" s="899">
        <v>726.2</v>
      </c>
      <c r="F7" s="899">
        <v>703.2</v>
      </c>
      <c r="G7" s="900">
        <v>768.8</v>
      </c>
      <c r="H7" s="900">
        <v>749.8</v>
      </c>
      <c r="I7" s="900">
        <v>766.3</v>
      </c>
      <c r="J7" s="900">
        <v>763.7</v>
      </c>
      <c r="K7" s="900">
        <v>766.9</v>
      </c>
      <c r="L7" s="901">
        <v>768.4</v>
      </c>
      <c r="M7" s="901">
        <v>765.8</v>
      </c>
      <c r="N7" s="900">
        <v>800.7</v>
      </c>
      <c r="O7" s="889"/>
      <c r="P7" s="889"/>
      <c r="Q7" s="889"/>
      <c r="R7" s="889"/>
      <c r="S7" s="889"/>
      <c r="T7" s="889"/>
      <c r="U7" s="889"/>
      <c r="V7" s="889"/>
      <c r="W7" s="889"/>
      <c r="X7" s="889"/>
      <c r="Y7" s="889"/>
      <c r="Z7" s="889"/>
      <c r="AA7" s="889"/>
      <c r="AB7" s="889"/>
      <c r="AC7" s="889"/>
      <c r="AD7" s="889"/>
      <c r="AE7" s="889"/>
      <c r="AF7" s="889"/>
      <c r="AG7" s="889"/>
      <c r="AH7" s="889"/>
      <c r="AI7" s="889"/>
      <c r="AJ7" s="889"/>
      <c r="AK7" s="889"/>
      <c r="AL7" s="889"/>
      <c r="AM7" s="889"/>
      <c r="AN7" s="889"/>
      <c r="AO7" s="889"/>
      <c r="AP7" s="889"/>
      <c r="AQ7" s="889"/>
      <c r="AR7" s="889"/>
      <c r="AS7" s="889"/>
      <c r="AT7" s="889"/>
      <c r="AU7" s="889"/>
      <c r="AV7" s="889"/>
      <c r="AW7" s="889"/>
      <c r="AX7" s="889"/>
      <c r="AY7" s="889"/>
      <c r="AZ7" s="889"/>
      <c r="BA7" s="889"/>
      <c r="BB7" s="889"/>
      <c r="BC7" s="889"/>
      <c r="BD7" s="889"/>
      <c r="BE7" s="889"/>
      <c r="BF7" s="889"/>
      <c r="BG7" s="889"/>
      <c r="BH7" s="889"/>
      <c r="BI7" s="889"/>
      <c r="BJ7" s="889"/>
      <c r="BK7" s="889"/>
      <c r="BL7" s="889"/>
      <c r="BM7" s="889"/>
      <c r="BN7" s="889"/>
      <c r="BO7" s="889"/>
      <c r="BP7" s="889"/>
      <c r="BQ7" s="889"/>
      <c r="BR7" s="889"/>
      <c r="BS7" s="889"/>
      <c r="BT7" s="889"/>
      <c r="BU7" s="889"/>
      <c r="BV7" s="889"/>
      <c r="BW7" s="889"/>
      <c r="BX7" s="889"/>
      <c r="BY7" s="889"/>
      <c r="BZ7" s="889"/>
      <c r="CA7" s="889"/>
      <c r="CB7" s="889"/>
      <c r="CC7" s="889"/>
      <c r="CD7" s="889"/>
      <c r="CE7" s="889"/>
      <c r="CF7" s="889"/>
      <c r="CG7" s="889"/>
      <c r="CH7" s="889"/>
      <c r="CI7" s="889"/>
      <c r="CJ7" s="889"/>
      <c r="CK7" s="889"/>
      <c r="CL7" s="889"/>
      <c r="CM7" s="889"/>
      <c r="CN7" s="889"/>
      <c r="CO7" s="889"/>
      <c r="CP7" s="889"/>
      <c r="CQ7" s="889"/>
      <c r="CR7" s="889"/>
      <c r="CS7" s="889"/>
      <c r="CT7" s="889"/>
      <c r="CU7" s="889"/>
      <c r="CV7" s="889"/>
      <c r="CW7" s="889"/>
      <c r="CX7" s="889"/>
      <c r="CY7" s="889"/>
      <c r="CZ7" s="889"/>
      <c r="DA7" s="889"/>
      <c r="DB7" s="889"/>
      <c r="DC7" s="889"/>
      <c r="DD7" s="889"/>
      <c r="DE7" s="889"/>
      <c r="DF7" s="889"/>
      <c r="DG7" s="889"/>
      <c r="DH7" s="889"/>
      <c r="DI7" s="889"/>
      <c r="DJ7" s="889"/>
      <c r="DK7" s="889"/>
      <c r="DL7" s="889"/>
      <c r="DM7" s="889"/>
      <c r="DN7" s="889"/>
      <c r="DO7" s="889"/>
      <c r="DP7" s="889"/>
      <c r="DQ7" s="889"/>
      <c r="DR7" s="889"/>
      <c r="DS7" s="889"/>
      <c r="DT7" s="889"/>
      <c r="DU7" s="889"/>
      <c r="DV7" s="889"/>
      <c r="DW7" s="889"/>
      <c r="DX7" s="889"/>
      <c r="DY7" s="889"/>
      <c r="DZ7" s="889"/>
      <c r="EA7" s="889"/>
      <c r="EB7" s="889"/>
      <c r="EC7" s="889"/>
      <c r="ED7" s="889"/>
      <c r="EE7" s="889"/>
      <c r="EF7" s="889"/>
      <c r="EG7" s="889"/>
      <c r="EH7" s="889"/>
      <c r="EI7" s="889"/>
      <c r="EJ7" s="889"/>
      <c r="EK7" s="889"/>
      <c r="EL7" s="889"/>
      <c r="EM7" s="889"/>
      <c r="EN7" s="889"/>
      <c r="EO7" s="889"/>
      <c r="EP7" s="889"/>
      <c r="EQ7" s="889"/>
      <c r="ER7" s="889"/>
      <c r="ES7" s="889"/>
      <c r="ET7" s="889"/>
      <c r="EU7" s="889"/>
      <c r="EV7" s="889"/>
      <c r="EW7" s="889"/>
      <c r="EX7" s="889"/>
      <c r="EY7" s="889"/>
      <c r="EZ7" s="889"/>
      <c r="FA7" s="889"/>
      <c r="FB7" s="889"/>
      <c r="FC7" s="889"/>
      <c r="FD7" s="889"/>
      <c r="FE7" s="889"/>
      <c r="FF7" s="889"/>
      <c r="FG7" s="889"/>
      <c r="FH7" s="889"/>
      <c r="FI7" s="889"/>
      <c r="FJ7" s="889"/>
      <c r="FK7" s="889"/>
      <c r="FL7" s="889"/>
      <c r="FM7" s="889"/>
      <c r="FN7" s="889"/>
      <c r="FO7" s="889"/>
      <c r="FP7" s="889"/>
      <c r="FQ7" s="889"/>
      <c r="FR7" s="889"/>
      <c r="FS7" s="889"/>
      <c r="FT7" s="889"/>
      <c r="FU7" s="889"/>
      <c r="FV7" s="889"/>
      <c r="FW7" s="889"/>
      <c r="FX7" s="889"/>
      <c r="FY7" s="889"/>
      <c r="FZ7" s="889"/>
      <c r="GA7" s="889"/>
      <c r="GB7" s="889"/>
      <c r="GC7" s="889"/>
      <c r="GD7" s="889"/>
      <c r="GE7" s="889"/>
      <c r="GF7" s="889"/>
      <c r="GG7" s="889"/>
      <c r="GH7" s="889"/>
      <c r="GI7" s="889"/>
      <c r="GJ7" s="889"/>
      <c r="GK7" s="889"/>
      <c r="GL7" s="889"/>
      <c r="GM7" s="889"/>
      <c r="GN7" s="889"/>
      <c r="GO7" s="889"/>
      <c r="GP7" s="889"/>
      <c r="GQ7" s="889"/>
      <c r="GR7" s="889"/>
      <c r="GS7" s="889"/>
      <c r="GT7" s="889"/>
      <c r="GU7" s="889"/>
      <c r="GV7" s="889"/>
      <c r="GW7" s="889"/>
      <c r="GX7" s="889"/>
      <c r="GY7" s="889"/>
      <c r="GZ7" s="889"/>
      <c r="HA7" s="889"/>
      <c r="HB7" s="889"/>
      <c r="HC7" s="889"/>
      <c r="HD7" s="889"/>
      <c r="HE7" s="889"/>
      <c r="HF7" s="889"/>
      <c r="HG7" s="889"/>
      <c r="HH7" s="889"/>
      <c r="HI7" s="889"/>
      <c r="HJ7" s="889"/>
      <c r="HK7" s="889"/>
      <c r="HL7" s="889"/>
      <c r="HM7" s="889"/>
      <c r="HN7" s="889"/>
      <c r="HO7" s="889"/>
      <c r="HP7" s="889"/>
      <c r="HQ7" s="889"/>
      <c r="HR7" s="889"/>
      <c r="HS7" s="889"/>
      <c r="HT7" s="889"/>
      <c r="HU7" s="889"/>
      <c r="HV7" s="889"/>
      <c r="HW7" s="889"/>
      <c r="HX7" s="889"/>
      <c r="HY7" s="889"/>
      <c r="HZ7" s="889"/>
      <c r="IA7" s="889"/>
      <c r="IB7" s="889"/>
      <c r="IC7" s="889"/>
      <c r="ID7" s="889"/>
      <c r="IE7" s="889"/>
      <c r="IF7" s="889"/>
      <c r="IG7" s="889"/>
      <c r="IH7" s="889"/>
      <c r="II7" s="889"/>
      <c r="IJ7" s="889"/>
      <c r="IK7" s="889"/>
      <c r="IL7" s="889"/>
      <c r="IM7" s="889"/>
      <c r="IN7" s="889"/>
      <c r="IO7" s="889"/>
      <c r="IP7" s="889"/>
      <c r="IQ7" s="889"/>
      <c r="IR7" s="889"/>
      <c r="IS7" s="889"/>
      <c r="IT7" s="889"/>
      <c r="IU7" s="889"/>
      <c r="IV7" s="889"/>
    </row>
    <row r="8" spans="1:256" ht="10.5" customHeight="1">
      <c r="A8" s="875" t="s">
        <v>796</v>
      </c>
      <c r="B8" s="898">
        <v>731.9</v>
      </c>
      <c r="C8" s="898">
        <v>731.9</v>
      </c>
      <c r="D8" s="899">
        <v>731.9</v>
      </c>
      <c r="E8" s="899">
        <v>728.7</v>
      </c>
      <c r="F8" s="899">
        <v>728.2</v>
      </c>
      <c r="G8" s="900">
        <v>481</v>
      </c>
      <c r="H8" s="900">
        <v>466.2</v>
      </c>
      <c r="I8" s="900">
        <v>774.1</v>
      </c>
      <c r="J8" s="900">
        <v>790.3</v>
      </c>
      <c r="K8" s="900">
        <v>800.6</v>
      </c>
      <c r="L8" s="901">
        <v>779.9</v>
      </c>
      <c r="M8" s="902">
        <v>767.2</v>
      </c>
      <c r="N8" s="900">
        <v>663.9</v>
      </c>
      <c r="O8" s="889"/>
      <c r="P8" s="889"/>
      <c r="Q8" s="889"/>
      <c r="R8" s="889"/>
      <c r="S8" s="889"/>
      <c r="T8" s="889"/>
      <c r="U8" s="889"/>
      <c r="V8" s="889"/>
      <c r="W8" s="889"/>
      <c r="X8" s="889"/>
      <c r="Y8" s="889"/>
      <c r="Z8" s="889"/>
      <c r="AA8" s="889"/>
      <c r="AB8" s="889"/>
      <c r="AC8" s="889"/>
      <c r="AD8" s="889"/>
      <c r="AE8" s="889"/>
      <c r="AF8" s="889"/>
      <c r="AG8" s="889"/>
      <c r="AH8" s="889"/>
      <c r="AI8" s="889"/>
      <c r="AJ8" s="889"/>
      <c r="AK8" s="889"/>
      <c r="AL8" s="889"/>
      <c r="AM8" s="889"/>
      <c r="AN8" s="889"/>
      <c r="AO8" s="889"/>
      <c r="AP8" s="889"/>
      <c r="AQ8" s="889"/>
      <c r="AR8" s="889"/>
      <c r="AS8" s="889"/>
      <c r="AT8" s="889"/>
      <c r="AU8" s="889"/>
      <c r="AV8" s="889"/>
      <c r="AW8" s="889"/>
      <c r="AX8" s="889"/>
      <c r="AY8" s="889"/>
      <c r="AZ8" s="889"/>
      <c r="BA8" s="889"/>
      <c r="BB8" s="889"/>
      <c r="BC8" s="889"/>
      <c r="BD8" s="889"/>
      <c r="BE8" s="889"/>
      <c r="BF8" s="889"/>
      <c r="BG8" s="889"/>
      <c r="BH8" s="889"/>
      <c r="BI8" s="889"/>
      <c r="BJ8" s="889"/>
      <c r="BK8" s="889"/>
      <c r="BL8" s="889"/>
      <c r="BM8" s="889"/>
      <c r="BN8" s="889"/>
      <c r="BO8" s="889"/>
      <c r="BP8" s="889"/>
      <c r="BQ8" s="889"/>
      <c r="BR8" s="889"/>
      <c r="BS8" s="889"/>
      <c r="BT8" s="889"/>
      <c r="BU8" s="889"/>
      <c r="BV8" s="889"/>
      <c r="BW8" s="889"/>
      <c r="BX8" s="889"/>
      <c r="BY8" s="889"/>
      <c r="BZ8" s="889"/>
      <c r="CA8" s="889"/>
      <c r="CB8" s="889"/>
      <c r="CC8" s="889"/>
      <c r="CD8" s="889"/>
      <c r="CE8" s="889"/>
      <c r="CF8" s="889"/>
      <c r="CG8" s="889"/>
      <c r="CH8" s="889"/>
      <c r="CI8" s="889"/>
      <c r="CJ8" s="889"/>
      <c r="CK8" s="889"/>
      <c r="CL8" s="889"/>
      <c r="CM8" s="889"/>
      <c r="CN8" s="889"/>
      <c r="CO8" s="889"/>
      <c r="CP8" s="889"/>
      <c r="CQ8" s="889"/>
      <c r="CR8" s="889"/>
      <c r="CS8" s="889"/>
      <c r="CT8" s="889"/>
      <c r="CU8" s="889"/>
      <c r="CV8" s="889"/>
      <c r="CW8" s="889"/>
      <c r="CX8" s="889"/>
      <c r="CY8" s="889"/>
      <c r="CZ8" s="889"/>
      <c r="DA8" s="889"/>
      <c r="DB8" s="889"/>
      <c r="DC8" s="889"/>
      <c r="DD8" s="889"/>
      <c r="DE8" s="889"/>
      <c r="DF8" s="889"/>
      <c r="DG8" s="889"/>
      <c r="DH8" s="889"/>
      <c r="DI8" s="889"/>
      <c r="DJ8" s="889"/>
      <c r="DK8" s="889"/>
      <c r="DL8" s="889"/>
      <c r="DM8" s="889"/>
      <c r="DN8" s="889"/>
      <c r="DO8" s="889"/>
      <c r="DP8" s="889"/>
      <c r="DQ8" s="889"/>
      <c r="DR8" s="889"/>
      <c r="DS8" s="889"/>
      <c r="DT8" s="889"/>
      <c r="DU8" s="889"/>
      <c r="DV8" s="889"/>
      <c r="DW8" s="889"/>
      <c r="DX8" s="889"/>
      <c r="DY8" s="889"/>
      <c r="DZ8" s="889"/>
      <c r="EA8" s="889"/>
      <c r="EB8" s="889"/>
      <c r="EC8" s="889"/>
      <c r="ED8" s="889"/>
      <c r="EE8" s="889"/>
      <c r="EF8" s="889"/>
      <c r="EG8" s="889"/>
      <c r="EH8" s="889"/>
      <c r="EI8" s="889"/>
      <c r="EJ8" s="889"/>
      <c r="EK8" s="889"/>
      <c r="EL8" s="889"/>
      <c r="EM8" s="889"/>
      <c r="EN8" s="889"/>
      <c r="EO8" s="889"/>
      <c r="EP8" s="889"/>
      <c r="EQ8" s="889"/>
      <c r="ER8" s="889"/>
      <c r="ES8" s="889"/>
      <c r="ET8" s="889"/>
      <c r="EU8" s="889"/>
      <c r="EV8" s="889"/>
      <c r="EW8" s="889"/>
      <c r="EX8" s="889"/>
      <c r="EY8" s="889"/>
      <c r="EZ8" s="889"/>
      <c r="FA8" s="889"/>
      <c r="FB8" s="889"/>
      <c r="FC8" s="889"/>
      <c r="FD8" s="889"/>
      <c r="FE8" s="889"/>
      <c r="FF8" s="889"/>
      <c r="FG8" s="889"/>
      <c r="FH8" s="889"/>
      <c r="FI8" s="889"/>
      <c r="FJ8" s="889"/>
      <c r="FK8" s="889"/>
      <c r="FL8" s="889"/>
      <c r="FM8" s="889"/>
      <c r="FN8" s="889"/>
      <c r="FO8" s="889"/>
      <c r="FP8" s="889"/>
      <c r="FQ8" s="889"/>
      <c r="FR8" s="889"/>
      <c r="FS8" s="889"/>
      <c r="FT8" s="889"/>
      <c r="FU8" s="889"/>
      <c r="FV8" s="889"/>
      <c r="FW8" s="889"/>
      <c r="FX8" s="889"/>
      <c r="FY8" s="889"/>
      <c r="FZ8" s="889"/>
      <c r="GA8" s="889"/>
      <c r="GB8" s="889"/>
      <c r="GC8" s="889"/>
      <c r="GD8" s="889"/>
      <c r="GE8" s="889"/>
      <c r="GF8" s="889"/>
      <c r="GG8" s="889"/>
      <c r="GH8" s="889"/>
      <c r="GI8" s="889"/>
      <c r="GJ8" s="889"/>
      <c r="GK8" s="889"/>
      <c r="GL8" s="889"/>
      <c r="GM8" s="889"/>
      <c r="GN8" s="889"/>
      <c r="GO8" s="889"/>
      <c r="GP8" s="889"/>
      <c r="GQ8" s="889"/>
      <c r="GR8" s="889"/>
      <c r="GS8" s="889"/>
      <c r="GT8" s="889"/>
      <c r="GU8" s="889"/>
      <c r="GV8" s="889"/>
      <c r="GW8" s="889"/>
      <c r="GX8" s="889"/>
      <c r="GY8" s="889"/>
      <c r="GZ8" s="889"/>
      <c r="HA8" s="889"/>
      <c r="HB8" s="889"/>
      <c r="HC8" s="889"/>
      <c r="HD8" s="889"/>
      <c r="HE8" s="889"/>
      <c r="HF8" s="889"/>
      <c r="HG8" s="889"/>
      <c r="HH8" s="889"/>
      <c r="HI8" s="889"/>
      <c r="HJ8" s="889"/>
      <c r="HK8" s="889"/>
      <c r="HL8" s="889"/>
      <c r="HM8" s="889"/>
      <c r="HN8" s="889"/>
      <c r="HO8" s="889"/>
      <c r="HP8" s="889"/>
      <c r="HQ8" s="889"/>
      <c r="HR8" s="889"/>
      <c r="HS8" s="889"/>
      <c r="HT8" s="889"/>
      <c r="HU8" s="889"/>
      <c r="HV8" s="889"/>
      <c r="HW8" s="889"/>
      <c r="HX8" s="889"/>
      <c r="HY8" s="889"/>
      <c r="HZ8" s="889"/>
      <c r="IA8" s="889"/>
      <c r="IB8" s="889"/>
      <c r="IC8" s="889"/>
      <c r="ID8" s="889"/>
      <c r="IE8" s="889"/>
      <c r="IF8" s="889"/>
      <c r="IG8" s="889"/>
      <c r="IH8" s="889"/>
      <c r="II8" s="889"/>
      <c r="IJ8" s="889"/>
      <c r="IK8" s="889"/>
      <c r="IL8" s="889"/>
      <c r="IM8" s="889"/>
      <c r="IN8" s="889"/>
      <c r="IO8" s="889"/>
      <c r="IP8" s="889"/>
      <c r="IQ8" s="889"/>
      <c r="IR8" s="889"/>
      <c r="IS8" s="889"/>
      <c r="IT8" s="889"/>
      <c r="IU8" s="889"/>
      <c r="IV8" s="889"/>
    </row>
    <row r="9" spans="1:256" ht="10.5" customHeight="1">
      <c r="A9" s="875" t="s">
        <v>797</v>
      </c>
      <c r="B9" s="898">
        <v>161.80000000000001</v>
      </c>
      <c r="C9" s="898">
        <v>161.80000000000001</v>
      </c>
      <c r="D9" s="899">
        <v>161.80000000000001</v>
      </c>
      <c r="E9" s="899">
        <v>164.9</v>
      </c>
      <c r="F9" s="899">
        <v>165.6</v>
      </c>
      <c r="G9" s="900">
        <v>124.3</v>
      </c>
      <c r="H9" s="900">
        <v>122.6</v>
      </c>
      <c r="I9" s="900">
        <v>135.69999999999999</v>
      </c>
      <c r="J9" s="900">
        <v>107.1</v>
      </c>
      <c r="K9" s="900">
        <v>161.69999999999999</v>
      </c>
      <c r="L9" s="901">
        <v>161.19999999999999</v>
      </c>
      <c r="M9" s="902">
        <v>169.3</v>
      </c>
      <c r="N9" s="900">
        <v>168.4</v>
      </c>
      <c r="O9" s="889"/>
      <c r="P9" s="889"/>
      <c r="Q9" s="889"/>
      <c r="R9" s="889"/>
      <c r="S9" s="889"/>
      <c r="T9" s="889"/>
      <c r="U9" s="889"/>
      <c r="V9" s="889"/>
      <c r="W9" s="889"/>
      <c r="X9" s="889"/>
      <c r="Y9" s="889"/>
      <c r="Z9" s="889"/>
      <c r="AA9" s="889"/>
      <c r="AB9" s="889"/>
      <c r="AC9" s="889"/>
      <c r="AD9" s="889"/>
      <c r="AE9" s="889"/>
      <c r="AF9" s="889"/>
      <c r="AG9" s="889"/>
      <c r="AH9" s="889"/>
      <c r="AI9" s="889"/>
      <c r="AJ9" s="889"/>
      <c r="AK9" s="889"/>
      <c r="AL9" s="889"/>
      <c r="AM9" s="889"/>
      <c r="AN9" s="889"/>
      <c r="AO9" s="889"/>
      <c r="AP9" s="889"/>
      <c r="AQ9" s="889"/>
      <c r="AR9" s="889"/>
      <c r="AS9" s="889"/>
      <c r="AT9" s="889"/>
      <c r="AU9" s="889"/>
      <c r="AV9" s="889"/>
      <c r="AW9" s="889"/>
      <c r="AX9" s="889"/>
      <c r="AY9" s="889"/>
      <c r="AZ9" s="889"/>
      <c r="BA9" s="889"/>
      <c r="BB9" s="889"/>
      <c r="BC9" s="889"/>
      <c r="BD9" s="889"/>
      <c r="BE9" s="889"/>
      <c r="BF9" s="889"/>
      <c r="BG9" s="889"/>
      <c r="BH9" s="889"/>
      <c r="BI9" s="889"/>
      <c r="BJ9" s="889"/>
      <c r="BK9" s="889"/>
      <c r="BL9" s="889"/>
      <c r="BM9" s="889"/>
      <c r="BN9" s="889"/>
      <c r="BO9" s="889"/>
      <c r="BP9" s="889"/>
      <c r="BQ9" s="889"/>
      <c r="BR9" s="889"/>
      <c r="BS9" s="889"/>
      <c r="BT9" s="889"/>
      <c r="BU9" s="889"/>
      <c r="BV9" s="889"/>
      <c r="BW9" s="889"/>
      <c r="BX9" s="889"/>
      <c r="BY9" s="889"/>
      <c r="BZ9" s="889"/>
      <c r="CA9" s="889"/>
      <c r="CB9" s="889"/>
      <c r="CC9" s="889"/>
      <c r="CD9" s="889"/>
      <c r="CE9" s="889"/>
      <c r="CF9" s="889"/>
      <c r="CG9" s="889"/>
      <c r="CH9" s="889"/>
      <c r="CI9" s="889"/>
      <c r="CJ9" s="889"/>
      <c r="CK9" s="889"/>
      <c r="CL9" s="889"/>
      <c r="CM9" s="889"/>
      <c r="CN9" s="889"/>
      <c r="CO9" s="889"/>
      <c r="CP9" s="889"/>
      <c r="CQ9" s="889"/>
      <c r="CR9" s="889"/>
      <c r="CS9" s="889"/>
      <c r="CT9" s="889"/>
      <c r="CU9" s="889"/>
      <c r="CV9" s="889"/>
      <c r="CW9" s="889"/>
      <c r="CX9" s="889"/>
      <c r="CY9" s="889"/>
      <c r="CZ9" s="889"/>
      <c r="DA9" s="889"/>
      <c r="DB9" s="889"/>
      <c r="DC9" s="889"/>
      <c r="DD9" s="889"/>
      <c r="DE9" s="889"/>
      <c r="DF9" s="889"/>
      <c r="DG9" s="889"/>
      <c r="DH9" s="889"/>
      <c r="DI9" s="889"/>
      <c r="DJ9" s="889"/>
      <c r="DK9" s="889"/>
      <c r="DL9" s="889"/>
      <c r="DM9" s="889"/>
      <c r="DN9" s="889"/>
      <c r="DO9" s="889"/>
      <c r="DP9" s="889"/>
      <c r="DQ9" s="889"/>
      <c r="DR9" s="889"/>
      <c r="DS9" s="889"/>
      <c r="DT9" s="889"/>
      <c r="DU9" s="889"/>
      <c r="DV9" s="889"/>
      <c r="DW9" s="889"/>
      <c r="DX9" s="889"/>
      <c r="DY9" s="889"/>
      <c r="DZ9" s="889"/>
      <c r="EA9" s="889"/>
      <c r="EB9" s="889"/>
      <c r="EC9" s="889"/>
      <c r="ED9" s="889"/>
      <c r="EE9" s="889"/>
      <c r="EF9" s="889"/>
      <c r="EG9" s="889"/>
      <c r="EH9" s="889"/>
      <c r="EI9" s="889"/>
      <c r="EJ9" s="889"/>
      <c r="EK9" s="889"/>
      <c r="EL9" s="889"/>
      <c r="EM9" s="889"/>
      <c r="EN9" s="889"/>
      <c r="EO9" s="889"/>
      <c r="EP9" s="889"/>
      <c r="EQ9" s="889"/>
      <c r="ER9" s="889"/>
      <c r="ES9" s="889"/>
      <c r="ET9" s="889"/>
      <c r="EU9" s="889"/>
      <c r="EV9" s="889"/>
      <c r="EW9" s="889"/>
      <c r="EX9" s="889"/>
      <c r="EY9" s="889"/>
      <c r="EZ9" s="889"/>
      <c r="FA9" s="889"/>
      <c r="FB9" s="889"/>
      <c r="FC9" s="889"/>
      <c r="FD9" s="889"/>
      <c r="FE9" s="889"/>
      <c r="FF9" s="889"/>
      <c r="FG9" s="889"/>
      <c r="FH9" s="889"/>
      <c r="FI9" s="889"/>
      <c r="FJ9" s="889"/>
      <c r="FK9" s="889"/>
      <c r="FL9" s="889"/>
      <c r="FM9" s="889"/>
      <c r="FN9" s="889"/>
      <c r="FO9" s="889"/>
      <c r="FP9" s="889"/>
      <c r="FQ9" s="889"/>
      <c r="FR9" s="889"/>
      <c r="FS9" s="889"/>
      <c r="FT9" s="889"/>
      <c r="FU9" s="889"/>
      <c r="FV9" s="889"/>
      <c r="FW9" s="889"/>
      <c r="FX9" s="889"/>
      <c r="FY9" s="889"/>
      <c r="FZ9" s="889"/>
      <c r="GA9" s="889"/>
      <c r="GB9" s="889"/>
      <c r="GC9" s="889"/>
      <c r="GD9" s="889"/>
      <c r="GE9" s="889"/>
      <c r="GF9" s="889"/>
      <c r="GG9" s="889"/>
      <c r="GH9" s="889"/>
      <c r="GI9" s="889"/>
      <c r="GJ9" s="889"/>
      <c r="GK9" s="889"/>
      <c r="GL9" s="889"/>
      <c r="GM9" s="889"/>
      <c r="GN9" s="889"/>
      <c r="GO9" s="889"/>
      <c r="GP9" s="889"/>
      <c r="GQ9" s="889"/>
      <c r="GR9" s="889"/>
      <c r="GS9" s="889"/>
      <c r="GT9" s="889"/>
      <c r="GU9" s="889"/>
      <c r="GV9" s="889"/>
      <c r="GW9" s="889"/>
      <c r="GX9" s="889"/>
      <c r="GY9" s="889"/>
      <c r="GZ9" s="889"/>
      <c r="HA9" s="889"/>
      <c r="HB9" s="889"/>
      <c r="HC9" s="889"/>
      <c r="HD9" s="889"/>
      <c r="HE9" s="889"/>
      <c r="HF9" s="889"/>
      <c r="HG9" s="889"/>
      <c r="HH9" s="889"/>
      <c r="HI9" s="889"/>
      <c r="HJ9" s="889"/>
      <c r="HK9" s="889"/>
      <c r="HL9" s="889"/>
      <c r="HM9" s="889"/>
      <c r="HN9" s="889"/>
      <c r="HO9" s="889"/>
      <c r="HP9" s="889"/>
      <c r="HQ9" s="889"/>
      <c r="HR9" s="889"/>
      <c r="HS9" s="889"/>
      <c r="HT9" s="889"/>
      <c r="HU9" s="889"/>
      <c r="HV9" s="889"/>
      <c r="HW9" s="889"/>
      <c r="HX9" s="889"/>
      <c r="HY9" s="889"/>
      <c r="HZ9" s="889"/>
      <c r="IA9" s="889"/>
      <c r="IB9" s="889"/>
      <c r="IC9" s="889"/>
      <c r="ID9" s="889"/>
      <c r="IE9" s="889"/>
      <c r="IF9" s="889"/>
      <c r="IG9" s="889"/>
      <c r="IH9" s="889"/>
      <c r="II9" s="889"/>
      <c r="IJ9" s="889"/>
      <c r="IK9" s="889"/>
      <c r="IL9" s="889"/>
      <c r="IM9" s="889"/>
      <c r="IN9" s="889"/>
      <c r="IO9" s="889"/>
      <c r="IP9" s="889"/>
      <c r="IQ9" s="889"/>
      <c r="IR9" s="889"/>
      <c r="IS9" s="889"/>
      <c r="IT9" s="889"/>
      <c r="IU9" s="889"/>
      <c r="IV9" s="889"/>
    </row>
    <row r="10" spans="1:256" ht="10.5" customHeight="1">
      <c r="A10" s="875" t="s">
        <v>798</v>
      </c>
      <c r="B10" s="898">
        <v>49.9</v>
      </c>
      <c r="C10" s="898">
        <v>51.9</v>
      </c>
      <c r="D10" s="899">
        <v>52.1</v>
      </c>
      <c r="E10" s="899">
        <v>52.6</v>
      </c>
      <c r="F10" s="899">
        <v>74.7</v>
      </c>
      <c r="G10" s="900">
        <v>63</v>
      </c>
      <c r="H10" s="900">
        <v>57.7</v>
      </c>
      <c r="I10" s="900">
        <v>57.4</v>
      </c>
      <c r="J10" s="900">
        <v>60.8</v>
      </c>
      <c r="K10" s="900">
        <v>44.3</v>
      </c>
      <c r="L10" s="901">
        <v>39.299999999999997</v>
      </c>
      <c r="M10" s="902">
        <v>36.9</v>
      </c>
      <c r="N10" s="900">
        <v>57.9</v>
      </c>
      <c r="O10" s="889"/>
      <c r="P10" s="889"/>
      <c r="Q10" s="889"/>
      <c r="R10" s="889"/>
      <c r="S10" s="889"/>
      <c r="T10" s="889"/>
      <c r="U10" s="889"/>
      <c r="V10" s="889"/>
      <c r="W10" s="889"/>
      <c r="X10" s="889"/>
      <c r="Y10" s="889"/>
      <c r="Z10" s="889"/>
      <c r="AA10" s="889"/>
      <c r="AB10" s="889"/>
      <c r="AC10" s="889"/>
      <c r="AD10" s="889"/>
      <c r="AE10" s="889"/>
      <c r="AF10" s="889"/>
      <c r="AG10" s="889"/>
      <c r="AH10" s="889"/>
      <c r="AI10" s="889"/>
      <c r="AJ10" s="889"/>
      <c r="AK10" s="889"/>
      <c r="AL10" s="889"/>
      <c r="AM10" s="889"/>
      <c r="AN10" s="889"/>
      <c r="AO10" s="889"/>
      <c r="AP10" s="889"/>
      <c r="AQ10" s="889"/>
      <c r="AR10" s="889"/>
      <c r="AS10" s="889"/>
      <c r="AT10" s="889"/>
      <c r="AU10" s="889"/>
      <c r="AV10" s="889"/>
      <c r="AW10" s="889"/>
      <c r="AX10" s="889"/>
      <c r="AY10" s="889"/>
      <c r="AZ10" s="889"/>
      <c r="BA10" s="889"/>
      <c r="BB10" s="889"/>
      <c r="BC10" s="889"/>
      <c r="BD10" s="889"/>
      <c r="BE10" s="889"/>
      <c r="BF10" s="889"/>
      <c r="BG10" s="889"/>
      <c r="BH10" s="889"/>
      <c r="BI10" s="889"/>
      <c r="BJ10" s="889"/>
      <c r="BK10" s="889"/>
      <c r="BL10" s="889"/>
      <c r="BM10" s="889"/>
      <c r="BN10" s="889"/>
      <c r="BO10" s="889"/>
      <c r="BP10" s="889"/>
      <c r="BQ10" s="889"/>
      <c r="BR10" s="889"/>
      <c r="BS10" s="889"/>
      <c r="BT10" s="889"/>
      <c r="BU10" s="889"/>
      <c r="BV10" s="889"/>
      <c r="BW10" s="889"/>
      <c r="BX10" s="889"/>
      <c r="BY10" s="889"/>
      <c r="BZ10" s="889"/>
      <c r="CA10" s="889"/>
      <c r="CB10" s="889"/>
      <c r="CC10" s="889"/>
      <c r="CD10" s="889"/>
      <c r="CE10" s="889"/>
      <c r="CF10" s="889"/>
      <c r="CG10" s="889"/>
      <c r="CH10" s="889"/>
      <c r="CI10" s="889"/>
      <c r="CJ10" s="889"/>
      <c r="CK10" s="889"/>
      <c r="CL10" s="889"/>
      <c r="CM10" s="889"/>
      <c r="CN10" s="889"/>
      <c r="CO10" s="889"/>
      <c r="CP10" s="889"/>
      <c r="CQ10" s="889"/>
      <c r="CR10" s="889"/>
      <c r="CS10" s="889"/>
      <c r="CT10" s="889"/>
      <c r="CU10" s="889"/>
      <c r="CV10" s="889"/>
      <c r="CW10" s="889"/>
      <c r="CX10" s="889"/>
      <c r="CY10" s="889"/>
      <c r="CZ10" s="889"/>
      <c r="DA10" s="889"/>
      <c r="DB10" s="889"/>
      <c r="DC10" s="889"/>
      <c r="DD10" s="889"/>
      <c r="DE10" s="889"/>
      <c r="DF10" s="889"/>
      <c r="DG10" s="889"/>
      <c r="DH10" s="889"/>
      <c r="DI10" s="889"/>
      <c r="DJ10" s="889"/>
      <c r="DK10" s="889"/>
      <c r="DL10" s="889"/>
      <c r="DM10" s="889"/>
      <c r="DN10" s="889"/>
      <c r="DO10" s="889"/>
      <c r="DP10" s="889"/>
      <c r="DQ10" s="889"/>
      <c r="DR10" s="889"/>
      <c r="DS10" s="889"/>
      <c r="DT10" s="889"/>
      <c r="DU10" s="889"/>
      <c r="DV10" s="889"/>
      <c r="DW10" s="889"/>
      <c r="DX10" s="889"/>
      <c r="DY10" s="889"/>
      <c r="DZ10" s="889"/>
      <c r="EA10" s="889"/>
      <c r="EB10" s="889"/>
      <c r="EC10" s="889"/>
      <c r="ED10" s="889"/>
      <c r="EE10" s="889"/>
      <c r="EF10" s="889"/>
      <c r="EG10" s="889"/>
      <c r="EH10" s="889"/>
      <c r="EI10" s="889"/>
      <c r="EJ10" s="889"/>
      <c r="EK10" s="889"/>
      <c r="EL10" s="889"/>
      <c r="EM10" s="889"/>
      <c r="EN10" s="889"/>
      <c r="EO10" s="889"/>
      <c r="EP10" s="889"/>
      <c r="EQ10" s="889"/>
      <c r="ER10" s="889"/>
      <c r="ES10" s="889"/>
      <c r="ET10" s="889"/>
      <c r="EU10" s="889"/>
      <c r="EV10" s="889"/>
      <c r="EW10" s="889"/>
      <c r="EX10" s="889"/>
      <c r="EY10" s="889"/>
      <c r="EZ10" s="889"/>
      <c r="FA10" s="889"/>
      <c r="FB10" s="889"/>
      <c r="FC10" s="889"/>
      <c r="FD10" s="889"/>
      <c r="FE10" s="889"/>
      <c r="FF10" s="889"/>
      <c r="FG10" s="889"/>
      <c r="FH10" s="889"/>
      <c r="FI10" s="889"/>
      <c r="FJ10" s="889"/>
      <c r="FK10" s="889"/>
      <c r="FL10" s="889"/>
      <c r="FM10" s="889"/>
      <c r="FN10" s="889"/>
      <c r="FO10" s="889"/>
      <c r="FP10" s="889"/>
      <c r="FQ10" s="889"/>
      <c r="FR10" s="889"/>
      <c r="FS10" s="889"/>
      <c r="FT10" s="889"/>
      <c r="FU10" s="889"/>
      <c r="FV10" s="889"/>
      <c r="FW10" s="889"/>
      <c r="FX10" s="889"/>
      <c r="FY10" s="889"/>
      <c r="FZ10" s="889"/>
      <c r="GA10" s="889"/>
      <c r="GB10" s="889"/>
      <c r="GC10" s="889"/>
      <c r="GD10" s="889"/>
      <c r="GE10" s="889"/>
      <c r="GF10" s="889"/>
      <c r="GG10" s="889"/>
      <c r="GH10" s="889"/>
      <c r="GI10" s="889"/>
      <c r="GJ10" s="889"/>
      <c r="GK10" s="889"/>
      <c r="GL10" s="889"/>
      <c r="GM10" s="889"/>
      <c r="GN10" s="889"/>
      <c r="GO10" s="889"/>
      <c r="GP10" s="889"/>
      <c r="GQ10" s="889"/>
      <c r="GR10" s="889"/>
      <c r="GS10" s="889"/>
      <c r="GT10" s="889"/>
      <c r="GU10" s="889"/>
      <c r="GV10" s="889"/>
      <c r="GW10" s="889"/>
      <c r="GX10" s="889"/>
      <c r="GY10" s="889"/>
      <c r="GZ10" s="889"/>
      <c r="HA10" s="889"/>
      <c r="HB10" s="889"/>
      <c r="HC10" s="889"/>
      <c r="HD10" s="889"/>
      <c r="HE10" s="889"/>
      <c r="HF10" s="889"/>
      <c r="HG10" s="889"/>
      <c r="HH10" s="889"/>
      <c r="HI10" s="889"/>
      <c r="HJ10" s="889"/>
      <c r="HK10" s="889"/>
      <c r="HL10" s="889"/>
      <c r="HM10" s="889"/>
      <c r="HN10" s="889"/>
      <c r="HO10" s="889"/>
      <c r="HP10" s="889"/>
      <c r="HQ10" s="889"/>
      <c r="HR10" s="889"/>
      <c r="HS10" s="889"/>
      <c r="HT10" s="889"/>
      <c r="HU10" s="889"/>
      <c r="HV10" s="889"/>
      <c r="HW10" s="889"/>
      <c r="HX10" s="889"/>
      <c r="HY10" s="889"/>
      <c r="HZ10" s="889"/>
      <c r="IA10" s="889"/>
      <c r="IB10" s="889"/>
      <c r="IC10" s="889"/>
      <c r="ID10" s="889"/>
      <c r="IE10" s="889"/>
      <c r="IF10" s="889"/>
      <c r="IG10" s="889"/>
      <c r="IH10" s="889"/>
      <c r="II10" s="889"/>
      <c r="IJ10" s="889"/>
      <c r="IK10" s="889"/>
      <c r="IL10" s="889"/>
      <c r="IM10" s="889"/>
      <c r="IN10" s="889"/>
      <c r="IO10" s="889"/>
      <c r="IP10" s="889"/>
      <c r="IQ10" s="889"/>
      <c r="IR10" s="889"/>
      <c r="IS10" s="889"/>
      <c r="IT10" s="889"/>
      <c r="IU10" s="889"/>
      <c r="IV10" s="889"/>
    </row>
    <row r="11" spans="1:256" ht="10.5" customHeight="1">
      <c r="A11" s="875" t="s">
        <v>799</v>
      </c>
      <c r="B11" s="898">
        <v>58.7</v>
      </c>
      <c r="C11" s="898">
        <v>57</v>
      </c>
      <c r="D11" s="899">
        <v>56.9</v>
      </c>
      <c r="E11" s="899">
        <v>56.6</v>
      </c>
      <c r="F11" s="899">
        <v>34.1</v>
      </c>
      <c r="G11" s="900">
        <v>19.7</v>
      </c>
      <c r="H11" s="900">
        <v>18.100000000000001</v>
      </c>
      <c r="I11" s="900">
        <v>14.4</v>
      </c>
      <c r="J11" s="900">
        <v>31.5</v>
      </c>
      <c r="K11" s="900">
        <v>18.7</v>
      </c>
      <c r="L11" s="901">
        <v>19.600000000000001</v>
      </c>
      <c r="M11" s="902">
        <v>28.2</v>
      </c>
      <c r="N11" s="900">
        <v>44.3</v>
      </c>
      <c r="O11" s="889"/>
      <c r="P11" s="889"/>
      <c r="Q11" s="889"/>
      <c r="R11" s="889"/>
      <c r="S11" s="889"/>
      <c r="T11" s="889"/>
      <c r="U11" s="889"/>
      <c r="V11" s="889"/>
      <c r="W11" s="889"/>
      <c r="X11" s="889"/>
      <c r="Y11" s="889"/>
      <c r="Z11" s="889"/>
      <c r="AA11" s="889"/>
      <c r="AB11" s="889"/>
      <c r="AC11" s="889"/>
      <c r="AD11" s="889"/>
      <c r="AE11" s="889"/>
      <c r="AF11" s="889"/>
      <c r="AG11" s="889"/>
      <c r="AH11" s="889"/>
      <c r="AI11" s="889"/>
      <c r="AJ11" s="889"/>
      <c r="AK11" s="889"/>
      <c r="AL11" s="889"/>
      <c r="AM11" s="889"/>
      <c r="AN11" s="889"/>
      <c r="AO11" s="889"/>
      <c r="AP11" s="889"/>
      <c r="AQ11" s="889"/>
      <c r="AR11" s="889"/>
      <c r="AS11" s="889"/>
      <c r="AT11" s="889"/>
      <c r="AU11" s="889"/>
      <c r="AV11" s="889"/>
      <c r="AW11" s="889"/>
      <c r="AX11" s="889"/>
      <c r="AY11" s="889"/>
      <c r="AZ11" s="889"/>
      <c r="BA11" s="889"/>
      <c r="BB11" s="889"/>
      <c r="BC11" s="889"/>
      <c r="BD11" s="889"/>
      <c r="BE11" s="889"/>
      <c r="BF11" s="889"/>
      <c r="BG11" s="889"/>
      <c r="BH11" s="889"/>
      <c r="BI11" s="889"/>
      <c r="BJ11" s="889"/>
      <c r="BK11" s="889"/>
      <c r="BL11" s="889"/>
      <c r="BM11" s="889"/>
      <c r="BN11" s="889"/>
      <c r="BO11" s="889"/>
      <c r="BP11" s="889"/>
      <c r="BQ11" s="889"/>
      <c r="BR11" s="889"/>
      <c r="BS11" s="889"/>
      <c r="BT11" s="889"/>
      <c r="BU11" s="889"/>
      <c r="BV11" s="889"/>
      <c r="BW11" s="889"/>
      <c r="BX11" s="889"/>
      <c r="BY11" s="889"/>
      <c r="BZ11" s="889"/>
      <c r="CA11" s="889"/>
      <c r="CB11" s="889"/>
      <c r="CC11" s="889"/>
      <c r="CD11" s="889"/>
      <c r="CE11" s="889"/>
      <c r="CF11" s="889"/>
      <c r="CG11" s="889"/>
      <c r="CH11" s="889"/>
      <c r="CI11" s="889"/>
      <c r="CJ11" s="889"/>
      <c r="CK11" s="889"/>
      <c r="CL11" s="889"/>
      <c r="CM11" s="889"/>
      <c r="CN11" s="889"/>
      <c r="CO11" s="889"/>
      <c r="CP11" s="889"/>
      <c r="CQ11" s="889"/>
      <c r="CR11" s="889"/>
      <c r="CS11" s="889"/>
      <c r="CT11" s="889"/>
      <c r="CU11" s="889"/>
      <c r="CV11" s="889"/>
      <c r="CW11" s="889"/>
      <c r="CX11" s="889"/>
      <c r="CY11" s="889"/>
      <c r="CZ11" s="889"/>
      <c r="DA11" s="889"/>
      <c r="DB11" s="889"/>
      <c r="DC11" s="889"/>
      <c r="DD11" s="889"/>
      <c r="DE11" s="889"/>
      <c r="DF11" s="889"/>
      <c r="DG11" s="889"/>
      <c r="DH11" s="889"/>
      <c r="DI11" s="889"/>
      <c r="DJ11" s="889"/>
      <c r="DK11" s="889"/>
      <c r="DL11" s="889"/>
      <c r="DM11" s="889"/>
      <c r="DN11" s="889"/>
      <c r="DO11" s="889"/>
      <c r="DP11" s="889"/>
      <c r="DQ11" s="889"/>
      <c r="DR11" s="889"/>
      <c r="DS11" s="889"/>
      <c r="DT11" s="889"/>
      <c r="DU11" s="889"/>
      <c r="DV11" s="889"/>
      <c r="DW11" s="889"/>
      <c r="DX11" s="889"/>
      <c r="DY11" s="889"/>
      <c r="DZ11" s="889"/>
      <c r="EA11" s="889"/>
      <c r="EB11" s="889"/>
      <c r="EC11" s="889"/>
      <c r="ED11" s="889"/>
      <c r="EE11" s="889"/>
      <c r="EF11" s="889"/>
      <c r="EG11" s="889"/>
      <c r="EH11" s="889"/>
      <c r="EI11" s="889"/>
      <c r="EJ11" s="889"/>
      <c r="EK11" s="889"/>
      <c r="EL11" s="889"/>
      <c r="EM11" s="889"/>
      <c r="EN11" s="889"/>
      <c r="EO11" s="889"/>
      <c r="EP11" s="889"/>
      <c r="EQ11" s="889"/>
      <c r="ER11" s="889"/>
      <c r="ES11" s="889"/>
      <c r="ET11" s="889"/>
      <c r="EU11" s="889"/>
      <c r="EV11" s="889"/>
      <c r="EW11" s="889"/>
      <c r="EX11" s="889"/>
      <c r="EY11" s="889"/>
      <c r="EZ11" s="889"/>
      <c r="FA11" s="889"/>
      <c r="FB11" s="889"/>
      <c r="FC11" s="889"/>
      <c r="FD11" s="889"/>
      <c r="FE11" s="889"/>
      <c r="FF11" s="889"/>
      <c r="FG11" s="889"/>
      <c r="FH11" s="889"/>
      <c r="FI11" s="889"/>
      <c r="FJ11" s="889"/>
      <c r="FK11" s="889"/>
      <c r="FL11" s="889"/>
      <c r="FM11" s="889"/>
      <c r="FN11" s="889"/>
      <c r="FO11" s="889"/>
      <c r="FP11" s="889"/>
      <c r="FQ11" s="889"/>
      <c r="FR11" s="889"/>
      <c r="FS11" s="889"/>
      <c r="FT11" s="889"/>
      <c r="FU11" s="889"/>
      <c r="FV11" s="889"/>
      <c r="FW11" s="889"/>
      <c r="FX11" s="889"/>
      <c r="FY11" s="889"/>
      <c r="FZ11" s="889"/>
      <c r="GA11" s="889"/>
      <c r="GB11" s="889"/>
      <c r="GC11" s="889"/>
      <c r="GD11" s="889"/>
      <c r="GE11" s="889"/>
      <c r="GF11" s="889"/>
      <c r="GG11" s="889"/>
      <c r="GH11" s="889"/>
      <c r="GI11" s="889"/>
      <c r="GJ11" s="889"/>
      <c r="GK11" s="889"/>
      <c r="GL11" s="889"/>
      <c r="GM11" s="889"/>
      <c r="GN11" s="889"/>
      <c r="GO11" s="889"/>
      <c r="GP11" s="889"/>
      <c r="GQ11" s="889"/>
      <c r="GR11" s="889"/>
      <c r="GS11" s="889"/>
      <c r="GT11" s="889"/>
      <c r="GU11" s="889"/>
      <c r="GV11" s="889"/>
      <c r="GW11" s="889"/>
      <c r="GX11" s="889"/>
      <c r="GY11" s="889"/>
      <c r="GZ11" s="889"/>
      <c r="HA11" s="889"/>
      <c r="HB11" s="889"/>
      <c r="HC11" s="889"/>
      <c r="HD11" s="889"/>
      <c r="HE11" s="889"/>
      <c r="HF11" s="889"/>
      <c r="HG11" s="889"/>
      <c r="HH11" s="889"/>
      <c r="HI11" s="889"/>
      <c r="HJ11" s="889"/>
      <c r="HK11" s="889"/>
      <c r="HL11" s="889"/>
      <c r="HM11" s="889"/>
      <c r="HN11" s="889"/>
      <c r="HO11" s="889"/>
      <c r="HP11" s="889"/>
      <c r="HQ11" s="889"/>
      <c r="HR11" s="889"/>
      <c r="HS11" s="889"/>
      <c r="HT11" s="889"/>
      <c r="HU11" s="889"/>
      <c r="HV11" s="889"/>
      <c r="HW11" s="889"/>
      <c r="HX11" s="889"/>
      <c r="HY11" s="889"/>
      <c r="HZ11" s="889"/>
      <c r="IA11" s="889"/>
      <c r="IB11" s="889"/>
      <c r="IC11" s="889"/>
      <c r="ID11" s="889"/>
      <c r="IE11" s="889"/>
      <c r="IF11" s="889"/>
      <c r="IG11" s="889"/>
      <c r="IH11" s="889"/>
      <c r="II11" s="889"/>
      <c r="IJ11" s="889"/>
      <c r="IK11" s="889"/>
      <c r="IL11" s="889"/>
      <c r="IM11" s="889"/>
      <c r="IN11" s="889"/>
      <c r="IO11" s="889"/>
      <c r="IP11" s="889"/>
      <c r="IQ11" s="889"/>
      <c r="IR11" s="889"/>
      <c r="IS11" s="889"/>
      <c r="IT11" s="889"/>
      <c r="IU11" s="889"/>
      <c r="IV11" s="889"/>
    </row>
    <row r="12" spans="1:256" ht="10.5" customHeight="1">
      <c r="A12" s="875" t="s">
        <v>800</v>
      </c>
      <c r="B12" s="898">
        <v>63.2</v>
      </c>
      <c r="C12" s="898">
        <v>83.2</v>
      </c>
      <c r="D12" s="899">
        <v>88.2</v>
      </c>
      <c r="E12" s="899">
        <v>72.2</v>
      </c>
      <c r="F12" s="899">
        <v>58.2</v>
      </c>
      <c r="G12" s="900">
        <v>55.1</v>
      </c>
      <c r="H12" s="900">
        <v>56.5</v>
      </c>
      <c r="I12" s="900">
        <v>46.9</v>
      </c>
      <c r="J12" s="900">
        <v>63.6</v>
      </c>
      <c r="K12" s="903">
        <v>70.400000000000006</v>
      </c>
      <c r="L12" s="901">
        <v>54.5</v>
      </c>
      <c r="M12" s="901">
        <v>55.7</v>
      </c>
      <c r="N12" s="900">
        <v>54.1</v>
      </c>
      <c r="O12" s="889"/>
      <c r="P12" s="889"/>
      <c r="Q12" s="889"/>
      <c r="R12" s="889"/>
      <c r="S12" s="889"/>
      <c r="T12" s="889"/>
      <c r="U12" s="889"/>
      <c r="V12" s="889"/>
      <c r="W12" s="889"/>
      <c r="X12" s="889"/>
      <c r="Y12" s="889"/>
      <c r="Z12" s="889"/>
      <c r="AA12" s="889"/>
      <c r="AB12" s="889"/>
      <c r="AC12" s="889"/>
      <c r="AD12" s="889"/>
      <c r="AE12" s="889"/>
      <c r="AF12" s="889"/>
      <c r="AG12" s="889"/>
      <c r="AH12" s="889"/>
      <c r="AI12" s="889"/>
      <c r="AJ12" s="889"/>
      <c r="AK12" s="889"/>
      <c r="AL12" s="889"/>
      <c r="AM12" s="889"/>
      <c r="AN12" s="889"/>
      <c r="AO12" s="889"/>
      <c r="AP12" s="889"/>
      <c r="AQ12" s="889"/>
      <c r="AR12" s="889"/>
      <c r="AS12" s="889"/>
      <c r="AT12" s="889"/>
      <c r="AU12" s="889"/>
      <c r="AV12" s="889"/>
      <c r="AW12" s="889"/>
      <c r="AX12" s="889"/>
      <c r="AY12" s="889"/>
      <c r="AZ12" s="889"/>
      <c r="BA12" s="889"/>
      <c r="BB12" s="889"/>
      <c r="BC12" s="889"/>
      <c r="BD12" s="889"/>
      <c r="BE12" s="889"/>
      <c r="BF12" s="889"/>
      <c r="BG12" s="889"/>
      <c r="BH12" s="889"/>
      <c r="BI12" s="889"/>
      <c r="BJ12" s="889"/>
      <c r="BK12" s="889"/>
      <c r="BL12" s="889"/>
      <c r="BM12" s="889"/>
      <c r="BN12" s="889"/>
      <c r="BO12" s="889"/>
      <c r="BP12" s="889"/>
      <c r="BQ12" s="889"/>
      <c r="BR12" s="889"/>
      <c r="BS12" s="889"/>
      <c r="BT12" s="889"/>
      <c r="BU12" s="889"/>
      <c r="BV12" s="889"/>
      <c r="BW12" s="889"/>
      <c r="BX12" s="889"/>
      <c r="BY12" s="889"/>
      <c r="BZ12" s="889"/>
      <c r="CA12" s="889"/>
      <c r="CB12" s="889"/>
      <c r="CC12" s="889"/>
      <c r="CD12" s="889"/>
      <c r="CE12" s="889"/>
      <c r="CF12" s="889"/>
      <c r="CG12" s="889"/>
      <c r="CH12" s="889"/>
      <c r="CI12" s="889"/>
      <c r="CJ12" s="889"/>
      <c r="CK12" s="889"/>
      <c r="CL12" s="889"/>
      <c r="CM12" s="889"/>
      <c r="CN12" s="889"/>
      <c r="CO12" s="889"/>
      <c r="CP12" s="889"/>
      <c r="CQ12" s="889"/>
      <c r="CR12" s="889"/>
      <c r="CS12" s="889"/>
      <c r="CT12" s="889"/>
      <c r="CU12" s="889"/>
      <c r="CV12" s="889"/>
      <c r="CW12" s="889"/>
      <c r="CX12" s="889"/>
      <c r="CY12" s="889"/>
      <c r="CZ12" s="889"/>
      <c r="DA12" s="889"/>
      <c r="DB12" s="889"/>
      <c r="DC12" s="889"/>
      <c r="DD12" s="889"/>
      <c r="DE12" s="889"/>
      <c r="DF12" s="889"/>
      <c r="DG12" s="889"/>
      <c r="DH12" s="889"/>
      <c r="DI12" s="889"/>
      <c r="DJ12" s="889"/>
      <c r="DK12" s="889"/>
      <c r="DL12" s="889"/>
      <c r="DM12" s="889"/>
      <c r="DN12" s="889"/>
      <c r="DO12" s="889"/>
      <c r="DP12" s="889"/>
      <c r="DQ12" s="889"/>
      <c r="DR12" s="889"/>
      <c r="DS12" s="889"/>
      <c r="DT12" s="889"/>
      <c r="DU12" s="889"/>
      <c r="DV12" s="889"/>
      <c r="DW12" s="889"/>
      <c r="DX12" s="889"/>
      <c r="DY12" s="889"/>
      <c r="DZ12" s="889"/>
      <c r="EA12" s="889"/>
      <c r="EB12" s="889"/>
      <c r="EC12" s="889"/>
      <c r="ED12" s="889"/>
      <c r="EE12" s="889"/>
      <c r="EF12" s="889"/>
      <c r="EG12" s="889"/>
      <c r="EH12" s="889"/>
      <c r="EI12" s="889"/>
      <c r="EJ12" s="889"/>
      <c r="EK12" s="889"/>
      <c r="EL12" s="889"/>
      <c r="EM12" s="889"/>
      <c r="EN12" s="889"/>
      <c r="EO12" s="889"/>
      <c r="EP12" s="889"/>
      <c r="EQ12" s="889"/>
      <c r="ER12" s="889"/>
      <c r="ES12" s="889"/>
      <c r="ET12" s="889"/>
      <c r="EU12" s="889"/>
      <c r="EV12" s="889"/>
      <c r="EW12" s="889"/>
      <c r="EX12" s="889"/>
      <c r="EY12" s="889"/>
      <c r="EZ12" s="889"/>
      <c r="FA12" s="889"/>
      <c r="FB12" s="889"/>
      <c r="FC12" s="889"/>
      <c r="FD12" s="889"/>
      <c r="FE12" s="889"/>
      <c r="FF12" s="889"/>
      <c r="FG12" s="889"/>
      <c r="FH12" s="889"/>
      <c r="FI12" s="889"/>
      <c r="FJ12" s="889"/>
      <c r="FK12" s="889"/>
      <c r="FL12" s="889"/>
      <c r="FM12" s="889"/>
      <c r="FN12" s="889"/>
      <c r="FO12" s="889"/>
      <c r="FP12" s="889"/>
      <c r="FQ12" s="889"/>
      <c r="FR12" s="889"/>
      <c r="FS12" s="889"/>
      <c r="FT12" s="889"/>
      <c r="FU12" s="889"/>
      <c r="FV12" s="889"/>
      <c r="FW12" s="889"/>
      <c r="FX12" s="889"/>
      <c r="FY12" s="889"/>
      <c r="FZ12" s="889"/>
      <c r="GA12" s="889"/>
      <c r="GB12" s="889"/>
      <c r="GC12" s="889"/>
      <c r="GD12" s="889"/>
      <c r="GE12" s="889"/>
      <c r="GF12" s="889"/>
      <c r="GG12" s="889"/>
      <c r="GH12" s="889"/>
      <c r="GI12" s="889"/>
      <c r="GJ12" s="889"/>
      <c r="GK12" s="889"/>
      <c r="GL12" s="889"/>
      <c r="GM12" s="889"/>
      <c r="GN12" s="889"/>
      <c r="GO12" s="889"/>
      <c r="GP12" s="889"/>
      <c r="GQ12" s="889"/>
      <c r="GR12" s="889"/>
      <c r="GS12" s="889"/>
      <c r="GT12" s="889"/>
      <c r="GU12" s="889"/>
      <c r="GV12" s="889"/>
      <c r="GW12" s="889"/>
      <c r="GX12" s="889"/>
      <c r="GY12" s="889"/>
      <c r="GZ12" s="889"/>
      <c r="HA12" s="889"/>
      <c r="HB12" s="889"/>
      <c r="HC12" s="889"/>
      <c r="HD12" s="889"/>
      <c r="HE12" s="889"/>
      <c r="HF12" s="889"/>
      <c r="HG12" s="889"/>
      <c r="HH12" s="889"/>
      <c r="HI12" s="889"/>
      <c r="HJ12" s="889"/>
      <c r="HK12" s="889"/>
      <c r="HL12" s="889"/>
      <c r="HM12" s="889"/>
      <c r="HN12" s="889"/>
      <c r="HO12" s="889"/>
      <c r="HP12" s="889"/>
      <c r="HQ12" s="889"/>
      <c r="HR12" s="889"/>
      <c r="HS12" s="889"/>
      <c r="HT12" s="889"/>
      <c r="HU12" s="889"/>
      <c r="HV12" s="889"/>
      <c r="HW12" s="889"/>
      <c r="HX12" s="889"/>
      <c r="HY12" s="889"/>
      <c r="HZ12" s="889"/>
      <c r="IA12" s="889"/>
      <c r="IB12" s="889"/>
      <c r="IC12" s="889"/>
      <c r="ID12" s="889"/>
      <c r="IE12" s="889"/>
      <c r="IF12" s="889"/>
      <c r="IG12" s="889"/>
      <c r="IH12" s="889"/>
      <c r="II12" s="889"/>
      <c r="IJ12" s="889"/>
      <c r="IK12" s="889"/>
      <c r="IL12" s="889"/>
      <c r="IM12" s="889"/>
      <c r="IN12" s="889"/>
      <c r="IO12" s="889"/>
      <c r="IP12" s="889"/>
      <c r="IQ12" s="889"/>
      <c r="IR12" s="889"/>
      <c r="IS12" s="889"/>
      <c r="IT12" s="889"/>
      <c r="IU12" s="889"/>
      <c r="IV12" s="889"/>
    </row>
    <row r="13" spans="1:256" ht="12.75" customHeight="1" thickBot="1">
      <c r="A13" s="904" t="s">
        <v>801</v>
      </c>
      <c r="B13" s="905">
        <v>1853.7</v>
      </c>
      <c r="C13" s="905">
        <v>1881.7</v>
      </c>
      <c r="D13" s="906">
        <v>1943</v>
      </c>
      <c r="E13" s="906">
        <v>1801.2</v>
      </c>
      <c r="F13" s="906">
        <v>1764</v>
      </c>
      <c r="G13" s="906">
        <v>1511.9</v>
      </c>
      <c r="H13" s="906">
        <v>1471</v>
      </c>
      <c r="I13" s="906">
        <v>1794.7</v>
      </c>
      <c r="J13" s="906">
        <v>1817</v>
      </c>
      <c r="K13" s="906">
        <v>1862.6</v>
      </c>
      <c r="L13" s="907">
        <v>1822.9</v>
      </c>
      <c r="M13" s="908">
        <v>1823.1</v>
      </c>
      <c r="N13" s="906">
        <v>1789.2</v>
      </c>
      <c r="O13" s="889"/>
      <c r="P13" s="889"/>
      <c r="Q13" s="889"/>
      <c r="R13" s="889"/>
      <c r="S13" s="889"/>
      <c r="T13" s="889"/>
      <c r="U13" s="889"/>
      <c r="V13" s="889"/>
      <c r="W13" s="889"/>
      <c r="X13" s="889"/>
      <c r="Y13" s="889"/>
      <c r="Z13" s="889"/>
      <c r="AA13" s="889"/>
      <c r="AB13" s="889"/>
      <c r="AC13" s="889"/>
      <c r="AD13" s="889"/>
      <c r="AE13" s="889"/>
      <c r="AF13" s="889"/>
      <c r="AG13" s="889"/>
      <c r="AH13" s="889"/>
      <c r="AI13" s="889"/>
      <c r="AJ13" s="889"/>
      <c r="AK13" s="889"/>
      <c r="AL13" s="889"/>
      <c r="AM13" s="889"/>
      <c r="AN13" s="889"/>
      <c r="AO13" s="889"/>
      <c r="AP13" s="889"/>
      <c r="AQ13" s="889"/>
      <c r="AR13" s="889"/>
      <c r="AS13" s="889"/>
      <c r="AT13" s="889"/>
      <c r="AU13" s="889"/>
      <c r="AV13" s="889"/>
      <c r="AW13" s="889"/>
      <c r="AX13" s="889"/>
      <c r="AY13" s="889"/>
      <c r="AZ13" s="889"/>
      <c r="BA13" s="889"/>
      <c r="BB13" s="889"/>
      <c r="BC13" s="889"/>
      <c r="BD13" s="889"/>
      <c r="BE13" s="889"/>
      <c r="BF13" s="889"/>
      <c r="BG13" s="889"/>
      <c r="BH13" s="889"/>
      <c r="BI13" s="889"/>
      <c r="BJ13" s="889"/>
      <c r="BK13" s="889"/>
      <c r="BL13" s="889"/>
      <c r="BM13" s="889"/>
      <c r="BN13" s="889"/>
      <c r="BO13" s="889"/>
      <c r="BP13" s="889"/>
      <c r="BQ13" s="889"/>
      <c r="BR13" s="889"/>
      <c r="BS13" s="889"/>
      <c r="BT13" s="889"/>
      <c r="BU13" s="889"/>
      <c r="BV13" s="889"/>
      <c r="BW13" s="889"/>
      <c r="BX13" s="889"/>
      <c r="BY13" s="889"/>
      <c r="BZ13" s="889"/>
      <c r="CA13" s="889"/>
      <c r="CB13" s="889"/>
      <c r="CC13" s="889"/>
      <c r="CD13" s="889"/>
      <c r="CE13" s="889"/>
      <c r="CF13" s="889"/>
      <c r="CG13" s="889"/>
      <c r="CH13" s="889"/>
      <c r="CI13" s="889"/>
      <c r="CJ13" s="889"/>
      <c r="CK13" s="889"/>
      <c r="CL13" s="889"/>
      <c r="CM13" s="889"/>
      <c r="CN13" s="889"/>
      <c r="CO13" s="889"/>
      <c r="CP13" s="889"/>
      <c r="CQ13" s="889"/>
      <c r="CR13" s="889"/>
      <c r="CS13" s="889"/>
      <c r="CT13" s="889"/>
      <c r="CU13" s="889"/>
      <c r="CV13" s="889"/>
      <c r="CW13" s="889"/>
      <c r="CX13" s="889"/>
      <c r="CY13" s="889"/>
      <c r="CZ13" s="889"/>
      <c r="DA13" s="889"/>
      <c r="DB13" s="889"/>
      <c r="DC13" s="889"/>
      <c r="DD13" s="889"/>
      <c r="DE13" s="889"/>
      <c r="DF13" s="889"/>
      <c r="DG13" s="889"/>
      <c r="DH13" s="889"/>
      <c r="DI13" s="889"/>
      <c r="DJ13" s="889"/>
      <c r="DK13" s="889"/>
      <c r="DL13" s="889"/>
      <c r="DM13" s="889"/>
      <c r="DN13" s="889"/>
      <c r="DO13" s="889"/>
      <c r="DP13" s="889"/>
      <c r="DQ13" s="889"/>
      <c r="DR13" s="889"/>
      <c r="DS13" s="889"/>
      <c r="DT13" s="889"/>
      <c r="DU13" s="889"/>
      <c r="DV13" s="889"/>
      <c r="DW13" s="889"/>
      <c r="DX13" s="889"/>
      <c r="DY13" s="889"/>
      <c r="DZ13" s="889"/>
      <c r="EA13" s="889"/>
      <c r="EB13" s="889"/>
      <c r="EC13" s="889"/>
      <c r="ED13" s="889"/>
      <c r="EE13" s="889"/>
      <c r="EF13" s="889"/>
      <c r="EG13" s="889"/>
      <c r="EH13" s="889"/>
      <c r="EI13" s="889"/>
      <c r="EJ13" s="889"/>
      <c r="EK13" s="889"/>
      <c r="EL13" s="889"/>
      <c r="EM13" s="889"/>
      <c r="EN13" s="889"/>
      <c r="EO13" s="889"/>
      <c r="EP13" s="889"/>
      <c r="EQ13" s="889"/>
      <c r="ER13" s="889"/>
      <c r="ES13" s="889"/>
      <c r="ET13" s="889"/>
      <c r="EU13" s="889"/>
      <c r="EV13" s="889"/>
      <c r="EW13" s="889"/>
      <c r="EX13" s="889"/>
      <c r="EY13" s="889"/>
      <c r="EZ13" s="889"/>
      <c r="FA13" s="889"/>
      <c r="FB13" s="889"/>
      <c r="FC13" s="889"/>
      <c r="FD13" s="889"/>
      <c r="FE13" s="889"/>
      <c r="FF13" s="889"/>
      <c r="FG13" s="889"/>
      <c r="FH13" s="889"/>
      <c r="FI13" s="889"/>
      <c r="FJ13" s="889"/>
      <c r="FK13" s="889"/>
      <c r="FL13" s="889"/>
      <c r="FM13" s="889"/>
      <c r="FN13" s="889"/>
      <c r="FO13" s="889"/>
      <c r="FP13" s="889"/>
      <c r="FQ13" s="889"/>
      <c r="FR13" s="889"/>
      <c r="FS13" s="889"/>
      <c r="FT13" s="889"/>
      <c r="FU13" s="889"/>
      <c r="FV13" s="889"/>
      <c r="FW13" s="889"/>
      <c r="FX13" s="889"/>
      <c r="FY13" s="889"/>
      <c r="FZ13" s="889"/>
      <c r="GA13" s="889"/>
      <c r="GB13" s="889"/>
      <c r="GC13" s="889"/>
      <c r="GD13" s="889"/>
      <c r="GE13" s="889"/>
      <c r="GF13" s="889"/>
      <c r="GG13" s="889"/>
      <c r="GH13" s="889"/>
      <c r="GI13" s="889"/>
      <c r="GJ13" s="889"/>
      <c r="GK13" s="889"/>
      <c r="GL13" s="889"/>
      <c r="GM13" s="889"/>
      <c r="GN13" s="889"/>
      <c r="GO13" s="889"/>
      <c r="GP13" s="889"/>
      <c r="GQ13" s="889"/>
      <c r="GR13" s="889"/>
      <c r="GS13" s="889"/>
      <c r="GT13" s="889"/>
      <c r="GU13" s="889"/>
      <c r="GV13" s="889"/>
      <c r="GW13" s="889"/>
      <c r="GX13" s="889"/>
      <c r="GY13" s="889"/>
      <c r="GZ13" s="889"/>
      <c r="HA13" s="889"/>
      <c r="HB13" s="889"/>
      <c r="HC13" s="889"/>
      <c r="HD13" s="889"/>
      <c r="HE13" s="889"/>
      <c r="HF13" s="889"/>
      <c r="HG13" s="889"/>
      <c r="HH13" s="889"/>
      <c r="HI13" s="889"/>
      <c r="HJ13" s="889"/>
      <c r="HK13" s="889"/>
      <c r="HL13" s="889"/>
      <c r="HM13" s="889"/>
      <c r="HN13" s="889"/>
      <c r="HO13" s="889"/>
      <c r="HP13" s="889"/>
      <c r="HQ13" s="889"/>
      <c r="HR13" s="889"/>
      <c r="HS13" s="889"/>
      <c r="HT13" s="889"/>
      <c r="HU13" s="889"/>
      <c r="HV13" s="889"/>
      <c r="HW13" s="889"/>
      <c r="HX13" s="889"/>
      <c r="HY13" s="889"/>
      <c r="HZ13" s="889"/>
      <c r="IA13" s="889"/>
      <c r="IB13" s="889"/>
      <c r="IC13" s="889"/>
      <c r="ID13" s="889"/>
      <c r="IE13" s="889"/>
      <c r="IF13" s="889"/>
      <c r="IG13" s="889"/>
      <c r="IH13" s="889"/>
      <c r="II13" s="889"/>
      <c r="IJ13" s="889"/>
      <c r="IK13" s="889"/>
      <c r="IL13" s="889"/>
      <c r="IM13" s="889"/>
      <c r="IN13" s="889"/>
      <c r="IO13" s="889"/>
      <c r="IP13" s="889"/>
      <c r="IQ13" s="889"/>
      <c r="IR13" s="889"/>
      <c r="IS13" s="889"/>
      <c r="IT13" s="889"/>
      <c r="IU13" s="889"/>
      <c r="IV13" s="889"/>
    </row>
    <row r="14" spans="1:256" ht="12" customHeight="1" thickTop="1">
      <c r="A14" s="890" t="s">
        <v>802</v>
      </c>
      <c r="B14" s="909">
        <v>524.79999999999995</v>
      </c>
      <c r="C14" s="909">
        <v>541.70000000000005</v>
      </c>
      <c r="D14" s="910">
        <v>535.79999999999995</v>
      </c>
      <c r="E14" s="910">
        <v>544.9</v>
      </c>
      <c r="F14" s="910">
        <v>459</v>
      </c>
      <c r="G14" s="910">
        <v>504.1</v>
      </c>
      <c r="H14" s="910">
        <v>401.5</v>
      </c>
      <c r="I14" s="910">
        <v>473.9</v>
      </c>
      <c r="J14" s="910">
        <v>480.8</v>
      </c>
      <c r="K14" s="910">
        <v>487.6</v>
      </c>
      <c r="L14" s="911">
        <v>480.8</v>
      </c>
      <c r="M14" s="911">
        <v>475.2</v>
      </c>
      <c r="N14" s="910">
        <v>484</v>
      </c>
      <c r="O14" s="889"/>
      <c r="P14" s="889"/>
      <c r="Q14" s="889"/>
      <c r="R14" s="889"/>
      <c r="S14" s="889"/>
      <c r="T14" s="889"/>
      <c r="U14" s="889"/>
      <c r="V14" s="889"/>
      <c r="W14" s="889"/>
      <c r="X14" s="889"/>
      <c r="Y14" s="889"/>
      <c r="Z14" s="889"/>
      <c r="AA14" s="889"/>
      <c r="AB14" s="889"/>
      <c r="AC14" s="889"/>
      <c r="AD14" s="889"/>
      <c r="AE14" s="889"/>
      <c r="AF14" s="889"/>
      <c r="AG14" s="889"/>
      <c r="AH14" s="889"/>
      <c r="AI14" s="889"/>
      <c r="AJ14" s="889"/>
      <c r="AK14" s="889"/>
      <c r="AL14" s="889"/>
      <c r="AM14" s="889"/>
      <c r="AN14" s="889"/>
      <c r="AO14" s="889"/>
      <c r="AP14" s="889"/>
      <c r="AQ14" s="889"/>
      <c r="AR14" s="889"/>
      <c r="AS14" s="889"/>
      <c r="AT14" s="889"/>
      <c r="AU14" s="889"/>
      <c r="AV14" s="889"/>
      <c r="AW14" s="889"/>
      <c r="AX14" s="889"/>
      <c r="AY14" s="889"/>
      <c r="AZ14" s="889"/>
      <c r="BA14" s="889"/>
      <c r="BB14" s="889"/>
      <c r="BC14" s="889"/>
      <c r="BD14" s="889"/>
      <c r="BE14" s="889"/>
      <c r="BF14" s="889"/>
      <c r="BG14" s="889"/>
      <c r="BH14" s="889"/>
      <c r="BI14" s="889"/>
      <c r="BJ14" s="889"/>
      <c r="BK14" s="889"/>
      <c r="BL14" s="889"/>
      <c r="BM14" s="889"/>
      <c r="BN14" s="889"/>
      <c r="BO14" s="889"/>
      <c r="BP14" s="889"/>
      <c r="BQ14" s="889"/>
      <c r="BR14" s="889"/>
      <c r="BS14" s="889"/>
      <c r="BT14" s="889"/>
      <c r="BU14" s="889"/>
      <c r="BV14" s="889"/>
      <c r="BW14" s="889"/>
      <c r="BX14" s="889"/>
      <c r="BY14" s="889"/>
      <c r="BZ14" s="889"/>
      <c r="CA14" s="889"/>
      <c r="CB14" s="889"/>
      <c r="CC14" s="889"/>
      <c r="CD14" s="889"/>
      <c r="CE14" s="889"/>
      <c r="CF14" s="889"/>
      <c r="CG14" s="889"/>
      <c r="CH14" s="889"/>
      <c r="CI14" s="889"/>
      <c r="CJ14" s="889"/>
      <c r="CK14" s="889"/>
      <c r="CL14" s="889"/>
      <c r="CM14" s="889"/>
      <c r="CN14" s="889"/>
      <c r="CO14" s="889"/>
      <c r="CP14" s="889"/>
      <c r="CQ14" s="889"/>
      <c r="CR14" s="889"/>
      <c r="CS14" s="889"/>
      <c r="CT14" s="889"/>
      <c r="CU14" s="889"/>
      <c r="CV14" s="889"/>
      <c r="CW14" s="889"/>
      <c r="CX14" s="889"/>
      <c r="CY14" s="889"/>
      <c r="CZ14" s="889"/>
      <c r="DA14" s="889"/>
      <c r="DB14" s="889"/>
      <c r="DC14" s="889"/>
      <c r="DD14" s="889"/>
      <c r="DE14" s="889"/>
      <c r="DF14" s="889"/>
      <c r="DG14" s="889"/>
      <c r="DH14" s="889"/>
      <c r="DI14" s="889"/>
      <c r="DJ14" s="889"/>
      <c r="DK14" s="889"/>
      <c r="DL14" s="889"/>
      <c r="DM14" s="889"/>
      <c r="DN14" s="889"/>
      <c r="DO14" s="889"/>
      <c r="DP14" s="889"/>
      <c r="DQ14" s="889"/>
      <c r="DR14" s="889"/>
      <c r="DS14" s="889"/>
      <c r="DT14" s="889"/>
      <c r="DU14" s="889"/>
      <c r="DV14" s="889"/>
      <c r="DW14" s="889"/>
      <c r="DX14" s="889"/>
      <c r="DY14" s="889"/>
      <c r="DZ14" s="889"/>
      <c r="EA14" s="889"/>
      <c r="EB14" s="889"/>
      <c r="EC14" s="889"/>
      <c r="ED14" s="889"/>
      <c r="EE14" s="889"/>
      <c r="EF14" s="889"/>
      <c r="EG14" s="889"/>
      <c r="EH14" s="889"/>
      <c r="EI14" s="889"/>
      <c r="EJ14" s="889"/>
      <c r="EK14" s="889"/>
      <c r="EL14" s="889"/>
      <c r="EM14" s="889"/>
      <c r="EN14" s="889"/>
      <c r="EO14" s="889"/>
      <c r="EP14" s="889"/>
      <c r="EQ14" s="889"/>
      <c r="ER14" s="889"/>
      <c r="ES14" s="889"/>
      <c r="ET14" s="889"/>
      <c r="EU14" s="889"/>
      <c r="EV14" s="889"/>
      <c r="EW14" s="889"/>
      <c r="EX14" s="889"/>
      <c r="EY14" s="889"/>
      <c r="EZ14" s="889"/>
      <c r="FA14" s="889"/>
      <c r="FB14" s="889"/>
      <c r="FC14" s="889"/>
      <c r="FD14" s="889"/>
      <c r="FE14" s="889"/>
      <c r="FF14" s="889"/>
      <c r="FG14" s="889"/>
      <c r="FH14" s="889"/>
      <c r="FI14" s="889"/>
      <c r="FJ14" s="889"/>
      <c r="FK14" s="889"/>
      <c r="FL14" s="889"/>
      <c r="FM14" s="889"/>
      <c r="FN14" s="889"/>
      <c r="FO14" s="889"/>
      <c r="FP14" s="889"/>
      <c r="FQ14" s="889"/>
      <c r="FR14" s="889"/>
      <c r="FS14" s="889"/>
      <c r="FT14" s="889"/>
      <c r="FU14" s="889"/>
      <c r="FV14" s="889"/>
      <c r="FW14" s="889"/>
      <c r="FX14" s="889"/>
      <c r="FY14" s="889"/>
      <c r="FZ14" s="889"/>
      <c r="GA14" s="889"/>
      <c r="GB14" s="889"/>
      <c r="GC14" s="889"/>
      <c r="GD14" s="889"/>
      <c r="GE14" s="889"/>
      <c r="GF14" s="889"/>
      <c r="GG14" s="889"/>
      <c r="GH14" s="889"/>
      <c r="GI14" s="889"/>
      <c r="GJ14" s="889"/>
      <c r="GK14" s="889"/>
      <c r="GL14" s="889"/>
      <c r="GM14" s="889"/>
      <c r="GN14" s="889"/>
      <c r="GO14" s="889"/>
      <c r="GP14" s="889"/>
      <c r="GQ14" s="889"/>
      <c r="GR14" s="889"/>
      <c r="GS14" s="889"/>
      <c r="GT14" s="889"/>
      <c r="GU14" s="889"/>
      <c r="GV14" s="889"/>
      <c r="GW14" s="889"/>
      <c r="GX14" s="889"/>
      <c r="GY14" s="889"/>
      <c r="GZ14" s="889"/>
      <c r="HA14" s="889"/>
      <c r="HB14" s="889"/>
      <c r="HC14" s="889"/>
      <c r="HD14" s="889"/>
      <c r="HE14" s="889"/>
      <c r="HF14" s="889"/>
      <c r="HG14" s="889"/>
      <c r="HH14" s="889"/>
      <c r="HI14" s="889"/>
      <c r="HJ14" s="889"/>
      <c r="HK14" s="889"/>
      <c r="HL14" s="889"/>
      <c r="HM14" s="889"/>
      <c r="HN14" s="889"/>
      <c r="HO14" s="889"/>
      <c r="HP14" s="889"/>
      <c r="HQ14" s="889"/>
      <c r="HR14" s="889"/>
      <c r="HS14" s="889"/>
      <c r="HT14" s="889"/>
      <c r="HU14" s="889"/>
      <c r="HV14" s="889"/>
      <c r="HW14" s="889"/>
      <c r="HX14" s="889"/>
      <c r="HY14" s="889"/>
      <c r="HZ14" s="889"/>
      <c r="IA14" s="889"/>
      <c r="IB14" s="889"/>
      <c r="IC14" s="889"/>
      <c r="ID14" s="889"/>
      <c r="IE14" s="889"/>
      <c r="IF14" s="889"/>
      <c r="IG14" s="889"/>
      <c r="IH14" s="889"/>
      <c r="II14" s="889"/>
      <c r="IJ14" s="889"/>
      <c r="IK14" s="889"/>
      <c r="IL14" s="889"/>
      <c r="IM14" s="889"/>
      <c r="IN14" s="889"/>
      <c r="IO14" s="889"/>
      <c r="IP14" s="889"/>
      <c r="IQ14" s="889"/>
      <c r="IR14" s="889"/>
      <c r="IS14" s="889"/>
      <c r="IT14" s="889"/>
      <c r="IU14" s="889"/>
      <c r="IV14" s="889"/>
    </row>
    <row r="15" spans="1:256" ht="12.75" customHeight="1">
      <c r="A15" s="912" t="s">
        <v>803</v>
      </c>
      <c r="B15" s="913">
        <v>6104</v>
      </c>
      <c r="C15" s="913">
        <v>6300</v>
      </c>
      <c r="D15" s="914">
        <v>6231</v>
      </c>
      <c r="E15" s="914">
        <v>6338</v>
      </c>
      <c r="F15" s="914">
        <v>5338</v>
      </c>
      <c r="G15" s="914">
        <v>5863</v>
      </c>
      <c r="H15" s="914">
        <v>4669.3</v>
      </c>
      <c r="I15" s="914">
        <v>5511.2</v>
      </c>
      <c r="J15" s="914">
        <v>5591.5</v>
      </c>
      <c r="K15" s="914">
        <v>5670.4</v>
      </c>
      <c r="L15" s="915">
        <v>5592.2</v>
      </c>
      <c r="M15" s="915">
        <v>5527</v>
      </c>
      <c r="N15" s="914">
        <v>5628.8</v>
      </c>
      <c r="O15" s="889"/>
      <c r="P15" s="889"/>
      <c r="Q15" s="889"/>
      <c r="R15" s="889"/>
      <c r="S15" s="889"/>
      <c r="T15" s="889"/>
      <c r="U15" s="889"/>
      <c r="V15" s="889"/>
      <c r="W15" s="889"/>
      <c r="X15" s="889"/>
      <c r="Y15" s="889"/>
      <c r="Z15" s="889"/>
      <c r="AA15" s="889"/>
      <c r="AB15" s="889"/>
      <c r="AC15" s="889"/>
      <c r="AD15" s="889"/>
      <c r="AE15" s="889"/>
      <c r="AF15" s="889"/>
      <c r="AG15" s="889"/>
      <c r="AH15" s="889"/>
      <c r="AI15" s="889"/>
      <c r="AJ15" s="889"/>
      <c r="AK15" s="889"/>
      <c r="AL15" s="889"/>
      <c r="AM15" s="889"/>
      <c r="AN15" s="889"/>
      <c r="AO15" s="889"/>
      <c r="AP15" s="889"/>
      <c r="AQ15" s="889"/>
      <c r="AR15" s="889"/>
      <c r="AS15" s="889"/>
      <c r="AT15" s="889"/>
      <c r="AU15" s="889"/>
      <c r="AV15" s="889"/>
      <c r="AW15" s="889"/>
      <c r="AX15" s="889"/>
      <c r="AY15" s="889"/>
      <c r="AZ15" s="889"/>
      <c r="BA15" s="889"/>
      <c r="BB15" s="889"/>
      <c r="BC15" s="889"/>
      <c r="BD15" s="889"/>
      <c r="BE15" s="889"/>
      <c r="BF15" s="889"/>
      <c r="BG15" s="889"/>
      <c r="BH15" s="889"/>
      <c r="BI15" s="889"/>
      <c r="BJ15" s="889"/>
      <c r="BK15" s="889"/>
      <c r="BL15" s="889"/>
      <c r="BM15" s="889"/>
      <c r="BN15" s="889"/>
      <c r="BO15" s="889"/>
      <c r="BP15" s="889"/>
      <c r="BQ15" s="889"/>
      <c r="BR15" s="889"/>
      <c r="BS15" s="889"/>
      <c r="BT15" s="889"/>
      <c r="BU15" s="889"/>
      <c r="BV15" s="889"/>
      <c r="BW15" s="889"/>
      <c r="BX15" s="889"/>
      <c r="BY15" s="889"/>
      <c r="BZ15" s="889"/>
      <c r="CA15" s="889"/>
      <c r="CB15" s="889"/>
      <c r="CC15" s="889"/>
      <c r="CD15" s="889"/>
      <c r="CE15" s="889"/>
      <c r="CF15" s="889"/>
      <c r="CG15" s="889"/>
      <c r="CH15" s="889"/>
      <c r="CI15" s="889"/>
      <c r="CJ15" s="889"/>
      <c r="CK15" s="889"/>
      <c r="CL15" s="889"/>
      <c r="CM15" s="889"/>
      <c r="CN15" s="889"/>
      <c r="CO15" s="889"/>
      <c r="CP15" s="889"/>
      <c r="CQ15" s="889"/>
      <c r="CR15" s="889"/>
      <c r="CS15" s="889"/>
      <c r="CT15" s="889"/>
      <c r="CU15" s="889"/>
      <c r="CV15" s="889"/>
      <c r="CW15" s="889"/>
      <c r="CX15" s="889"/>
      <c r="CY15" s="889"/>
      <c r="CZ15" s="889"/>
      <c r="DA15" s="889"/>
      <c r="DB15" s="889"/>
      <c r="DC15" s="889"/>
      <c r="DD15" s="889"/>
      <c r="DE15" s="889"/>
      <c r="DF15" s="889"/>
      <c r="DG15" s="889"/>
      <c r="DH15" s="889"/>
      <c r="DI15" s="889"/>
      <c r="DJ15" s="889"/>
      <c r="DK15" s="889"/>
      <c r="DL15" s="889"/>
      <c r="DM15" s="889"/>
      <c r="DN15" s="889"/>
      <c r="DO15" s="889"/>
      <c r="DP15" s="889"/>
      <c r="DQ15" s="889"/>
      <c r="DR15" s="889"/>
      <c r="DS15" s="889"/>
      <c r="DT15" s="889"/>
      <c r="DU15" s="889"/>
      <c r="DV15" s="889"/>
      <c r="DW15" s="889"/>
      <c r="DX15" s="889"/>
      <c r="DY15" s="889"/>
      <c r="DZ15" s="889"/>
      <c r="EA15" s="889"/>
      <c r="EB15" s="889"/>
      <c r="EC15" s="889"/>
      <c r="ED15" s="889"/>
      <c r="EE15" s="889"/>
      <c r="EF15" s="889"/>
      <c r="EG15" s="889"/>
      <c r="EH15" s="889"/>
      <c r="EI15" s="889"/>
      <c r="EJ15" s="889"/>
      <c r="EK15" s="889"/>
      <c r="EL15" s="889"/>
      <c r="EM15" s="889"/>
      <c r="EN15" s="889"/>
      <c r="EO15" s="889"/>
      <c r="EP15" s="889"/>
      <c r="EQ15" s="889"/>
      <c r="ER15" s="889"/>
      <c r="ES15" s="889"/>
      <c r="ET15" s="889"/>
      <c r="EU15" s="889"/>
      <c r="EV15" s="889"/>
      <c r="EW15" s="889"/>
      <c r="EX15" s="889"/>
      <c r="EY15" s="889"/>
      <c r="EZ15" s="889"/>
      <c r="FA15" s="889"/>
      <c r="FB15" s="889"/>
      <c r="FC15" s="889"/>
      <c r="FD15" s="889"/>
      <c r="FE15" s="889"/>
      <c r="FF15" s="889"/>
      <c r="FG15" s="889"/>
      <c r="FH15" s="889"/>
      <c r="FI15" s="889"/>
      <c r="FJ15" s="889"/>
      <c r="FK15" s="889"/>
      <c r="FL15" s="889"/>
      <c r="FM15" s="889"/>
      <c r="FN15" s="889"/>
      <c r="FO15" s="889"/>
      <c r="FP15" s="889"/>
      <c r="FQ15" s="889"/>
      <c r="FR15" s="889"/>
      <c r="FS15" s="889"/>
      <c r="FT15" s="889"/>
      <c r="FU15" s="889"/>
      <c r="FV15" s="889"/>
      <c r="FW15" s="889"/>
      <c r="FX15" s="889"/>
      <c r="FY15" s="889"/>
      <c r="FZ15" s="889"/>
      <c r="GA15" s="889"/>
      <c r="GB15" s="889"/>
      <c r="GC15" s="889"/>
      <c r="GD15" s="889"/>
      <c r="GE15" s="889"/>
      <c r="GF15" s="889"/>
      <c r="GG15" s="889"/>
      <c r="GH15" s="889"/>
      <c r="GI15" s="889"/>
      <c r="GJ15" s="889"/>
      <c r="GK15" s="889"/>
      <c r="GL15" s="889"/>
      <c r="GM15" s="889"/>
      <c r="GN15" s="889"/>
      <c r="GO15" s="889"/>
      <c r="GP15" s="889"/>
      <c r="GQ15" s="889"/>
      <c r="GR15" s="889"/>
      <c r="GS15" s="889"/>
      <c r="GT15" s="889"/>
      <c r="GU15" s="889"/>
      <c r="GV15" s="889"/>
      <c r="GW15" s="889"/>
      <c r="GX15" s="889"/>
      <c r="GY15" s="889"/>
      <c r="GZ15" s="889"/>
      <c r="HA15" s="889"/>
      <c r="HB15" s="889"/>
      <c r="HC15" s="889"/>
      <c r="HD15" s="889"/>
      <c r="HE15" s="889"/>
      <c r="HF15" s="889"/>
      <c r="HG15" s="889"/>
      <c r="HH15" s="889"/>
      <c r="HI15" s="889"/>
      <c r="HJ15" s="889"/>
      <c r="HK15" s="889"/>
      <c r="HL15" s="889"/>
      <c r="HM15" s="889"/>
      <c r="HN15" s="889"/>
      <c r="HO15" s="889"/>
      <c r="HP15" s="889"/>
      <c r="HQ15" s="889"/>
      <c r="HR15" s="889"/>
      <c r="HS15" s="889"/>
      <c r="HT15" s="889"/>
      <c r="HU15" s="889"/>
      <c r="HV15" s="889"/>
      <c r="HW15" s="889"/>
      <c r="HX15" s="889"/>
      <c r="HY15" s="889"/>
      <c r="HZ15" s="889"/>
      <c r="IA15" s="889"/>
      <c r="IB15" s="889"/>
      <c r="IC15" s="889"/>
      <c r="ID15" s="889"/>
      <c r="IE15" s="889"/>
      <c r="IF15" s="889"/>
      <c r="IG15" s="889"/>
      <c r="IH15" s="889"/>
      <c r="II15" s="889"/>
      <c r="IJ15" s="889"/>
      <c r="IK15" s="889"/>
      <c r="IL15" s="889"/>
      <c r="IM15" s="889"/>
      <c r="IN15" s="889"/>
      <c r="IO15" s="889"/>
      <c r="IP15" s="889"/>
      <c r="IQ15" s="889"/>
      <c r="IR15" s="889"/>
      <c r="IS15" s="889"/>
      <c r="IT15" s="889"/>
      <c r="IU15" s="889"/>
      <c r="IV15" s="889"/>
    </row>
    <row r="16" spans="1:256" ht="12" customHeight="1">
      <c r="A16" s="890" t="s">
        <v>804</v>
      </c>
      <c r="B16" s="909">
        <v>359.3</v>
      </c>
      <c r="C16" s="909">
        <v>371.8</v>
      </c>
      <c r="D16" s="910">
        <v>387.3</v>
      </c>
      <c r="E16" s="910">
        <v>400.4</v>
      </c>
      <c r="F16" s="910">
        <v>377.8</v>
      </c>
      <c r="G16" s="910">
        <v>412.3</v>
      </c>
      <c r="H16" s="910">
        <v>315.7</v>
      </c>
      <c r="I16" s="910">
        <v>381.4</v>
      </c>
      <c r="J16" s="910">
        <v>417.2</v>
      </c>
      <c r="K16" s="910">
        <v>427.2</v>
      </c>
      <c r="L16" s="916">
        <v>404.4</v>
      </c>
      <c r="M16" s="916">
        <v>407</v>
      </c>
      <c r="N16" s="910">
        <v>387.1</v>
      </c>
      <c r="O16" s="889"/>
      <c r="P16" s="889"/>
      <c r="Q16" s="889"/>
      <c r="R16" s="889"/>
      <c r="S16" s="889"/>
      <c r="T16" s="889"/>
      <c r="U16" s="889"/>
      <c r="V16" s="889"/>
      <c r="W16" s="889"/>
      <c r="X16" s="889"/>
      <c r="Y16" s="889"/>
      <c r="Z16" s="889"/>
      <c r="AA16" s="889"/>
      <c r="AB16" s="889"/>
      <c r="AC16" s="889"/>
      <c r="AD16" s="889"/>
      <c r="AE16" s="889"/>
      <c r="AF16" s="889"/>
      <c r="AG16" s="889"/>
      <c r="AH16" s="889"/>
      <c r="AI16" s="889"/>
      <c r="AJ16" s="889"/>
      <c r="AK16" s="889"/>
      <c r="AL16" s="889"/>
      <c r="AM16" s="889"/>
      <c r="AN16" s="889"/>
      <c r="AO16" s="889"/>
      <c r="AP16" s="889"/>
      <c r="AQ16" s="889"/>
      <c r="AR16" s="889"/>
      <c r="AS16" s="889"/>
      <c r="AT16" s="889"/>
      <c r="AU16" s="889"/>
      <c r="AV16" s="889"/>
      <c r="AW16" s="889"/>
      <c r="AX16" s="889"/>
      <c r="AY16" s="889"/>
      <c r="AZ16" s="889"/>
      <c r="BA16" s="889"/>
      <c r="BB16" s="889"/>
      <c r="BC16" s="889"/>
      <c r="BD16" s="889"/>
      <c r="BE16" s="889"/>
      <c r="BF16" s="889"/>
      <c r="BG16" s="889"/>
      <c r="BH16" s="889"/>
      <c r="BI16" s="889"/>
      <c r="BJ16" s="889"/>
      <c r="BK16" s="889"/>
      <c r="BL16" s="889"/>
      <c r="BM16" s="889"/>
      <c r="BN16" s="889"/>
      <c r="BO16" s="889"/>
      <c r="BP16" s="889"/>
      <c r="BQ16" s="889"/>
      <c r="BR16" s="889"/>
      <c r="BS16" s="889"/>
      <c r="BT16" s="889"/>
      <c r="BU16" s="889"/>
      <c r="BV16" s="889"/>
      <c r="BW16" s="889"/>
      <c r="BX16" s="889"/>
      <c r="BY16" s="889"/>
      <c r="BZ16" s="889"/>
      <c r="CA16" s="889"/>
      <c r="CB16" s="889"/>
      <c r="CC16" s="889"/>
      <c r="CD16" s="889"/>
      <c r="CE16" s="889"/>
      <c r="CF16" s="889"/>
      <c r="CG16" s="889"/>
      <c r="CH16" s="889"/>
      <c r="CI16" s="889"/>
      <c r="CJ16" s="889"/>
      <c r="CK16" s="889"/>
      <c r="CL16" s="889"/>
      <c r="CM16" s="889"/>
      <c r="CN16" s="889"/>
      <c r="CO16" s="889"/>
      <c r="CP16" s="889"/>
      <c r="CQ16" s="889"/>
      <c r="CR16" s="889"/>
      <c r="CS16" s="889"/>
      <c r="CT16" s="889"/>
      <c r="CU16" s="889"/>
      <c r="CV16" s="889"/>
      <c r="CW16" s="889"/>
      <c r="CX16" s="889"/>
      <c r="CY16" s="889"/>
      <c r="CZ16" s="889"/>
      <c r="DA16" s="889"/>
      <c r="DB16" s="889"/>
      <c r="DC16" s="889"/>
      <c r="DD16" s="889"/>
      <c r="DE16" s="889"/>
      <c r="DF16" s="889"/>
      <c r="DG16" s="889"/>
      <c r="DH16" s="889"/>
      <c r="DI16" s="889"/>
      <c r="DJ16" s="889"/>
      <c r="DK16" s="889"/>
      <c r="DL16" s="889"/>
      <c r="DM16" s="889"/>
      <c r="DN16" s="889"/>
      <c r="DO16" s="889"/>
      <c r="DP16" s="889"/>
      <c r="DQ16" s="889"/>
      <c r="DR16" s="889"/>
      <c r="DS16" s="889"/>
      <c r="DT16" s="889"/>
      <c r="DU16" s="889"/>
      <c r="DV16" s="889"/>
      <c r="DW16" s="889"/>
      <c r="DX16" s="889"/>
      <c r="DY16" s="889"/>
      <c r="DZ16" s="889"/>
      <c r="EA16" s="889"/>
      <c r="EB16" s="889"/>
      <c r="EC16" s="889"/>
      <c r="ED16" s="889"/>
      <c r="EE16" s="889"/>
      <c r="EF16" s="889"/>
      <c r="EG16" s="889"/>
      <c r="EH16" s="889"/>
      <c r="EI16" s="889"/>
      <c r="EJ16" s="889"/>
      <c r="EK16" s="889"/>
      <c r="EL16" s="889"/>
      <c r="EM16" s="889"/>
      <c r="EN16" s="889"/>
      <c r="EO16" s="889"/>
      <c r="EP16" s="889"/>
      <c r="EQ16" s="889"/>
      <c r="ER16" s="889"/>
      <c r="ES16" s="889"/>
      <c r="ET16" s="889"/>
      <c r="EU16" s="889"/>
      <c r="EV16" s="889"/>
      <c r="EW16" s="889"/>
      <c r="EX16" s="889"/>
      <c r="EY16" s="889"/>
      <c r="EZ16" s="889"/>
      <c r="FA16" s="889"/>
      <c r="FB16" s="889"/>
      <c r="FC16" s="889"/>
      <c r="FD16" s="889"/>
      <c r="FE16" s="889"/>
      <c r="FF16" s="889"/>
      <c r="FG16" s="889"/>
      <c r="FH16" s="889"/>
      <c r="FI16" s="889"/>
      <c r="FJ16" s="889"/>
      <c r="FK16" s="889"/>
      <c r="FL16" s="889"/>
      <c r="FM16" s="889"/>
      <c r="FN16" s="889"/>
      <c r="FO16" s="889"/>
      <c r="FP16" s="889"/>
      <c r="FQ16" s="889"/>
      <c r="FR16" s="889"/>
      <c r="FS16" s="889"/>
      <c r="FT16" s="889"/>
      <c r="FU16" s="889"/>
      <c r="FV16" s="889"/>
      <c r="FW16" s="889"/>
      <c r="FX16" s="889"/>
      <c r="FY16" s="889"/>
      <c r="FZ16" s="889"/>
      <c r="GA16" s="889"/>
      <c r="GB16" s="889"/>
      <c r="GC16" s="889"/>
      <c r="GD16" s="889"/>
      <c r="GE16" s="889"/>
      <c r="GF16" s="889"/>
      <c r="GG16" s="889"/>
      <c r="GH16" s="889"/>
      <c r="GI16" s="889"/>
      <c r="GJ16" s="889"/>
      <c r="GK16" s="889"/>
      <c r="GL16" s="889"/>
      <c r="GM16" s="889"/>
      <c r="GN16" s="889"/>
      <c r="GO16" s="889"/>
      <c r="GP16" s="889"/>
      <c r="GQ16" s="889"/>
      <c r="GR16" s="889"/>
      <c r="GS16" s="889"/>
      <c r="GT16" s="889"/>
      <c r="GU16" s="889"/>
      <c r="GV16" s="889"/>
      <c r="GW16" s="889"/>
      <c r="GX16" s="889"/>
      <c r="GY16" s="889"/>
      <c r="GZ16" s="889"/>
      <c r="HA16" s="889"/>
      <c r="HB16" s="889"/>
      <c r="HC16" s="889"/>
      <c r="HD16" s="889"/>
      <c r="HE16" s="889"/>
      <c r="HF16" s="889"/>
      <c r="HG16" s="889"/>
      <c r="HH16" s="889"/>
      <c r="HI16" s="889"/>
      <c r="HJ16" s="889"/>
      <c r="HK16" s="889"/>
      <c r="HL16" s="889"/>
      <c r="HM16" s="889"/>
      <c r="HN16" s="889"/>
      <c r="HO16" s="889"/>
      <c r="HP16" s="889"/>
      <c r="HQ16" s="889"/>
      <c r="HR16" s="889"/>
      <c r="HS16" s="889"/>
      <c r="HT16" s="889"/>
      <c r="HU16" s="889"/>
      <c r="HV16" s="889"/>
      <c r="HW16" s="889"/>
      <c r="HX16" s="889"/>
      <c r="HY16" s="889"/>
      <c r="HZ16" s="889"/>
      <c r="IA16" s="889"/>
      <c r="IB16" s="889"/>
      <c r="IC16" s="889"/>
      <c r="ID16" s="889"/>
      <c r="IE16" s="889"/>
      <c r="IF16" s="889"/>
      <c r="IG16" s="889"/>
      <c r="IH16" s="889"/>
      <c r="II16" s="889"/>
      <c r="IJ16" s="889"/>
      <c r="IK16" s="889"/>
      <c r="IL16" s="889"/>
      <c r="IM16" s="889"/>
      <c r="IN16" s="889"/>
      <c r="IO16" s="889"/>
      <c r="IP16" s="889"/>
      <c r="IQ16" s="889"/>
      <c r="IR16" s="889"/>
      <c r="IS16" s="889"/>
      <c r="IT16" s="889"/>
      <c r="IU16" s="889"/>
      <c r="IV16" s="889"/>
    </row>
    <row r="17" spans="1:256" ht="11.25" customHeight="1" thickBot="1">
      <c r="A17" s="917" t="s">
        <v>805</v>
      </c>
      <c r="B17" s="918">
        <v>4179</v>
      </c>
      <c r="C17" s="918">
        <v>4324</v>
      </c>
      <c r="D17" s="919">
        <v>4504</v>
      </c>
      <c r="E17" s="919">
        <v>4656</v>
      </c>
      <c r="F17" s="919">
        <v>4395</v>
      </c>
      <c r="G17" s="919">
        <v>4794.8999999999996</v>
      </c>
      <c r="H17" s="919">
        <v>3671.4</v>
      </c>
      <c r="I17" s="919">
        <v>4435.1000000000004</v>
      </c>
      <c r="J17" s="919">
        <v>4852.3</v>
      </c>
      <c r="K17" s="919">
        <v>4968.7</v>
      </c>
      <c r="L17" s="920">
        <v>4703.2</v>
      </c>
      <c r="M17" s="920">
        <v>4732.8999999999996</v>
      </c>
      <c r="N17" s="919">
        <v>4502.1000000000004</v>
      </c>
      <c r="O17" s="889"/>
      <c r="P17" s="889"/>
      <c r="Q17" s="889"/>
      <c r="R17" s="889"/>
      <c r="S17" s="889"/>
      <c r="T17" s="889"/>
      <c r="U17" s="889"/>
      <c r="V17" s="889"/>
      <c r="W17" s="889"/>
      <c r="X17" s="889"/>
      <c r="Y17" s="889"/>
      <c r="Z17" s="889"/>
      <c r="AA17" s="889"/>
      <c r="AB17" s="889"/>
      <c r="AC17" s="889"/>
      <c r="AD17" s="889"/>
      <c r="AE17" s="889"/>
      <c r="AF17" s="889"/>
      <c r="AG17" s="889"/>
      <c r="AH17" s="889"/>
      <c r="AI17" s="889"/>
      <c r="AJ17" s="889"/>
      <c r="AK17" s="889"/>
      <c r="AL17" s="889"/>
      <c r="AM17" s="889"/>
      <c r="AN17" s="889"/>
      <c r="AO17" s="889"/>
      <c r="AP17" s="889"/>
      <c r="AQ17" s="889"/>
      <c r="AR17" s="889"/>
      <c r="AS17" s="889"/>
      <c r="AT17" s="889"/>
      <c r="AU17" s="889"/>
      <c r="AV17" s="889"/>
      <c r="AW17" s="889"/>
      <c r="AX17" s="889"/>
      <c r="AY17" s="889"/>
      <c r="AZ17" s="889"/>
      <c r="BA17" s="889"/>
      <c r="BB17" s="889"/>
      <c r="BC17" s="889"/>
      <c r="BD17" s="889"/>
      <c r="BE17" s="889"/>
      <c r="BF17" s="889"/>
      <c r="BG17" s="889"/>
      <c r="BH17" s="889"/>
      <c r="BI17" s="889"/>
      <c r="BJ17" s="889"/>
      <c r="BK17" s="889"/>
      <c r="BL17" s="889"/>
      <c r="BM17" s="889"/>
      <c r="BN17" s="889"/>
      <c r="BO17" s="889"/>
      <c r="BP17" s="889"/>
      <c r="BQ17" s="889"/>
      <c r="BR17" s="889"/>
      <c r="BS17" s="889"/>
      <c r="BT17" s="889"/>
      <c r="BU17" s="889"/>
      <c r="BV17" s="889"/>
      <c r="BW17" s="889"/>
      <c r="BX17" s="889"/>
      <c r="BY17" s="889"/>
      <c r="BZ17" s="889"/>
      <c r="CA17" s="889"/>
      <c r="CB17" s="889"/>
      <c r="CC17" s="889"/>
      <c r="CD17" s="889"/>
      <c r="CE17" s="889"/>
      <c r="CF17" s="889"/>
      <c r="CG17" s="889"/>
      <c r="CH17" s="889"/>
      <c r="CI17" s="889"/>
      <c r="CJ17" s="889"/>
      <c r="CK17" s="889"/>
      <c r="CL17" s="889"/>
      <c r="CM17" s="889"/>
      <c r="CN17" s="889"/>
      <c r="CO17" s="889"/>
      <c r="CP17" s="889"/>
      <c r="CQ17" s="889"/>
      <c r="CR17" s="889"/>
      <c r="CS17" s="889"/>
      <c r="CT17" s="889"/>
      <c r="CU17" s="889"/>
      <c r="CV17" s="889"/>
      <c r="CW17" s="889"/>
      <c r="CX17" s="889"/>
      <c r="CY17" s="889"/>
      <c r="CZ17" s="889"/>
      <c r="DA17" s="889"/>
      <c r="DB17" s="889"/>
      <c r="DC17" s="889"/>
      <c r="DD17" s="889"/>
      <c r="DE17" s="889"/>
      <c r="DF17" s="889"/>
      <c r="DG17" s="889"/>
      <c r="DH17" s="889"/>
      <c r="DI17" s="889"/>
      <c r="DJ17" s="889"/>
      <c r="DK17" s="889"/>
      <c r="DL17" s="889"/>
      <c r="DM17" s="889"/>
      <c r="DN17" s="889"/>
      <c r="DO17" s="889"/>
      <c r="DP17" s="889"/>
      <c r="DQ17" s="889"/>
      <c r="DR17" s="889"/>
      <c r="DS17" s="889"/>
      <c r="DT17" s="889"/>
      <c r="DU17" s="889"/>
      <c r="DV17" s="889"/>
      <c r="DW17" s="889"/>
      <c r="DX17" s="889"/>
      <c r="DY17" s="889"/>
      <c r="DZ17" s="889"/>
      <c r="EA17" s="889"/>
      <c r="EB17" s="889"/>
      <c r="EC17" s="889"/>
      <c r="ED17" s="889"/>
      <c r="EE17" s="889"/>
      <c r="EF17" s="889"/>
      <c r="EG17" s="889"/>
      <c r="EH17" s="889"/>
      <c r="EI17" s="889"/>
      <c r="EJ17" s="889"/>
      <c r="EK17" s="889"/>
      <c r="EL17" s="889"/>
      <c r="EM17" s="889"/>
      <c r="EN17" s="889"/>
      <c r="EO17" s="889"/>
      <c r="EP17" s="889"/>
      <c r="EQ17" s="889"/>
      <c r="ER17" s="889"/>
      <c r="ES17" s="889"/>
      <c r="ET17" s="889"/>
      <c r="EU17" s="889"/>
      <c r="EV17" s="889"/>
      <c r="EW17" s="889"/>
      <c r="EX17" s="889"/>
      <c r="EY17" s="889"/>
      <c r="EZ17" s="889"/>
      <c r="FA17" s="889"/>
      <c r="FB17" s="889"/>
      <c r="FC17" s="889"/>
      <c r="FD17" s="889"/>
      <c r="FE17" s="889"/>
      <c r="FF17" s="889"/>
      <c r="FG17" s="889"/>
      <c r="FH17" s="889"/>
      <c r="FI17" s="889"/>
      <c r="FJ17" s="889"/>
      <c r="FK17" s="889"/>
      <c r="FL17" s="889"/>
      <c r="FM17" s="889"/>
      <c r="FN17" s="889"/>
      <c r="FO17" s="889"/>
      <c r="FP17" s="889"/>
      <c r="FQ17" s="889"/>
      <c r="FR17" s="889"/>
      <c r="FS17" s="889"/>
      <c r="FT17" s="889"/>
      <c r="FU17" s="889"/>
      <c r="FV17" s="889"/>
      <c r="FW17" s="889"/>
      <c r="FX17" s="889"/>
      <c r="FY17" s="889"/>
      <c r="FZ17" s="889"/>
      <c r="GA17" s="889"/>
      <c r="GB17" s="889"/>
      <c r="GC17" s="889"/>
      <c r="GD17" s="889"/>
      <c r="GE17" s="889"/>
      <c r="GF17" s="889"/>
      <c r="GG17" s="889"/>
      <c r="GH17" s="889"/>
      <c r="GI17" s="889"/>
      <c r="GJ17" s="889"/>
      <c r="GK17" s="889"/>
      <c r="GL17" s="889"/>
      <c r="GM17" s="889"/>
      <c r="GN17" s="889"/>
      <c r="GO17" s="889"/>
      <c r="GP17" s="889"/>
      <c r="GQ17" s="889"/>
      <c r="GR17" s="889"/>
      <c r="GS17" s="889"/>
      <c r="GT17" s="889"/>
      <c r="GU17" s="889"/>
      <c r="GV17" s="889"/>
      <c r="GW17" s="889"/>
      <c r="GX17" s="889"/>
      <c r="GY17" s="889"/>
      <c r="GZ17" s="889"/>
      <c r="HA17" s="889"/>
      <c r="HB17" s="889"/>
      <c r="HC17" s="889"/>
      <c r="HD17" s="889"/>
      <c r="HE17" s="889"/>
      <c r="HF17" s="889"/>
      <c r="HG17" s="889"/>
      <c r="HH17" s="889"/>
      <c r="HI17" s="889"/>
      <c r="HJ17" s="889"/>
      <c r="HK17" s="889"/>
      <c r="HL17" s="889"/>
      <c r="HM17" s="889"/>
      <c r="HN17" s="889"/>
      <c r="HO17" s="889"/>
      <c r="HP17" s="889"/>
      <c r="HQ17" s="889"/>
      <c r="HR17" s="889"/>
      <c r="HS17" s="889"/>
      <c r="HT17" s="889"/>
      <c r="HU17" s="889"/>
      <c r="HV17" s="889"/>
      <c r="HW17" s="889"/>
      <c r="HX17" s="889"/>
      <c r="HY17" s="889"/>
      <c r="HZ17" s="889"/>
      <c r="IA17" s="889"/>
      <c r="IB17" s="889"/>
      <c r="IC17" s="889"/>
      <c r="ID17" s="889"/>
      <c r="IE17" s="889"/>
      <c r="IF17" s="889"/>
      <c r="IG17" s="889"/>
      <c r="IH17" s="889"/>
      <c r="II17" s="889"/>
      <c r="IJ17" s="889"/>
      <c r="IK17" s="889"/>
      <c r="IL17" s="889"/>
      <c r="IM17" s="889"/>
      <c r="IN17" s="889"/>
      <c r="IO17" s="889"/>
      <c r="IP17" s="889"/>
      <c r="IQ17" s="889"/>
      <c r="IR17" s="889"/>
      <c r="IS17" s="889"/>
      <c r="IT17" s="889"/>
      <c r="IU17" s="889"/>
      <c r="IV17" s="889"/>
    </row>
    <row r="18" spans="1:256" ht="12" customHeight="1" thickTop="1">
      <c r="A18" s="890" t="s">
        <v>158</v>
      </c>
      <c r="B18" s="898"/>
      <c r="C18" s="898"/>
      <c r="D18" s="921"/>
      <c r="E18" s="921"/>
      <c r="F18" s="921"/>
      <c r="G18" s="921"/>
      <c r="H18" s="921"/>
      <c r="I18" s="921"/>
      <c r="J18" s="921"/>
      <c r="K18" s="921"/>
      <c r="L18" s="921"/>
      <c r="M18" s="921"/>
      <c r="N18" s="921"/>
      <c r="O18" s="889"/>
      <c r="P18" s="889"/>
      <c r="Q18" s="889"/>
      <c r="R18" s="889"/>
      <c r="S18" s="889"/>
      <c r="T18" s="889"/>
      <c r="U18" s="889"/>
      <c r="V18" s="889"/>
      <c r="W18" s="889"/>
      <c r="X18" s="889"/>
      <c r="Y18" s="889"/>
      <c r="Z18" s="889"/>
      <c r="AA18" s="889"/>
      <c r="AB18" s="889"/>
      <c r="AC18" s="889"/>
      <c r="AD18" s="889"/>
      <c r="AE18" s="889"/>
      <c r="AF18" s="889"/>
      <c r="AG18" s="889"/>
      <c r="AH18" s="889"/>
      <c r="AI18" s="889"/>
      <c r="AJ18" s="889"/>
      <c r="AK18" s="889"/>
      <c r="AL18" s="889"/>
      <c r="AM18" s="889"/>
      <c r="AN18" s="889"/>
      <c r="AO18" s="889"/>
      <c r="AP18" s="889"/>
      <c r="AQ18" s="889"/>
      <c r="AR18" s="889"/>
      <c r="AS18" s="889"/>
      <c r="AT18" s="889"/>
      <c r="AU18" s="889"/>
      <c r="AV18" s="889"/>
      <c r="AW18" s="889"/>
      <c r="AX18" s="889"/>
      <c r="AY18" s="889"/>
      <c r="AZ18" s="889"/>
      <c r="BA18" s="889"/>
      <c r="BB18" s="889"/>
      <c r="BC18" s="889"/>
      <c r="BD18" s="889"/>
      <c r="BE18" s="889"/>
      <c r="BF18" s="889"/>
      <c r="BG18" s="889"/>
      <c r="BH18" s="889"/>
      <c r="BI18" s="889"/>
      <c r="BJ18" s="889"/>
      <c r="BK18" s="889"/>
      <c r="BL18" s="889"/>
      <c r="BM18" s="889"/>
      <c r="BN18" s="889"/>
      <c r="BO18" s="889"/>
      <c r="BP18" s="889"/>
      <c r="BQ18" s="889"/>
      <c r="BR18" s="889"/>
      <c r="BS18" s="889"/>
      <c r="BT18" s="889"/>
      <c r="BU18" s="889"/>
      <c r="BV18" s="889"/>
      <c r="BW18" s="889"/>
      <c r="BX18" s="889"/>
      <c r="BY18" s="889"/>
      <c r="BZ18" s="889"/>
      <c r="CA18" s="889"/>
      <c r="CB18" s="889"/>
      <c r="CC18" s="889"/>
      <c r="CD18" s="889"/>
      <c r="CE18" s="889"/>
      <c r="CF18" s="889"/>
      <c r="CG18" s="889"/>
      <c r="CH18" s="889"/>
      <c r="CI18" s="889"/>
      <c r="CJ18" s="889"/>
      <c r="CK18" s="889"/>
      <c r="CL18" s="889"/>
      <c r="CM18" s="889"/>
      <c r="CN18" s="889"/>
      <c r="CO18" s="889"/>
      <c r="CP18" s="889"/>
      <c r="CQ18" s="889"/>
      <c r="CR18" s="889"/>
      <c r="CS18" s="889"/>
      <c r="CT18" s="889"/>
      <c r="CU18" s="889"/>
      <c r="CV18" s="889"/>
      <c r="CW18" s="889"/>
      <c r="CX18" s="889"/>
      <c r="CY18" s="889"/>
      <c r="CZ18" s="889"/>
      <c r="DA18" s="889"/>
      <c r="DB18" s="889"/>
      <c r="DC18" s="889"/>
      <c r="DD18" s="889"/>
      <c r="DE18" s="889"/>
      <c r="DF18" s="889"/>
      <c r="DG18" s="889"/>
      <c r="DH18" s="889"/>
      <c r="DI18" s="889"/>
      <c r="DJ18" s="889"/>
      <c r="DK18" s="889"/>
      <c r="DL18" s="889"/>
      <c r="DM18" s="889"/>
      <c r="DN18" s="889"/>
      <c r="DO18" s="889"/>
      <c r="DP18" s="889"/>
      <c r="DQ18" s="889"/>
      <c r="DR18" s="889"/>
      <c r="DS18" s="889"/>
      <c r="DT18" s="889"/>
      <c r="DU18" s="889"/>
      <c r="DV18" s="889"/>
      <c r="DW18" s="889"/>
      <c r="DX18" s="889"/>
      <c r="DY18" s="889"/>
      <c r="DZ18" s="889"/>
      <c r="EA18" s="889"/>
      <c r="EB18" s="889"/>
      <c r="EC18" s="889"/>
      <c r="ED18" s="889"/>
      <c r="EE18" s="889"/>
      <c r="EF18" s="889"/>
      <c r="EG18" s="889"/>
      <c r="EH18" s="889"/>
      <c r="EI18" s="889"/>
      <c r="EJ18" s="889"/>
      <c r="EK18" s="889"/>
      <c r="EL18" s="889"/>
      <c r="EM18" s="889"/>
      <c r="EN18" s="889"/>
      <c r="EO18" s="889"/>
      <c r="EP18" s="889"/>
      <c r="EQ18" s="889"/>
      <c r="ER18" s="889"/>
      <c r="ES18" s="889"/>
      <c r="ET18" s="889"/>
      <c r="EU18" s="889"/>
      <c r="EV18" s="889"/>
      <c r="EW18" s="889"/>
      <c r="EX18" s="889"/>
      <c r="EY18" s="889"/>
      <c r="EZ18" s="889"/>
      <c r="FA18" s="889"/>
      <c r="FB18" s="889"/>
      <c r="FC18" s="889"/>
      <c r="FD18" s="889"/>
      <c r="FE18" s="889"/>
      <c r="FF18" s="889"/>
      <c r="FG18" s="889"/>
      <c r="FH18" s="889"/>
      <c r="FI18" s="889"/>
      <c r="FJ18" s="889"/>
      <c r="FK18" s="889"/>
      <c r="FL18" s="889"/>
      <c r="FM18" s="889"/>
      <c r="FN18" s="889"/>
      <c r="FO18" s="889"/>
      <c r="FP18" s="889"/>
      <c r="FQ18" s="889"/>
      <c r="FR18" s="889"/>
      <c r="FS18" s="889"/>
      <c r="FT18" s="889"/>
      <c r="FU18" s="889"/>
      <c r="FV18" s="889"/>
      <c r="FW18" s="889"/>
      <c r="FX18" s="889"/>
      <c r="FY18" s="889"/>
      <c r="FZ18" s="889"/>
      <c r="GA18" s="889"/>
      <c r="GB18" s="889"/>
      <c r="GC18" s="889"/>
      <c r="GD18" s="889"/>
      <c r="GE18" s="889"/>
      <c r="GF18" s="889"/>
      <c r="GG18" s="889"/>
      <c r="GH18" s="889"/>
      <c r="GI18" s="889"/>
      <c r="GJ18" s="889"/>
      <c r="GK18" s="889"/>
      <c r="GL18" s="889"/>
      <c r="GM18" s="889"/>
      <c r="GN18" s="889"/>
      <c r="GO18" s="889"/>
      <c r="GP18" s="889"/>
      <c r="GQ18" s="889"/>
      <c r="GR18" s="889"/>
      <c r="GS18" s="889"/>
      <c r="GT18" s="889"/>
      <c r="GU18" s="889"/>
      <c r="GV18" s="889"/>
      <c r="GW18" s="889"/>
      <c r="GX18" s="889"/>
      <c r="GY18" s="889"/>
      <c r="GZ18" s="889"/>
      <c r="HA18" s="889"/>
      <c r="HB18" s="889"/>
      <c r="HC18" s="889"/>
      <c r="HD18" s="889"/>
      <c r="HE18" s="889"/>
      <c r="HF18" s="889"/>
      <c r="HG18" s="889"/>
      <c r="HH18" s="889"/>
      <c r="HI18" s="889"/>
      <c r="HJ18" s="889"/>
      <c r="HK18" s="889"/>
      <c r="HL18" s="889"/>
      <c r="HM18" s="889"/>
      <c r="HN18" s="889"/>
      <c r="HO18" s="889"/>
      <c r="HP18" s="889"/>
      <c r="HQ18" s="889"/>
      <c r="HR18" s="889"/>
      <c r="HS18" s="889"/>
      <c r="HT18" s="889"/>
      <c r="HU18" s="889"/>
      <c r="HV18" s="889"/>
      <c r="HW18" s="889"/>
      <c r="HX18" s="889"/>
      <c r="HY18" s="889"/>
      <c r="HZ18" s="889"/>
      <c r="IA18" s="889"/>
      <c r="IB18" s="889"/>
      <c r="IC18" s="889"/>
      <c r="ID18" s="889"/>
      <c r="IE18" s="889"/>
      <c r="IF18" s="889"/>
      <c r="IG18" s="889"/>
      <c r="IH18" s="889"/>
      <c r="II18" s="889"/>
      <c r="IJ18" s="889"/>
      <c r="IK18" s="889"/>
      <c r="IL18" s="889"/>
      <c r="IM18" s="889"/>
      <c r="IN18" s="889"/>
      <c r="IO18" s="889"/>
      <c r="IP18" s="889"/>
      <c r="IQ18" s="889"/>
      <c r="IR18" s="889"/>
      <c r="IS18" s="889"/>
      <c r="IT18" s="889"/>
      <c r="IU18" s="889"/>
      <c r="IV18" s="889"/>
    </row>
    <row r="19" spans="1:256" ht="10.5" customHeight="1">
      <c r="A19" s="875" t="s">
        <v>457</v>
      </c>
      <c r="B19" s="898">
        <v>311</v>
      </c>
      <c r="C19" s="898">
        <v>278.7</v>
      </c>
      <c r="D19" s="899">
        <v>195</v>
      </c>
      <c r="E19" s="899">
        <v>119.2</v>
      </c>
      <c r="F19" s="899">
        <v>71.2</v>
      </c>
      <c r="G19" s="899">
        <v>155.30000000000001</v>
      </c>
      <c r="H19" s="899">
        <v>145.19999999999999</v>
      </c>
      <c r="I19" s="899">
        <v>160.19999999999999</v>
      </c>
      <c r="J19" s="899">
        <v>113</v>
      </c>
      <c r="K19" s="899">
        <v>109.2</v>
      </c>
      <c r="L19" s="922">
        <v>110.5</v>
      </c>
      <c r="M19" s="922">
        <v>111.9</v>
      </c>
      <c r="N19" s="899">
        <v>112.6</v>
      </c>
      <c r="O19" s="889"/>
      <c r="P19" s="889"/>
      <c r="Q19" s="889"/>
      <c r="R19" s="889"/>
      <c r="S19" s="889"/>
      <c r="T19" s="889"/>
      <c r="U19" s="889"/>
      <c r="V19" s="889"/>
      <c r="W19" s="889"/>
      <c r="X19" s="889"/>
      <c r="Y19" s="889"/>
      <c r="Z19" s="889"/>
      <c r="AA19" s="889"/>
      <c r="AB19" s="889"/>
      <c r="AC19" s="889"/>
      <c r="AD19" s="889"/>
      <c r="AE19" s="889"/>
      <c r="AF19" s="889"/>
      <c r="AG19" s="889"/>
      <c r="AH19" s="889"/>
      <c r="AI19" s="889"/>
      <c r="AJ19" s="889"/>
      <c r="AK19" s="889"/>
      <c r="AL19" s="889"/>
      <c r="AM19" s="889"/>
      <c r="AN19" s="889"/>
      <c r="AO19" s="889"/>
      <c r="AP19" s="889"/>
      <c r="AQ19" s="889"/>
      <c r="AR19" s="889"/>
      <c r="AS19" s="889"/>
      <c r="AT19" s="889"/>
      <c r="AU19" s="889"/>
      <c r="AV19" s="889"/>
      <c r="AW19" s="889"/>
      <c r="AX19" s="889"/>
      <c r="AY19" s="889"/>
      <c r="AZ19" s="889"/>
      <c r="BA19" s="889"/>
      <c r="BB19" s="889"/>
      <c r="BC19" s="889"/>
      <c r="BD19" s="889"/>
      <c r="BE19" s="889"/>
      <c r="BF19" s="889"/>
      <c r="BG19" s="889"/>
      <c r="BH19" s="889"/>
      <c r="BI19" s="889"/>
      <c r="BJ19" s="889"/>
      <c r="BK19" s="889"/>
      <c r="BL19" s="889"/>
      <c r="BM19" s="889"/>
      <c r="BN19" s="889"/>
      <c r="BO19" s="889"/>
      <c r="BP19" s="889"/>
      <c r="BQ19" s="889"/>
      <c r="BR19" s="889"/>
      <c r="BS19" s="889"/>
      <c r="BT19" s="889"/>
      <c r="BU19" s="889"/>
      <c r="BV19" s="889"/>
      <c r="BW19" s="889"/>
      <c r="BX19" s="889"/>
      <c r="BY19" s="889"/>
      <c r="BZ19" s="889"/>
      <c r="CA19" s="889"/>
      <c r="CB19" s="889"/>
      <c r="CC19" s="889"/>
      <c r="CD19" s="889"/>
      <c r="CE19" s="889"/>
      <c r="CF19" s="889"/>
      <c r="CG19" s="889"/>
      <c r="CH19" s="889"/>
      <c r="CI19" s="889"/>
      <c r="CJ19" s="889"/>
      <c r="CK19" s="889"/>
      <c r="CL19" s="889"/>
      <c r="CM19" s="889"/>
      <c r="CN19" s="889"/>
      <c r="CO19" s="889"/>
      <c r="CP19" s="889"/>
      <c r="CQ19" s="889"/>
      <c r="CR19" s="889"/>
      <c r="CS19" s="889"/>
      <c r="CT19" s="889"/>
      <c r="CU19" s="889"/>
      <c r="CV19" s="889"/>
      <c r="CW19" s="889"/>
      <c r="CX19" s="889"/>
      <c r="CY19" s="889"/>
      <c r="CZ19" s="889"/>
      <c r="DA19" s="889"/>
      <c r="DB19" s="889"/>
      <c r="DC19" s="889"/>
      <c r="DD19" s="889"/>
      <c r="DE19" s="889"/>
      <c r="DF19" s="889"/>
      <c r="DG19" s="889"/>
      <c r="DH19" s="889"/>
      <c r="DI19" s="889"/>
      <c r="DJ19" s="889"/>
      <c r="DK19" s="889"/>
      <c r="DL19" s="889"/>
      <c r="DM19" s="889"/>
      <c r="DN19" s="889"/>
      <c r="DO19" s="889"/>
      <c r="DP19" s="889"/>
      <c r="DQ19" s="889"/>
      <c r="DR19" s="889"/>
      <c r="DS19" s="889"/>
      <c r="DT19" s="889"/>
      <c r="DU19" s="889"/>
      <c r="DV19" s="889"/>
      <c r="DW19" s="889"/>
      <c r="DX19" s="889"/>
      <c r="DY19" s="889"/>
      <c r="DZ19" s="889"/>
      <c r="EA19" s="889"/>
      <c r="EB19" s="889"/>
      <c r="EC19" s="889"/>
      <c r="ED19" s="889"/>
      <c r="EE19" s="889"/>
      <c r="EF19" s="889"/>
      <c r="EG19" s="889"/>
      <c r="EH19" s="889"/>
      <c r="EI19" s="889"/>
      <c r="EJ19" s="889"/>
      <c r="EK19" s="889"/>
      <c r="EL19" s="889"/>
      <c r="EM19" s="889"/>
      <c r="EN19" s="889"/>
      <c r="EO19" s="889"/>
      <c r="EP19" s="889"/>
      <c r="EQ19" s="889"/>
      <c r="ER19" s="889"/>
      <c r="ES19" s="889"/>
      <c r="ET19" s="889"/>
      <c r="EU19" s="889"/>
      <c r="EV19" s="889"/>
      <c r="EW19" s="889"/>
      <c r="EX19" s="889"/>
      <c r="EY19" s="889"/>
      <c r="EZ19" s="889"/>
      <c r="FA19" s="889"/>
      <c r="FB19" s="889"/>
      <c r="FC19" s="889"/>
      <c r="FD19" s="889"/>
      <c r="FE19" s="889"/>
      <c r="FF19" s="889"/>
      <c r="FG19" s="889"/>
      <c r="FH19" s="889"/>
      <c r="FI19" s="889"/>
      <c r="FJ19" s="889"/>
      <c r="FK19" s="889"/>
      <c r="FL19" s="889"/>
      <c r="FM19" s="889"/>
      <c r="FN19" s="889"/>
      <c r="FO19" s="889"/>
      <c r="FP19" s="889"/>
      <c r="FQ19" s="889"/>
      <c r="FR19" s="889"/>
      <c r="FS19" s="889"/>
      <c r="FT19" s="889"/>
      <c r="FU19" s="889"/>
      <c r="FV19" s="889"/>
      <c r="FW19" s="889"/>
      <c r="FX19" s="889"/>
      <c r="FY19" s="889"/>
      <c r="FZ19" s="889"/>
      <c r="GA19" s="889"/>
      <c r="GB19" s="889"/>
      <c r="GC19" s="889"/>
      <c r="GD19" s="889"/>
      <c r="GE19" s="889"/>
      <c r="GF19" s="889"/>
      <c r="GG19" s="889"/>
      <c r="GH19" s="889"/>
      <c r="GI19" s="889"/>
      <c r="GJ19" s="889"/>
      <c r="GK19" s="889"/>
      <c r="GL19" s="889"/>
      <c r="GM19" s="889"/>
      <c r="GN19" s="889"/>
      <c r="GO19" s="889"/>
      <c r="GP19" s="889"/>
      <c r="GQ19" s="889"/>
      <c r="GR19" s="889"/>
      <c r="GS19" s="889"/>
      <c r="GT19" s="889"/>
      <c r="GU19" s="889"/>
      <c r="GV19" s="889"/>
      <c r="GW19" s="889"/>
      <c r="GX19" s="889"/>
      <c r="GY19" s="889"/>
      <c r="GZ19" s="889"/>
      <c r="HA19" s="889"/>
      <c r="HB19" s="889"/>
      <c r="HC19" s="889"/>
      <c r="HD19" s="889"/>
      <c r="HE19" s="889"/>
      <c r="HF19" s="889"/>
      <c r="HG19" s="889"/>
      <c r="HH19" s="889"/>
      <c r="HI19" s="889"/>
      <c r="HJ19" s="889"/>
      <c r="HK19" s="889"/>
      <c r="HL19" s="889"/>
      <c r="HM19" s="889"/>
      <c r="HN19" s="889"/>
      <c r="HO19" s="889"/>
      <c r="HP19" s="889"/>
      <c r="HQ19" s="889"/>
      <c r="HR19" s="889"/>
      <c r="HS19" s="889"/>
      <c r="HT19" s="889"/>
      <c r="HU19" s="889"/>
      <c r="HV19" s="889"/>
      <c r="HW19" s="889"/>
      <c r="HX19" s="889"/>
      <c r="HY19" s="889"/>
      <c r="HZ19" s="889"/>
      <c r="IA19" s="889"/>
      <c r="IB19" s="889"/>
      <c r="IC19" s="889"/>
      <c r="ID19" s="889"/>
      <c r="IE19" s="889"/>
      <c r="IF19" s="889"/>
      <c r="IG19" s="889"/>
      <c r="IH19" s="889"/>
      <c r="II19" s="889"/>
      <c r="IJ19" s="889"/>
      <c r="IK19" s="889"/>
      <c r="IL19" s="889"/>
      <c r="IM19" s="889"/>
      <c r="IN19" s="889"/>
      <c r="IO19" s="889"/>
      <c r="IP19" s="889"/>
      <c r="IQ19" s="889"/>
      <c r="IR19" s="889"/>
      <c r="IS19" s="889"/>
      <c r="IT19" s="889"/>
      <c r="IU19" s="889"/>
      <c r="IV19" s="889"/>
    </row>
    <row r="20" spans="1:256" ht="10.5" customHeight="1">
      <c r="A20" s="875" t="s">
        <v>798</v>
      </c>
      <c r="B20" s="898">
        <v>813.8</v>
      </c>
      <c r="C20" s="898">
        <v>918.2</v>
      </c>
      <c r="D20" s="899">
        <v>974.4</v>
      </c>
      <c r="E20" s="899">
        <v>869</v>
      </c>
      <c r="F20" s="899">
        <v>1079.2</v>
      </c>
      <c r="G20" s="899">
        <v>867.6</v>
      </c>
      <c r="H20" s="899">
        <v>968.3</v>
      </c>
      <c r="I20" s="899">
        <v>937.8</v>
      </c>
      <c r="J20" s="899">
        <v>883.9</v>
      </c>
      <c r="K20" s="899">
        <v>899.9</v>
      </c>
      <c r="L20" s="922">
        <v>717.7</v>
      </c>
      <c r="M20" s="922">
        <v>723.3</v>
      </c>
      <c r="N20" s="899">
        <v>759.8</v>
      </c>
      <c r="O20" s="889"/>
      <c r="P20" s="889"/>
      <c r="Q20" s="889"/>
      <c r="R20" s="889"/>
      <c r="S20" s="889"/>
      <c r="T20" s="889"/>
      <c r="U20" s="889"/>
      <c r="V20" s="889"/>
      <c r="W20" s="889"/>
      <c r="X20" s="889"/>
      <c r="Y20" s="889"/>
      <c r="Z20" s="889"/>
      <c r="AA20" s="889"/>
      <c r="AB20" s="889"/>
      <c r="AC20" s="889"/>
      <c r="AD20" s="889"/>
      <c r="AE20" s="889"/>
      <c r="AF20" s="889"/>
      <c r="AG20" s="889"/>
      <c r="AH20" s="889"/>
      <c r="AI20" s="889"/>
      <c r="AJ20" s="889"/>
      <c r="AK20" s="889"/>
      <c r="AL20" s="889"/>
      <c r="AM20" s="889"/>
      <c r="AN20" s="889"/>
      <c r="AO20" s="889"/>
      <c r="AP20" s="889"/>
      <c r="AQ20" s="889"/>
      <c r="AR20" s="889"/>
      <c r="AS20" s="889"/>
      <c r="AT20" s="889"/>
      <c r="AU20" s="889"/>
      <c r="AV20" s="889"/>
      <c r="AW20" s="889"/>
      <c r="AX20" s="889"/>
      <c r="AY20" s="889"/>
      <c r="AZ20" s="889"/>
      <c r="BA20" s="889"/>
      <c r="BB20" s="889"/>
      <c r="BC20" s="889"/>
      <c r="BD20" s="889"/>
      <c r="BE20" s="889"/>
      <c r="BF20" s="889"/>
      <c r="BG20" s="889"/>
      <c r="BH20" s="889"/>
      <c r="BI20" s="889"/>
      <c r="BJ20" s="889"/>
      <c r="BK20" s="889"/>
      <c r="BL20" s="889"/>
      <c r="BM20" s="889"/>
      <c r="BN20" s="889"/>
      <c r="BO20" s="889"/>
      <c r="BP20" s="889"/>
      <c r="BQ20" s="889"/>
      <c r="BR20" s="889"/>
      <c r="BS20" s="889"/>
      <c r="BT20" s="889"/>
      <c r="BU20" s="889"/>
      <c r="BV20" s="889"/>
      <c r="BW20" s="889"/>
      <c r="BX20" s="889"/>
      <c r="BY20" s="889"/>
      <c r="BZ20" s="889"/>
      <c r="CA20" s="889"/>
      <c r="CB20" s="889"/>
      <c r="CC20" s="889"/>
      <c r="CD20" s="889"/>
      <c r="CE20" s="889"/>
      <c r="CF20" s="889"/>
      <c r="CG20" s="889"/>
      <c r="CH20" s="889"/>
      <c r="CI20" s="889"/>
      <c r="CJ20" s="889"/>
      <c r="CK20" s="889"/>
      <c r="CL20" s="889"/>
      <c r="CM20" s="889"/>
      <c r="CN20" s="889"/>
      <c r="CO20" s="889"/>
      <c r="CP20" s="889"/>
      <c r="CQ20" s="889"/>
      <c r="CR20" s="889"/>
      <c r="CS20" s="889"/>
      <c r="CT20" s="889"/>
      <c r="CU20" s="889"/>
      <c r="CV20" s="889"/>
      <c r="CW20" s="889"/>
      <c r="CX20" s="889"/>
      <c r="CY20" s="889"/>
      <c r="CZ20" s="889"/>
      <c r="DA20" s="889"/>
      <c r="DB20" s="889"/>
      <c r="DC20" s="889"/>
      <c r="DD20" s="889"/>
      <c r="DE20" s="889"/>
      <c r="DF20" s="889"/>
      <c r="DG20" s="889"/>
      <c r="DH20" s="889"/>
      <c r="DI20" s="889"/>
      <c r="DJ20" s="889"/>
      <c r="DK20" s="889"/>
      <c r="DL20" s="889"/>
      <c r="DM20" s="889"/>
      <c r="DN20" s="889"/>
      <c r="DO20" s="889"/>
      <c r="DP20" s="889"/>
      <c r="DQ20" s="889"/>
      <c r="DR20" s="889"/>
      <c r="DS20" s="889"/>
      <c r="DT20" s="889"/>
      <c r="DU20" s="889"/>
      <c r="DV20" s="889"/>
      <c r="DW20" s="889"/>
      <c r="DX20" s="889"/>
      <c r="DY20" s="889"/>
      <c r="DZ20" s="889"/>
      <c r="EA20" s="889"/>
      <c r="EB20" s="889"/>
      <c r="EC20" s="889"/>
      <c r="ED20" s="889"/>
      <c r="EE20" s="889"/>
      <c r="EF20" s="889"/>
      <c r="EG20" s="889"/>
      <c r="EH20" s="889"/>
      <c r="EI20" s="889"/>
      <c r="EJ20" s="889"/>
      <c r="EK20" s="889"/>
      <c r="EL20" s="889"/>
      <c r="EM20" s="889"/>
      <c r="EN20" s="889"/>
      <c r="EO20" s="889"/>
      <c r="EP20" s="889"/>
      <c r="EQ20" s="889"/>
      <c r="ER20" s="889"/>
      <c r="ES20" s="889"/>
      <c r="ET20" s="889"/>
      <c r="EU20" s="889"/>
      <c r="EV20" s="889"/>
      <c r="EW20" s="889"/>
      <c r="EX20" s="889"/>
      <c r="EY20" s="889"/>
      <c r="EZ20" s="889"/>
      <c r="FA20" s="889"/>
      <c r="FB20" s="889"/>
      <c r="FC20" s="889"/>
      <c r="FD20" s="889"/>
      <c r="FE20" s="889"/>
      <c r="FF20" s="889"/>
      <c r="FG20" s="889"/>
      <c r="FH20" s="889"/>
      <c r="FI20" s="889"/>
      <c r="FJ20" s="889"/>
      <c r="FK20" s="889"/>
      <c r="FL20" s="889"/>
      <c r="FM20" s="889"/>
      <c r="FN20" s="889"/>
      <c r="FO20" s="889"/>
      <c r="FP20" s="889"/>
      <c r="FQ20" s="889"/>
      <c r="FR20" s="889"/>
      <c r="FS20" s="889"/>
      <c r="FT20" s="889"/>
      <c r="FU20" s="889"/>
      <c r="FV20" s="889"/>
      <c r="FW20" s="889"/>
      <c r="FX20" s="889"/>
      <c r="FY20" s="889"/>
      <c r="FZ20" s="889"/>
      <c r="GA20" s="889"/>
      <c r="GB20" s="889"/>
      <c r="GC20" s="889"/>
      <c r="GD20" s="889"/>
      <c r="GE20" s="889"/>
      <c r="GF20" s="889"/>
      <c r="GG20" s="889"/>
      <c r="GH20" s="889"/>
      <c r="GI20" s="889"/>
      <c r="GJ20" s="889"/>
      <c r="GK20" s="889"/>
      <c r="GL20" s="889"/>
      <c r="GM20" s="889"/>
      <c r="GN20" s="889"/>
      <c r="GO20" s="889"/>
      <c r="GP20" s="889"/>
      <c r="GQ20" s="889"/>
      <c r="GR20" s="889"/>
      <c r="GS20" s="889"/>
      <c r="GT20" s="889"/>
      <c r="GU20" s="889"/>
      <c r="GV20" s="889"/>
      <c r="GW20" s="889"/>
      <c r="GX20" s="889"/>
      <c r="GY20" s="889"/>
      <c r="GZ20" s="889"/>
      <c r="HA20" s="889"/>
      <c r="HB20" s="889"/>
      <c r="HC20" s="889"/>
      <c r="HD20" s="889"/>
      <c r="HE20" s="889"/>
      <c r="HF20" s="889"/>
      <c r="HG20" s="889"/>
      <c r="HH20" s="889"/>
      <c r="HI20" s="889"/>
      <c r="HJ20" s="889"/>
      <c r="HK20" s="889"/>
      <c r="HL20" s="889"/>
      <c r="HM20" s="889"/>
      <c r="HN20" s="889"/>
      <c r="HO20" s="889"/>
      <c r="HP20" s="889"/>
      <c r="HQ20" s="889"/>
      <c r="HR20" s="889"/>
      <c r="HS20" s="889"/>
      <c r="HT20" s="889"/>
      <c r="HU20" s="889"/>
      <c r="HV20" s="889"/>
      <c r="HW20" s="889"/>
      <c r="HX20" s="889"/>
      <c r="HY20" s="889"/>
      <c r="HZ20" s="889"/>
      <c r="IA20" s="889"/>
      <c r="IB20" s="889"/>
      <c r="IC20" s="889"/>
      <c r="ID20" s="889"/>
      <c r="IE20" s="889"/>
      <c r="IF20" s="889"/>
      <c r="IG20" s="889"/>
      <c r="IH20" s="889"/>
      <c r="II20" s="889"/>
      <c r="IJ20" s="889"/>
      <c r="IK20" s="889"/>
      <c r="IL20" s="889"/>
      <c r="IM20" s="889"/>
      <c r="IN20" s="889"/>
      <c r="IO20" s="889"/>
      <c r="IP20" s="889"/>
      <c r="IQ20" s="889"/>
      <c r="IR20" s="889"/>
      <c r="IS20" s="889"/>
      <c r="IT20" s="889"/>
      <c r="IU20" s="889"/>
      <c r="IV20" s="889"/>
    </row>
    <row r="21" spans="1:256" ht="10.5" customHeight="1">
      <c r="A21" s="875" t="s">
        <v>799</v>
      </c>
      <c r="B21" s="898">
        <v>134.19999999999999</v>
      </c>
      <c r="C21" s="898">
        <v>112.8</v>
      </c>
      <c r="D21" s="899">
        <v>174.4</v>
      </c>
      <c r="E21" s="899">
        <v>132.30000000000001</v>
      </c>
      <c r="F21" s="899">
        <v>56</v>
      </c>
      <c r="G21" s="899">
        <v>53.2</v>
      </c>
      <c r="H21" s="899">
        <v>29.5</v>
      </c>
      <c r="I21" s="899">
        <v>7.3</v>
      </c>
      <c r="J21" s="899">
        <v>14.1</v>
      </c>
      <c r="K21" s="899">
        <v>19.899999999999999</v>
      </c>
      <c r="L21" s="923">
        <v>15.2</v>
      </c>
      <c r="M21" s="922">
        <v>14</v>
      </c>
      <c r="N21" s="899">
        <v>10.9</v>
      </c>
      <c r="O21" s="889"/>
      <c r="P21" s="889"/>
      <c r="Q21" s="889"/>
      <c r="R21" s="889"/>
      <c r="S21" s="889"/>
      <c r="T21" s="889"/>
      <c r="U21" s="889"/>
      <c r="V21" s="889"/>
      <c r="W21" s="889"/>
      <c r="X21" s="889"/>
      <c r="Y21" s="889"/>
      <c r="Z21" s="889"/>
      <c r="AA21" s="889"/>
      <c r="AB21" s="889"/>
      <c r="AC21" s="889"/>
      <c r="AD21" s="889"/>
      <c r="AE21" s="889"/>
      <c r="AF21" s="889"/>
      <c r="AG21" s="889"/>
      <c r="AH21" s="889"/>
      <c r="AI21" s="889"/>
      <c r="AJ21" s="889"/>
      <c r="AK21" s="889"/>
      <c r="AL21" s="889"/>
      <c r="AM21" s="889"/>
      <c r="AN21" s="889"/>
      <c r="AO21" s="889"/>
      <c r="AP21" s="889"/>
      <c r="AQ21" s="889"/>
      <c r="AR21" s="889"/>
      <c r="AS21" s="889"/>
      <c r="AT21" s="889"/>
      <c r="AU21" s="889"/>
      <c r="AV21" s="889"/>
      <c r="AW21" s="889"/>
      <c r="AX21" s="889"/>
      <c r="AY21" s="889"/>
      <c r="AZ21" s="889"/>
      <c r="BA21" s="889"/>
      <c r="BB21" s="889"/>
      <c r="BC21" s="889"/>
      <c r="BD21" s="889"/>
      <c r="BE21" s="889"/>
      <c r="BF21" s="889"/>
      <c r="BG21" s="889"/>
      <c r="BH21" s="889"/>
      <c r="BI21" s="889"/>
      <c r="BJ21" s="889"/>
      <c r="BK21" s="889"/>
      <c r="BL21" s="889"/>
      <c r="BM21" s="889"/>
      <c r="BN21" s="889"/>
      <c r="BO21" s="889"/>
      <c r="BP21" s="889"/>
      <c r="BQ21" s="889"/>
      <c r="BR21" s="889"/>
      <c r="BS21" s="889"/>
      <c r="BT21" s="889"/>
      <c r="BU21" s="889"/>
      <c r="BV21" s="889"/>
      <c r="BW21" s="889"/>
      <c r="BX21" s="889"/>
      <c r="BY21" s="889"/>
      <c r="BZ21" s="889"/>
      <c r="CA21" s="889"/>
      <c r="CB21" s="889"/>
      <c r="CC21" s="889"/>
      <c r="CD21" s="889"/>
      <c r="CE21" s="889"/>
      <c r="CF21" s="889"/>
      <c r="CG21" s="889"/>
      <c r="CH21" s="889"/>
      <c r="CI21" s="889"/>
      <c r="CJ21" s="889"/>
      <c r="CK21" s="889"/>
      <c r="CL21" s="889"/>
      <c r="CM21" s="889"/>
      <c r="CN21" s="889"/>
      <c r="CO21" s="889"/>
      <c r="CP21" s="889"/>
      <c r="CQ21" s="889"/>
      <c r="CR21" s="889"/>
      <c r="CS21" s="889"/>
      <c r="CT21" s="889"/>
      <c r="CU21" s="889"/>
      <c r="CV21" s="889"/>
      <c r="CW21" s="889"/>
      <c r="CX21" s="889"/>
      <c r="CY21" s="889"/>
      <c r="CZ21" s="889"/>
      <c r="DA21" s="889"/>
      <c r="DB21" s="889"/>
      <c r="DC21" s="889"/>
      <c r="DD21" s="889"/>
      <c r="DE21" s="889"/>
      <c r="DF21" s="889"/>
      <c r="DG21" s="889"/>
      <c r="DH21" s="889"/>
      <c r="DI21" s="889"/>
      <c r="DJ21" s="889"/>
      <c r="DK21" s="889"/>
      <c r="DL21" s="889"/>
      <c r="DM21" s="889"/>
      <c r="DN21" s="889"/>
      <c r="DO21" s="889"/>
      <c r="DP21" s="889"/>
      <c r="DQ21" s="889"/>
      <c r="DR21" s="889"/>
      <c r="DS21" s="889"/>
      <c r="DT21" s="889"/>
      <c r="DU21" s="889"/>
      <c r="DV21" s="889"/>
      <c r="DW21" s="889"/>
      <c r="DX21" s="889"/>
      <c r="DY21" s="889"/>
      <c r="DZ21" s="889"/>
      <c r="EA21" s="889"/>
      <c r="EB21" s="889"/>
      <c r="EC21" s="889"/>
      <c r="ED21" s="889"/>
      <c r="EE21" s="889"/>
      <c r="EF21" s="889"/>
      <c r="EG21" s="889"/>
      <c r="EH21" s="889"/>
      <c r="EI21" s="889"/>
      <c r="EJ21" s="889"/>
      <c r="EK21" s="889"/>
      <c r="EL21" s="889"/>
      <c r="EM21" s="889"/>
      <c r="EN21" s="889"/>
      <c r="EO21" s="889"/>
      <c r="EP21" s="889"/>
      <c r="EQ21" s="889"/>
      <c r="ER21" s="889"/>
      <c r="ES21" s="889"/>
      <c r="ET21" s="889"/>
      <c r="EU21" s="889"/>
      <c r="EV21" s="889"/>
      <c r="EW21" s="889"/>
      <c r="EX21" s="889"/>
      <c r="EY21" s="889"/>
      <c r="EZ21" s="889"/>
      <c r="FA21" s="889"/>
      <c r="FB21" s="889"/>
      <c r="FC21" s="889"/>
      <c r="FD21" s="889"/>
      <c r="FE21" s="889"/>
      <c r="FF21" s="889"/>
      <c r="FG21" s="889"/>
      <c r="FH21" s="889"/>
      <c r="FI21" s="889"/>
      <c r="FJ21" s="889"/>
      <c r="FK21" s="889"/>
      <c r="FL21" s="889"/>
      <c r="FM21" s="889"/>
      <c r="FN21" s="889"/>
      <c r="FO21" s="889"/>
      <c r="FP21" s="889"/>
      <c r="FQ21" s="889"/>
      <c r="FR21" s="889"/>
      <c r="FS21" s="889"/>
      <c r="FT21" s="889"/>
      <c r="FU21" s="889"/>
      <c r="FV21" s="889"/>
      <c r="FW21" s="889"/>
      <c r="FX21" s="889"/>
      <c r="FY21" s="889"/>
      <c r="FZ21" s="889"/>
      <c r="GA21" s="889"/>
      <c r="GB21" s="889"/>
      <c r="GC21" s="889"/>
      <c r="GD21" s="889"/>
      <c r="GE21" s="889"/>
      <c r="GF21" s="889"/>
      <c r="GG21" s="889"/>
      <c r="GH21" s="889"/>
      <c r="GI21" s="889"/>
      <c r="GJ21" s="889"/>
      <c r="GK21" s="889"/>
      <c r="GL21" s="889"/>
      <c r="GM21" s="889"/>
      <c r="GN21" s="889"/>
      <c r="GO21" s="889"/>
      <c r="GP21" s="889"/>
      <c r="GQ21" s="889"/>
      <c r="GR21" s="889"/>
      <c r="GS21" s="889"/>
      <c r="GT21" s="889"/>
      <c r="GU21" s="889"/>
      <c r="GV21" s="889"/>
      <c r="GW21" s="889"/>
      <c r="GX21" s="889"/>
      <c r="GY21" s="889"/>
      <c r="GZ21" s="889"/>
      <c r="HA21" s="889"/>
      <c r="HB21" s="889"/>
      <c r="HC21" s="889"/>
      <c r="HD21" s="889"/>
      <c r="HE21" s="889"/>
      <c r="HF21" s="889"/>
      <c r="HG21" s="889"/>
      <c r="HH21" s="889"/>
      <c r="HI21" s="889"/>
      <c r="HJ21" s="889"/>
      <c r="HK21" s="889"/>
      <c r="HL21" s="889"/>
      <c r="HM21" s="889"/>
      <c r="HN21" s="889"/>
      <c r="HO21" s="889"/>
      <c r="HP21" s="889"/>
      <c r="HQ21" s="889"/>
      <c r="HR21" s="889"/>
      <c r="HS21" s="889"/>
      <c r="HT21" s="889"/>
      <c r="HU21" s="889"/>
      <c r="HV21" s="889"/>
      <c r="HW21" s="889"/>
      <c r="HX21" s="889"/>
      <c r="HY21" s="889"/>
      <c r="HZ21" s="889"/>
      <c r="IA21" s="889"/>
      <c r="IB21" s="889"/>
      <c r="IC21" s="889"/>
      <c r="ID21" s="889"/>
      <c r="IE21" s="889"/>
      <c r="IF21" s="889"/>
      <c r="IG21" s="889"/>
      <c r="IH21" s="889"/>
      <c r="II21" s="889"/>
      <c r="IJ21" s="889"/>
      <c r="IK21" s="889"/>
      <c r="IL21" s="889"/>
      <c r="IM21" s="889"/>
      <c r="IN21" s="889"/>
      <c r="IO21" s="889"/>
      <c r="IP21" s="889"/>
      <c r="IQ21" s="889"/>
      <c r="IR21" s="889"/>
      <c r="IS21" s="889"/>
      <c r="IT21" s="889"/>
      <c r="IU21" s="889"/>
      <c r="IV21" s="889"/>
    </row>
    <row r="22" spans="1:256" ht="10.5" customHeight="1">
      <c r="A22" s="924" t="s">
        <v>800</v>
      </c>
      <c r="B22" s="913">
        <v>352.4</v>
      </c>
      <c r="C22" s="913">
        <v>352.3</v>
      </c>
      <c r="D22" s="914">
        <v>350.5</v>
      </c>
      <c r="E22" s="914">
        <v>364.2</v>
      </c>
      <c r="F22" s="914">
        <v>351.7</v>
      </c>
      <c r="G22" s="914">
        <f>268.5+1.3</f>
        <v>269.8</v>
      </c>
      <c r="H22" s="914">
        <f>301.8+0.5</f>
        <v>302.3</v>
      </c>
      <c r="I22" s="914">
        <v>352.5</v>
      </c>
      <c r="J22" s="914">
        <v>147.4</v>
      </c>
      <c r="K22" s="914">
        <v>137.9</v>
      </c>
      <c r="L22" s="925">
        <v>146.69999999999999</v>
      </c>
      <c r="M22" s="925">
        <v>81.2</v>
      </c>
      <c r="N22" s="914">
        <v>82.6</v>
      </c>
      <c r="O22" s="889"/>
      <c r="P22" s="889"/>
      <c r="Q22" s="889"/>
      <c r="R22" s="889"/>
      <c r="S22" s="889"/>
      <c r="T22" s="889"/>
      <c r="U22" s="889"/>
      <c r="V22" s="889"/>
      <c r="W22" s="889"/>
      <c r="X22" s="889"/>
      <c r="Y22" s="889"/>
      <c r="Z22" s="889"/>
      <c r="AA22" s="889"/>
      <c r="AB22" s="889"/>
      <c r="AC22" s="889"/>
      <c r="AD22" s="889"/>
      <c r="AE22" s="889"/>
      <c r="AF22" s="889"/>
      <c r="AG22" s="889"/>
      <c r="AH22" s="889"/>
      <c r="AI22" s="889"/>
      <c r="AJ22" s="889"/>
      <c r="AK22" s="889"/>
      <c r="AL22" s="889"/>
      <c r="AM22" s="889"/>
      <c r="AN22" s="889"/>
      <c r="AO22" s="889"/>
      <c r="AP22" s="889"/>
      <c r="AQ22" s="889"/>
      <c r="AR22" s="889"/>
      <c r="AS22" s="889"/>
      <c r="AT22" s="889"/>
      <c r="AU22" s="889"/>
      <c r="AV22" s="889"/>
      <c r="AW22" s="889"/>
      <c r="AX22" s="889"/>
      <c r="AY22" s="889"/>
      <c r="AZ22" s="889"/>
      <c r="BA22" s="889"/>
      <c r="BB22" s="889"/>
      <c r="BC22" s="889"/>
      <c r="BD22" s="889"/>
      <c r="BE22" s="889"/>
      <c r="BF22" s="889"/>
      <c r="BG22" s="889"/>
      <c r="BH22" s="889"/>
      <c r="BI22" s="889"/>
      <c r="BJ22" s="889"/>
      <c r="BK22" s="889"/>
      <c r="BL22" s="889"/>
      <c r="BM22" s="889"/>
      <c r="BN22" s="889"/>
      <c r="BO22" s="889"/>
      <c r="BP22" s="889"/>
      <c r="BQ22" s="889"/>
      <c r="BR22" s="889"/>
      <c r="BS22" s="889"/>
      <c r="BT22" s="889"/>
      <c r="BU22" s="889"/>
      <c r="BV22" s="889"/>
      <c r="BW22" s="889"/>
      <c r="BX22" s="889"/>
      <c r="BY22" s="889"/>
      <c r="BZ22" s="889"/>
      <c r="CA22" s="889"/>
      <c r="CB22" s="889"/>
      <c r="CC22" s="889"/>
      <c r="CD22" s="889"/>
      <c r="CE22" s="889"/>
      <c r="CF22" s="889"/>
      <c r="CG22" s="889"/>
      <c r="CH22" s="889"/>
      <c r="CI22" s="889"/>
      <c r="CJ22" s="889"/>
      <c r="CK22" s="889"/>
      <c r="CL22" s="889"/>
      <c r="CM22" s="889"/>
      <c r="CN22" s="889"/>
      <c r="CO22" s="889"/>
      <c r="CP22" s="889"/>
      <c r="CQ22" s="889"/>
      <c r="CR22" s="889"/>
      <c r="CS22" s="889"/>
      <c r="CT22" s="889"/>
      <c r="CU22" s="889"/>
      <c r="CV22" s="889"/>
      <c r="CW22" s="889"/>
      <c r="CX22" s="889"/>
      <c r="CY22" s="889"/>
      <c r="CZ22" s="889"/>
      <c r="DA22" s="889"/>
      <c r="DB22" s="889"/>
      <c r="DC22" s="889"/>
      <c r="DD22" s="889"/>
      <c r="DE22" s="889"/>
      <c r="DF22" s="889"/>
      <c r="DG22" s="889"/>
      <c r="DH22" s="889"/>
      <c r="DI22" s="889"/>
      <c r="DJ22" s="889"/>
      <c r="DK22" s="889"/>
      <c r="DL22" s="889"/>
      <c r="DM22" s="889"/>
      <c r="DN22" s="889"/>
      <c r="DO22" s="889"/>
      <c r="DP22" s="889"/>
      <c r="DQ22" s="889"/>
      <c r="DR22" s="889"/>
      <c r="DS22" s="889"/>
      <c r="DT22" s="889"/>
      <c r="DU22" s="889"/>
      <c r="DV22" s="889"/>
      <c r="DW22" s="889"/>
      <c r="DX22" s="889"/>
      <c r="DY22" s="889"/>
      <c r="DZ22" s="889"/>
      <c r="EA22" s="889"/>
      <c r="EB22" s="889"/>
      <c r="EC22" s="889"/>
      <c r="ED22" s="889"/>
      <c r="EE22" s="889"/>
      <c r="EF22" s="889"/>
      <c r="EG22" s="889"/>
      <c r="EH22" s="889"/>
      <c r="EI22" s="889"/>
      <c r="EJ22" s="889"/>
      <c r="EK22" s="889"/>
      <c r="EL22" s="889"/>
      <c r="EM22" s="889"/>
      <c r="EN22" s="889"/>
      <c r="EO22" s="889"/>
      <c r="EP22" s="889"/>
      <c r="EQ22" s="889"/>
      <c r="ER22" s="889"/>
      <c r="ES22" s="889"/>
      <c r="ET22" s="889"/>
      <c r="EU22" s="889"/>
      <c r="EV22" s="889"/>
      <c r="EW22" s="889"/>
      <c r="EX22" s="889"/>
      <c r="EY22" s="889"/>
      <c r="EZ22" s="889"/>
      <c r="FA22" s="889"/>
      <c r="FB22" s="889"/>
      <c r="FC22" s="889"/>
      <c r="FD22" s="889"/>
      <c r="FE22" s="889"/>
      <c r="FF22" s="889"/>
      <c r="FG22" s="889"/>
      <c r="FH22" s="889"/>
      <c r="FI22" s="889"/>
      <c r="FJ22" s="889"/>
      <c r="FK22" s="889"/>
      <c r="FL22" s="889"/>
      <c r="FM22" s="889"/>
      <c r="FN22" s="889"/>
      <c r="FO22" s="889"/>
      <c r="FP22" s="889"/>
      <c r="FQ22" s="889"/>
      <c r="FR22" s="889"/>
      <c r="FS22" s="889"/>
      <c r="FT22" s="889"/>
      <c r="FU22" s="889"/>
      <c r="FV22" s="889"/>
      <c r="FW22" s="889"/>
      <c r="FX22" s="889"/>
      <c r="FY22" s="889"/>
      <c r="FZ22" s="889"/>
      <c r="GA22" s="889"/>
      <c r="GB22" s="889"/>
      <c r="GC22" s="889"/>
      <c r="GD22" s="889"/>
      <c r="GE22" s="889"/>
      <c r="GF22" s="889"/>
      <c r="GG22" s="889"/>
      <c r="GH22" s="889"/>
      <c r="GI22" s="889"/>
      <c r="GJ22" s="889"/>
      <c r="GK22" s="889"/>
      <c r="GL22" s="889"/>
      <c r="GM22" s="889"/>
      <c r="GN22" s="889"/>
      <c r="GO22" s="889"/>
      <c r="GP22" s="889"/>
      <c r="GQ22" s="889"/>
      <c r="GR22" s="889"/>
      <c r="GS22" s="889"/>
      <c r="GT22" s="889"/>
      <c r="GU22" s="889"/>
      <c r="GV22" s="889"/>
      <c r="GW22" s="889"/>
      <c r="GX22" s="889"/>
      <c r="GY22" s="889"/>
      <c r="GZ22" s="889"/>
      <c r="HA22" s="889"/>
      <c r="HB22" s="889"/>
      <c r="HC22" s="889"/>
      <c r="HD22" s="889"/>
      <c r="HE22" s="889"/>
      <c r="HF22" s="889"/>
      <c r="HG22" s="889"/>
      <c r="HH22" s="889"/>
      <c r="HI22" s="889"/>
      <c r="HJ22" s="889"/>
      <c r="HK22" s="889"/>
      <c r="HL22" s="889"/>
      <c r="HM22" s="889"/>
      <c r="HN22" s="889"/>
      <c r="HO22" s="889"/>
      <c r="HP22" s="889"/>
      <c r="HQ22" s="889"/>
      <c r="HR22" s="889"/>
      <c r="HS22" s="889"/>
      <c r="HT22" s="889"/>
      <c r="HU22" s="889"/>
      <c r="HV22" s="889"/>
      <c r="HW22" s="889"/>
      <c r="HX22" s="889"/>
      <c r="HY22" s="889"/>
      <c r="HZ22" s="889"/>
      <c r="IA22" s="889"/>
      <c r="IB22" s="889"/>
      <c r="IC22" s="889"/>
      <c r="ID22" s="889"/>
      <c r="IE22" s="889"/>
      <c r="IF22" s="889"/>
      <c r="IG22" s="889"/>
      <c r="IH22" s="889"/>
      <c r="II22" s="889"/>
      <c r="IJ22" s="889"/>
      <c r="IK22" s="889"/>
      <c r="IL22" s="889"/>
      <c r="IM22" s="889"/>
      <c r="IN22" s="889"/>
      <c r="IO22" s="889"/>
      <c r="IP22" s="889"/>
      <c r="IQ22" s="889"/>
      <c r="IR22" s="889"/>
      <c r="IS22" s="889"/>
      <c r="IT22" s="889"/>
      <c r="IU22" s="889"/>
      <c r="IV22" s="889"/>
    </row>
    <row r="23" spans="1:256" s="897" customFormat="1" ht="13.5" customHeight="1" thickBot="1">
      <c r="A23" s="917" t="s">
        <v>801</v>
      </c>
      <c r="B23" s="926">
        <v>1611.4</v>
      </c>
      <c r="C23" s="926">
        <v>1662</v>
      </c>
      <c r="D23" s="927">
        <v>1694.2</v>
      </c>
      <c r="E23" s="927">
        <v>1484.7</v>
      </c>
      <c r="F23" s="928">
        <v>1558</v>
      </c>
      <c r="G23" s="928">
        <f>SUM(G19:G22)</f>
        <v>1345.9</v>
      </c>
      <c r="H23" s="928">
        <v>1445.3</v>
      </c>
      <c r="I23" s="928">
        <v>1457.9</v>
      </c>
      <c r="J23" s="928">
        <v>1158.5</v>
      </c>
      <c r="K23" s="928">
        <v>1166.9000000000001</v>
      </c>
      <c r="L23" s="929">
        <v>990.2</v>
      </c>
      <c r="M23" s="930">
        <v>930.4</v>
      </c>
      <c r="N23" s="928">
        <v>966</v>
      </c>
      <c r="O23" s="896"/>
      <c r="P23" s="896"/>
      <c r="Q23" s="896"/>
      <c r="R23" s="896"/>
      <c r="S23" s="896"/>
      <c r="T23" s="896"/>
      <c r="U23" s="896"/>
      <c r="V23" s="896"/>
      <c r="W23" s="896"/>
      <c r="X23" s="896"/>
      <c r="Y23" s="896"/>
      <c r="Z23" s="896"/>
      <c r="AA23" s="896"/>
      <c r="AB23" s="896"/>
      <c r="AC23" s="896"/>
      <c r="AD23" s="896"/>
      <c r="AE23" s="896"/>
      <c r="AF23" s="896"/>
      <c r="AG23" s="896"/>
      <c r="AH23" s="896"/>
      <c r="AI23" s="896"/>
      <c r="AJ23" s="896"/>
      <c r="AK23" s="896"/>
      <c r="AL23" s="896"/>
      <c r="AM23" s="896"/>
      <c r="AN23" s="896"/>
      <c r="AO23" s="896"/>
      <c r="AP23" s="896"/>
      <c r="AQ23" s="896"/>
      <c r="AR23" s="896"/>
      <c r="AS23" s="896"/>
      <c r="AT23" s="896"/>
      <c r="AU23" s="896"/>
      <c r="AV23" s="896"/>
      <c r="AW23" s="896"/>
      <c r="AX23" s="896"/>
      <c r="AY23" s="896"/>
      <c r="AZ23" s="896"/>
      <c r="BA23" s="896"/>
      <c r="BB23" s="896"/>
      <c r="BC23" s="896"/>
      <c r="BD23" s="896"/>
      <c r="BE23" s="896"/>
      <c r="BF23" s="896"/>
      <c r="BG23" s="896"/>
      <c r="BH23" s="896"/>
      <c r="BI23" s="896"/>
      <c r="BJ23" s="896"/>
      <c r="BK23" s="896"/>
      <c r="BL23" s="896"/>
      <c r="BM23" s="896"/>
      <c r="BN23" s="896"/>
      <c r="BO23" s="896"/>
      <c r="BP23" s="896"/>
      <c r="BQ23" s="896"/>
      <c r="BR23" s="896"/>
      <c r="BS23" s="896"/>
      <c r="BT23" s="896"/>
      <c r="BU23" s="896"/>
      <c r="BV23" s="896"/>
      <c r="BW23" s="896"/>
      <c r="BX23" s="896"/>
      <c r="BY23" s="896"/>
      <c r="BZ23" s="896"/>
      <c r="CA23" s="896"/>
      <c r="CB23" s="896"/>
      <c r="CC23" s="896"/>
      <c r="CD23" s="896"/>
      <c r="CE23" s="896"/>
      <c r="CF23" s="896"/>
      <c r="CG23" s="896"/>
      <c r="CH23" s="896"/>
      <c r="CI23" s="896"/>
      <c r="CJ23" s="896"/>
      <c r="CK23" s="896"/>
      <c r="CL23" s="896"/>
      <c r="CM23" s="896"/>
      <c r="CN23" s="896"/>
      <c r="CO23" s="896"/>
      <c r="CP23" s="896"/>
      <c r="CQ23" s="896"/>
      <c r="CR23" s="896"/>
      <c r="CS23" s="896"/>
      <c r="CT23" s="896"/>
      <c r="CU23" s="896"/>
      <c r="CV23" s="896"/>
      <c r="CW23" s="896"/>
      <c r="CX23" s="896"/>
      <c r="CY23" s="896"/>
      <c r="CZ23" s="896"/>
      <c r="DA23" s="896"/>
      <c r="DB23" s="896"/>
      <c r="DC23" s="896"/>
      <c r="DD23" s="896"/>
      <c r="DE23" s="896"/>
      <c r="DF23" s="896"/>
      <c r="DG23" s="896"/>
      <c r="DH23" s="896"/>
      <c r="DI23" s="896"/>
      <c r="DJ23" s="896"/>
      <c r="DK23" s="896"/>
      <c r="DL23" s="896"/>
      <c r="DM23" s="896"/>
      <c r="DN23" s="896"/>
      <c r="DO23" s="896"/>
      <c r="DP23" s="896"/>
      <c r="DQ23" s="896"/>
      <c r="DR23" s="896"/>
      <c r="DS23" s="896"/>
      <c r="DT23" s="896"/>
      <c r="DU23" s="896"/>
      <c r="DV23" s="896"/>
      <c r="DW23" s="896"/>
      <c r="DX23" s="896"/>
      <c r="DY23" s="896"/>
      <c r="DZ23" s="896"/>
      <c r="EA23" s="896"/>
      <c r="EB23" s="896"/>
      <c r="EC23" s="896"/>
      <c r="ED23" s="896"/>
      <c r="EE23" s="896"/>
      <c r="EF23" s="896"/>
      <c r="EG23" s="896"/>
      <c r="EH23" s="896"/>
      <c r="EI23" s="896"/>
      <c r="EJ23" s="896"/>
      <c r="EK23" s="896"/>
      <c r="EL23" s="896"/>
      <c r="EM23" s="896"/>
      <c r="EN23" s="896"/>
      <c r="EO23" s="896"/>
      <c r="EP23" s="896"/>
      <c r="EQ23" s="896"/>
      <c r="ER23" s="896"/>
      <c r="ES23" s="896"/>
      <c r="ET23" s="896"/>
      <c r="EU23" s="896"/>
      <c r="EV23" s="896"/>
      <c r="EW23" s="896"/>
      <c r="EX23" s="896"/>
      <c r="EY23" s="896"/>
      <c r="EZ23" s="896"/>
      <c r="FA23" s="896"/>
      <c r="FB23" s="896"/>
      <c r="FC23" s="896"/>
      <c r="FD23" s="896"/>
      <c r="FE23" s="896"/>
      <c r="FF23" s="896"/>
      <c r="FG23" s="896"/>
      <c r="FH23" s="896"/>
      <c r="FI23" s="896"/>
      <c r="FJ23" s="896"/>
      <c r="FK23" s="896"/>
      <c r="FL23" s="896"/>
      <c r="FM23" s="896"/>
      <c r="FN23" s="896"/>
      <c r="FO23" s="896"/>
      <c r="FP23" s="896"/>
      <c r="FQ23" s="896"/>
      <c r="FR23" s="896"/>
      <c r="FS23" s="896"/>
      <c r="FT23" s="896"/>
      <c r="FU23" s="896"/>
      <c r="FV23" s="896"/>
      <c r="FW23" s="896"/>
      <c r="FX23" s="896"/>
      <c r="FY23" s="896"/>
      <c r="FZ23" s="896"/>
      <c r="GA23" s="896"/>
      <c r="GB23" s="896"/>
      <c r="GC23" s="896"/>
      <c r="GD23" s="896"/>
      <c r="GE23" s="896"/>
      <c r="GF23" s="896"/>
      <c r="GG23" s="896"/>
      <c r="GH23" s="896"/>
      <c r="GI23" s="896"/>
      <c r="GJ23" s="896"/>
      <c r="GK23" s="896"/>
      <c r="GL23" s="896"/>
      <c r="GM23" s="896"/>
      <c r="GN23" s="896"/>
      <c r="GO23" s="896"/>
      <c r="GP23" s="896"/>
      <c r="GQ23" s="896"/>
      <c r="GR23" s="896"/>
      <c r="GS23" s="896"/>
      <c r="GT23" s="896"/>
      <c r="GU23" s="896"/>
      <c r="GV23" s="896"/>
      <c r="GW23" s="896"/>
      <c r="GX23" s="896"/>
      <c r="GY23" s="896"/>
      <c r="GZ23" s="896"/>
      <c r="HA23" s="896"/>
      <c r="HB23" s="896"/>
      <c r="HC23" s="896"/>
      <c r="HD23" s="896"/>
      <c r="HE23" s="896"/>
      <c r="HF23" s="896"/>
      <c r="HG23" s="896"/>
      <c r="HH23" s="896"/>
      <c r="HI23" s="896"/>
      <c r="HJ23" s="896"/>
      <c r="HK23" s="896"/>
      <c r="HL23" s="896"/>
      <c r="HM23" s="896"/>
      <c r="HN23" s="896"/>
      <c r="HO23" s="896"/>
      <c r="HP23" s="896"/>
      <c r="HQ23" s="896"/>
      <c r="HR23" s="896"/>
      <c r="HS23" s="896"/>
      <c r="HT23" s="896"/>
      <c r="HU23" s="896"/>
      <c r="HV23" s="896"/>
      <c r="HW23" s="896"/>
      <c r="HX23" s="896"/>
      <c r="HY23" s="896"/>
      <c r="HZ23" s="896"/>
      <c r="IA23" s="896"/>
      <c r="IB23" s="896"/>
      <c r="IC23" s="896"/>
      <c r="ID23" s="896"/>
      <c r="IE23" s="896"/>
      <c r="IF23" s="896"/>
      <c r="IG23" s="896"/>
      <c r="IH23" s="896"/>
      <c r="II23" s="896"/>
      <c r="IJ23" s="896"/>
      <c r="IK23" s="896"/>
      <c r="IL23" s="896"/>
      <c r="IM23" s="896"/>
      <c r="IN23" s="896"/>
      <c r="IO23" s="896"/>
      <c r="IP23" s="896"/>
      <c r="IQ23" s="896"/>
      <c r="IR23" s="896"/>
      <c r="IS23" s="896"/>
      <c r="IT23" s="896"/>
      <c r="IU23" s="896"/>
      <c r="IV23" s="896"/>
    </row>
    <row r="24" spans="1:256" ht="12" customHeight="1" thickTop="1">
      <c r="A24" s="931" t="s">
        <v>806</v>
      </c>
      <c r="B24" s="909">
        <v>591</v>
      </c>
      <c r="C24" s="909">
        <v>617.9</v>
      </c>
      <c r="D24" s="910">
        <v>669.2</v>
      </c>
      <c r="E24" s="910">
        <v>694.4</v>
      </c>
      <c r="F24" s="910">
        <v>939.9</v>
      </c>
      <c r="G24" s="910">
        <v>791.8</v>
      </c>
      <c r="H24" s="910">
        <v>759.3</v>
      </c>
      <c r="I24" s="910">
        <v>791.4</v>
      </c>
      <c r="J24" s="910">
        <v>737.1</v>
      </c>
      <c r="K24" s="910">
        <v>875</v>
      </c>
      <c r="L24" s="916">
        <v>865.6</v>
      </c>
      <c r="M24" s="916">
        <v>799.7</v>
      </c>
      <c r="N24" s="910">
        <v>811.9</v>
      </c>
      <c r="O24" s="889"/>
      <c r="P24" s="889"/>
      <c r="Q24" s="889"/>
      <c r="R24" s="889"/>
      <c r="S24" s="889"/>
      <c r="T24" s="889"/>
      <c r="U24" s="889"/>
      <c r="V24" s="889"/>
      <c r="W24" s="889"/>
      <c r="X24" s="889"/>
      <c r="Y24" s="889"/>
      <c r="Z24" s="889"/>
      <c r="AA24" s="889"/>
      <c r="AB24" s="889"/>
      <c r="AC24" s="889"/>
      <c r="AD24" s="889"/>
      <c r="AE24" s="889"/>
      <c r="AF24" s="889"/>
      <c r="AG24" s="889"/>
      <c r="AH24" s="889"/>
      <c r="AI24" s="889"/>
      <c r="AJ24" s="889"/>
      <c r="AK24" s="889"/>
      <c r="AL24" s="889"/>
      <c r="AM24" s="889"/>
      <c r="AN24" s="889"/>
      <c r="AO24" s="889"/>
      <c r="AP24" s="889"/>
      <c r="AQ24" s="889"/>
      <c r="AR24" s="889"/>
      <c r="AS24" s="889"/>
      <c r="AT24" s="889"/>
      <c r="AU24" s="889"/>
      <c r="AV24" s="889"/>
      <c r="AW24" s="889"/>
      <c r="AX24" s="889"/>
      <c r="AY24" s="889"/>
      <c r="AZ24" s="889"/>
      <c r="BA24" s="889"/>
      <c r="BB24" s="889"/>
      <c r="BC24" s="889"/>
      <c r="BD24" s="889"/>
      <c r="BE24" s="889"/>
      <c r="BF24" s="889"/>
      <c r="BG24" s="889"/>
      <c r="BH24" s="889"/>
      <c r="BI24" s="889"/>
      <c r="BJ24" s="889"/>
      <c r="BK24" s="889"/>
      <c r="BL24" s="889"/>
      <c r="BM24" s="889"/>
      <c r="BN24" s="889"/>
      <c r="BO24" s="889"/>
      <c r="BP24" s="889"/>
      <c r="BQ24" s="889"/>
      <c r="BR24" s="889"/>
      <c r="BS24" s="889"/>
      <c r="BT24" s="889"/>
      <c r="BU24" s="889"/>
      <c r="BV24" s="889"/>
      <c r="BW24" s="889"/>
      <c r="BX24" s="889"/>
      <c r="BY24" s="889"/>
      <c r="BZ24" s="889"/>
      <c r="CA24" s="889"/>
      <c r="CB24" s="889"/>
      <c r="CC24" s="889"/>
      <c r="CD24" s="889"/>
      <c r="CE24" s="889"/>
      <c r="CF24" s="889"/>
      <c r="CG24" s="889"/>
      <c r="CH24" s="889"/>
      <c r="CI24" s="889"/>
      <c r="CJ24" s="889"/>
      <c r="CK24" s="889"/>
      <c r="CL24" s="889"/>
      <c r="CM24" s="889"/>
      <c r="CN24" s="889"/>
      <c r="CO24" s="889"/>
      <c r="CP24" s="889"/>
      <c r="CQ24" s="889"/>
      <c r="CR24" s="889"/>
      <c r="CS24" s="889"/>
      <c r="CT24" s="889"/>
      <c r="CU24" s="889"/>
      <c r="CV24" s="889"/>
      <c r="CW24" s="889"/>
      <c r="CX24" s="889"/>
      <c r="CY24" s="889"/>
      <c r="CZ24" s="889"/>
      <c r="DA24" s="889"/>
      <c r="DB24" s="889"/>
      <c r="DC24" s="889"/>
      <c r="DD24" s="889"/>
      <c r="DE24" s="889"/>
      <c r="DF24" s="889"/>
      <c r="DG24" s="889"/>
      <c r="DH24" s="889"/>
      <c r="DI24" s="889"/>
      <c r="DJ24" s="889"/>
      <c r="DK24" s="889"/>
      <c r="DL24" s="889"/>
      <c r="DM24" s="889"/>
      <c r="DN24" s="889"/>
      <c r="DO24" s="889"/>
      <c r="DP24" s="889"/>
      <c r="DQ24" s="889"/>
      <c r="DR24" s="889"/>
      <c r="DS24" s="889"/>
      <c r="DT24" s="889"/>
      <c r="DU24" s="889"/>
      <c r="DV24" s="889"/>
      <c r="DW24" s="889"/>
      <c r="DX24" s="889"/>
      <c r="DY24" s="889"/>
      <c r="DZ24" s="889"/>
      <c r="EA24" s="889"/>
      <c r="EB24" s="889"/>
      <c r="EC24" s="889"/>
      <c r="ED24" s="889"/>
      <c r="EE24" s="889"/>
      <c r="EF24" s="889"/>
      <c r="EG24" s="889"/>
      <c r="EH24" s="889"/>
      <c r="EI24" s="889"/>
      <c r="EJ24" s="889"/>
      <c r="EK24" s="889"/>
      <c r="EL24" s="889"/>
      <c r="EM24" s="889"/>
      <c r="EN24" s="889"/>
      <c r="EO24" s="889"/>
      <c r="EP24" s="889"/>
      <c r="EQ24" s="889"/>
      <c r="ER24" s="889"/>
      <c r="ES24" s="889"/>
      <c r="ET24" s="889"/>
      <c r="EU24" s="889"/>
      <c r="EV24" s="889"/>
      <c r="EW24" s="889"/>
      <c r="EX24" s="889"/>
      <c r="EY24" s="889"/>
      <c r="EZ24" s="889"/>
      <c r="FA24" s="889"/>
      <c r="FB24" s="889"/>
      <c r="FC24" s="889"/>
      <c r="FD24" s="889"/>
      <c r="FE24" s="889"/>
      <c r="FF24" s="889"/>
      <c r="FG24" s="889"/>
      <c r="FH24" s="889"/>
      <c r="FI24" s="889"/>
      <c r="FJ24" s="889"/>
      <c r="FK24" s="889"/>
      <c r="FL24" s="889"/>
      <c r="FM24" s="889"/>
      <c r="FN24" s="889"/>
      <c r="FO24" s="889"/>
      <c r="FP24" s="889"/>
      <c r="FQ24" s="889"/>
      <c r="FR24" s="889"/>
      <c r="FS24" s="889"/>
      <c r="FT24" s="889"/>
      <c r="FU24" s="889"/>
      <c r="FV24" s="889"/>
      <c r="FW24" s="889"/>
      <c r="FX24" s="889"/>
      <c r="FY24" s="889"/>
      <c r="FZ24" s="889"/>
      <c r="GA24" s="889"/>
      <c r="GB24" s="889"/>
      <c r="GC24" s="889"/>
      <c r="GD24" s="889"/>
      <c r="GE24" s="889"/>
      <c r="GF24" s="889"/>
      <c r="GG24" s="889"/>
      <c r="GH24" s="889"/>
      <c r="GI24" s="889"/>
      <c r="GJ24" s="889"/>
      <c r="GK24" s="889"/>
      <c r="GL24" s="889"/>
      <c r="GM24" s="889"/>
      <c r="GN24" s="889"/>
      <c r="GO24" s="889"/>
      <c r="GP24" s="889"/>
      <c r="GQ24" s="889"/>
      <c r="GR24" s="889"/>
      <c r="GS24" s="889"/>
      <c r="GT24" s="889"/>
      <c r="GU24" s="889"/>
      <c r="GV24" s="889"/>
      <c r="GW24" s="889"/>
      <c r="GX24" s="889"/>
      <c r="GY24" s="889"/>
      <c r="GZ24" s="889"/>
      <c r="HA24" s="889"/>
      <c r="HB24" s="889"/>
      <c r="HC24" s="889"/>
      <c r="HD24" s="889"/>
      <c r="HE24" s="889"/>
      <c r="HF24" s="889"/>
      <c r="HG24" s="889"/>
      <c r="HH24" s="889"/>
      <c r="HI24" s="889"/>
      <c r="HJ24" s="889"/>
      <c r="HK24" s="889"/>
      <c r="HL24" s="889"/>
      <c r="HM24" s="889"/>
      <c r="HN24" s="889"/>
      <c r="HO24" s="889"/>
      <c r="HP24" s="889"/>
      <c r="HQ24" s="889"/>
      <c r="HR24" s="889"/>
      <c r="HS24" s="889"/>
      <c r="HT24" s="889"/>
      <c r="HU24" s="889"/>
      <c r="HV24" s="889"/>
      <c r="HW24" s="889"/>
      <c r="HX24" s="889"/>
      <c r="HY24" s="889"/>
      <c r="HZ24" s="889"/>
      <c r="IA24" s="889"/>
      <c r="IB24" s="889"/>
      <c r="IC24" s="889"/>
      <c r="ID24" s="889"/>
      <c r="IE24" s="889"/>
      <c r="IF24" s="889"/>
      <c r="IG24" s="889"/>
      <c r="IH24" s="889"/>
      <c r="II24" s="889"/>
      <c r="IJ24" s="889"/>
      <c r="IK24" s="889"/>
      <c r="IL24" s="889"/>
      <c r="IM24" s="889"/>
      <c r="IN24" s="889"/>
      <c r="IO24" s="889"/>
      <c r="IP24" s="889"/>
      <c r="IQ24" s="889"/>
      <c r="IR24" s="889"/>
      <c r="IS24" s="889"/>
      <c r="IT24" s="889"/>
      <c r="IU24" s="889"/>
      <c r="IV24" s="889"/>
    </row>
    <row r="25" spans="1:256" ht="12" customHeight="1">
      <c r="A25" s="932" t="s">
        <v>807</v>
      </c>
      <c r="B25" s="913">
        <v>6873</v>
      </c>
      <c r="C25" s="913">
        <v>7186</v>
      </c>
      <c r="D25" s="914">
        <v>7783</v>
      </c>
      <c r="E25" s="914">
        <v>8075</v>
      </c>
      <c r="F25" s="914">
        <v>10931</v>
      </c>
      <c r="G25" s="914">
        <v>9207.75</v>
      </c>
      <c r="H25" s="914">
        <v>8830.1</v>
      </c>
      <c r="I25" s="914">
        <v>9203.9</v>
      </c>
      <c r="J25" s="914">
        <v>8572.2999999999993</v>
      </c>
      <c r="K25" s="914">
        <v>10176.799999999999</v>
      </c>
      <c r="L25" s="925">
        <v>10066.9</v>
      </c>
      <c r="M25" s="925">
        <v>9300.2999999999993</v>
      </c>
      <c r="N25" s="914">
        <v>9442.7999999999993</v>
      </c>
      <c r="O25" s="889"/>
      <c r="P25" s="889"/>
      <c r="Q25" s="889"/>
      <c r="R25" s="889"/>
      <c r="S25" s="889"/>
      <c r="T25" s="889"/>
      <c r="U25" s="889"/>
      <c r="V25" s="889"/>
      <c r="W25" s="889"/>
      <c r="X25" s="889"/>
      <c r="Y25" s="889"/>
      <c r="Z25" s="889"/>
      <c r="AA25" s="889"/>
      <c r="AB25" s="889"/>
      <c r="AC25" s="889"/>
      <c r="AD25" s="889"/>
      <c r="AE25" s="889"/>
      <c r="AF25" s="889"/>
      <c r="AG25" s="889"/>
      <c r="AH25" s="889"/>
      <c r="AI25" s="889"/>
      <c r="AJ25" s="889"/>
      <c r="AK25" s="889"/>
      <c r="AL25" s="889"/>
      <c r="AM25" s="889"/>
      <c r="AN25" s="889"/>
      <c r="AO25" s="889"/>
      <c r="AP25" s="889"/>
      <c r="AQ25" s="889"/>
      <c r="AR25" s="889"/>
      <c r="AS25" s="889"/>
      <c r="AT25" s="889"/>
      <c r="AU25" s="889"/>
      <c r="AV25" s="889"/>
      <c r="AW25" s="889"/>
      <c r="AX25" s="889"/>
      <c r="AY25" s="889"/>
      <c r="AZ25" s="889"/>
      <c r="BA25" s="889"/>
      <c r="BB25" s="889"/>
      <c r="BC25" s="889"/>
      <c r="BD25" s="889"/>
      <c r="BE25" s="889"/>
      <c r="BF25" s="889"/>
      <c r="BG25" s="889"/>
      <c r="BH25" s="889"/>
      <c r="BI25" s="889"/>
      <c r="BJ25" s="889"/>
      <c r="BK25" s="889"/>
      <c r="BL25" s="889"/>
      <c r="BM25" s="889"/>
      <c r="BN25" s="889"/>
      <c r="BO25" s="889"/>
      <c r="BP25" s="889"/>
      <c r="BQ25" s="889"/>
      <c r="BR25" s="889"/>
      <c r="BS25" s="889"/>
      <c r="BT25" s="889"/>
      <c r="BU25" s="889"/>
      <c r="BV25" s="889"/>
      <c r="BW25" s="889"/>
      <c r="BX25" s="889"/>
      <c r="BY25" s="889"/>
      <c r="BZ25" s="889"/>
      <c r="CA25" s="889"/>
      <c r="CB25" s="889"/>
      <c r="CC25" s="889"/>
      <c r="CD25" s="889"/>
      <c r="CE25" s="889"/>
      <c r="CF25" s="889"/>
      <c r="CG25" s="889"/>
      <c r="CH25" s="889"/>
      <c r="CI25" s="889"/>
      <c r="CJ25" s="889"/>
      <c r="CK25" s="889"/>
      <c r="CL25" s="889"/>
      <c r="CM25" s="889"/>
      <c r="CN25" s="889"/>
      <c r="CO25" s="889"/>
      <c r="CP25" s="889"/>
      <c r="CQ25" s="889"/>
      <c r="CR25" s="889"/>
      <c r="CS25" s="889"/>
      <c r="CT25" s="889"/>
      <c r="CU25" s="889"/>
      <c r="CV25" s="889"/>
      <c r="CW25" s="889"/>
      <c r="CX25" s="889"/>
      <c r="CY25" s="889"/>
      <c r="CZ25" s="889"/>
      <c r="DA25" s="889"/>
      <c r="DB25" s="889"/>
      <c r="DC25" s="889"/>
      <c r="DD25" s="889"/>
      <c r="DE25" s="889"/>
      <c r="DF25" s="889"/>
      <c r="DG25" s="889"/>
      <c r="DH25" s="889"/>
      <c r="DI25" s="889"/>
      <c r="DJ25" s="889"/>
      <c r="DK25" s="889"/>
      <c r="DL25" s="889"/>
      <c r="DM25" s="889"/>
      <c r="DN25" s="889"/>
      <c r="DO25" s="889"/>
      <c r="DP25" s="889"/>
      <c r="DQ25" s="889"/>
      <c r="DR25" s="889"/>
      <c r="DS25" s="889"/>
      <c r="DT25" s="889"/>
      <c r="DU25" s="889"/>
      <c r="DV25" s="889"/>
      <c r="DW25" s="889"/>
      <c r="DX25" s="889"/>
      <c r="DY25" s="889"/>
      <c r="DZ25" s="889"/>
      <c r="EA25" s="889"/>
      <c r="EB25" s="889"/>
      <c r="EC25" s="889"/>
      <c r="ED25" s="889"/>
      <c r="EE25" s="889"/>
      <c r="EF25" s="889"/>
      <c r="EG25" s="889"/>
      <c r="EH25" s="889"/>
      <c r="EI25" s="889"/>
      <c r="EJ25" s="889"/>
      <c r="EK25" s="889"/>
      <c r="EL25" s="889"/>
      <c r="EM25" s="889"/>
      <c r="EN25" s="889"/>
      <c r="EO25" s="889"/>
      <c r="EP25" s="889"/>
      <c r="EQ25" s="889"/>
      <c r="ER25" s="889"/>
      <c r="ES25" s="889"/>
      <c r="ET25" s="889"/>
      <c r="EU25" s="889"/>
      <c r="EV25" s="889"/>
      <c r="EW25" s="889"/>
      <c r="EX25" s="889"/>
      <c r="EY25" s="889"/>
      <c r="EZ25" s="889"/>
      <c r="FA25" s="889"/>
      <c r="FB25" s="889"/>
      <c r="FC25" s="889"/>
      <c r="FD25" s="889"/>
      <c r="FE25" s="889"/>
      <c r="FF25" s="889"/>
      <c r="FG25" s="889"/>
      <c r="FH25" s="889"/>
      <c r="FI25" s="889"/>
      <c r="FJ25" s="889"/>
      <c r="FK25" s="889"/>
      <c r="FL25" s="889"/>
      <c r="FM25" s="889"/>
      <c r="FN25" s="889"/>
      <c r="FO25" s="889"/>
      <c r="FP25" s="889"/>
      <c r="FQ25" s="889"/>
      <c r="FR25" s="889"/>
      <c r="FS25" s="889"/>
      <c r="FT25" s="889"/>
      <c r="FU25" s="889"/>
      <c r="FV25" s="889"/>
      <c r="FW25" s="889"/>
      <c r="FX25" s="889"/>
      <c r="FY25" s="889"/>
      <c r="FZ25" s="889"/>
      <c r="GA25" s="889"/>
      <c r="GB25" s="889"/>
      <c r="GC25" s="889"/>
      <c r="GD25" s="889"/>
      <c r="GE25" s="889"/>
      <c r="GF25" s="889"/>
      <c r="GG25" s="889"/>
      <c r="GH25" s="889"/>
      <c r="GI25" s="889"/>
      <c r="GJ25" s="889"/>
      <c r="GK25" s="889"/>
      <c r="GL25" s="889"/>
      <c r="GM25" s="889"/>
      <c r="GN25" s="889"/>
      <c r="GO25" s="889"/>
      <c r="GP25" s="889"/>
      <c r="GQ25" s="889"/>
      <c r="GR25" s="889"/>
      <c r="GS25" s="889"/>
      <c r="GT25" s="889"/>
      <c r="GU25" s="889"/>
      <c r="GV25" s="889"/>
      <c r="GW25" s="889"/>
      <c r="GX25" s="889"/>
      <c r="GY25" s="889"/>
      <c r="GZ25" s="889"/>
      <c r="HA25" s="889"/>
      <c r="HB25" s="889"/>
      <c r="HC25" s="889"/>
      <c r="HD25" s="889"/>
      <c r="HE25" s="889"/>
      <c r="HF25" s="889"/>
      <c r="HG25" s="889"/>
      <c r="HH25" s="889"/>
      <c r="HI25" s="889"/>
      <c r="HJ25" s="889"/>
      <c r="HK25" s="889"/>
      <c r="HL25" s="889"/>
      <c r="HM25" s="889"/>
      <c r="HN25" s="889"/>
      <c r="HO25" s="889"/>
      <c r="HP25" s="889"/>
      <c r="HQ25" s="889"/>
      <c r="HR25" s="889"/>
      <c r="HS25" s="889"/>
      <c r="HT25" s="889"/>
      <c r="HU25" s="889"/>
      <c r="HV25" s="889"/>
      <c r="HW25" s="889"/>
      <c r="HX25" s="889"/>
      <c r="HY25" s="889"/>
      <c r="HZ25" s="889"/>
      <c r="IA25" s="889"/>
      <c r="IB25" s="889"/>
      <c r="IC25" s="889"/>
      <c r="ID25" s="889"/>
      <c r="IE25" s="889"/>
      <c r="IF25" s="889"/>
      <c r="IG25" s="889"/>
      <c r="IH25" s="889"/>
      <c r="II25" s="889"/>
      <c r="IJ25" s="889"/>
      <c r="IK25" s="889"/>
      <c r="IL25" s="889"/>
      <c r="IM25" s="889"/>
      <c r="IN25" s="889"/>
      <c r="IO25" s="889"/>
      <c r="IP25" s="889"/>
      <c r="IQ25" s="889"/>
      <c r="IR25" s="889"/>
      <c r="IS25" s="889"/>
      <c r="IT25" s="889"/>
      <c r="IU25" s="889"/>
      <c r="IV25" s="889"/>
    </row>
    <row r="26" spans="1:256" ht="12" customHeight="1">
      <c r="A26" s="931" t="s">
        <v>808</v>
      </c>
      <c r="B26" s="909">
        <v>506.7</v>
      </c>
      <c r="C26" s="909">
        <v>531.79999999999995</v>
      </c>
      <c r="D26" s="910">
        <v>550.5</v>
      </c>
      <c r="E26" s="910">
        <v>585</v>
      </c>
      <c r="F26" s="910">
        <v>687.3</v>
      </c>
      <c r="G26" s="910">
        <v>532.1</v>
      </c>
      <c r="H26" s="910">
        <v>656</v>
      </c>
      <c r="I26" s="910">
        <v>469.5</v>
      </c>
      <c r="J26" s="910">
        <v>560.4</v>
      </c>
      <c r="K26" s="910">
        <v>768.3</v>
      </c>
      <c r="L26" s="916">
        <v>626.70000000000005</v>
      </c>
      <c r="M26" s="916">
        <v>592.20000000000005</v>
      </c>
      <c r="N26" s="910">
        <v>465.1</v>
      </c>
      <c r="O26" s="889"/>
      <c r="P26" s="889"/>
      <c r="Q26" s="889"/>
      <c r="R26" s="889"/>
      <c r="S26" s="889"/>
      <c r="T26" s="889"/>
      <c r="U26" s="889"/>
      <c r="V26" s="889"/>
      <c r="W26" s="889"/>
      <c r="X26" s="889"/>
      <c r="Y26" s="889"/>
      <c r="Z26" s="889"/>
      <c r="AA26" s="889"/>
      <c r="AB26" s="889"/>
      <c r="AC26" s="889"/>
      <c r="AD26" s="889"/>
      <c r="AE26" s="889"/>
      <c r="AF26" s="889"/>
      <c r="AG26" s="889"/>
      <c r="AH26" s="889"/>
      <c r="AI26" s="889"/>
      <c r="AJ26" s="889"/>
      <c r="AK26" s="889"/>
      <c r="AL26" s="889"/>
      <c r="AM26" s="889"/>
      <c r="AN26" s="889"/>
      <c r="AO26" s="889"/>
      <c r="AP26" s="889"/>
      <c r="AQ26" s="889"/>
      <c r="AR26" s="889"/>
      <c r="AS26" s="889"/>
      <c r="AT26" s="889"/>
      <c r="AU26" s="889"/>
      <c r="AV26" s="889"/>
      <c r="AW26" s="889"/>
      <c r="AX26" s="889"/>
      <c r="AY26" s="889"/>
      <c r="AZ26" s="889"/>
      <c r="BA26" s="889"/>
      <c r="BB26" s="889"/>
      <c r="BC26" s="889"/>
      <c r="BD26" s="889"/>
      <c r="BE26" s="889"/>
      <c r="BF26" s="889"/>
      <c r="BG26" s="889"/>
      <c r="BH26" s="889"/>
      <c r="BI26" s="889"/>
      <c r="BJ26" s="889"/>
      <c r="BK26" s="889"/>
      <c r="BL26" s="889"/>
      <c r="BM26" s="889"/>
      <c r="BN26" s="889"/>
      <c r="BO26" s="889"/>
      <c r="BP26" s="889"/>
      <c r="BQ26" s="889"/>
      <c r="BR26" s="889"/>
      <c r="BS26" s="889"/>
      <c r="BT26" s="889"/>
      <c r="BU26" s="889"/>
      <c r="BV26" s="889"/>
      <c r="BW26" s="889"/>
      <c r="BX26" s="889"/>
      <c r="BY26" s="889"/>
      <c r="BZ26" s="889"/>
      <c r="CA26" s="889"/>
      <c r="CB26" s="889"/>
      <c r="CC26" s="889"/>
      <c r="CD26" s="889"/>
      <c r="CE26" s="889"/>
      <c r="CF26" s="889"/>
      <c r="CG26" s="889"/>
      <c r="CH26" s="889"/>
      <c r="CI26" s="889"/>
      <c r="CJ26" s="889"/>
      <c r="CK26" s="889"/>
      <c r="CL26" s="889"/>
      <c r="CM26" s="889"/>
      <c r="CN26" s="889"/>
      <c r="CO26" s="889"/>
      <c r="CP26" s="889"/>
      <c r="CQ26" s="889"/>
      <c r="CR26" s="889"/>
      <c r="CS26" s="889"/>
      <c r="CT26" s="889"/>
      <c r="CU26" s="889"/>
      <c r="CV26" s="889"/>
      <c r="CW26" s="889"/>
      <c r="CX26" s="889"/>
      <c r="CY26" s="889"/>
      <c r="CZ26" s="889"/>
      <c r="DA26" s="889"/>
      <c r="DB26" s="889"/>
      <c r="DC26" s="889"/>
      <c r="DD26" s="889"/>
      <c r="DE26" s="889"/>
      <c r="DF26" s="889"/>
      <c r="DG26" s="889"/>
      <c r="DH26" s="889"/>
      <c r="DI26" s="889"/>
      <c r="DJ26" s="889"/>
      <c r="DK26" s="889"/>
      <c r="DL26" s="889"/>
      <c r="DM26" s="889"/>
      <c r="DN26" s="889"/>
      <c r="DO26" s="889"/>
      <c r="DP26" s="889"/>
      <c r="DQ26" s="889"/>
      <c r="DR26" s="889"/>
      <c r="DS26" s="889"/>
      <c r="DT26" s="889"/>
      <c r="DU26" s="889"/>
      <c r="DV26" s="889"/>
      <c r="DW26" s="889"/>
      <c r="DX26" s="889"/>
      <c r="DY26" s="889"/>
      <c r="DZ26" s="889"/>
      <c r="EA26" s="889"/>
      <c r="EB26" s="889"/>
      <c r="EC26" s="889"/>
      <c r="ED26" s="889"/>
      <c r="EE26" s="889"/>
      <c r="EF26" s="889"/>
      <c r="EG26" s="889"/>
      <c r="EH26" s="889"/>
      <c r="EI26" s="889"/>
      <c r="EJ26" s="889"/>
      <c r="EK26" s="889"/>
      <c r="EL26" s="889"/>
      <c r="EM26" s="889"/>
      <c r="EN26" s="889"/>
      <c r="EO26" s="889"/>
      <c r="EP26" s="889"/>
      <c r="EQ26" s="889"/>
      <c r="ER26" s="889"/>
      <c r="ES26" s="889"/>
      <c r="ET26" s="889"/>
      <c r="EU26" s="889"/>
      <c r="EV26" s="889"/>
      <c r="EW26" s="889"/>
      <c r="EX26" s="889"/>
      <c r="EY26" s="889"/>
      <c r="EZ26" s="889"/>
      <c r="FA26" s="889"/>
      <c r="FB26" s="889"/>
      <c r="FC26" s="889"/>
      <c r="FD26" s="889"/>
      <c r="FE26" s="889"/>
      <c r="FF26" s="889"/>
      <c r="FG26" s="889"/>
      <c r="FH26" s="889"/>
      <c r="FI26" s="889"/>
      <c r="FJ26" s="889"/>
      <c r="FK26" s="889"/>
      <c r="FL26" s="889"/>
      <c r="FM26" s="889"/>
      <c r="FN26" s="889"/>
      <c r="FO26" s="889"/>
      <c r="FP26" s="889"/>
      <c r="FQ26" s="889"/>
      <c r="FR26" s="889"/>
      <c r="FS26" s="889"/>
      <c r="FT26" s="889"/>
      <c r="FU26" s="889"/>
      <c r="FV26" s="889"/>
      <c r="FW26" s="889"/>
      <c r="FX26" s="889"/>
      <c r="FY26" s="889"/>
      <c r="FZ26" s="889"/>
      <c r="GA26" s="889"/>
      <c r="GB26" s="889"/>
      <c r="GC26" s="889"/>
      <c r="GD26" s="889"/>
      <c r="GE26" s="889"/>
      <c r="GF26" s="889"/>
      <c r="GG26" s="889"/>
      <c r="GH26" s="889"/>
      <c r="GI26" s="889"/>
      <c r="GJ26" s="889"/>
      <c r="GK26" s="889"/>
      <c r="GL26" s="889"/>
      <c r="GM26" s="889"/>
      <c r="GN26" s="889"/>
      <c r="GO26" s="889"/>
      <c r="GP26" s="889"/>
      <c r="GQ26" s="889"/>
      <c r="GR26" s="889"/>
      <c r="GS26" s="889"/>
      <c r="GT26" s="889"/>
      <c r="GU26" s="889"/>
      <c r="GV26" s="889"/>
      <c r="GW26" s="889"/>
      <c r="GX26" s="889"/>
      <c r="GY26" s="889"/>
      <c r="GZ26" s="889"/>
      <c r="HA26" s="889"/>
      <c r="HB26" s="889"/>
      <c r="HC26" s="889"/>
      <c r="HD26" s="889"/>
      <c r="HE26" s="889"/>
      <c r="HF26" s="889"/>
      <c r="HG26" s="889"/>
      <c r="HH26" s="889"/>
      <c r="HI26" s="889"/>
      <c r="HJ26" s="889"/>
      <c r="HK26" s="889"/>
      <c r="HL26" s="889"/>
      <c r="HM26" s="889"/>
      <c r="HN26" s="889"/>
      <c r="HO26" s="889"/>
      <c r="HP26" s="889"/>
      <c r="HQ26" s="889"/>
      <c r="HR26" s="889"/>
      <c r="HS26" s="889"/>
      <c r="HT26" s="889"/>
      <c r="HU26" s="889"/>
      <c r="HV26" s="889"/>
      <c r="HW26" s="889"/>
      <c r="HX26" s="889"/>
      <c r="HY26" s="889"/>
      <c r="HZ26" s="889"/>
      <c r="IA26" s="889"/>
      <c r="IB26" s="889"/>
      <c r="IC26" s="889"/>
      <c r="ID26" s="889"/>
      <c r="IE26" s="889"/>
      <c r="IF26" s="889"/>
      <c r="IG26" s="889"/>
      <c r="IH26" s="889"/>
      <c r="II26" s="889"/>
      <c r="IJ26" s="889"/>
      <c r="IK26" s="889"/>
      <c r="IL26" s="889"/>
      <c r="IM26" s="889"/>
      <c r="IN26" s="889"/>
      <c r="IO26" s="889"/>
      <c r="IP26" s="889"/>
      <c r="IQ26" s="889"/>
      <c r="IR26" s="889"/>
      <c r="IS26" s="889"/>
      <c r="IT26" s="889"/>
      <c r="IU26" s="889"/>
      <c r="IV26" s="889"/>
    </row>
    <row r="27" spans="1:256" ht="12" customHeight="1" thickBot="1">
      <c r="A27" s="933" t="s">
        <v>809</v>
      </c>
      <c r="B27" s="918">
        <v>5893</v>
      </c>
      <c r="C27" s="918">
        <v>6185</v>
      </c>
      <c r="D27" s="919">
        <v>6402</v>
      </c>
      <c r="E27" s="919">
        <v>6803</v>
      </c>
      <c r="F27" s="919">
        <v>7993</v>
      </c>
      <c r="G27" s="919">
        <v>6188.2</v>
      </c>
      <c r="H27" s="919">
        <v>7629.6</v>
      </c>
      <c r="I27" s="919">
        <v>5460</v>
      </c>
      <c r="J27" s="919">
        <v>6517.1</v>
      </c>
      <c r="K27" s="919">
        <v>8935.2999999999993</v>
      </c>
      <c r="L27" s="920">
        <v>7288.9</v>
      </c>
      <c r="M27" s="920">
        <v>6887.6</v>
      </c>
      <c r="N27" s="919">
        <v>5409</v>
      </c>
      <c r="O27" s="889"/>
      <c r="P27" s="889"/>
      <c r="Q27" s="889"/>
      <c r="R27" s="889"/>
      <c r="S27" s="889"/>
      <c r="T27" s="889"/>
      <c r="U27" s="889"/>
      <c r="V27" s="889"/>
      <c r="W27" s="889"/>
      <c r="X27" s="889"/>
      <c r="Y27" s="889"/>
      <c r="Z27" s="889"/>
      <c r="AA27" s="889"/>
      <c r="AB27" s="889"/>
      <c r="AC27" s="889"/>
      <c r="AD27" s="889"/>
      <c r="AE27" s="889"/>
      <c r="AF27" s="889"/>
      <c r="AG27" s="889"/>
      <c r="AH27" s="889"/>
      <c r="AI27" s="889"/>
      <c r="AJ27" s="889"/>
      <c r="AK27" s="889"/>
      <c r="AL27" s="889"/>
      <c r="AM27" s="889"/>
      <c r="AN27" s="889"/>
      <c r="AO27" s="889"/>
      <c r="AP27" s="889"/>
      <c r="AQ27" s="889"/>
      <c r="AR27" s="889"/>
      <c r="AS27" s="889"/>
      <c r="AT27" s="889"/>
      <c r="AU27" s="889"/>
      <c r="AV27" s="889"/>
      <c r="AW27" s="889"/>
      <c r="AX27" s="889"/>
      <c r="AY27" s="889"/>
      <c r="AZ27" s="889"/>
      <c r="BA27" s="889"/>
      <c r="BB27" s="889"/>
      <c r="BC27" s="889"/>
      <c r="BD27" s="889"/>
      <c r="BE27" s="889"/>
      <c r="BF27" s="889"/>
      <c r="BG27" s="889"/>
      <c r="BH27" s="889"/>
      <c r="BI27" s="889"/>
      <c r="BJ27" s="889"/>
      <c r="BK27" s="889"/>
      <c r="BL27" s="889"/>
      <c r="BM27" s="889"/>
      <c r="BN27" s="889"/>
      <c r="BO27" s="889"/>
      <c r="BP27" s="889"/>
      <c r="BQ27" s="889"/>
      <c r="BR27" s="889"/>
      <c r="BS27" s="889"/>
      <c r="BT27" s="889"/>
      <c r="BU27" s="889"/>
      <c r="BV27" s="889"/>
      <c r="BW27" s="889"/>
      <c r="BX27" s="889"/>
      <c r="BY27" s="889"/>
      <c r="BZ27" s="889"/>
      <c r="CA27" s="889"/>
      <c r="CB27" s="889"/>
      <c r="CC27" s="889"/>
      <c r="CD27" s="889"/>
      <c r="CE27" s="889"/>
      <c r="CF27" s="889"/>
      <c r="CG27" s="889"/>
      <c r="CH27" s="889"/>
      <c r="CI27" s="889"/>
      <c r="CJ27" s="889"/>
      <c r="CK27" s="889"/>
      <c r="CL27" s="889"/>
      <c r="CM27" s="889"/>
      <c r="CN27" s="889"/>
      <c r="CO27" s="889"/>
      <c r="CP27" s="889"/>
      <c r="CQ27" s="889"/>
      <c r="CR27" s="889"/>
      <c r="CS27" s="889"/>
      <c r="CT27" s="889"/>
      <c r="CU27" s="889"/>
      <c r="CV27" s="889"/>
      <c r="CW27" s="889"/>
      <c r="CX27" s="889"/>
      <c r="CY27" s="889"/>
      <c r="CZ27" s="889"/>
      <c r="DA27" s="889"/>
      <c r="DB27" s="889"/>
      <c r="DC27" s="889"/>
      <c r="DD27" s="889"/>
      <c r="DE27" s="889"/>
      <c r="DF27" s="889"/>
      <c r="DG27" s="889"/>
      <c r="DH27" s="889"/>
      <c r="DI27" s="889"/>
      <c r="DJ27" s="889"/>
      <c r="DK27" s="889"/>
      <c r="DL27" s="889"/>
      <c r="DM27" s="889"/>
      <c r="DN27" s="889"/>
      <c r="DO27" s="889"/>
      <c r="DP27" s="889"/>
      <c r="DQ27" s="889"/>
      <c r="DR27" s="889"/>
      <c r="DS27" s="889"/>
      <c r="DT27" s="889"/>
      <c r="DU27" s="889"/>
      <c r="DV27" s="889"/>
      <c r="DW27" s="889"/>
      <c r="DX27" s="889"/>
      <c r="DY27" s="889"/>
      <c r="DZ27" s="889"/>
      <c r="EA27" s="889"/>
      <c r="EB27" s="889"/>
      <c r="EC27" s="889"/>
      <c r="ED27" s="889"/>
      <c r="EE27" s="889"/>
      <c r="EF27" s="889"/>
      <c r="EG27" s="889"/>
      <c r="EH27" s="889"/>
      <c r="EI27" s="889"/>
      <c r="EJ27" s="889"/>
      <c r="EK27" s="889"/>
      <c r="EL27" s="889"/>
      <c r="EM27" s="889"/>
      <c r="EN27" s="889"/>
      <c r="EO27" s="889"/>
      <c r="EP27" s="889"/>
      <c r="EQ27" s="889"/>
      <c r="ER27" s="889"/>
      <c r="ES27" s="889"/>
      <c r="ET27" s="889"/>
      <c r="EU27" s="889"/>
      <c r="EV27" s="889"/>
      <c r="EW27" s="889"/>
      <c r="EX27" s="889"/>
      <c r="EY27" s="889"/>
      <c r="EZ27" s="889"/>
      <c r="FA27" s="889"/>
      <c r="FB27" s="889"/>
      <c r="FC27" s="889"/>
      <c r="FD27" s="889"/>
      <c r="FE27" s="889"/>
      <c r="FF27" s="889"/>
      <c r="FG27" s="889"/>
      <c r="FH27" s="889"/>
      <c r="FI27" s="889"/>
      <c r="FJ27" s="889"/>
      <c r="FK27" s="889"/>
      <c r="FL27" s="889"/>
      <c r="FM27" s="889"/>
      <c r="FN27" s="889"/>
      <c r="FO27" s="889"/>
      <c r="FP27" s="889"/>
      <c r="FQ27" s="889"/>
      <c r="FR27" s="889"/>
      <c r="FS27" s="889"/>
      <c r="FT27" s="889"/>
      <c r="FU27" s="889"/>
      <c r="FV27" s="889"/>
      <c r="FW27" s="889"/>
      <c r="FX27" s="889"/>
      <c r="FY27" s="889"/>
      <c r="FZ27" s="889"/>
      <c r="GA27" s="889"/>
      <c r="GB27" s="889"/>
      <c r="GC27" s="889"/>
      <c r="GD27" s="889"/>
      <c r="GE27" s="889"/>
      <c r="GF27" s="889"/>
      <c r="GG27" s="889"/>
      <c r="GH27" s="889"/>
      <c r="GI27" s="889"/>
      <c r="GJ27" s="889"/>
      <c r="GK27" s="889"/>
      <c r="GL27" s="889"/>
      <c r="GM27" s="889"/>
      <c r="GN27" s="889"/>
      <c r="GO27" s="889"/>
      <c r="GP27" s="889"/>
      <c r="GQ27" s="889"/>
      <c r="GR27" s="889"/>
      <c r="GS27" s="889"/>
      <c r="GT27" s="889"/>
      <c r="GU27" s="889"/>
      <c r="GV27" s="889"/>
      <c r="GW27" s="889"/>
      <c r="GX27" s="889"/>
      <c r="GY27" s="889"/>
      <c r="GZ27" s="889"/>
      <c r="HA27" s="889"/>
      <c r="HB27" s="889"/>
      <c r="HC27" s="889"/>
      <c r="HD27" s="889"/>
      <c r="HE27" s="889"/>
      <c r="HF27" s="889"/>
      <c r="HG27" s="889"/>
      <c r="HH27" s="889"/>
      <c r="HI27" s="889"/>
      <c r="HJ27" s="889"/>
      <c r="HK27" s="889"/>
      <c r="HL27" s="889"/>
      <c r="HM27" s="889"/>
      <c r="HN27" s="889"/>
      <c r="HO27" s="889"/>
      <c r="HP27" s="889"/>
      <c r="HQ27" s="889"/>
      <c r="HR27" s="889"/>
      <c r="HS27" s="889"/>
      <c r="HT27" s="889"/>
      <c r="HU27" s="889"/>
      <c r="HV27" s="889"/>
      <c r="HW27" s="889"/>
      <c r="HX27" s="889"/>
      <c r="HY27" s="889"/>
      <c r="HZ27" s="889"/>
      <c r="IA27" s="889"/>
      <c r="IB27" s="889"/>
      <c r="IC27" s="889"/>
      <c r="ID27" s="889"/>
      <c r="IE27" s="889"/>
      <c r="IF27" s="889"/>
      <c r="IG27" s="889"/>
      <c r="IH27" s="889"/>
      <c r="II27" s="889"/>
      <c r="IJ27" s="889"/>
      <c r="IK27" s="889"/>
      <c r="IL27" s="889"/>
      <c r="IM27" s="889"/>
      <c r="IN27" s="889"/>
      <c r="IO27" s="889"/>
      <c r="IP27" s="889"/>
      <c r="IQ27" s="889"/>
      <c r="IR27" s="889"/>
      <c r="IS27" s="889"/>
      <c r="IT27" s="889"/>
      <c r="IU27" s="889"/>
      <c r="IV27" s="889"/>
    </row>
    <row r="28" spans="1:256" ht="12.75" customHeight="1" thickTop="1">
      <c r="A28" s="931" t="s">
        <v>810</v>
      </c>
      <c r="B28" s="934"/>
      <c r="C28" s="934"/>
      <c r="D28" s="921"/>
      <c r="E28" s="921"/>
      <c r="F28" s="921"/>
      <c r="G28" s="921"/>
      <c r="H28" s="921"/>
      <c r="I28" s="921"/>
      <c r="J28" s="921"/>
      <c r="K28" s="921"/>
      <c r="L28" s="921"/>
      <c r="M28" s="921"/>
      <c r="N28" s="921"/>
      <c r="O28" s="889"/>
      <c r="P28" s="889"/>
      <c r="Q28" s="889"/>
      <c r="R28" s="889"/>
      <c r="S28" s="889"/>
      <c r="T28" s="889"/>
      <c r="U28" s="889"/>
      <c r="V28" s="889"/>
      <c r="W28" s="889"/>
      <c r="X28" s="889"/>
      <c r="Y28" s="889"/>
      <c r="Z28" s="889"/>
      <c r="AA28" s="889"/>
      <c r="AB28" s="889"/>
      <c r="AC28" s="889"/>
      <c r="AD28" s="889"/>
      <c r="AE28" s="889"/>
      <c r="AF28" s="889"/>
      <c r="AG28" s="889"/>
      <c r="AH28" s="889"/>
      <c r="AI28" s="889"/>
      <c r="AJ28" s="889"/>
      <c r="AK28" s="889"/>
      <c r="AL28" s="889"/>
      <c r="AM28" s="889"/>
      <c r="AN28" s="889"/>
      <c r="AO28" s="889"/>
      <c r="AP28" s="889"/>
      <c r="AQ28" s="889"/>
      <c r="AR28" s="889"/>
      <c r="AS28" s="889"/>
      <c r="AT28" s="889"/>
      <c r="AU28" s="889"/>
      <c r="AV28" s="889"/>
      <c r="AW28" s="889"/>
      <c r="AX28" s="889"/>
      <c r="AY28" s="889"/>
      <c r="AZ28" s="889"/>
      <c r="BA28" s="889"/>
      <c r="BB28" s="889"/>
      <c r="BC28" s="889"/>
      <c r="BD28" s="889"/>
      <c r="BE28" s="889"/>
      <c r="BF28" s="889"/>
      <c r="BG28" s="889"/>
      <c r="BH28" s="889"/>
      <c r="BI28" s="889"/>
      <c r="BJ28" s="889"/>
      <c r="BK28" s="889"/>
      <c r="BL28" s="889"/>
      <c r="BM28" s="889"/>
      <c r="BN28" s="889"/>
      <c r="BO28" s="889"/>
      <c r="BP28" s="889"/>
      <c r="BQ28" s="889"/>
      <c r="BR28" s="889"/>
      <c r="BS28" s="889"/>
      <c r="BT28" s="889"/>
      <c r="BU28" s="889"/>
      <c r="BV28" s="889"/>
      <c r="BW28" s="889"/>
      <c r="BX28" s="889"/>
      <c r="BY28" s="889"/>
      <c r="BZ28" s="889"/>
      <c r="CA28" s="889"/>
      <c r="CB28" s="889"/>
      <c r="CC28" s="889"/>
      <c r="CD28" s="889"/>
      <c r="CE28" s="889"/>
      <c r="CF28" s="889"/>
      <c r="CG28" s="889"/>
      <c r="CH28" s="889"/>
      <c r="CI28" s="889"/>
      <c r="CJ28" s="889"/>
      <c r="CK28" s="889"/>
      <c r="CL28" s="889"/>
      <c r="CM28" s="889"/>
      <c r="CN28" s="889"/>
      <c r="CO28" s="889"/>
      <c r="CP28" s="889"/>
      <c r="CQ28" s="889"/>
      <c r="CR28" s="889"/>
      <c r="CS28" s="889"/>
      <c r="CT28" s="889"/>
      <c r="CU28" s="889"/>
      <c r="CV28" s="889"/>
      <c r="CW28" s="889"/>
      <c r="CX28" s="889"/>
      <c r="CY28" s="889"/>
      <c r="CZ28" s="889"/>
      <c r="DA28" s="889"/>
      <c r="DB28" s="889"/>
      <c r="DC28" s="889"/>
      <c r="DD28" s="889"/>
      <c r="DE28" s="889"/>
      <c r="DF28" s="889"/>
      <c r="DG28" s="889"/>
      <c r="DH28" s="889"/>
      <c r="DI28" s="889"/>
      <c r="DJ28" s="889"/>
      <c r="DK28" s="889"/>
      <c r="DL28" s="889"/>
      <c r="DM28" s="889"/>
      <c r="DN28" s="889"/>
      <c r="DO28" s="889"/>
      <c r="DP28" s="889"/>
      <c r="DQ28" s="889"/>
      <c r="DR28" s="889"/>
      <c r="DS28" s="889"/>
      <c r="DT28" s="889"/>
      <c r="DU28" s="889"/>
      <c r="DV28" s="889"/>
      <c r="DW28" s="889"/>
      <c r="DX28" s="889"/>
      <c r="DY28" s="889"/>
      <c r="DZ28" s="889"/>
      <c r="EA28" s="889"/>
      <c r="EB28" s="889"/>
      <c r="EC28" s="889"/>
      <c r="ED28" s="889"/>
      <c r="EE28" s="889"/>
      <c r="EF28" s="889"/>
      <c r="EG28" s="889"/>
      <c r="EH28" s="889"/>
      <c r="EI28" s="889"/>
      <c r="EJ28" s="889"/>
      <c r="EK28" s="889"/>
      <c r="EL28" s="889"/>
      <c r="EM28" s="889"/>
      <c r="EN28" s="889"/>
      <c r="EO28" s="889"/>
      <c r="EP28" s="889"/>
      <c r="EQ28" s="889"/>
      <c r="ER28" s="889"/>
      <c r="ES28" s="889"/>
      <c r="ET28" s="889"/>
      <c r="EU28" s="889"/>
      <c r="EV28" s="889"/>
      <c r="EW28" s="889"/>
      <c r="EX28" s="889"/>
      <c r="EY28" s="889"/>
      <c r="EZ28" s="889"/>
      <c r="FA28" s="889"/>
      <c r="FB28" s="889"/>
      <c r="FC28" s="889"/>
      <c r="FD28" s="889"/>
      <c r="FE28" s="889"/>
      <c r="FF28" s="889"/>
      <c r="FG28" s="889"/>
      <c r="FH28" s="889"/>
      <c r="FI28" s="889"/>
      <c r="FJ28" s="889"/>
      <c r="FK28" s="889"/>
      <c r="FL28" s="889"/>
      <c r="FM28" s="889"/>
      <c r="FN28" s="889"/>
      <c r="FO28" s="889"/>
      <c r="FP28" s="889"/>
      <c r="FQ28" s="889"/>
      <c r="FR28" s="889"/>
      <c r="FS28" s="889"/>
      <c r="FT28" s="889"/>
      <c r="FU28" s="889"/>
      <c r="FV28" s="889"/>
      <c r="FW28" s="889"/>
      <c r="FX28" s="889"/>
      <c r="FY28" s="889"/>
      <c r="FZ28" s="889"/>
      <c r="GA28" s="889"/>
      <c r="GB28" s="889"/>
      <c r="GC28" s="889"/>
      <c r="GD28" s="889"/>
      <c r="GE28" s="889"/>
      <c r="GF28" s="889"/>
      <c r="GG28" s="889"/>
      <c r="GH28" s="889"/>
      <c r="GI28" s="889"/>
      <c r="GJ28" s="889"/>
      <c r="GK28" s="889"/>
      <c r="GL28" s="889"/>
      <c r="GM28" s="889"/>
      <c r="GN28" s="889"/>
      <c r="GO28" s="889"/>
      <c r="GP28" s="889"/>
      <c r="GQ28" s="889"/>
      <c r="GR28" s="889"/>
      <c r="GS28" s="889"/>
      <c r="GT28" s="889"/>
      <c r="GU28" s="889"/>
      <c r="GV28" s="889"/>
      <c r="GW28" s="889"/>
      <c r="GX28" s="889"/>
      <c r="GY28" s="889"/>
      <c r="GZ28" s="889"/>
      <c r="HA28" s="889"/>
      <c r="HB28" s="889"/>
      <c r="HC28" s="889"/>
      <c r="HD28" s="889"/>
      <c r="HE28" s="889"/>
      <c r="HF28" s="889"/>
      <c r="HG28" s="889"/>
      <c r="HH28" s="889"/>
      <c r="HI28" s="889"/>
      <c r="HJ28" s="889"/>
      <c r="HK28" s="889"/>
      <c r="HL28" s="889"/>
      <c r="HM28" s="889"/>
      <c r="HN28" s="889"/>
      <c r="HO28" s="889"/>
      <c r="HP28" s="889"/>
      <c r="HQ28" s="889"/>
      <c r="HR28" s="889"/>
      <c r="HS28" s="889"/>
      <c r="HT28" s="889"/>
      <c r="HU28" s="889"/>
      <c r="HV28" s="889"/>
      <c r="HW28" s="889"/>
      <c r="HX28" s="889"/>
      <c r="HY28" s="889"/>
      <c r="HZ28" s="889"/>
      <c r="IA28" s="889"/>
      <c r="IB28" s="889"/>
      <c r="IC28" s="889"/>
      <c r="ID28" s="889"/>
      <c r="IE28" s="889"/>
      <c r="IF28" s="889"/>
      <c r="IG28" s="889"/>
      <c r="IH28" s="889"/>
      <c r="II28" s="889"/>
      <c r="IJ28" s="889"/>
      <c r="IK28" s="889"/>
      <c r="IL28" s="889"/>
      <c r="IM28" s="889"/>
      <c r="IN28" s="889"/>
      <c r="IO28" s="889"/>
      <c r="IP28" s="889"/>
      <c r="IQ28" s="889"/>
      <c r="IR28" s="889"/>
      <c r="IS28" s="889"/>
      <c r="IT28" s="889"/>
      <c r="IU28" s="889"/>
      <c r="IV28" s="889"/>
    </row>
    <row r="29" spans="1:256" ht="10.5" customHeight="1">
      <c r="A29" s="875" t="s">
        <v>457</v>
      </c>
      <c r="B29" s="898">
        <v>1.9</v>
      </c>
      <c r="C29" s="898">
        <v>1.6</v>
      </c>
      <c r="D29" s="899">
        <v>0.2</v>
      </c>
      <c r="E29" s="899">
        <v>0</v>
      </c>
      <c r="F29" s="899">
        <v>0</v>
      </c>
      <c r="G29" s="899">
        <v>0</v>
      </c>
      <c r="H29" s="899">
        <v>0</v>
      </c>
      <c r="I29" s="899">
        <v>0</v>
      </c>
      <c r="J29" s="899">
        <v>0</v>
      </c>
      <c r="K29" s="899">
        <v>0</v>
      </c>
      <c r="L29" s="923">
        <v>0</v>
      </c>
      <c r="M29" s="923">
        <v>0</v>
      </c>
      <c r="N29" s="923">
        <v>0</v>
      </c>
      <c r="O29" s="889"/>
      <c r="P29" s="889"/>
      <c r="Q29" s="889"/>
      <c r="R29" s="889"/>
      <c r="S29" s="889"/>
      <c r="T29" s="889"/>
      <c r="U29" s="889"/>
      <c r="V29" s="889"/>
      <c r="W29" s="889"/>
      <c r="X29" s="889"/>
      <c r="Y29" s="889"/>
      <c r="Z29" s="889"/>
      <c r="AA29" s="889"/>
      <c r="AB29" s="889"/>
      <c r="AC29" s="889"/>
      <c r="AD29" s="889"/>
      <c r="AE29" s="889"/>
      <c r="AF29" s="889"/>
      <c r="AG29" s="889"/>
      <c r="AH29" s="889"/>
      <c r="AI29" s="889"/>
      <c r="AJ29" s="889"/>
      <c r="AK29" s="889"/>
      <c r="AL29" s="889"/>
      <c r="AM29" s="889"/>
      <c r="AN29" s="889"/>
      <c r="AO29" s="889"/>
      <c r="AP29" s="889"/>
      <c r="AQ29" s="889"/>
      <c r="AR29" s="889"/>
      <c r="AS29" s="889"/>
      <c r="AT29" s="889"/>
      <c r="AU29" s="889"/>
      <c r="AV29" s="889"/>
      <c r="AW29" s="889"/>
      <c r="AX29" s="889"/>
      <c r="AY29" s="889"/>
      <c r="AZ29" s="889"/>
      <c r="BA29" s="889"/>
      <c r="BB29" s="889"/>
      <c r="BC29" s="889"/>
      <c r="BD29" s="889"/>
      <c r="BE29" s="889"/>
      <c r="BF29" s="889"/>
      <c r="BG29" s="889"/>
      <c r="BH29" s="889"/>
      <c r="BI29" s="889"/>
      <c r="BJ29" s="889"/>
      <c r="BK29" s="889"/>
      <c r="BL29" s="889"/>
      <c r="BM29" s="889"/>
      <c r="BN29" s="889"/>
      <c r="BO29" s="889"/>
      <c r="BP29" s="889"/>
      <c r="BQ29" s="889"/>
      <c r="BR29" s="889"/>
      <c r="BS29" s="889"/>
      <c r="BT29" s="889"/>
      <c r="BU29" s="889"/>
      <c r="BV29" s="889"/>
      <c r="BW29" s="889"/>
      <c r="BX29" s="889"/>
      <c r="BY29" s="889"/>
      <c r="BZ29" s="889"/>
      <c r="CA29" s="889"/>
      <c r="CB29" s="889"/>
      <c r="CC29" s="889"/>
      <c r="CD29" s="889"/>
      <c r="CE29" s="889"/>
      <c r="CF29" s="889"/>
      <c r="CG29" s="889"/>
      <c r="CH29" s="889"/>
      <c r="CI29" s="889"/>
      <c r="CJ29" s="889"/>
      <c r="CK29" s="889"/>
      <c r="CL29" s="889"/>
      <c r="CM29" s="889"/>
      <c r="CN29" s="889"/>
      <c r="CO29" s="889"/>
      <c r="CP29" s="889"/>
      <c r="CQ29" s="889"/>
      <c r="CR29" s="889"/>
      <c r="CS29" s="889"/>
      <c r="CT29" s="889"/>
      <c r="CU29" s="889"/>
      <c r="CV29" s="889"/>
      <c r="CW29" s="889"/>
      <c r="CX29" s="889"/>
      <c r="CY29" s="889"/>
      <c r="CZ29" s="889"/>
      <c r="DA29" s="889"/>
      <c r="DB29" s="889"/>
      <c r="DC29" s="889"/>
      <c r="DD29" s="889"/>
      <c r="DE29" s="889"/>
      <c r="DF29" s="889"/>
      <c r="DG29" s="889"/>
      <c r="DH29" s="889"/>
      <c r="DI29" s="889"/>
      <c r="DJ29" s="889"/>
      <c r="DK29" s="889"/>
      <c r="DL29" s="889"/>
      <c r="DM29" s="889"/>
      <c r="DN29" s="889"/>
      <c r="DO29" s="889"/>
      <c r="DP29" s="889"/>
      <c r="DQ29" s="889"/>
      <c r="DR29" s="889"/>
      <c r="DS29" s="889"/>
      <c r="DT29" s="889"/>
      <c r="DU29" s="889"/>
      <c r="DV29" s="889"/>
      <c r="DW29" s="889"/>
      <c r="DX29" s="889"/>
      <c r="DY29" s="889"/>
      <c r="DZ29" s="889"/>
      <c r="EA29" s="889"/>
      <c r="EB29" s="889"/>
      <c r="EC29" s="889"/>
      <c r="ED29" s="889"/>
      <c r="EE29" s="889"/>
      <c r="EF29" s="889"/>
      <c r="EG29" s="889"/>
      <c r="EH29" s="889"/>
      <c r="EI29" s="889"/>
      <c r="EJ29" s="889"/>
      <c r="EK29" s="889"/>
      <c r="EL29" s="889"/>
      <c r="EM29" s="889"/>
      <c r="EN29" s="889"/>
      <c r="EO29" s="889"/>
      <c r="EP29" s="889"/>
      <c r="EQ29" s="889"/>
      <c r="ER29" s="889"/>
      <c r="ES29" s="889"/>
      <c r="ET29" s="889"/>
      <c r="EU29" s="889"/>
      <c r="EV29" s="889"/>
      <c r="EW29" s="889"/>
      <c r="EX29" s="889"/>
      <c r="EY29" s="889"/>
      <c r="EZ29" s="889"/>
      <c r="FA29" s="889"/>
      <c r="FB29" s="889"/>
      <c r="FC29" s="889"/>
      <c r="FD29" s="889"/>
      <c r="FE29" s="889"/>
      <c r="FF29" s="889"/>
      <c r="FG29" s="889"/>
      <c r="FH29" s="889"/>
      <c r="FI29" s="889"/>
      <c r="FJ29" s="889"/>
      <c r="FK29" s="889"/>
      <c r="FL29" s="889"/>
      <c r="FM29" s="889"/>
      <c r="FN29" s="889"/>
      <c r="FO29" s="889"/>
      <c r="FP29" s="889"/>
      <c r="FQ29" s="889"/>
      <c r="FR29" s="889"/>
      <c r="FS29" s="889"/>
      <c r="FT29" s="889"/>
      <c r="FU29" s="889"/>
      <c r="FV29" s="889"/>
      <c r="FW29" s="889"/>
      <c r="FX29" s="889"/>
      <c r="FY29" s="889"/>
      <c r="FZ29" s="889"/>
      <c r="GA29" s="889"/>
      <c r="GB29" s="889"/>
      <c r="GC29" s="889"/>
      <c r="GD29" s="889"/>
      <c r="GE29" s="889"/>
      <c r="GF29" s="889"/>
      <c r="GG29" s="889"/>
      <c r="GH29" s="889"/>
      <c r="GI29" s="889"/>
      <c r="GJ29" s="889"/>
      <c r="GK29" s="889"/>
      <c r="GL29" s="889"/>
      <c r="GM29" s="889"/>
      <c r="GN29" s="889"/>
      <c r="GO29" s="889"/>
      <c r="GP29" s="889"/>
      <c r="GQ29" s="889"/>
      <c r="GR29" s="889"/>
      <c r="GS29" s="889"/>
      <c r="GT29" s="889"/>
      <c r="GU29" s="889"/>
      <c r="GV29" s="889"/>
      <c r="GW29" s="889"/>
      <c r="GX29" s="889"/>
      <c r="GY29" s="889"/>
      <c r="GZ29" s="889"/>
      <c r="HA29" s="889"/>
      <c r="HB29" s="889"/>
      <c r="HC29" s="889"/>
      <c r="HD29" s="889"/>
      <c r="HE29" s="889"/>
      <c r="HF29" s="889"/>
      <c r="HG29" s="889"/>
      <c r="HH29" s="889"/>
      <c r="HI29" s="889"/>
      <c r="HJ29" s="889"/>
      <c r="HK29" s="889"/>
      <c r="HL29" s="889"/>
      <c r="HM29" s="889"/>
      <c r="HN29" s="889"/>
      <c r="HO29" s="889"/>
      <c r="HP29" s="889"/>
      <c r="HQ29" s="889"/>
      <c r="HR29" s="889"/>
      <c r="HS29" s="889"/>
      <c r="HT29" s="889"/>
      <c r="HU29" s="889"/>
      <c r="HV29" s="889"/>
      <c r="HW29" s="889"/>
      <c r="HX29" s="889"/>
      <c r="HY29" s="889"/>
      <c r="HZ29" s="889"/>
      <c r="IA29" s="889"/>
      <c r="IB29" s="889"/>
      <c r="IC29" s="889"/>
      <c r="ID29" s="889"/>
      <c r="IE29" s="889"/>
      <c r="IF29" s="889"/>
      <c r="IG29" s="889"/>
      <c r="IH29" s="889"/>
      <c r="II29" s="889"/>
      <c r="IJ29" s="889"/>
      <c r="IK29" s="889"/>
      <c r="IL29" s="889"/>
      <c r="IM29" s="889"/>
      <c r="IN29" s="889"/>
      <c r="IO29" s="889"/>
      <c r="IP29" s="889"/>
      <c r="IQ29" s="889"/>
      <c r="IR29" s="889"/>
      <c r="IS29" s="889"/>
      <c r="IT29" s="889"/>
      <c r="IU29" s="889"/>
      <c r="IV29" s="889"/>
    </row>
    <row r="30" spans="1:256" ht="10.5" customHeight="1">
      <c r="A30" s="875" t="s">
        <v>798</v>
      </c>
      <c r="B30" s="898">
        <v>24.6</v>
      </c>
      <c r="C30" s="898">
        <v>20.9</v>
      </c>
      <c r="D30" s="899">
        <v>20.5</v>
      </c>
      <c r="E30" s="899">
        <v>23.4</v>
      </c>
      <c r="F30" s="899">
        <v>136.5</v>
      </c>
      <c r="G30" s="899">
        <v>47.9</v>
      </c>
      <c r="H30" s="899">
        <v>83.4</v>
      </c>
      <c r="I30" s="899">
        <v>94</v>
      </c>
      <c r="J30" s="899">
        <v>69.900000000000006</v>
      </c>
      <c r="K30" s="899">
        <v>57</v>
      </c>
      <c r="L30" s="922">
        <v>32.5</v>
      </c>
      <c r="M30" s="922">
        <v>76.599999999999994</v>
      </c>
      <c r="N30" s="899">
        <v>79.5</v>
      </c>
      <c r="O30" s="889"/>
      <c r="P30" s="889"/>
      <c r="Q30" s="889"/>
      <c r="R30" s="889"/>
      <c r="S30" s="889"/>
      <c r="T30" s="889"/>
      <c r="U30" s="889"/>
      <c r="V30" s="889"/>
      <c r="W30" s="889"/>
      <c r="X30" s="889"/>
      <c r="Y30" s="889"/>
      <c r="Z30" s="889"/>
      <c r="AA30" s="889"/>
      <c r="AB30" s="889"/>
      <c r="AC30" s="889"/>
      <c r="AD30" s="889"/>
      <c r="AE30" s="889"/>
      <c r="AF30" s="889"/>
      <c r="AG30" s="889"/>
      <c r="AH30" s="889"/>
      <c r="AI30" s="889"/>
      <c r="AJ30" s="889"/>
      <c r="AK30" s="889"/>
      <c r="AL30" s="889"/>
      <c r="AM30" s="889"/>
      <c r="AN30" s="889"/>
      <c r="AO30" s="889"/>
      <c r="AP30" s="889"/>
      <c r="AQ30" s="889"/>
      <c r="AR30" s="889"/>
      <c r="AS30" s="889"/>
      <c r="AT30" s="889"/>
      <c r="AU30" s="889"/>
      <c r="AV30" s="889"/>
      <c r="AW30" s="889"/>
      <c r="AX30" s="889"/>
      <c r="AY30" s="889"/>
      <c r="AZ30" s="889"/>
      <c r="BA30" s="889"/>
      <c r="BB30" s="889"/>
      <c r="BC30" s="889"/>
      <c r="BD30" s="889"/>
      <c r="BE30" s="889"/>
      <c r="BF30" s="889"/>
      <c r="BG30" s="889"/>
      <c r="BH30" s="889"/>
      <c r="BI30" s="889"/>
      <c r="BJ30" s="889"/>
      <c r="BK30" s="889"/>
      <c r="BL30" s="889"/>
      <c r="BM30" s="889"/>
      <c r="BN30" s="889"/>
      <c r="BO30" s="889"/>
      <c r="BP30" s="889"/>
      <c r="BQ30" s="889"/>
      <c r="BR30" s="889"/>
      <c r="BS30" s="889"/>
      <c r="BT30" s="889"/>
      <c r="BU30" s="889"/>
      <c r="BV30" s="889"/>
      <c r="BW30" s="889"/>
      <c r="BX30" s="889"/>
      <c r="BY30" s="889"/>
      <c r="BZ30" s="889"/>
      <c r="CA30" s="889"/>
      <c r="CB30" s="889"/>
      <c r="CC30" s="889"/>
      <c r="CD30" s="889"/>
      <c r="CE30" s="889"/>
      <c r="CF30" s="889"/>
      <c r="CG30" s="889"/>
      <c r="CH30" s="889"/>
      <c r="CI30" s="889"/>
      <c r="CJ30" s="889"/>
      <c r="CK30" s="889"/>
      <c r="CL30" s="889"/>
      <c r="CM30" s="889"/>
      <c r="CN30" s="889"/>
      <c r="CO30" s="889"/>
      <c r="CP30" s="889"/>
      <c r="CQ30" s="889"/>
      <c r="CR30" s="889"/>
      <c r="CS30" s="889"/>
      <c r="CT30" s="889"/>
      <c r="CU30" s="889"/>
      <c r="CV30" s="889"/>
      <c r="CW30" s="889"/>
      <c r="CX30" s="889"/>
      <c r="CY30" s="889"/>
      <c r="CZ30" s="889"/>
      <c r="DA30" s="889"/>
      <c r="DB30" s="889"/>
      <c r="DC30" s="889"/>
      <c r="DD30" s="889"/>
      <c r="DE30" s="889"/>
      <c r="DF30" s="889"/>
      <c r="DG30" s="889"/>
      <c r="DH30" s="889"/>
      <c r="DI30" s="889"/>
      <c r="DJ30" s="889"/>
      <c r="DK30" s="889"/>
      <c r="DL30" s="889"/>
      <c r="DM30" s="889"/>
      <c r="DN30" s="889"/>
      <c r="DO30" s="889"/>
      <c r="DP30" s="889"/>
      <c r="DQ30" s="889"/>
      <c r="DR30" s="889"/>
      <c r="DS30" s="889"/>
      <c r="DT30" s="889"/>
      <c r="DU30" s="889"/>
      <c r="DV30" s="889"/>
      <c r="DW30" s="889"/>
      <c r="DX30" s="889"/>
      <c r="DY30" s="889"/>
      <c r="DZ30" s="889"/>
      <c r="EA30" s="889"/>
      <c r="EB30" s="889"/>
      <c r="EC30" s="889"/>
      <c r="ED30" s="889"/>
      <c r="EE30" s="889"/>
      <c r="EF30" s="889"/>
      <c r="EG30" s="889"/>
      <c r="EH30" s="889"/>
      <c r="EI30" s="889"/>
      <c r="EJ30" s="889"/>
      <c r="EK30" s="889"/>
      <c r="EL30" s="889"/>
      <c r="EM30" s="889"/>
      <c r="EN30" s="889"/>
      <c r="EO30" s="889"/>
      <c r="EP30" s="889"/>
      <c r="EQ30" s="889"/>
      <c r="ER30" s="889"/>
      <c r="ES30" s="889"/>
      <c r="ET30" s="889"/>
      <c r="EU30" s="889"/>
      <c r="EV30" s="889"/>
      <c r="EW30" s="889"/>
      <c r="EX30" s="889"/>
      <c r="EY30" s="889"/>
      <c r="EZ30" s="889"/>
      <c r="FA30" s="889"/>
      <c r="FB30" s="889"/>
      <c r="FC30" s="889"/>
      <c r="FD30" s="889"/>
      <c r="FE30" s="889"/>
      <c r="FF30" s="889"/>
      <c r="FG30" s="889"/>
      <c r="FH30" s="889"/>
      <c r="FI30" s="889"/>
      <c r="FJ30" s="889"/>
      <c r="FK30" s="889"/>
      <c r="FL30" s="889"/>
      <c r="FM30" s="889"/>
      <c r="FN30" s="889"/>
      <c r="FO30" s="889"/>
      <c r="FP30" s="889"/>
      <c r="FQ30" s="889"/>
      <c r="FR30" s="889"/>
      <c r="FS30" s="889"/>
      <c r="FT30" s="889"/>
      <c r="FU30" s="889"/>
      <c r="FV30" s="889"/>
      <c r="FW30" s="889"/>
      <c r="FX30" s="889"/>
      <c r="FY30" s="889"/>
      <c r="FZ30" s="889"/>
      <c r="GA30" s="889"/>
      <c r="GB30" s="889"/>
      <c r="GC30" s="889"/>
      <c r="GD30" s="889"/>
      <c r="GE30" s="889"/>
      <c r="GF30" s="889"/>
      <c r="GG30" s="889"/>
      <c r="GH30" s="889"/>
      <c r="GI30" s="889"/>
      <c r="GJ30" s="889"/>
      <c r="GK30" s="889"/>
      <c r="GL30" s="889"/>
      <c r="GM30" s="889"/>
      <c r="GN30" s="889"/>
      <c r="GO30" s="889"/>
      <c r="GP30" s="889"/>
      <c r="GQ30" s="889"/>
      <c r="GR30" s="889"/>
      <c r="GS30" s="889"/>
      <c r="GT30" s="889"/>
      <c r="GU30" s="889"/>
      <c r="GV30" s="889"/>
      <c r="GW30" s="889"/>
      <c r="GX30" s="889"/>
      <c r="GY30" s="889"/>
      <c r="GZ30" s="889"/>
      <c r="HA30" s="889"/>
      <c r="HB30" s="889"/>
      <c r="HC30" s="889"/>
      <c r="HD30" s="889"/>
      <c r="HE30" s="889"/>
      <c r="HF30" s="889"/>
      <c r="HG30" s="889"/>
      <c r="HH30" s="889"/>
      <c r="HI30" s="889"/>
      <c r="HJ30" s="889"/>
      <c r="HK30" s="889"/>
      <c r="HL30" s="889"/>
      <c r="HM30" s="889"/>
      <c r="HN30" s="889"/>
      <c r="HO30" s="889"/>
      <c r="HP30" s="889"/>
      <c r="HQ30" s="889"/>
      <c r="HR30" s="889"/>
      <c r="HS30" s="889"/>
      <c r="HT30" s="889"/>
      <c r="HU30" s="889"/>
      <c r="HV30" s="889"/>
      <c r="HW30" s="889"/>
      <c r="HX30" s="889"/>
      <c r="HY30" s="889"/>
      <c r="HZ30" s="889"/>
      <c r="IA30" s="889"/>
      <c r="IB30" s="889"/>
      <c r="IC30" s="889"/>
      <c r="ID30" s="889"/>
      <c r="IE30" s="889"/>
      <c r="IF30" s="889"/>
      <c r="IG30" s="889"/>
      <c r="IH30" s="889"/>
      <c r="II30" s="889"/>
      <c r="IJ30" s="889"/>
      <c r="IK30" s="889"/>
      <c r="IL30" s="889"/>
      <c r="IM30" s="889"/>
      <c r="IN30" s="889"/>
      <c r="IO30" s="889"/>
      <c r="IP30" s="889"/>
      <c r="IQ30" s="889"/>
      <c r="IR30" s="889"/>
      <c r="IS30" s="889"/>
      <c r="IT30" s="889"/>
      <c r="IU30" s="889"/>
      <c r="IV30" s="889"/>
    </row>
    <row r="31" spans="1:256" ht="10.5" customHeight="1">
      <c r="A31" s="875" t="s">
        <v>799</v>
      </c>
      <c r="B31" s="899">
        <v>3.1</v>
      </c>
      <c r="C31" s="899">
        <v>5.2</v>
      </c>
      <c r="D31" s="899">
        <v>8.4</v>
      </c>
      <c r="E31" s="899">
        <v>10.6</v>
      </c>
      <c r="F31" s="899">
        <v>10.7</v>
      </c>
      <c r="G31" s="899">
        <v>6.4</v>
      </c>
      <c r="H31" s="899">
        <v>5.8</v>
      </c>
      <c r="I31" s="899">
        <v>5.8</v>
      </c>
      <c r="J31" s="899">
        <v>5.8</v>
      </c>
      <c r="K31" s="899">
        <v>5.7</v>
      </c>
      <c r="L31" s="923">
        <v>5.7</v>
      </c>
      <c r="M31" s="923">
        <v>5.7</v>
      </c>
      <c r="N31" s="899">
        <v>5.7</v>
      </c>
      <c r="O31" s="889"/>
      <c r="P31" s="889"/>
      <c r="Q31" s="889"/>
      <c r="R31" s="889"/>
      <c r="S31" s="889"/>
      <c r="T31" s="889"/>
      <c r="U31" s="889"/>
      <c r="V31" s="889"/>
      <c r="W31" s="889"/>
      <c r="X31" s="889"/>
      <c r="Y31" s="889"/>
      <c r="Z31" s="889"/>
      <c r="AA31" s="889"/>
      <c r="AB31" s="889"/>
      <c r="AC31" s="889"/>
      <c r="AD31" s="889"/>
      <c r="AE31" s="889"/>
      <c r="AF31" s="889"/>
      <c r="AG31" s="889"/>
      <c r="AH31" s="889"/>
      <c r="AI31" s="889"/>
      <c r="AJ31" s="889"/>
      <c r="AK31" s="889"/>
      <c r="AL31" s="889"/>
      <c r="AM31" s="889"/>
      <c r="AN31" s="889"/>
      <c r="AO31" s="889"/>
      <c r="AP31" s="889"/>
      <c r="AQ31" s="889"/>
      <c r="AR31" s="889"/>
      <c r="AS31" s="889"/>
      <c r="AT31" s="889"/>
      <c r="AU31" s="889"/>
      <c r="AV31" s="889"/>
      <c r="AW31" s="889"/>
      <c r="AX31" s="889"/>
      <c r="AY31" s="889"/>
      <c r="AZ31" s="889"/>
      <c r="BA31" s="889"/>
      <c r="BB31" s="889"/>
      <c r="BC31" s="889"/>
      <c r="BD31" s="889"/>
      <c r="BE31" s="889"/>
      <c r="BF31" s="889"/>
      <c r="BG31" s="889"/>
      <c r="BH31" s="889"/>
      <c r="BI31" s="889"/>
      <c r="BJ31" s="889"/>
      <c r="BK31" s="889"/>
      <c r="BL31" s="889"/>
      <c r="BM31" s="889"/>
      <c r="BN31" s="889"/>
      <c r="BO31" s="889"/>
      <c r="BP31" s="889"/>
      <c r="BQ31" s="889"/>
      <c r="BR31" s="889"/>
      <c r="BS31" s="889"/>
      <c r="BT31" s="889"/>
      <c r="BU31" s="889"/>
      <c r="BV31" s="889"/>
      <c r="BW31" s="889"/>
      <c r="BX31" s="889"/>
      <c r="BY31" s="889"/>
      <c r="BZ31" s="889"/>
      <c r="CA31" s="889"/>
      <c r="CB31" s="889"/>
      <c r="CC31" s="889"/>
      <c r="CD31" s="889"/>
      <c r="CE31" s="889"/>
      <c r="CF31" s="889"/>
      <c r="CG31" s="889"/>
      <c r="CH31" s="889"/>
      <c r="CI31" s="889"/>
      <c r="CJ31" s="889"/>
      <c r="CK31" s="889"/>
      <c r="CL31" s="889"/>
      <c r="CM31" s="889"/>
      <c r="CN31" s="889"/>
      <c r="CO31" s="889"/>
      <c r="CP31" s="889"/>
      <c r="CQ31" s="889"/>
      <c r="CR31" s="889"/>
      <c r="CS31" s="889"/>
      <c r="CT31" s="889"/>
      <c r="CU31" s="889"/>
      <c r="CV31" s="889"/>
      <c r="CW31" s="889"/>
      <c r="CX31" s="889"/>
      <c r="CY31" s="889"/>
      <c r="CZ31" s="889"/>
      <c r="DA31" s="889"/>
      <c r="DB31" s="889"/>
      <c r="DC31" s="889"/>
      <c r="DD31" s="889"/>
      <c r="DE31" s="889"/>
      <c r="DF31" s="889"/>
      <c r="DG31" s="889"/>
      <c r="DH31" s="889"/>
      <c r="DI31" s="889"/>
      <c r="DJ31" s="889"/>
      <c r="DK31" s="889"/>
      <c r="DL31" s="889"/>
      <c r="DM31" s="889"/>
      <c r="DN31" s="889"/>
      <c r="DO31" s="889"/>
      <c r="DP31" s="889"/>
      <c r="DQ31" s="889"/>
      <c r="DR31" s="889"/>
      <c r="DS31" s="889"/>
      <c r="DT31" s="889"/>
      <c r="DU31" s="889"/>
      <c r="DV31" s="889"/>
      <c r="DW31" s="889"/>
      <c r="DX31" s="889"/>
      <c r="DY31" s="889"/>
      <c r="DZ31" s="889"/>
      <c r="EA31" s="889"/>
      <c r="EB31" s="889"/>
      <c r="EC31" s="889"/>
      <c r="ED31" s="889"/>
      <c r="EE31" s="889"/>
      <c r="EF31" s="889"/>
      <c r="EG31" s="889"/>
      <c r="EH31" s="889"/>
      <c r="EI31" s="889"/>
      <c r="EJ31" s="889"/>
      <c r="EK31" s="889"/>
      <c r="EL31" s="889"/>
      <c r="EM31" s="889"/>
      <c r="EN31" s="889"/>
      <c r="EO31" s="889"/>
      <c r="EP31" s="889"/>
      <c r="EQ31" s="889"/>
      <c r="ER31" s="889"/>
      <c r="ES31" s="889"/>
      <c r="ET31" s="889"/>
      <c r="EU31" s="889"/>
      <c r="EV31" s="889"/>
      <c r="EW31" s="889"/>
      <c r="EX31" s="889"/>
      <c r="EY31" s="889"/>
      <c r="EZ31" s="889"/>
      <c r="FA31" s="889"/>
      <c r="FB31" s="889"/>
      <c r="FC31" s="889"/>
      <c r="FD31" s="889"/>
      <c r="FE31" s="889"/>
      <c r="FF31" s="889"/>
      <c r="FG31" s="889"/>
      <c r="FH31" s="889"/>
      <c r="FI31" s="889"/>
      <c r="FJ31" s="889"/>
      <c r="FK31" s="889"/>
      <c r="FL31" s="889"/>
      <c r="FM31" s="889"/>
      <c r="FN31" s="889"/>
      <c r="FO31" s="889"/>
      <c r="FP31" s="889"/>
      <c r="FQ31" s="889"/>
      <c r="FR31" s="889"/>
      <c r="FS31" s="889"/>
      <c r="FT31" s="889"/>
      <c r="FU31" s="889"/>
      <c r="FV31" s="889"/>
      <c r="FW31" s="889"/>
      <c r="FX31" s="889"/>
      <c r="FY31" s="889"/>
      <c r="FZ31" s="889"/>
      <c r="GA31" s="889"/>
      <c r="GB31" s="889"/>
      <c r="GC31" s="889"/>
      <c r="GD31" s="889"/>
      <c r="GE31" s="889"/>
      <c r="GF31" s="889"/>
      <c r="GG31" s="889"/>
      <c r="GH31" s="889"/>
      <c r="GI31" s="889"/>
      <c r="GJ31" s="889"/>
      <c r="GK31" s="889"/>
      <c r="GL31" s="889"/>
      <c r="GM31" s="889"/>
      <c r="GN31" s="889"/>
      <c r="GO31" s="889"/>
      <c r="GP31" s="889"/>
      <c r="GQ31" s="889"/>
      <c r="GR31" s="889"/>
      <c r="GS31" s="889"/>
      <c r="GT31" s="889"/>
      <c r="GU31" s="889"/>
      <c r="GV31" s="889"/>
      <c r="GW31" s="889"/>
      <c r="GX31" s="889"/>
      <c r="GY31" s="889"/>
      <c r="GZ31" s="889"/>
      <c r="HA31" s="889"/>
      <c r="HB31" s="889"/>
      <c r="HC31" s="889"/>
      <c r="HD31" s="889"/>
      <c r="HE31" s="889"/>
      <c r="HF31" s="889"/>
      <c r="HG31" s="889"/>
      <c r="HH31" s="889"/>
      <c r="HI31" s="889"/>
      <c r="HJ31" s="889"/>
      <c r="HK31" s="889"/>
      <c r="HL31" s="889"/>
      <c r="HM31" s="889"/>
      <c r="HN31" s="889"/>
      <c r="HO31" s="889"/>
      <c r="HP31" s="889"/>
      <c r="HQ31" s="889"/>
      <c r="HR31" s="889"/>
      <c r="HS31" s="889"/>
      <c r="HT31" s="889"/>
      <c r="HU31" s="889"/>
      <c r="HV31" s="889"/>
      <c r="HW31" s="889"/>
      <c r="HX31" s="889"/>
      <c r="HY31" s="889"/>
      <c r="HZ31" s="889"/>
      <c r="IA31" s="889"/>
      <c r="IB31" s="889"/>
      <c r="IC31" s="889"/>
      <c r="ID31" s="889"/>
      <c r="IE31" s="889"/>
      <c r="IF31" s="889"/>
      <c r="IG31" s="889"/>
      <c r="IH31" s="889"/>
      <c r="II31" s="889"/>
      <c r="IJ31" s="889"/>
      <c r="IK31" s="889"/>
      <c r="IL31" s="889"/>
      <c r="IM31" s="889"/>
      <c r="IN31" s="889"/>
      <c r="IO31" s="889"/>
      <c r="IP31" s="889"/>
      <c r="IQ31" s="889"/>
      <c r="IR31" s="889"/>
      <c r="IS31" s="889"/>
      <c r="IT31" s="889"/>
      <c r="IU31" s="889"/>
      <c r="IV31" s="889"/>
    </row>
    <row r="32" spans="1:256" ht="10.5" customHeight="1">
      <c r="A32" s="924" t="s">
        <v>811</v>
      </c>
      <c r="B32" s="914">
        <v>0</v>
      </c>
      <c r="C32" s="914">
        <v>0</v>
      </c>
      <c r="D32" s="914">
        <v>0</v>
      </c>
      <c r="E32" s="914">
        <v>0</v>
      </c>
      <c r="F32" s="914">
        <v>0</v>
      </c>
      <c r="G32" s="914">
        <v>0</v>
      </c>
      <c r="H32" s="914">
        <v>0</v>
      </c>
      <c r="I32" s="914">
        <v>0</v>
      </c>
      <c r="J32" s="914">
        <v>0</v>
      </c>
      <c r="K32" s="914">
        <v>0</v>
      </c>
      <c r="L32" s="915">
        <v>0</v>
      </c>
      <c r="M32" s="915">
        <v>0</v>
      </c>
      <c r="N32" s="915">
        <v>0</v>
      </c>
      <c r="O32" s="889"/>
      <c r="P32" s="889"/>
      <c r="Q32" s="889"/>
      <c r="R32" s="889"/>
      <c r="S32" s="889"/>
      <c r="T32" s="889"/>
      <c r="U32" s="889"/>
      <c r="V32" s="889"/>
      <c r="W32" s="889"/>
      <c r="X32" s="889"/>
      <c r="Y32" s="889"/>
      <c r="Z32" s="889"/>
      <c r="AA32" s="889"/>
      <c r="AB32" s="889"/>
      <c r="AC32" s="889"/>
      <c r="AD32" s="889"/>
      <c r="AE32" s="889"/>
      <c r="AF32" s="889"/>
      <c r="AG32" s="889"/>
      <c r="AH32" s="889"/>
      <c r="AI32" s="889"/>
      <c r="AJ32" s="889"/>
      <c r="AK32" s="889"/>
      <c r="AL32" s="889"/>
      <c r="AM32" s="889"/>
      <c r="AN32" s="889"/>
      <c r="AO32" s="889"/>
      <c r="AP32" s="889"/>
      <c r="AQ32" s="889"/>
      <c r="AR32" s="889"/>
      <c r="AS32" s="889"/>
      <c r="AT32" s="889"/>
      <c r="AU32" s="889"/>
      <c r="AV32" s="889"/>
      <c r="AW32" s="889"/>
      <c r="AX32" s="889"/>
      <c r="AY32" s="889"/>
      <c r="AZ32" s="889"/>
      <c r="BA32" s="889"/>
      <c r="BB32" s="889"/>
      <c r="BC32" s="889"/>
      <c r="BD32" s="889"/>
      <c r="BE32" s="889"/>
      <c r="BF32" s="889"/>
      <c r="BG32" s="889"/>
      <c r="BH32" s="889"/>
      <c r="BI32" s="889"/>
      <c r="BJ32" s="889"/>
      <c r="BK32" s="889"/>
      <c r="BL32" s="889"/>
      <c r="BM32" s="889"/>
      <c r="BN32" s="889"/>
      <c r="BO32" s="889"/>
      <c r="BP32" s="889"/>
      <c r="BQ32" s="889"/>
      <c r="BR32" s="889"/>
      <c r="BS32" s="889"/>
      <c r="BT32" s="889"/>
      <c r="BU32" s="889"/>
      <c r="BV32" s="889"/>
      <c r="BW32" s="889"/>
      <c r="BX32" s="889"/>
      <c r="BY32" s="889"/>
      <c r="BZ32" s="889"/>
      <c r="CA32" s="889"/>
      <c r="CB32" s="889"/>
      <c r="CC32" s="889"/>
      <c r="CD32" s="889"/>
      <c r="CE32" s="889"/>
      <c r="CF32" s="889"/>
      <c r="CG32" s="889"/>
      <c r="CH32" s="889"/>
      <c r="CI32" s="889"/>
      <c r="CJ32" s="889"/>
      <c r="CK32" s="889"/>
      <c r="CL32" s="889"/>
      <c r="CM32" s="889"/>
      <c r="CN32" s="889"/>
      <c r="CO32" s="889"/>
      <c r="CP32" s="889"/>
      <c r="CQ32" s="889"/>
      <c r="CR32" s="889"/>
      <c r="CS32" s="889"/>
      <c r="CT32" s="889"/>
      <c r="CU32" s="889"/>
      <c r="CV32" s="889"/>
      <c r="CW32" s="889"/>
      <c r="CX32" s="889"/>
      <c r="CY32" s="889"/>
      <c r="CZ32" s="889"/>
      <c r="DA32" s="889"/>
      <c r="DB32" s="889"/>
      <c r="DC32" s="889"/>
      <c r="DD32" s="889"/>
      <c r="DE32" s="889"/>
      <c r="DF32" s="889"/>
      <c r="DG32" s="889"/>
      <c r="DH32" s="889"/>
      <c r="DI32" s="889"/>
      <c r="DJ32" s="889"/>
      <c r="DK32" s="889"/>
      <c r="DL32" s="889"/>
      <c r="DM32" s="889"/>
      <c r="DN32" s="889"/>
      <c r="DO32" s="889"/>
      <c r="DP32" s="889"/>
      <c r="DQ32" s="889"/>
      <c r="DR32" s="889"/>
      <c r="DS32" s="889"/>
      <c r="DT32" s="889"/>
      <c r="DU32" s="889"/>
      <c r="DV32" s="889"/>
      <c r="DW32" s="889"/>
      <c r="DX32" s="889"/>
      <c r="DY32" s="889"/>
      <c r="DZ32" s="889"/>
      <c r="EA32" s="889"/>
      <c r="EB32" s="889"/>
      <c r="EC32" s="889"/>
      <c r="ED32" s="889"/>
      <c r="EE32" s="889"/>
      <c r="EF32" s="889"/>
      <c r="EG32" s="889"/>
      <c r="EH32" s="889"/>
      <c r="EI32" s="889"/>
      <c r="EJ32" s="889"/>
      <c r="EK32" s="889"/>
      <c r="EL32" s="889"/>
      <c r="EM32" s="889"/>
      <c r="EN32" s="889"/>
      <c r="EO32" s="889"/>
      <c r="EP32" s="889"/>
      <c r="EQ32" s="889"/>
      <c r="ER32" s="889"/>
      <c r="ES32" s="889"/>
      <c r="ET32" s="889"/>
      <c r="EU32" s="889"/>
      <c r="EV32" s="889"/>
      <c r="EW32" s="889"/>
      <c r="EX32" s="889"/>
      <c r="EY32" s="889"/>
      <c r="EZ32" s="889"/>
      <c r="FA32" s="889"/>
      <c r="FB32" s="889"/>
      <c r="FC32" s="889"/>
      <c r="FD32" s="889"/>
      <c r="FE32" s="889"/>
      <c r="FF32" s="889"/>
      <c r="FG32" s="889"/>
      <c r="FH32" s="889"/>
      <c r="FI32" s="889"/>
      <c r="FJ32" s="889"/>
      <c r="FK32" s="889"/>
      <c r="FL32" s="889"/>
      <c r="FM32" s="889"/>
      <c r="FN32" s="889"/>
      <c r="FO32" s="889"/>
      <c r="FP32" s="889"/>
      <c r="FQ32" s="889"/>
      <c r="FR32" s="889"/>
      <c r="FS32" s="889"/>
      <c r="FT32" s="889"/>
      <c r="FU32" s="889"/>
      <c r="FV32" s="889"/>
      <c r="FW32" s="889"/>
      <c r="FX32" s="889"/>
      <c r="FY32" s="889"/>
      <c r="FZ32" s="889"/>
      <c r="GA32" s="889"/>
      <c r="GB32" s="889"/>
      <c r="GC32" s="889"/>
      <c r="GD32" s="889"/>
      <c r="GE32" s="889"/>
      <c r="GF32" s="889"/>
      <c r="GG32" s="889"/>
      <c r="GH32" s="889"/>
      <c r="GI32" s="889"/>
      <c r="GJ32" s="889"/>
      <c r="GK32" s="889"/>
      <c r="GL32" s="889"/>
      <c r="GM32" s="889"/>
      <c r="GN32" s="889"/>
      <c r="GO32" s="889"/>
      <c r="GP32" s="889"/>
      <c r="GQ32" s="889"/>
      <c r="GR32" s="889"/>
      <c r="GS32" s="889"/>
      <c r="GT32" s="889"/>
      <c r="GU32" s="889"/>
      <c r="GV32" s="889"/>
      <c r="GW32" s="889"/>
      <c r="GX32" s="889"/>
      <c r="GY32" s="889"/>
      <c r="GZ32" s="889"/>
      <c r="HA32" s="889"/>
      <c r="HB32" s="889"/>
      <c r="HC32" s="889"/>
      <c r="HD32" s="889"/>
      <c r="HE32" s="889"/>
      <c r="HF32" s="889"/>
      <c r="HG32" s="889"/>
      <c r="HH32" s="889"/>
      <c r="HI32" s="889"/>
      <c r="HJ32" s="889"/>
      <c r="HK32" s="889"/>
      <c r="HL32" s="889"/>
      <c r="HM32" s="889"/>
      <c r="HN32" s="889"/>
      <c r="HO32" s="889"/>
      <c r="HP32" s="889"/>
      <c r="HQ32" s="889"/>
      <c r="HR32" s="889"/>
      <c r="HS32" s="889"/>
      <c r="HT32" s="889"/>
      <c r="HU32" s="889"/>
      <c r="HV32" s="889"/>
      <c r="HW32" s="889"/>
      <c r="HX32" s="889"/>
      <c r="HY32" s="889"/>
      <c r="HZ32" s="889"/>
      <c r="IA32" s="889"/>
      <c r="IB32" s="889"/>
      <c r="IC32" s="889"/>
      <c r="ID32" s="889"/>
      <c r="IE32" s="889"/>
      <c r="IF32" s="889"/>
      <c r="IG32" s="889"/>
      <c r="IH32" s="889"/>
      <c r="II32" s="889"/>
      <c r="IJ32" s="889"/>
      <c r="IK32" s="889"/>
      <c r="IL32" s="889"/>
      <c r="IM32" s="889"/>
      <c r="IN32" s="889"/>
      <c r="IO32" s="889"/>
      <c r="IP32" s="889"/>
      <c r="IQ32" s="889"/>
      <c r="IR32" s="889"/>
      <c r="IS32" s="889"/>
      <c r="IT32" s="889"/>
      <c r="IU32" s="889"/>
      <c r="IV32" s="889"/>
    </row>
    <row r="33" spans="1:256" s="897" customFormat="1" ht="12.75" customHeight="1" thickBot="1">
      <c r="A33" s="917" t="s">
        <v>812</v>
      </c>
      <c r="B33" s="926">
        <v>29.6</v>
      </c>
      <c r="C33" s="926">
        <v>27.7</v>
      </c>
      <c r="D33" s="927">
        <v>29</v>
      </c>
      <c r="E33" s="927">
        <v>34.200000000000003</v>
      </c>
      <c r="F33" s="928">
        <v>147.4</v>
      </c>
      <c r="G33" s="928">
        <v>54.49</v>
      </c>
      <c r="H33" s="928">
        <v>89.2</v>
      </c>
      <c r="I33" s="928">
        <v>99.8</v>
      </c>
      <c r="J33" s="928">
        <v>75.7</v>
      </c>
      <c r="K33" s="928">
        <v>62.8</v>
      </c>
      <c r="L33" s="929">
        <v>38.200000000000003</v>
      </c>
      <c r="M33" s="929">
        <v>82.3</v>
      </c>
      <c r="N33" s="928">
        <v>85.2</v>
      </c>
      <c r="O33" s="896"/>
      <c r="P33" s="896"/>
      <c r="Q33" s="896"/>
      <c r="R33" s="896"/>
      <c r="S33" s="896"/>
      <c r="T33" s="896"/>
      <c r="U33" s="896"/>
      <c r="V33" s="896"/>
      <c r="W33" s="896"/>
      <c r="X33" s="896"/>
      <c r="Y33" s="896"/>
      <c r="Z33" s="896"/>
      <c r="AA33" s="896"/>
      <c r="AB33" s="896"/>
      <c r="AC33" s="896"/>
      <c r="AD33" s="896"/>
      <c r="AE33" s="896"/>
      <c r="AF33" s="896"/>
      <c r="AG33" s="896"/>
      <c r="AH33" s="896"/>
      <c r="AI33" s="896"/>
      <c r="AJ33" s="896"/>
      <c r="AK33" s="896"/>
      <c r="AL33" s="896"/>
      <c r="AM33" s="896"/>
      <c r="AN33" s="896"/>
      <c r="AO33" s="896"/>
      <c r="AP33" s="896"/>
      <c r="AQ33" s="896"/>
      <c r="AR33" s="896"/>
      <c r="AS33" s="896"/>
      <c r="AT33" s="896"/>
      <c r="AU33" s="896"/>
      <c r="AV33" s="896"/>
      <c r="AW33" s="896"/>
      <c r="AX33" s="896"/>
      <c r="AY33" s="896"/>
      <c r="AZ33" s="896"/>
      <c r="BA33" s="896"/>
      <c r="BB33" s="896"/>
      <c r="BC33" s="896"/>
      <c r="BD33" s="896"/>
      <c r="BE33" s="896"/>
      <c r="BF33" s="896"/>
      <c r="BG33" s="896"/>
      <c r="BH33" s="896"/>
      <c r="BI33" s="896"/>
      <c r="BJ33" s="896"/>
      <c r="BK33" s="896"/>
      <c r="BL33" s="896"/>
      <c r="BM33" s="896"/>
      <c r="BN33" s="896"/>
      <c r="BO33" s="896"/>
      <c r="BP33" s="896"/>
      <c r="BQ33" s="896"/>
      <c r="BR33" s="896"/>
      <c r="BS33" s="896"/>
      <c r="BT33" s="896"/>
      <c r="BU33" s="896"/>
      <c r="BV33" s="896"/>
      <c r="BW33" s="896"/>
      <c r="BX33" s="896"/>
      <c r="BY33" s="896"/>
      <c r="BZ33" s="896"/>
      <c r="CA33" s="896"/>
      <c r="CB33" s="896"/>
      <c r="CC33" s="896"/>
      <c r="CD33" s="896"/>
      <c r="CE33" s="896"/>
      <c r="CF33" s="896"/>
      <c r="CG33" s="896"/>
      <c r="CH33" s="896"/>
      <c r="CI33" s="896"/>
      <c r="CJ33" s="896"/>
      <c r="CK33" s="896"/>
      <c r="CL33" s="896"/>
      <c r="CM33" s="896"/>
      <c r="CN33" s="896"/>
      <c r="CO33" s="896"/>
      <c r="CP33" s="896"/>
      <c r="CQ33" s="896"/>
      <c r="CR33" s="896"/>
      <c r="CS33" s="896"/>
      <c r="CT33" s="896"/>
      <c r="CU33" s="896"/>
      <c r="CV33" s="896"/>
      <c r="CW33" s="896"/>
      <c r="CX33" s="896"/>
      <c r="CY33" s="896"/>
      <c r="CZ33" s="896"/>
      <c r="DA33" s="896"/>
      <c r="DB33" s="896"/>
      <c r="DC33" s="896"/>
      <c r="DD33" s="896"/>
      <c r="DE33" s="896"/>
      <c r="DF33" s="896"/>
      <c r="DG33" s="896"/>
      <c r="DH33" s="896"/>
      <c r="DI33" s="896"/>
      <c r="DJ33" s="896"/>
      <c r="DK33" s="896"/>
      <c r="DL33" s="896"/>
      <c r="DM33" s="896"/>
      <c r="DN33" s="896"/>
      <c r="DO33" s="896"/>
      <c r="DP33" s="896"/>
      <c r="DQ33" s="896"/>
      <c r="DR33" s="896"/>
      <c r="DS33" s="896"/>
      <c r="DT33" s="896"/>
      <c r="DU33" s="896"/>
      <c r="DV33" s="896"/>
      <c r="DW33" s="896"/>
      <c r="DX33" s="896"/>
      <c r="DY33" s="896"/>
      <c r="DZ33" s="896"/>
      <c r="EA33" s="896"/>
      <c r="EB33" s="896"/>
      <c r="EC33" s="896"/>
      <c r="ED33" s="896"/>
      <c r="EE33" s="896"/>
      <c r="EF33" s="896"/>
      <c r="EG33" s="896"/>
      <c r="EH33" s="896"/>
      <c r="EI33" s="896"/>
      <c r="EJ33" s="896"/>
      <c r="EK33" s="896"/>
      <c r="EL33" s="896"/>
      <c r="EM33" s="896"/>
      <c r="EN33" s="896"/>
      <c r="EO33" s="896"/>
      <c r="EP33" s="896"/>
      <c r="EQ33" s="896"/>
      <c r="ER33" s="896"/>
      <c r="ES33" s="896"/>
      <c r="ET33" s="896"/>
      <c r="EU33" s="896"/>
      <c r="EV33" s="896"/>
      <c r="EW33" s="896"/>
      <c r="EX33" s="896"/>
      <c r="EY33" s="896"/>
      <c r="EZ33" s="896"/>
      <c r="FA33" s="896"/>
      <c r="FB33" s="896"/>
      <c r="FC33" s="896"/>
      <c r="FD33" s="896"/>
      <c r="FE33" s="896"/>
      <c r="FF33" s="896"/>
      <c r="FG33" s="896"/>
      <c r="FH33" s="896"/>
      <c r="FI33" s="896"/>
      <c r="FJ33" s="896"/>
      <c r="FK33" s="896"/>
      <c r="FL33" s="896"/>
      <c r="FM33" s="896"/>
      <c r="FN33" s="896"/>
      <c r="FO33" s="896"/>
      <c r="FP33" s="896"/>
      <c r="FQ33" s="896"/>
      <c r="FR33" s="896"/>
      <c r="FS33" s="896"/>
      <c r="FT33" s="896"/>
      <c r="FU33" s="896"/>
      <c r="FV33" s="896"/>
      <c r="FW33" s="896"/>
      <c r="FX33" s="896"/>
      <c r="FY33" s="896"/>
      <c r="FZ33" s="896"/>
      <c r="GA33" s="896"/>
      <c r="GB33" s="896"/>
      <c r="GC33" s="896"/>
      <c r="GD33" s="896"/>
      <c r="GE33" s="896"/>
      <c r="GF33" s="896"/>
      <c r="GG33" s="896"/>
      <c r="GH33" s="896"/>
      <c r="GI33" s="896"/>
      <c r="GJ33" s="896"/>
      <c r="GK33" s="896"/>
      <c r="GL33" s="896"/>
      <c r="GM33" s="896"/>
      <c r="GN33" s="896"/>
      <c r="GO33" s="896"/>
      <c r="GP33" s="896"/>
      <c r="GQ33" s="896"/>
      <c r="GR33" s="896"/>
      <c r="GS33" s="896"/>
      <c r="GT33" s="896"/>
      <c r="GU33" s="896"/>
      <c r="GV33" s="896"/>
      <c r="GW33" s="896"/>
      <c r="GX33" s="896"/>
      <c r="GY33" s="896"/>
      <c r="GZ33" s="896"/>
      <c r="HA33" s="896"/>
      <c r="HB33" s="896"/>
      <c r="HC33" s="896"/>
      <c r="HD33" s="896"/>
      <c r="HE33" s="896"/>
      <c r="HF33" s="896"/>
      <c r="HG33" s="896"/>
      <c r="HH33" s="896"/>
      <c r="HI33" s="896"/>
      <c r="HJ33" s="896"/>
      <c r="HK33" s="896"/>
      <c r="HL33" s="896"/>
      <c r="HM33" s="896"/>
      <c r="HN33" s="896"/>
      <c r="HO33" s="896"/>
      <c r="HP33" s="896"/>
      <c r="HQ33" s="896"/>
      <c r="HR33" s="896"/>
      <c r="HS33" s="896"/>
      <c r="HT33" s="896"/>
      <c r="HU33" s="896"/>
      <c r="HV33" s="896"/>
      <c r="HW33" s="896"/>
      <c r="HX33" s="896"/>
      <c r="HY33" s="896"/>
      <c r="HZ33" s="896"/>
      <c r="IA33" s="896"/>
      <c r="IB33" s="896"/>
      <c r="IC33" s="896"/>
      <c r="ID33" s="896"/>
      <c r="IE33" s="896"/>
      <c r="IF33" s="896"/>
      <c r="IG33" s="896"/>
      <c r="IH33" s="896"/>
      <c r="II33" s="896"/>
      <c r="IJ33" s="896"/>
      <c r="IK33" s="896"/>
      <c r="IL33" s="896"/>
      <c r="IM33" s="896"/>
      <c r="IN33" s="896"/>
      <c r="IO33" s="896"/>
      <c r="IP33" s="896"/>
      <c r="IQ33" s="896"/>
      <c r="IR33" s="896"/>
      <c r="IS33" s="896"/>
      <c r="IT33" s="896"/>
      <c r="IU33" s="896"/>
      <c r="IV33" s="896"/>
    </row>
    <row r="34" spans="1:256" s="897" customFormat="1" ht="12" customHeight="1" thickTop="1">
      <c r="A34" s="890" t="s">
        <v>813</v>
      </c>
      <c r="B34" s="909">
        <v>13.8</v>
      </c>
      <c r="C34" s="909">
        <v>12.1</v>
      </c>
      <c r="D34" s="910">
        <v>12.9</v>
      </c>
      <c r="E34" s="910">
        <v>15.2</v>
      </c>
      <c r="F34" s="935">
        <v>65.8</v>
      </c>
      <c r="G34" s="935">
        <v>23.6</v>
      </c>
      <c r="H34" s="935">
        <v>38.4</v>
      </c>
      <c r="I34" s="935">
        <v>43.4</v>
      </c>
      <c r="J34" s="935">
        <v>31.3</v>
      </c>
      <c r="K34" s="935">
        <v>18.3</v>
      </c>
      <c r="L34" s="936">
        <v>16.3</v>
      </c>
      <c r="M34" s="936">
        <v>36.200000000000003</v>
      </c>
      <c r="N34" s="935">
        <v>39.5</v>
      </c>
      <c r="O34" s="896"/>
      <c r="P34" s="896"/>
      <c r="Q34" s="896"/>
      <c r="R34" s="896"/>
      <c r="S34" s="896"/>
      <c r="T34" s="896"/>
      <c r="U34" s="896"/>
      <c r="V34" s="896"/>
      <c r="W34" s="896"/>
      <c r="X34" s="896"/>
      <c r="Y34" s="896"/>
      <c r="Z34" s="896"/>
      <c r="AA34" s="896"/>
      <c r="AB34" s="896"/>
      <c r="AC34" s="896"/>
      <c r="AD34" s="896"/>
      <c r="AE34" s="896"/>
      <c r="AF34" s="896"/>
      <c r="AG34" s="896"/>
      <c r="AH34" s="896"/>
      <c r="AI34" s="896"/>
      <c r="AJ34" s="896"/>
      <c r="AK34" s="896"/>
      <c r="AL34" s="896"/>
      <c r="AM34" s="896"/>
      <c r="AN34" s="896"/>
      <c r="AO34" s="896"/>
      <c r="AP34" s="896"/>
      <c r="AQ34" s="896"/>
      <c r="AR34" s="896"/>
      <c r="AS34" s="896"/>
      <c r="AT34" s="896"/>
      <c r="AU34" s="896"/>
      <c r="AV34" s="896"/>
      <c r="AW34" s="896"/>
      <c r="AX34" s="896"/>
      <c r="AY34" s="896"/>
      <c r="AZ34" s="896"/>
      <c r="BA34" s="896"/>
      <c r="BB34" s="896"/>
      <c r="BC34" s="896"/>
      <c r="BD34" s="896"/>
      <c r="BE34" s="896"/>
      <c r="BF34" s="896"/>
      <c r="BG34" s="896"/>
      <c r="BH34" s="896"/>
      <c r="BI34" s="896"/>
      <c r="BJ34" s="896"/>
      <c r="BK34" s="896"/>
      <c r="BL34" s="896"/>
      <c r="BM34" s="896"/>
      <c r="BN34" s="896"/>
      <c r="BO34" s="896"/>
      <c r="BP34" s="896"/>
      <c r="BQ34" s="896"/>
      <c r="BR34" s="896"/>
      <c r="BS34" s="896"/>
      <c r="BT34" s="896"/>
      <c r="BU34" s="896"/>
      <c r="BV34" s="896"/>
      <c r="BW34" s="896"/>
      <c r="BX34" s="896"/>
      <c r="BY34" s="896"/>
      <c r="BZ34" s="896"/>
      <c r="CA34" s="896"/>
      <c r="CB34" s="896"/>
      <c r="CC34" s="896"/>
      <c r="CD34" s="896"/>
      <c r="CE34" s="896"/>
      <c r="CF34" s="896"/>
      <c r="CG34" s="896"/>
      <c r="CH34" s="896"/>
      <c r="CI34" s="896"/>
      <c r="CJ34" s="896"/>
      <c r="CK34" s="896"/>
      <c r="CL34" s="896"/>
      <c r="CM34" s="896"/>
      <c r="CN34" s="896"/>
      <c r="CO34" s="896"/>
      <c r="CP34" s="896"/>
      <c r="CQ34" s="896"/>
      <c r="CR34" s="896"/>
      <c r="CS34" s="896"/>
      <c r="CT34" s="896"/>
      <c r="CU34" s="896"/>
      <c r="CV34" s="896"/>
      <c r="CW34" s="896"/>
      <c r="CX34" s="896"/>
      <c r="CY34" s="896"/>
      <c r="CZ34" s="896"/>
      <c r="DA34" s="896"/>
      <c r="DB34" s="896"/>
      <c r="DC34" s="896"/>
      <c r="DD34" s="896"/>
      <c r="DE34" s="896"/>
      <c r="DF34" s="896"/>
      <c r="DG34" s="896"/>
      <c r="DH34" s="896"/>
      <c r="DI34" s="896"/>
      <c r="DJ34" s="896"/>
      <c r="DK34" s="896"/>
      <c r="DL34" s="896"/>
      <c r="DM34" s="896"/>
      <c r="DN34" s="896"/>
      <c r="DO34" s="896"/>
      <c r="DP34" s="896"/>
      <c r="DQ34" s="896"/>
      <c r="DR34" s="896"/>
      <c r="DS34" s="896"/>
      <c r="DT34" s="896"/>
      <c r="DU34" s="896"/>
      <c r="DV34" s="896"/>
      <c r="DW34" s="896"/>
      <c r="DX34" s="896"/>
      <c r="DY34" s="896"/>
      <c r="DZ34" s="896"/>
      <c r="EA34" s="896"/>
      <c r="EB34" s="896"/>
      <c r="EC34" s="896"/>
      <c r="ED34" s="896"/>
      <c r="EE34" s="896"/>
      <c r="EF34" s="896"/>
      <c r="EG34" s="896"/>
      <c r="EH34" s="896"/>
      <c r="EI34" s="896"/>
      <c r="EJ34" s="896"/>
      <c r="EK34" s="896"/>
      <c r="EL34" s="896"/>
      <c r="EM34" s="896"/>
      <c r="EN34" s="896"/>
      <c r="EO34" s="896"/>
      <c r="EP34" s="896"/>
      <c r="EQ34" s="896"/>
      <c r="ER34" s="896"/>
      <c r="ES34" s="896"/>
      <c r="ET34" s="896"/>
      <c r="EU34" s="896"/>
      <c r="EV34" s="896"/>
      <c r="EW34" s="896"/>
      <c r="EX34" s="896"/>
      <c r="EY34" s="896"/>
      <c r="EZ34" s="896"/>
      <c r="FA34" s="896"/>
      <c r="FB34" s="896"/>
      <c r="FC34" s="896"/>
      <c r="FD34" s="896"/>
      <c r="FE34" s="896"/>
      <c r="FF34" s="896"/>
      <c r="FG34" s="896"/>
      <c r="FH34" s="896"/>
      <c r="FI34" s="896"/>
      <c r="FJ34" s="896"/>
      <c r="FK34" s="896"/>
      <c r="FL34" s="896"/>
      <c r="FM34" s="896"/>
      <c r="FN34" s="896"/>
      <c r="FO34" s="896"/>
      <c r="FP34" s="896"/>
      <c r="FQ34" s="896"/>
      <c r="FR34" s="896"/>
      <c r="FS34" s="896"/>
      <c r="FT34" s="896"/>
      <c r="FU34" s="896"/>
      <c r="FV34" s="896"/>
      <c r="FW34" s="896"/>
      <c r="FX34" s="896"/>
      <c r="FY34" s="896"/>
      <c r="FZ34" s="896"/>
      <c r="GA34" s="896"/>
      <c r="GB34" s="896"/>
      <c r="GC34" s="896"/>
      <c r="GD34" s="896"/>
      <c r="GE34" s="896"/>
      <c r="GF34" s="896"/>
      <c r="GG34" s="896"/>
      <c r="GH34" s="896"/>
      <c r="GI34" s="896"/>
      <c r="GJ34" s="896"/>
      <c r="GK34" s="896"/>
      <c r="GL34" s="896"/>
      <c r="GM34" s="896"/>
      <c r="GN34" s="896"/>
      <c r="GO34" s="896"/>
      <c r="GP34" s="896"/>
      <c r="GQ34" s="896"/>
      <c r="GR34" s="896"/>
      <c r="GS34" s="896"/>
      <c r="GT34" s="896"/>
      <c r="GU34" s="896"/>
      <c r="GV34" s="896"/>
      <c r="GW34" s="896"/>
      <c r="GX34" s="896"/>
      <c r="GY34" s="896"/>
      <c r="GZ34" s="896"/>
      <c r="HA34" s="896"/>
      <c r="HB34" s="896"/>
      <c r="HC34" s="896"/>
      <c r="HD34" s="896"/>
      <c r="HE34" s="896"/>
      <c r="HF34" s="896"/>
      <c r="HG34" s="896"/>
      <c r="HH34" s="896"/>
      <c r="HI34" s="896"/>
      <c r="HJ34" s="896"/>
      <c r="HK34" s="896"/>
      <c r="HL34" s="896"/>
      <c r="HM34" s="896"/>
      <c r="HN34" s="896"/>
      <c r="HO34" s="896"/>
      <c r="HP34" s="896"/>
      <c r="HQ34" s="896"/>
      <c r="HR34" s="896"/>
      <c r="HS34" s="896"/>
      <c r="HT34" s="896"/>
      <c r="HU34" s="896"/>
      <c r="HV34" s="896"/>
      <c r="HW34" s="896"/>
      <c r="HX34" s="896"/>
      <c r="HY34" s="896"/>
      <c r="HZ34" s="896"/>
      <c r="IA34" s="896"/>
      <c r="IB34" s="896"/>
      <c r="IC34" s="896"/>
      <c r="ID34" s="896"/>
      <c r="IE34" s="896"/>
      <c r="IF34" s="896"/>
      <c r="IG34" s="896"/>
      <c r="IH34" s="896"/>
      <c r="II34" s="896"/>
      <c r="IJ34" s="896"/>
      <c r="IK34" s="896"/>
      <c r="IL34" s="896"/>
      <c r="IM34" s="896"/>
      <c r="IN34" s="896"/>
      <c r="IO34" s="896"/>
      <c r="IP34" s="896"/>
      <c r="IQ34" s="896"/>
      <c r="IR34" s="896"/>
      <c r="IS34" s="896"/>
      <c r="IT34" s="896"/>
      <c r="IU34" s="896"/>
      <c r="IV34" s="896"/>
    </row>
    <row r="35" spans="1:256" s="897" customFormat="1" ht="12" customHeight="1">
      <c r="A35" s="912" t="s">
        <v>814</v>
      </c>
      <c r="B35" s="913">
        <v>160</v>
      </c>
      <c r="C35" s="913">
        <v>141</v>
      </c>
      <c r="D35" s="914">
        <v>150</v>
      </c>
      <c r="E35" s="914">
        <v>177</v>
      </c>
      <c r="F35" s="937">
        <v>765</v>
      </c>
      <c r="G35" s="937">
        <v>274.2</v>
      </c>
      <c r="H35" s="937">
        <v>447.3</v>
      </c>
      <c r="I35" s="937">
        <v>504.7</v>
      </c>
      <c r="J35" s="937">
        <v>364.3</v>
      </c>
      <c r="K35" s="937">
        <v>212.5</v>
      </c>
      <c r="L35" s="938">
        <v>189.4</v>
      </c>
      <c r="M35" s="938">
        <v>421.1</v>
      </c>
      <c r="N35" s="937">
        <v>459.9</v>
      </c>
      <c r="O35" s="896"/>
      <c r="P35" s="896"/>
      <c r="Q35" s="896"/>
      <c r="R35" s="896"/>
      <c r="S35" s="896"/>
      <c r="T35" s="896"/>
      <c r="U35" s="896"/>
      <c r="V35" s="896"/>
      <c r="W35" s="896"/>
      <c r="X35" s="896"/>
      <c r="Y35" s="896"/>
      <c r="Z35" s="896"/>
      <c r="AA35" s="896"/>
      <c r="AB35" s="896"/>
      <c r="AC35" s="896"/>
      <c r="AD35" s="896"/>
      <c r="AE35" s="896"/>
      <c r="AF35" s="896"/>
      <c r="AG35" s="896"/>
      <c r="AH35" s="896"/>
      <c r="AI35" s="896"/>
      <c r="AJ35" s="896"/>
      <c r="AK35" s="896"/>
      <c r="AL35" s="896"/>
      <c r="AM35" s="896"/>
      <c r="AN35" s="896"/>
      <c r="AO35" s="896"/>
      <c r="AP35" s="896"/>
      <c r="AQ35" s="896"/>
      <c r="AR35" s="896"/>
      <c r="AS35" s="896"/>
      <c r="AT35" s="896"/>
      <c r="AU35" s="896"/>
      <c r="AV35" s="896"/>
      <c r="AW35" s="896"/>
      <c r="AX35" s="896"/>
      <c r="AY35" s="896"/>
      <c r="AZ35" s="896"/>
      <c r="BA35" s="896"/>
      <c r="BB35" s="896"/>
      <c r="BC35" s="896"/>
      <c r="BD35" s="896"/>
      <c r="BE35" s="896"/>
      <c r="BF35" s="896"/>
      <c r="BG35" s="896"/>
      <c r="BH35" s="896"/>
      <c r="BI35" s="896"/>
      <c r="BJ35" s="896"/>
      <c r="BK35" s="896"/>
      <c r="BL35" s="896"/>
      <c r="BM35" s="896"/>
      <c r="BN35" s="896"/>
      <c r="BO35" s="896"/>
      <c r="BP35" s="896"/>
      <c r="BQ35" s="896"/>
      <c r="BR35" s="896"/>
      <c r="BS35" s="896"/>
      <c r="BT35" s="896"/>
      <c r="BU35" s="896"/>
      <c r="BV35" s="896"/>
      <c r="BW35" s="896"/>
      <c r="BX35" s="896"/>
      <c r="BY35" s="896"/>
      <c r="BZ35" s="896"/>
      <c r="CA35" s="896"/>
      <c r="CB35" s="896"/>
      <c r="CC35" s="896"/>
      <c r="CD35" s="896"/>
      <c r="CE35" s="896"/>
      <c r="CF35" s="896"/>
      <c r="CG35" s="896"/>
      <c r="CH35" s="896"/>
      <c r="CI35" s="896"/>
      <c r="CJ35" s="896"/>
      <c r="CK35" s="896"/>
      <c r="CL35" s="896"/>
      <c r="CM35" s="896"/>
      <c r="CN35" s="896"/>
      <c r="CO35" s="896"/>
      <c r="CP35" s="896"/>
      <c r="CQ35" s="896"/>
      <c r="CR35" s="896"/>
      <c r="CS35" s="896"/>
      <c r="CT35" s="896"/>
      <c r="CU35" s="896"/>
      <c r="CV35" s="896"/>
      <c r="CW35" s="896"/>
      <c r="CX35" s="896"/>
      <c r="CY35" s="896"/>
      <c r="CZ35" s="896"/>
      <c r="DA35" s="896"/>
      <c r="DB35" s="896"/>
      <c r="DC35" s="896"/>
      <c r="DD35" s="896"/>
      <c r="DE35" s="896"/>
      <c r="DF35" s="896"/>
      <c r="DG35" s="896"/>
      <c r="DH35" s="896"/>
      <c r="DI35" s="896"/>
      <c r="DJ35" s="896"/>
      <c r="DK35" s="896"/>
      <c r="DL35" s="896"/>
      <c r="DM35" s="896"/>
      <c r="DN35" s="896"/>
      <c r="DO35" s="896"/>
      <c r="DP35" s="896"/>
      <c r="DQ35" s="896"/>
      <c r="DR35" s="896"/>
      <c r="DS35" s="896"/>
      <c r="DT35" s="896"/>
      <c r="DU35" s="896"/>
      <c r="DV35" s="896"/>
      <c r="DW35" s="896"/>
      <c r="DX35" s="896"/>
      <c r="DY35" s="896"/>
      <c r="DZ35" s="896"/>
      <c r="EA35" s="896"/>
      <c r="EB35" s="896"/>
      <c r="EC35" s="896"/>
      <c r="ED35" s="896"/>
      <c r="EE35" s="896"/>
      <c r="EF35" s="896"/>
      <c r="EG35" s="896"/>
      <c r="EH35" s="896"/>
      <c r="EI35" s="896"/>
      <c r="EJ35" s="896"/>
      <c r="EK35" s="896"/>
      <c r="EL35" s="896"/>
      <c r="EM35" s="896"/>
      <c r="EN35" s="896"/>
      <c r="EO35" s="896"/>
      <c r="EP35" s="896"/>
      <c r="EQ35" s="896"/>
      <c r="ER35" s="896"/>
      <c r="ES35" s="896"/>
      <c r="ET35" s="896"/>
      <c r="EU35" s="896"/>
      <c r="EV35" s="896"/>
      <c r="EW35" s="896"/>
      <c r="EX35" s="896"/>
      <c r="EY35" s="896"/>
      <c r="EZ35" s="896"/>
      <c r="FA35" s="896"/>
      <c r="FB35" s="896"/>
      <c r="FC35" s="896"/>
      <c r="FD35" s="896"/>
      <c r="FE35" s="896"/>
      <c r="FF35" s="896"/>
      <c r="FG35" s="896"/>
      <c r="FH35" s="896"/>
      <c r="FI35" s="896"/>
      <c r="FJ35" s="896"/>
      <c r="FK35" s="896"/>
      <c r="FL35" s="896"/>
      <c r="FM35" s="896"/>
      <c r="FN35" s="896"/>
      <c r="FO35" s="896"/>
      <c r="FP35" s="896"/>
      <c r="FQ35" s="896"/>
      <c r="FR35" s="896"/>
      <c r="FS35" s="896"/>
      <c r="FT35" s="896"/>
      <c r="FU35" s="896"/>
      <c r="FV35" s="896"/>
      <c r="FW35" s="896"/>
      <c r="FX35" s="896"/>
      <c r="FY35" s="896"/>
      <c r="FZ35" s="896"/>
      <c r="GA35" s="896"/>
      <c r="GB35" s="896"/>
      <c r="GC35" s="896"/>
      <c r="GD35" s="896"/>
      <c r="GE35" s="896"/>
      <c r="GF35" s="896"/>
      <c r="GG35" s="896"/>
      <c r="GH35" s="896"/>
      <c r="GI35" s="896"/>
      <c r="GJ35" s="896"/>
      <c r="GK35" s="896"/>
      <c r="GL35" s="896"/>
      <c r="GM35" s="896"/>
      <c r="GN35" s="896"/>
      <c r="GO35" s="896"/>
      <c r="GP35" s="896"/>
      <c r="GQ35" s="896"/>
      <c r="GR35" s="896"/>
      <c r="GS35" s="896"/>
      <c r="GT35" s="896"/>
      <c r="GU35" s="896"/>
      <c r="GV35" s="896"/>
      <c r="GW35" s="896"/>
      <c r="GX35" s="896"/>
      <c r="GY35" s="896"/>
      <c r="GZ35" s="896"/>
      <c r="HA35" s="896"/>
      <c r="HB35" s="896"/>
      <c r="HC35" s="896"/>
      <c r="HD35" s="896"/>
      <c r="HE35" s="896"/>
      <c r="HF35" s="896"/>
      <c r="HG35" s="896"/>
      <c r="HH35" s="896"/>
      <c r="HI35" s="896"/>
      <c r="HJ35" s="896"/>
      <c r="HK35" s="896"/>
      <c r="HL35" s="896"/>
      <c r="HM35" s="896"/>
      <c r="HN35" s="896"/>
      <c r="HO35" s="896"/>
      <c r="HP35" s="896"/>
      <c r="HQ35" s="896"/>
      <c r="HR35" s="896"/>
      <c r="HS35" s="896"/>
      <c r="HT35" s="896"/>
      <c r="HU35" s="896"/>
      <c r="HV35" s="896"/>
      <c r="HW35" s="896"/>
      <c r="HX35" s="896"/>
      <c r="HY35" s="896"/>
      <c r="HZ35" s="896"/>
      <c r="IA35" s="896"/>
      <c r="IB35" s="896"/>
      <c r="IC35" s="896"/>
      <c r="ID35" s="896"/>
      <c r="IE35" s="896"/>
      <c r="IF35" s="896"/>
      <c r="IG35" s="896"/>
      <c r="IH35" s="896"/>
      <c r="II35" s="896"/>
      <c r="IJ35" s="896"/>
      <c r="IK35" s="896"/>
      <c r="IL35" s="896"/>
      <c r="IM35" s="896"/>
      <c r="IN35" s="896"/>
      <c r="IO35" s="896"/>
      <c r="IP35" s="896"/>
      <c r="IQ35" s="896"/>
      <c r="IR35" s="896"/>
      <c r="IS35" s="896"/>
      <c r="IT35" s="896"/>
      <c r="IU35" s="896"/>
      <c r="IV35" s="896"/>
    </row>
    <row r="36" spans="1:256" s="897" customFormat="1" ht="12" customHeight="1">
      <c r="A36" s="890" t="s">
        <v>815</v>
      </c>
      <c r="B36" s="909">
        <v>13.1</v>
      </c>
      <c r="C36" s="909">
        <v>11.6</v>
      </c>
      <c r="D36" s="910">
        <v>12.3</v>
      </c>
      <c r="E36" s="910">
        <v>14.5</v>
      </c>
      <c r="F36" s="935">
        <v>54.7</v>
      </c>
      <c r="G36" s="935">
        <v>22.2</v>
      </c>
      <c r="H36" s="935">
        <v>36.299999999999997</v>
      </c>
      <c r="I36" s="935">
        <v>40.9</v>
      </c>
      <c r="J36" s="935">
        <v>30.1</v>
      </c>
      <c r="K36" s="935">
        <v>17.600000000000001</v>
      </c>
      <c r="L36" s="936">
        <v>15.7</v>
      </c>
      <c r="M36" s="936">
        <v>34.6</v>
      </c>
      <c r="N36" s="935">
        <v>38</v>
      </c>
      <c r="O36" s="896"/>
      <c r="P36" s="896"/>
      <c r="Q36" s="896"/>
      <c r="R36" s="896"/>
      <c r="S36" s="896"/>
      <c r="T36" s="896"/>
      <c r="U36" s="896"/>
      <c r="V36" s="896"/>
      <c r="W36" s="896"/>
      <c r="X36" s="896"/>
      <c r="Y36" s="896"/>
      <c r="Z36" s="896"/>
      <c r="AA36" s="896"/>
      <c r="AB36" s="896"/>
      <c r="AC36" s="896"/>
      <c r="AD36" s="896"/>
      <c r="AE36" s="896"/>
      <c r="AF36" s="896"/>
      <c r="AG36" s="896"/>
      <c r="AH36" s="896"/>
      <c r="AI36" s="896"/>
      <c r="AJ36" s="896"/>
      <c r="AK36" s="896"/>
      <c r="AL36" s="896"/>
      <c r="AM36" s="896"/>
      <c r="AN36" s="896"/>
      <c r="AO36" s="896"/>
      <c r="AP36" s="896"/>
      <c r="AQ36" s="896"/>
      <c r="AR36" s="896"/>
      <c r="AS36" s="896"/>
      <c r="AT36" s="896"/>
      <c r="AU36" s="896"/>
      <c r="AV36" s="896"/>
      <c r="AW36" s="896"/>
      <c r="AX36" s="896"/>
      <c r="AY36" s="896"/>
      <c r="AZ36" s="896"/>
      <c r="BA36" s="896"/>
      <c r="BB36" s="896"/>
      <c r="BC36" s="896"/>
      <c r="BD36" s="896"/>
      <c r="BE36" s="896"/>
      <c r="BF36" s="896"/>
      <c r="BG36" s="896"/>
      <c r="BH36" s="896"/>
      <c r="BI36" s="896"/>
      <c r="BJ36" s="896"/>
      <c r="BK36" s="896"/>
      <c r="BL36" s="896"/>
      <c r="BM36" s="896"/>
      <c r="BN36" s="896"/>
      <c r="BO36" s="896"/>
      <c r="BP36" s="896"/>
      <c r="BQ36" s="896"/>
      <c r="BR36" s="896"/>
      <c r="BS36" s="896"/>
      <c r="BT36" s="896"/>
      <c r="BU36" s="896"/>
      <c r="BV36" s="896"/>
      <c r="BW36" s="896"/>
      <c r="BX36" s="896"/>
      <c r="BY36" s="896"/>
      <c r="BZ36" s="896"/>
      <c r="CA36" s="896"/>
      <c r="CB36" s="896"/>
      <c r="CC36" s="896"/>
      <c r="CD36" s="896"/>
      <c r="CE36" s="896"/>
      <c r="CF36" s="896"/>
      <c r="CG36" s="896"/>
      <c r="CH36" s="896"/>
      <c r="CI36" s="896"/>
      <c r="CJ36" s="896"/>
      <c r="CK36" s="896"/>
      <c r="CL36" s="896"/>
      <c r="CM36" s="896"/>
      <c r="CN36" s="896"/>
      <c r="CO36" s="896"/>
      <c r="CP36" s="896"/>
      <c r="CQ36" s="896"/>
      <c r="CR36" s="896"/>
      <c r="CS36" s="896"/>
      <c r="CT36" s="896"/>
      <c r="CU36" s="896"/>
      <c r="CV36" s="896"/>
      <c r="CW36" s="896"/>
      <c r="CX36" s="896"/>
      <c r="CY36" s="896"/>
      <c r="CZ36" s="896"/>
      <c r="DA36" s="896"/>
      <c r="DB36" s="896"/>
      <c r="DC36" s="896"/>
      <c r="DD36" s="896"/>
      <c r="DE36" s="896"/>
      <c r="DF36" s="896"/>
      <c r="DG36" s="896"/>
      <c r="DH36" s="896"/>
      <c r="DI36" s="896"/>
      <c r="DJ36" s="896"/>
      <c r="DK36" s="896"/>
      <c r="DL36" s="896"/>
      <c r="DM36" s="896"/>
      <c r="DN36" s="896"/>
      <c r="DO36" s="896"/>
      <c r="DP36" s="896"/>
      <c r="DQ36" s="896"/>
      <c r="DR36" s="896"/>
      <c r="DS36" s="896"/>
      <c r="DT36" s="896"/>
      <c r="DU36" s="896"/>
      <c r="DV36" s="896"/>
      <c r="DW36" s="896"/>
      <c r="DX36" s="896"/>
      <c r="DY36" s="896"/>
      <c r="DZ36" s="896"/>
      <c r="EA36" s="896"/>
      <c r="EB36" s="896"/>
      <c r="EC36" s="896"/>
      <c r="ED36" s="896"/>
      <c r="EE36" s="896"/>
      <c r="EF36" s="896"/>
      <c r="EG36" s="896"/>
      <c r="EH36" s="896"/>
      <c r="EI36" s="896"/>
      <c r="EJ36" s="896"/>
      <c r="EK36" s="896"/>
      <c r="EL36" s="896"/>
      <c r="EM36" s="896"/>
      <c r="EN36" s="896"/>
      <c r="EO36" s="896"/>
      <c r="EP36" s="896"/>
      <c r="EQ36" s="896"/>
      <c r="ER36" s="896"/>
      <c r="ES36" s="896"/>
      <c r="ET36" s="896"/>
      <c r="EU36" s="896"/>
      <c r="EV36" s="896"/>
      <c r="EW36" s="896"/>
      <c r="EX36" s="896"/>
      <c r="EY36" s="896"/>
      <c r="EZ36" s="896"/>
      <c r="FA36" s="896"/>
      <c r="FB36" s="896"/>
      <c r="FC36" s="896"/>
      <c r="FD36" s="896"/>
      <c r="FE36" s="896"/>
      <c r="FF36" s="896"/>
      <c r="FG36" s="896"/>
      <c r="FH36" s="896"/>
      <c r="FI36" s="896"/>
      <c r="FJ36" s="896"/>
      <c r="FK36" s="896"/>
      <c r="FL36" s="896"/>
      <c r="FM36" s="896"/>
      <c r="FN36" s="896"/>
      <c r="FO36" s="896"/>
      <c r="FP36" s="896"/>
      <c r="FQ36" s="896"/>
      <c r="FR36" s="896"/>
      <c r="FS36" s="896"/>
      <c r="FT36" s="896"/>
      <c r="FU36" s="896"/>
      <c r="FV36" s="896"/>
      <c r="FW36" s="896"/>
      <c r="FX36" s="896"/>
      <c r="FY36" s="896"/>
      <c r="FZ36" s="896"/>
      <c r="GA36" s="896"/>
      <c r="GB36" s="896"/>
      <c r="GC36" s="896"/>
      <c r="GD36" s="896"/>
      <c r="GE36" s="896"/>
      <c r="GF36" s="896"/>
      <c r="GG36" s="896"/>
      <c r="GH36" s="896"/>
      <c r="GI36" s="896"/>
      <c r="GJ36" s="896"/>
      <c r="GK36" s="896"/>
      <c r="GL36" s="896"/>
      <c r="GM36" s="896"/>
      <c r="GN36" s="896"/>
      <c r="GO36" s="896"/>
      <c r="GP36" s="896"/>
      <c r="GQ36" s="896"/>
      <c r="GR36" s="896"/>
      <c r="GS36" s="896"/>
      <c r="GT36" s="896"/>
      <c r="GU36" s="896"/>
      <c r="GV36" s="896"/>
      <c r="GW36" s="896"/>
      <c r="GX36" s="896"/>
      <c r="GY36" s="896"/>
      <c r="GZ36" s="896"/>
      <c r="HA36" s="896"/>
      <c r="HB36" s="896"/>
      <c r="HC36" s="896"/>
      <c r="HD36" s="896"/>
      <c r="HE36" s="896"/>
      <c r="HF36" s="896"/>
      <c r="HG36" s="896"/>
      <c r="HH36" s="896"/>
      <c r="HI36" s="896"/>
      <c r="HJ36" s="896"/>
      <c r="HK36" s="896"/>
      <c r="HL36" s="896"/>
      <c r="HM36" s="896"/>
      <c r="HN36" s="896"/>
      <c r="HO36" s="896"/>
      <c r="HP36" s="896"/>
      <c r="HQ36" s="896"/>
      <c r="HR36" s="896"/>
      <c r="HS36" s="896"/>
      <c r="HT36" s="896"/>
      <c r="HU36" s="896"/>
      <c r="HV36" s="896"/>
      <c r="HW36" s="896"/>
      <c r="HX36" s="896"/>
      <c r="HY36" s="896"/>
      <c r="HZ36" s="896"/>
      <c r="IA36" s="896"/>
      <c r="IB36" s="896"/>
      <c r="IC36" s="896"/>
      <c r="ID36" s="896"/>
      <c r="IE36" s="896"/>
      <c r="IF36" s="896"/>
      <c r="IG36" s="896"/>
      <c r="IH36" s="896"/>
      <c r="II36" s="896"/>
      <c r="IJ36" s="896"/>
      <c r="IK36" s="896"/>
      <c r="IL36" s="896"/>
      <c r="IM36" s="896"/>
      <c r="IN36" s="896"/>
      <c r="IO36" s="896"/>
      <c r="IP36" s="896"/>
      <c r="IQ36" s="896"/>
      <c r="IR36" s="896"/>
      <c r="IS36" s="896"/>
      <c r="IT36" s="896"/>
      <c r="IU36" s="896"/>
      <c r="IV36" s="896"/>
    </row>
    <row r="37" spans="1:256" s="897" customFormat="1" ht="12" customHeight="1" thickBot="1">
      <c r="A37" s="917" t="s">
        <v>816</v>
      </c>
      <c r="B37" s="918">
        <v>153</v>
      </c>
      <c r="C37" s="918">
        <v>135</v>
      </c>
      <c r="D37" s="919">
        <v>143</v>
      </c>
      <c r="E37" s="919">
        <v>169</v>
      </c>
      <c r="F37" s="939">
        <v>636</v>
      </c>
      <c r="G37" s="939">
        <v>258.5</v>
      </c>
      <c r="H37" s="939">
        <v>421.8</v>
      </c>
      <c r="I37" s="939">
        <v>475.5</v>
      </c>
      <c r="J37" s="939">
        <v>350.5</v>
      </c>
      <c r="K37" s="939">
        <v>204.6</v>
      </c>
      <c r="L37" s="940">
        <v>182.3</v>
      </c>
      <c r="M37" s="940">
        <v>401.8</v>
      </c>
      <c r="N37" s="939">
        <v>442.4</v>
      </c>
      <c r="O37" s="896"/>
      <c r="P37" s="896"/>
      <c r="Q37" s="896"/>
      <c r="R37" s="896"/>
      <c r="S37" s="896"/>
      <c r="T37" s="896"/>
      <c r="U37" s="896"/>
      <c r="V37" s="896"/>
      <c r="W37" s="896"/>
      <c r="X37" s="896"/>
      <c r="Y37" s="896"/>
      <c r="Z37" s="896"/>
      <c r="AA37" s="896"/>
      <c r="AB37" s="896"/>
      <c r="AC37" s="896"/>
      <c r="AD37" s="896"/>
      <c r="AE37" s="896"/>
      <c r="AF37" s="896"/>
      <c r="AG37" s="896"/>
      <c r="AH37" s="896"/>
      <c r="AI37" s="896"/>
      <c r="AJ37" s="896"/>
      <c r="AK37" s="896"/>
      <c r="AL37" s="896"/>
      <c r="AM37" s="896"/>
      <c r="AN37" s="896"/>
      <c r="AO37" s="896"/>
      <c r="AP37" s="896"/>
      <c r="AQ37" s="896"/>
      <c r="AR37" s="896"/>
      <c r="AS37" s="896"/>
      <c r="AT37" s="896"/>
      <c r="AU37" s="896"/>
      <c r="AV37" s="896"/>
      <c r="AW37" s="896"/>
      <c r="AX37" s="896"/>
      <c r="AY37" s="896"/>
      <c r="AZ37" s="896"/>
      <c r="BA37" s="896"/>
      <c r="BB37" s="896"/>
      <c r="BC37" s="896"/>
      <c r="BD37" s="896"/>
      <c r="BE37" s="896"/>
      <c r="BF37" s="896"/>
      <c r="BG37" s="896"/>
      <c r="BH37" s="896"/>
      <c r="BI37" s="896"/>
      <c r="BJ37" s="896"/>
      <c r="BK37" s="896"/>
      <c r="BL37" s="896"/>
      <c r="BM37" s="896"/>
      <c r="BN37" s="896"/>
      <c r="BO37" s="896"/>
      <c r="BP37" s="896"/>
      <c r="BQ37" s="896"/>
      <c r="BR37" s="896"/>
      <c r="BS37" s="896"/>
      <c r="BT37" s="896"/>
      <c r="BU37" s="896"/>
      <c r="BV37" s="896"/>
      <c r="BW37" s="896"/>
      <c r="BX37" s="896"/>
      <c r="BY37" s="896"/>
      <c r="BZ37" s="896"/>
      <c r="CA37" s="896"/>
      <c r="CB37" s="896"/>
      <c r="CC37" s="896"/>
      <c r="CD37" s="896"/>
      <c r="CE37" s="896"/>
      <c r="CF37" s="896"/>
      <c r="CG37" s="896"/>
      <c r="CH37" s="896"/>
      <c r="CI37" s="896"/>
      <c r="CJ37" s="896"/>
      <c r="CK37" s="896"/>
      <c r="CL37" s="896"/>
      <c r="CM37" s="896"/>
      <c r="CN37" s="896"/>
      <c r="CO37" s="896"/>
      <c r="CP37" s="896"/>
      <c r="CQ37" s="896"/>
      <c r="CR37" s="896"/>
      <c r="CS37" s="896"/>
      <c r="CT37" s="896"/>
      <c r="CU37" s="896"/>
      <c r="CV37" s="896"/>
      <c r="CW37" s="896"/>
      <c r="CX37" s="896"/>
      <c r="CY37" s="896"/>
      <c r="CZ37" s="896"/>
      <c r="DA37" s="896"/>
      <c r="DB37" s="896"/>
      <c r="DC37" s="896"/>
      <c r="DD37" s="896"/>
      <c r="DE37" s="896"/>
      <c r="DF37" s="896"/>
      <c r="DG37" s="896"/>
      <c r="DH37" s="896"/>
      <c r="DI37" s="896"/>
      <c r="DJ37" s="896"/>
      <c r="DK37" s="896"/>
      <c r="DL37" s="896"/>
      <c r="DM37" s="896"/>
      <c r="DN37" s="896"/>
      <c r="DO37" s="896"/>
      <c r="DP37" s="896"/>
      <c r="DQ37" s="896"/>
      <c r="DR37" s="896"/>
      <c r="DS37" s="896"/>
      <c r="DT37" s="896"/>
      <c r="DU37" s="896"/>
      <c r="DV37" s="896"/>
      <c r="DW37" s="896"/>
      <c r="DX37" s="896"/>
      <c r="DY37" s="896"/>
      <c r="DZ37" s="896"/>
      <c r="EA37" s="896"/>
      <c r="EB37" s="896"/>
      <c r="EC37" s="896"/>
      <c r="ED37" s="896"/>
      <c r="EE37" s="896"/>
      <c r="EF37" s="896"/>
      <c r="EG37" s="896"/>
      <c r="EH37" s="896"/>
      <c r="EI37" s="896"/>
      <c r="EJ37" s="896"/>
      <c r="EK37" s="896"/>
      <c r="EL37" s="896"/>
      <c r="EM37" s="896"/>
      <c r="EN37" s="896"/>
      <c r="EO37" s="896"/>
      <c r="EP37" s="896"/>
      <c r="EQ37" s="896"/>
      <c r="ER37" s="896"/>
      <c r="ES37" s="896"/>
      <c r="ET37" s="896"/>
      <c r="EU37" s="896"/>
      <c r="EV37" s="896"/>
      <c r="EW37" s="896"/>
      <c r="EX37" s="896"/>
      <c r="EY37" s="896"/>
      <c r="EZ37" s="896"/>
      <c r="FA37" s="896"/>
      <c r="FB37" s="896"/>
      <c r="FC37" s="896"/>
      <c r="FD37" s="896"/>
      <c r="FE37" s="896"/>
      <c r="FF37" s="896"/>
      <c r="FG37" s="896"/>
      <c r="FH37" s="896"/>
      <c r="FI37" s="896"/>
      <c r="FJ37" s="896"/>
      <c r="FK37" s="896"/>
      <c r="FL37" s="896"/>
      <c r="FM37" s="896"/>
      <c r="FN37" s="896"/>
      <c r="FO37" s="896"/>
      <c r="FP37" s="896"/>
      <c r="FQ37" s="896"/>
      <c r="FR37" s="896"/>
      <c r="FS37" s="896"/>
      <c r="FT37" s="896"/>
      <c r="FU37" s="896"/>
      <c r="FV37" s="896"/>
      <c r="FW37" s="896"/>
      <c r="FX37" s="896"/>
      <c r="FY37" s="896"/>
      <c r="FZ37" s="896"/>
      <c r="GA37" s="896"/>
      <c r="GB37" s="896"/>
      <c r="GC37" s="896"/>
      <c r="GD37" s="896"/>
      <c r="GE37" s="896"/>
      <c r="GF37" s="896"/>
      <c r="GG37" s="896"/>
      <c r="GH37" s="896"/>
      <c r="GI37" s="896"/>
      <c r="GJ37" s="896"/>
      <c r="GK37" s="896"/>
      <c r="GL37" s="896"/>
      <c r="GM37" s="896"/>
      <c r="GN37" s="896"/>
      <c r="GO37" s="896"/>
      <c r="GP37" s="896"/>
      <c r="GQ37" s="896"/>
      <c r="GR37" s="896"/>
      <c r="GS37" s="896"/>
      <c r="GT37" s="896"/>
      <c r="GU37" s="896"/>
      <c r="GV37" s="896"/>
      <c r="GW37" s="896"/>
      <c r="GX37" s="896"/>
      <c r="GY37" s="896"/>
      <c r="GZ37" s="896"/>
      <c r="HA37" s="896"/>
      <c r="HB37" s="896"/>
      <c r="HC37" s="896"/>
      <c r="HD37" s="896"/>
      <c r="HE37" s="896"/>
      <c r="HF37" s="896"/>
      <c r="HG37" s="896"/>
      <c r="HH37" s="896"/>
      <c r="HI37" s="896"/>
      <c r="HJ37" s="896"/>
      <c r="HK37" s="896"/>
      <c r="HL37" s="896"/>
      <c r="HM37" s="896"/>
      <c r="HN37" s="896"/>
      <c r="HO37" s="896"/>
      <c r="HP37" s="896"/>
      <c r="HQ37" s="896"/>
      <c r="HR37" s="896"/>
      <c r="HS37" s="896"/>
      <c r="HT37" s="896"/>
      <c r="HU37" s="896"/>
      <c r="HV37" s="896"/>
      <c r="HW37" s="896"/>
      <c r="HX37" s="896"/>
      <c r="HY37" s="896"/>
      <c r="HZ37" s="896"/>
      <c r="IA37" s="896"/>
      <c r="IB37" s="896"/>
      <c r="IC37" s="896"/>
      <c r="ID37" s="896"/>
      <c r="IE37" s="896"/>
      <c r="IF37" s="896"/>
      <c r="IG37" s="896"/>
      <c r="IH37" s="896"/>
      <c r="II37" s="896"/>
      <c r="IJ37" s="896"/>
      <c r="IK37" s="896"/>
      <c r="IL37" s="896"/>
      <c r="IM37" s="896"/>
      <c r="IN37" s="896"/>
      <c r="IO37" s="896"/>
      <c r="IP37" s="896"/>
      <c r="IQ37" s="896"/>
      <c r="IR37" s="896"/>
      <c r="IS37" s="896"/>
      <c r="IT37" s="896"/>
      <c r="IU37" s="896"/>
      <c r="IV37" s="896"/>
    </row>
    <row r="38" spans="1:256" s="897" customFormat="1" ht="12.75" customHeight="1" thickTop="1">
      <c r="A38" s="890" t="s">
        <v>817</v>
      </c>
      <c r="B38" s="934"/>
      <c r="C38" s="934"/>
      <c r="D38" s="921"/>
      <c r="E38" s="921"/>
      <c r="F38" s="941"/>
      <c r="G38" s="941"/>
      <c r="H38" s="941"/>
      <c r="I38" s="941"/>
      <c r="J38" s="941"/>
      <c r="K38" s="941"/>
      <c r="L38" s="941"/>
      <c r="M38" s="941"/>
      <c r="N38" s="941"/>
      <c r="O38" s="896"/>
      <c r="P38" s="896"/>
      <c r="Q38" s="896"/>
      <c r="R38" s="896"/>
      <c r="S38" s="896"/>
      <c r="T38" s="896"/>
      <c r="U38" s="896"/>
      <c r="V38" s="896"/>
      <c r="W38" s="896"/>
      <c r="X38" s="896"/>
      <c r="Y38" s="896"/>
      <c r="Z38" s="896"/>
      <c r="AA38" s="896"/>
      <c r="AB38" s="896"/>
      <c r="AC38" s="896"/>
      <c r="AD38" s="896"/>
      <c r="AE38" s="896"/>
      <c r="AF38" s="896"/>
      <c r="AG38" s="896"/>
      <c r="AH38" s="896"/>
      <c r="AI38" s="896"/>
      <c r="AJ38" s="896"/>
      <c r="AK38" s="896"/>
      <c r="AL38" s="896"/>
      <c r="AM38" s="896"/>
      <c r="AN38" s="896"/>
      <c r="AO38" s="896"/>
      <c r="AP38" s="896"/>
      <c r="AQ38" s="896"/>
      <c r="AR38" s="896"/>
      <c r="AS38" s="896"/>
      <c r="AT38" s="896"/>
      <c r="AU38" s="896"/>
      <c r="AV38" s="896"/>
      <c r="AW38" s="896"/>
      <c r="AX38" s="896"/>
      <c r="AY38" s="896"/>
      <c r="AZ38" s="896"/>
      <c r="BA38" s="896"/>
      <c r="BB38" s="896"/>
      <c r="BC38" s="896"/>
      <c r="BD38" s="896"/>
      <c r="BE38" s="896"/>
      <c r="BF38" s="896"/>
      <c r="BG38" s="896"/>
      <c r="BH38" s="896"/>
      <c r="BI38" s="896"/>
      <c r="BJ38" s="896"/>
      <c r="BK38" s="896"/>
      <c r="BL38" s="896"/>
      <c r="BM38" s="896"/>
      <c r="BN38" s="896"/>
      <c r="BO38" s="896"/>
      <c r="BP38" s="896"/>
      <c r="BQ38" s="896"/>
      <c r="BR38" s="896"/>
      <c r="BS38" s="896"/>
      <c r="BT38" s="896"/>
      <c r="BU38" s="896"/>
      <c r="BV38" s="896"/>
      <c r="BW38" s="896"/>
      <c r="BX38" s="896"/>
      <c r="BY38" s="896"/>
      <c r="BZ38" s="896"/>
      <c r="CA38" s="896"/>
      <c r="CB38" s="896"/>
      <c r="CC38" s="896"/>
      <c r="CD38" s="896"/>
      <c r="CE38" s="896"/>
      <c r="CF38" s="896"/>
      <c r="CG38" s="896"/>
      <c r="CH38" s="896"/>
      <c r="CI38" s="896"/>
      <c r="CJ38" s="896"/>
      <c r="CK38" s="896"/>
      <c r="CL38" s="896"/>
      <c r="CM38" s="896"/>
      <c r="CN38" s="896"/>
      <c r="CO38" s="896"/>
      <c r="CP38" s="896"/>
      <c r="CQ38" s="896"/>
      <c r="CR38" s="896"/>
      <c r="CS38" s="896"/>
      <c r="CT38" s="896"/>
      <c r="CU38" s="896"/>
      <c r="CV38" s="896"/>
      <c r="CW38" s="896"/>
      <c r="CX38" s="896"/>
      <c r="CY38" s="896"/>
      <c r="CZ38" s="896"/>
      <c r="DA38" s="896"/>
      <c r="DB38" s="896"/>
      <c r="DC38" s="896"/>
      <c r="DD38" s="896"/>
      <c r="DE38" s="896"/>
      <c r="DF38" s="896"/>
      <c r="DG38" s="896"/>
      <c r="DH38" s="896"/>
      <c r="DI38" s="896"/>
      <c r="DJ38" s="896"/>
      <c r="DK38" s="896"/>
      <c r="DL38" s="896"/>
      <c r="DM38" s="896"/>
      <c r="DN38" s="896"/>
      <c r="DO38" s="896"/>
      <c r="DP38" s="896"/>
      <c r="DQ38" s="896"/>
      <c r="DR38" s="896"/>
      <c r="DS38" s="896"/>
      <c r="DT38" s="896"/>
      <c r="DU38" s="896"/>
      <c r="DV38" s="896"/>
      <c r="DW38" s="896"/>
      <c r="DX38" s="896"/>
      <c r="DY38" s="896"/>
      <c r="DZ38" s="896"/>
      <c r="EA38" s="896"/>
      <c r="EB38" s="896"/>
      <c r="EC38" s="896"/>
      <c r="ED38" s="896"/>
      <c r="EE38" s="896"/>
      <c r="EF38" s="896"/>
      <c r="EG38" s="896"/>
      <c r="EH38" s="896"/>
      <c r="EI38" s="896"/>
      <c r="EJ38" s="896"/>
      <c r="EK38" s="896"/>
      <c r="EL38" s="896"/>
      <c r="EM38" s="896"/>
      <c r="EN38" s="896"/>
      <c r="EO38" s="896"/>
      <c r="EP38" s="896"/>
      <c r="EQ38" s="896"/>
      <c r="ER38" s="896"/>
      <c r="ES38" s="896"/>
      <c r="ET38" s="896"/>
      <c r="EU38" s="896"/>
      <c r="EV38" s="896"/>
      <c r="EW38" s="896"/>
      <c r="EX38" s="896"/>
      <c r="EY38" s="896"/>
      <c r="EZ38" s="896"/>
      <c r="FA38" s="896"/>
      <c r="FB38" s="896"/>
      <c r="FC38" s="896"/>
      <c r="FD38" s="896"/>
      <c r="FE38" s="896"/>
      <c r="FF38" s="896"/>
      <c r="FG38" s="896"/>
      <c r="FH38" s="896"/>
      <c r="FI38" s="896"/>
      <c r="FJ38" s="896"/>
      <c r="FK38" s="896"/>
      <c r="FL38" s="896"/>
      <c r="FM38" s="896"/>
      <c r="FN38" s="896"/>
      <c r="FO38" s="896"/>
      <c r="FP38" s="896"/>
      <c r="FQ38" s="896"/>
      <c r="FR38" s="896"/>
      <c r="FS38" s="896"/>
      <c r="FT38" s="896"/>
      <c r="FU38" s="896"/>
      <c r="FV38" s="896"/>
      <c r="FW38" s="896"/>
      <c r="FX38" s="896"/>
      <c r="FY38" s="896"/>
      <c r="FZ38" s="896"/>
      <c r="GA38" s="896"/>
      <c r="GB38" s="896"/>
      <c r="GC38" s="896"/>
      <c r="GD38" s="896"/>
      <c r="GE38" s="896"/>
      <c r="GF38" s="896"/>
      <c r="GG38" s="896"/>
      <c r="GH38" s="896"/>
      <c r="GI38" s="896"/>
      <c r="GJ38" s="896"/>
      <c r="GK38" s="896"/>
      <c r="GL38" s="896"/>
      <c r="GM38" s="896"/>
      <c r="GN38" s="896"/>
      <c r="GO38" s="896"/>
      <c r="GP38" s="896"/>
      <c r="GQ38" s="896"/>
      <c r="GR38" s="896"/>
      <c r="GS38" s="896"/>
      <c r="GT38" s="896"/>
      <c r="GU38" s="896"/>
      <c r="GV38" s="896"/>
      <c r="GW38" s="896"/>
      <c r="GX38" s="896"/>
      <c r="GY38" s="896"/>
      <c r="GZ38" s="896"/>
      <c r="HA38" s="896"/>
      <c r="HB38" s="896"/>
      <c r="HC38" s="896"/>
      <c r="HD38" s="896"/>
      <c r="HE38" s="896"/>
      <c r="HF38" s="896"/>
      <c r="HG38" s="896"/>
      <c r="HH38" s="896"/>
      <c r="HI38" s="896"/>
      <c r="HJ38" s="896"/>
      <c r="HK38" s="896"/>
      <c r="HL38" s="896"/>
      <c r="HM38" s="896"/>
      <c r="HN38" s="896"/>
      <c r="HO38" s="896"/>
      <c r="HP38" s="896"/>
      <c r="HQ38" s="896"/>
      <c r="HR38" s="896"/>
      <c r="HS38" s="896"/>
      <c r="HT38" s="896"/>
      <c r="HU38" s="896"/>
      <c r="HV38" s="896"/>
      <c r="HW38" s="896"/>
      <c r="HX38" s="896"/>
      <c r="HY38" s="896"/>
      <c r="HZ38" s="896"/>
      <c r="IA38" s="896"/>
      <c r="IB38" s="896"/>
      <c r="IC38" s="896"/>
      <c r="ID38" s="896"/>
      <c r="IE38" s="896"/>
      <c r="IF38" s="896"/>
      <c r="IG38" s="896"/>
      <c r="IH38" s="896"/>
      <c r="II38" s="896"/>
      <c r="IJ38" s="896"/>
      <c r="IK38" s="896"/>
      <c r="IL38" s="896"/>
      <c r="IM38" s="896"/>
      <c r="IN38" s="896"/>
      <c r="IO38" s="896"/>
      <c r="IP38" s="896"/>
      <c r="IQ38" s="896"/>
      <c r="IR38" s="896"/>
      <c r="IS38" s="896"/>
      <c r="IT38" s="896"/>
      <c r="IU38" s="896"/>
      <c r="IV38" s="896"/>
    </row>
    <row r="39" spans="1:256" ht="10.5" customHeight="1">
      <c r="A39" s="875" t="s">
        <v>457</v>
      </c>
      <c r="B39" s="898">
        <v>30.3</v>
      </c>
      <c r="C39" s="898">
        <v>32.5</v>
      </c>
      <c r="D39" s="899">
        <v>33.1</v>
      </c>
      <c r="E39" s="899">
        <v>30.9</v>
      </c>
      <c r="F39" s="899">
        <v>27.2</v>
      </c>
      <c r="G39" s="899">
        <v>20.2</v>
      </c>
      <c r="H39" s="899">
        <v>20.3</v>
      </c>
      <c r="I39" s="899">
        <v>18.3</v>
      </c>
      <c r="J39" s="899">
        <v>11.7</v>
      </c>
      <c r="K39" s="899">
        <v>10.5</v>
      </c>
      <c r="L39" s="923">
        <v>7.1</v>
      </c>
      <c r="M39" s="923">
        <v>4.5999999999999996</v>
      </c>
      <c r="N39" s="899">
        <v>3</v>
      </c>
      <c r="O39" s="889"/>
      <c r="P39" s="889"/>
      <c r="Q39" s="889"/>
      <c r="R39" s="889"/>
      <c r="S39" s="889"/>
      <c r="T39" s="889"/>
      <c r="U39" s="889"/>
      <c r="V39" s="889"/>
      <c r="W39" s="889"/>
      <c r="X39" s="889"/>
      <c r="Y39" s="889"/>
      <c r="Z39" s="889"/>
      <c r="AA39" s="889"/>
      <c r="AB39" s="889"/>
      <c r="AC39" s="889"/>
      <c r="AD39" s="889"/>
      <c r="AE39" s="889"/>
      <c r="AF39" s="889"/>
      <c r="AG39" s="889"/>
      <c r="AH39" s="889"/>
      <c r="AI39" s="889"/>
      <c r="AJ39" s="889"/>
      <c r="AK39" s="889"/>
      <c r="AL39" s="889"/>
      <c r="AM39" s="889"/>
      <c r="AN39" s="889"/>
      <c r="AO39" s="889"/>
      <c r="AP39" s="889"/>
      <c r="AQ39" s="889"/>
      <c r="AR39" s="889"/>
      <c r="AS39" s="889"/>
      <c r="AT39" s="889"/>
      <c r="AU39" s="889"/>
      <c r="AV39" s="889"/>
      <c r="AW39" s="889"/>
      <c r="AX39" s="889"/>
      <c r="AY39" s="889"/>
      <c r="AZ39" s="889"/>
      <c r="BA39" s="889"/>
      <c r="BB39" s="889"/>
      <c r="BC39" s="889"/>
      <c r="BD39" s="889"/>
      <c r="BE39" s="889"/>
      <c r="BF39" s="889"/>
      <c r="BG39" s="889"/>
      <c r="BH39" s="889"/>
      <c r="BI39" s="889"/>
      <c r="BJ39" s="889"/>
      <c r="BK39" s="889"/>
      <c r="BL39" s="889"/>
      <c r="BM39" s="889"/>
      <c r="BN39" s="889"/>
      <c r="BO39" s="889"/>
      <c r="BP39" s="889"/>
      <c r="BQ39" s="889"/>
      <c r="BR39" s="889"/>
      <c r="BS39" s="889"/>
      <c r="BT39" s="889"/>
      <c r="BU39" s="889"/>
      <c r="BV39" s="889"/>
      <c r="BW39" s="889"/>
      <c r="BX39" s="889"/>
      <c r="BY39" s="889"/>
      <c r="BZ39" s="889"/>
      <c r="CA39" s="889"/>
      <c r="CB39" s="889"/>
      <c r="CC39" s="889"/>
      <c r="CD39" s="889"/>
      <c r="CE39" s="889"/>
      <c r="CF39" s="889"/>
      <c r="CG39" s="889"/>
      <c r="CH39" s="889"/>
      <c r="CI39" s="889"/>
      <c r="CJ39" s="889"/>
      <c r="CK39" s="889"/>
      <c r="CL39" s="889"/>
      <c r="CM39" s="889"/>
      <c r="CN39" s="889"/>
      <c r="CO39" s="889"/>
      <c r="CP39" s="889"/>
      <c r="CQ39" s="889"/>
      <c r="CR39" s="889"/>
      <c r="CS39" s="889"/>
      <c r="CT39" s="889"/>
      <c r="CU39" s="889"/>
      <c r="CV39" s="889"/>
      <c r="CW39" s="889"/>
      <c r="CX39" s="889"/>
      <c r="CY39" s="889"/>
      <c r="CZ39" s="889"/>
      <c r="DA39" s="889"/>
      <c r="DB39" s="889"/>
      <c r="DC39" s="889"/>
      <c r="DD39" s="889"/>
      <c r="DE39" s="889"/>
      <c r="DF39" s="889"/>
      <c r="DG39" s="889"/>
      <c r="DH39" s="889"/>
      <c r="DI39" s="889"/>
      <c r="DJ39" s="889"/>
      <c r="DK39" s="889"/>
      <c r="DL39" s="889"/>
      <c r="DM39" s="889"/>
      <c r="DN39" s="889"/>
      <c r="DO39" s="889"/>
      <c r="DP39" s="889"/>
      <c r="DQ39" s="889"/>
      <c r="DR39" s="889"/>
      <c r="DS39" s="889"/>
      <c r="DT39" s="889"/>
      <c r="DU39" s="889"/>
      <c r="DV39" s="889"/>
      <c r="DW39" s="889"/>
      <c r="DX39" s="889"/>
      <c r="DY39" s="889"/>
      <c r="DZ39" s="889"/>
      <c r="EA39" s="889"/>
      <c r="EB39" s="889"/>
      <c r="EC39" s="889"/>
      <c r="ED39" s="889"/>
      <c r="EE39" s="889"/>
      <c r="EF39" s="889"/>
      <c r="EG39" s="889"/>
      <c r="EH39" s="889"/>
      <c r="EI39" s="889"/>
      <c r="EJ39" s="889"/>
      <c r="EK39" s="889"/>
      <c r="EL39" s="889"/>
      <c r="EM39" s="889"/>
      <c r="EN39" s="889"/>
      <c r="EO39" s="889"/>
      <c r="EP39" s="889"/>
      <c r="EQ39" s="889"/>
      <c r="ER39" s="889"/>
      <c r="ES39" s="889"/>
      <c r="ET39" s="889"/>
      <c r="EU39" s="889"/>
      <c r="EV39" s="889"/>
      <c r="EW39" s="889"/>
      <c r="EX39" s="889"/>
      <c r="EY39" s="889"/>
      <c r="EZ39" s="889"/>
      <c r="FA39" s="889"/>
      <c r="FB39" s="889"/>
      <c r="FC39" s="889"/>
      <c r="FD39" s="889"/>
      <c r="FE39" s="889"/>
      <c r="FF39" s="889"/>
      <c r="FG39" s="889"/>
      <c r="FH39" s="889"/>
      <c r="FI39" s="889"/>
      <c r="FJ39" s="889"/>
      <c r="FK39" s="889"/>
      <c r="FL39" s="889"/>
      <c r="FM39" s="889"/>
      <c r="FN39" s="889"/>
      <c r="FO39" s="889"/>
      <c r="FP39" s="889"/>
      <c r="FQ39" s="889"/>
      <c r="FR39" s="889"/>
      <c r="FS39" s="889"/>
      <c r="FT39" s="889"/>
      <c r="FU39" s="889"/>
      <c r="FV39" s="889"/>
      <c r="FW39" s="889"/>
      <c r="FX39" s="889"/>
      <c r="FY39" s="889"/>
      <c r="FZ39" s="889"/>
      <c r="GA39" s="889"/>
      <c r="GB39" s="889"/>
      <c r="GC39" s="889"/>
      <c r="GD39" s="889"/>
      <c r="GE39" s="889"/>
      <c r="GF39" s="889"/>
      <c r="GG39" s="889"/>
      <c r="GH39" s="889"/>
      <c r="GI39" s="889"/>
      <c r="GJ39" s="889"/>
      <c r="GK39" s="889"/>
      <c r="GL39" s="889"/>
      <c r="GM39" s="889"/>
      <c r="GN39" s="889"/>
      <c r="GO39" s="889"/>
      <c r="GP39" s="889"/>
      <c r="GQ39" s="889"/>
      <c r="GR39" s="889"/>
      <c r="GS39" s="889"/>
      <c r="GT39" s="889"/>
      <c r="GU39" s="889"/>
      <c r="GV39" s="889"/>
      <c r="GW39" s="889"/>
      <c r="GX39" s="889"/>
      <c r="GY39" s="889"/>
      <c r="GZ39" s="889"/>
      <c r="HA39" s="889"/>
      <c r="HB39" s="889"/>
      <c r="HC39" s="889"/>
      <c r="HD39" s="889"/>
      <c r="HE39" s="889"/>
      <c r="HF39" s="889"/>
      <c r="HG39" s="889"/>
      <c r="HH39" s="889"/>
      <c r="HI39" s="889"/>
      <c r="HJ39" s="889"/>
      <c r="HK39" s="889"/>
      <c r="HL39" s="889"/>
      <c r="HM39" s="889"/>
      <c r="HN39" s="889"/>
      <c r="HO39" s="889"/>
      <c r="HP39" s="889"/>
      <c r="HQ39" s="889"/>
      <c r="HR39" s="889"/>
      <c r="HS39" s="889"/>
      <c r="HT39" s="889"/>
      <c r="HU39" s="889"/>
      <c r="HV39" s="889"/>
      <c r="HW39" s="889"/>
      <c r="HX39" s="889"/>
      <c r="HY39" s="889"/>
      <c r="HZ39" s="889"/>
      <c r="IA39" s="889"/>
      <c r="IB39" s="889"/>
      <c r="IC39" s="889"/>
      <c r="ID39" s="889"/>
      <c r="IE39" s="889"/>
      <c r="IF39" s="889"/>
      <c r="IG39" s="889"/>
      <c r="IH39" s="889"/>
      <c r="II39" s="889"/>
      <c r="IJ39" s="889"/>
      <c r="IK39" s="889"/>
      <c r="IL39" s="889"/>
      <c r="IM39" s="889"/>
      <c r="IN39" s="889"/>
      <c r="IO39" s="889"/>
      <c r="IP39" s="889"/>
      <c r="IQ39" s="889"/>
      <c r="IR39" s="889"/>
      <c r="IS39" s="889"/>
      <c r="IT39" s="889"/>
      <c r="IU39" s="889"/>
      <c r="IV39" s="889"/>
    </row>
    <row r="40" spans="1:256" ht="10.5" customHeight="1">
      <c r="A40" s="875" t="s">
        <v>798</v>
      </c>
      <c r="B40" s="898">
        <v>149.19999999999999</v>
      </c>
      <c r="C40" s="898">
        <v>172.3</v>
      </c>
      <c r="D40" s="899">
        <v>236.5</v>
      </c>
      <c r="E40" s="899">
        <v>367.9</v>
      </c>
      <c r="F40" s="899">
        <v>344.8</v>
      </c>
      <c r="G40" s="899">
        <v>268.89999999999998</v>
      </c>
      <c r="H40" s="899">
        <v>322.2</v>
      </c>
      <c r="I40" s="899">
        <v>325.60000000000002</v>
      </c>
      <c r="J40" s="899">
        <v>276.8</v>
      </c>
      <c r="K40" s="899">
        <v>351.2</v>
      </c>
      <c r="L40" s="922">
        <v>335.3</v>
      </c>
      <c r="M40" s="922">
        <v>372.3</v>
      </c>
      <c r="N40" s="899">
        <v>369.1</v>
      </c>
      <c r="O40" s="889"/>
      <c r="P40" s="889"/>
      <c r="Q40" s="889"/>
      <c r="R40" s="889"/>
      <c r="S40" s="889"/>
      <c r="T40" s="889"/>
      <c r="U40" s="889"/>
      <c r="V40" s="889"/>
      <c r="W40" s="889"/>
      <c r="X40" s="889"/>
      <c r="Y40" s="889"/>
      <c r="Z40" s="889"/>
      <c r="AA40" s="889"/>
      <c r="AB40" s="889"/>
      <c r="AC40" s="889"/>
      <c r="AD40" s="889"/>
      <c r="AE40" s="889"/>
      <c r="AF40" s="889"/>
      <c r="AG40" s="889"/>
      <c r="AH40" s="889"/>
      <c r="AI40" s="889"/>
      <c r="AJ40" s="889"/>
      <c r="AK40" s="889"/>
      <c r="AL40" s="889"/>
      <c r="AM40" s="889"/>
      <c r="AN40" s="889"/>
      <c r="AO40" s="889"/>
      <c r="AP40" s="889"/>
      <c r="AQ40" s="889"/>
      <c r="AR40" s="889"/>
      <c r="AS40" s="889"/>
      <c r="AT40" s="889"/>
      <c r="AU40" s="889"/>
      <c r="AV40" s="889"/>
      <c r="AW40" s="889"/>
      <c r="AX40" s="889"/>
      <c r="AY40" s="889"/>
      <c r="AZ40" s="889"/>
      <c r="BA40" s="889"/>
      <c r="BB40" s="889"/>
      <c r="BC40" s="889"/>
      <c r="BD40" s="889"/>
      <c r="BE40" s="889"/>
      <c r="BF40" s="889"/>
      <c r="BG40" s="889"/>
      <c r="BH40" s="889"/>
      <c r="BI40" s="889"/>
      <c r="BJ40" s="889"/>
      <c r="BK40" s="889"/>
      <c r="BL40" s="889"/>
      <c r="BM40" s="889"/>
      <c r="BN40" s="889"/>
      <c r="BO40" s="889"/>
      <c r="BP40" s="889"/>
      <c r="BQ40" s="889"/>
      <c r="BR40" s="889"/>
      <c r="BS40" s="889"/>
      <c r="BT40" s="889"/>
      <c r="BU40" s="889"/>
      <c r="BV40" s="889"/>
      <c r="BW40" s="889"/>
      <c r="BX40" s="889"/>
      <c r="BY40" s="889"/>
      <c r="BZ40" s="889"/>
      <c r="CA40" s="889"/>
      <c r="CB40" s="889"/>
      <c r="CC40" s="889"/>
      <c r="CD40" s="889"/>
      <c r="CE40" s="889"/>
      <c r="CF40" s="889"/>
      <c r="CG40" s="889"/>
      <c r="CH40" s="889"/>
      <c r="CI40" s="889"/>
      <c r="CJ40" s="889"/>
      <c r="CK40" s="889"/>
      <c r="CL40" s="889"/>
      <c r="CM40" s="889"/>
      <c r="CN40" s="889"/>
      <c r="CO40" s="889"/>
      <c r="CP40" s="889"/>
      <c r="CQ40" s="889"/>
      <c r="CR40" s="889"/>
      <c r="CS40" s="889"/>
      <c r="CT40" s="889"/>
      <c r="CU40" s="889"/>
      <c r="CV40" s="889"/>
      <c r="CW40" s="889"/>
      <c r="CX40" s="889"/>
      <c r="CY40" s="889"/>
      <c r="CZ40" s="889"/>
      <c r="DA40" s="889"/>
      <c r="DB40" s="889"/>
      <c r="DC40" s="889"/>
      <c r="DD40" s="889"/>
      <c r="DE40" s="889"/>
      <c r="DF40" s="889"/>
      <c r="DG40" s="889"/>
      <c r="DH40" s="889"/>
      <c r="DI40" s="889"/>
      <c r="DJ40" s="889"/>
      <c r="DK40" s="889"/>
      <c r="DL40" s="889"/>
      <c r="DM40" s="889"/>
      <c r="DN40" s="889"/>
      <c r="DO40" s="889"/>
      <c r="DP40" s="889"/>
      <c r="DQ40" s="889"/>
      <c r="DR40" s="889"/>
      <c r="DS40" s="889"/>
      <c r="DT40" s="889"/>
      <c r="DU40" s="889"/>
      <c r="DV40" s="889"/>
      <c r="DW40" s="889"/>
      <c r="DX40" s="889"/>
      <c r="DY40" s="889"/>
      <c r="DZ40" s="889"/>
      <c r="EA40" s="889"/>
      <c r="EB40" s="889"/>
      <c r="EC40" s="889"/>
      <c r="ED40" s="889"/>
      <c r="EE40" s="889"/>
      <c r="EF40" s="889"/>
      <c r="EG40" s="889"/>
      <c r="EH40" s="889"/>
      <c r="EI40" s="889"/>
      <c r="EJ40" s="889"/>
      <c r="EK40" s="889"/>
      <c r="EL40" s="889"/>
      <c r="EM40" s="889"/>
      <c r="EN40" s="889"/>
      <c r="EO40" s="889"/>
      <c r="EP40" s="889"/>
      <c r="EQ40" s="889"/>
      <c r="ER40" s="889"/>
      <c r="ES40" s="889"/>
      <c r="ET40" s="889"/>
      <c r="EU40" s="889"/>
      <c r="EV40" s="889"/>
      <c r="EW40" s="889"/>
      <c r="EX40" s="889"/>
      <c r="EY40" s="889"/>
      <c r="EZ40" s="889"/>
      <c r="FA40" s="889"/>
      <c r="FB40" s="889"/>
      <c r="FC40" s="889"/>
      <c r="FD40" s="889"/>
      <c r="FE40" s="889"/>
      <c r="FF40" s="889"/>
      <c r="FG40" s="889"/>
      <c r="FH40" s="889"/>
      <c r="FI40" s="889"/>
      <c r="FJ40" s="889"/>
      <c r="FK40" s="889"/>
      <c r="FL40" s="889"/>
      <c r="FM40" s="889"/>
      <c r="FN40" s="889"/>
      <c r="FO40" s="889"/>
      <c r="FP40" s="889"/>
      <c r="FQ40" s="889"/>
      <c r="FR40" s="889"/>
      <c r="FS40" s="889"/>
      <c r="FT40" s="889"/>
      <c r="FU40" s="889"/>
      <c r="FV40" s="889"/>
      <c r="FW40" s="889"/>
      <c r="FX40" s="889"/>
      <c r="FY40" s="889"/>
      <c r="FZ40" s="889"/>
      <c r="GA40" s="889"/>
      <c r="GB40" s="889"/>
      <c r="GC40" s="889"/>
      <c r="GD40" s="889"/>
      <c r="GE40" s="889"/>
      <c r="GF40" s="889"/>
      <c r="GG40" s="889"/>
      <c r="GH40" s="889"/>
      <c r="GI40" s="889"/>
      <c r="GJ40" s="889"/>
      <c r="GK40" s="889"/>
      <c r="GL40" s="889"/>
      <c r="GM40" s="889"/>
      <c r="GN40" s="889"/>
      <c r="GO40" s="889"/>
      <c r="GP40" s="889"/>
      <c r="GQ40" s="889"/>
      <c r="GR40" s="889"/>
      <c r="GS40" s="889"/>
      <c r="GT40" s="889"/>
      <c r="GU40" s="889"/>
      <c r="GV40" s="889"/>
      <c r="GW40" s="889"/>
      <c r="GX40" s="889"/>
      <c r="GY40" s="889"/>
      <c r="GZ40" s="889"/>
      <c r="HA40" s="889"/>
      <c r="HB40" s="889"/>
      <c r="HC40" s="889"/>
      <c r="HD40" s="889"/>
      <c r="HE40" s="889"/>
      <c r="HF40" s="889"/>
      <c r="HG40" s="889"/>
      <c r="HH40" s="889"/>
      <c r="HI40" s="889"/>
      <c r="HJ40" s="889"/>
      <c r="HK40" s="889"/>
      <c r="HL40" s="889"/>
      <c r="HM40" s="889"/>
      <c r="HN40" s="889"/>
      <c r="HO40" s="889"/>
      <c r="HP40" s="889"/>
      <c r="HQ40" s="889"/>
      <c r="HR40" s="889"/>
      <c r="HS40" s="889"/>
      <c r="HT40" s="889"/>
      <c r="HU40" s="889"/>
      <c r="HV40" s="889"/>
      <c r="HW40" s="889"/>
      <c r="HX40" s="889"/>
      <c r="HY40" s="889"/>
      <c r="HZ40" s="889"/>
      <c r="IA40" s="889"/>
      <c r="IB40" s="889"/>
      <c r="IC40" s="889"/>
      <c r="ID40" s="889"/>
      <c r="IE40" s="889"/>
      <c r="IF40" s="889"/>
      <c r="IG40" s="889"/>
      <c r="IH40" s="889"/>
      <c r="II40" s="889"/>
      <c r="IJ40" s="889"/>
      <c r="IK40" s="889"/>
      <c r="IL40" s="889"/>
      <c r="IM40" s="889"/>
      <c r="IN40" s="889"/>
      <c r="IO40" s="889"/>
      <c r="IP40" s="889"/>
      <c r="IQ40" s="889"/>
      <c r="IR40" s="889"/>
      <c r="IS40" s="889"/>
      <c r="IT40" s="889"/>
      <c r="IU40" s="889"/>
      <c r="IV40" s="889"/>
    </row>
    <row r="41" spans="1:256" ht="10.5" customHeight="1">
      <c r="A41" s="875" t="s">
        <v>799</v>
      </c>
      <c r="B41" s="898">
        <v>26.4</v>
      </c>
      <c r="C41" s="898">
        <v>19.399999999999999</v>
      </c>
      <c r="D41" s="899">
        <v>11.6</v>
      </c>
      <c r="E41" s="899">
        <v>9.6999999999999993</v>
      </c>
      <c r="F41" s="899">
        <v>5.4</v>
      </c>
      <c r="G41" s="899">
        <v>5.4</v>
      </c>
      <c r="H41" s="899">
        <v>4.2</v>
      </c>
      <c r="I41" s="899">
        <v>4.8</v>
      </c>
      <c r="J41" s="899">
        <v>46.9</v>
      </c>
      <c r="K41" s="899">
        <v>9.1</v>
      </c>
      <c r="L41" s="923">
        <v>8.1</v>
      </c>
      <c r="M41" s="922">
        <v>4.5999999999999996</v>
      </c>
      <c r="N41" s="899">
        <v>3.4</v>
      </c>
      <c r="O41" s="889"/>
      <c r="P41" s="889"/>
      <c r="Q41" s="889"/>
      <c r="R41" s="889"/>
      <c r="S41" s="889"/>
      <c r="T41" s="889"/>
      <c r="U41" s="889"/>
      <c r="V41" s="889"/>
      <c r="W41" s="889"/>
      <c r="X41" s="889"/>
      <c r="Y41" s="889"/>
      <c r="Z41" s="889"/>
      <c r="AA41" s="889"/>
      <c r="AB41" s="889"/>
      <c r="AC41" s="889"/>
      <c r="AD41" s="889"/>
      <c r="AE41" s="889"/>
      <c r="AF41" s="889"/>
      <c r="AG41" s="889"/>
      <c r="AH41" s="889"/>
      <c r="AI41" s="889"/>
      <c r="AJ41" s="889"/>
      <c r="AK41" s="889"/>
      <c r="AL41" s="889"/>
      <c r="AM41" s="889"/>
      <c r="AN41" s="889"/>
      <c r="AO41" s="889"/>
      <c r="AP41" s="889"/>
      <c r="AQ41" s="889"/>
      <c r="AR41" s="889"/>
      <c r="AS41" s="889"/>
      <c r="AT41" s="889"/>
      <c r="AU41" s="889"/>
      <c r="AV41" s="889"/>
      <c r="AW41" s="889"/>
      <c r="AX41" s="889"/>
      <c r="AY41" s="889"/>
      <c r="AZ41" s="889"/>
      <c r="BA41" s="889"/>
      <c r="BB41" s="889"/>
      <c r="BC41" s="889"/>
      <c r="BD41" s="889"/>
      <c r="BE41" s="889"/>
      <c r="BF41" s="889"/>
      <c r="BG41" s="889"/>
      <c r="BH41" s="889"/>
      <c r="BI41" s="889"/>
      <c r="BJ41" s="889"/>
      <c r="BK41" s="889"/>
      <c r="BL41" s="889"/>
      <c r="BM41" s="889"/>
      <c r="BN41" s="889"/>
      <c r="BO41" s="889"/>
      <c r="BP41" s="889"/>
      <c r="BQ41" s="889"/>
      <c r="BR41" s="889"/>
      <c r="BS41" s="889"/>
      <c r="BT41" s="889"/>
      <c r="BU41" s="889"/>
      <c r="BV41" s="889"/>
      <c r="BW41" s="889"/>
      <c r="BX41" s="889"/>
      <c r="BY41" s="889"/>
      <c r="BZ41" s="889"/>
      <c r="CA41" s="889"/>
      <c r="CB41" s="889"/>
      <c r="CC41" s="889"/>
      <c r="CD41" s="889"/>
      <c r="CE41" s="889"/>
      <c r="CF41" s="889"/>
      <c r="CG41" s="889"/>
      <c r="CH41" s="889"/>
      <c r="CI41" s="889"/>
      <c r="CJ41" s="889"/>
      <c r="CK41" s="889"/>
      <c r="CL41" s="889"/>
      <c r="CM41" s="889"/>
      <c r="CN41" s="889"/>
      <c r="CO41" s="889"/>
      <c r="CP41" s="889"/>
      <c r="CQ41" s="889"/>
      <c r="CR41" s="889"/>
      <c r="CS41" s="889"/>
      <c r="CT41" s="889"/>
      <c r="CU41" s="889"/>
      <c r="CV41" s="889"/>
      <c r="CW41" s="889"/>
      <c r="CX41" s="889"/>
      <c r="CY41" s="889"/>
      <c r="CZ41" s="889"/>
      <c r="DA41" s="889"/>
      <c r="DB41" s="889"/>
      <c r="DC41" s="889"/>
      <c r="DD41" s="889"/>
      <c r="DE41" s="889"/>
      <c r="DF41" s="889"/>
      <c r="DG41" s="889"/>
      <c r="DH41" s="889"/>
      <c r="DI41" s="889"/>
      <c r="DJ41" s="889"/>
      <c r="DK41" s="889"/>
      <c r="DL41" s="889"/>
      <c r="DM41" s="889"/>
      <c r="DN41" s="889"/>
      <c r="DO41" s="889"/>
      <c r="DP41" s="889"/>
      <c r="DQ41" s="889"/>
      <c r="DR41" s="889"/>
      <c r="DS41" s="889"/>
      <c r="DT41" s="889"/>
      <c r="DU41" s="889"/>
      <c r="DV41" s="889"/>
      <c r="DW41" s="889"/>
      <c r="DX41" s="889"/>
      <c r="DY41" s="889"/>
      <c r="DZ41" s="889"/>
      <c r="EA41" s="889"/>
      <c r="EB41" s="889"/>
      <c r="EC41" s="889"/>
      <c r="ED41" s="889"/>
      <c r="EE41" s="889"/>
      <c r="EF41" s="889"/>
      <c r="EG41" s="889"/>
      <c r="EH41" s="889"/>
      <c r="EI41" s="889"/>
      <c r="EJ41" s="889"/>
      <c r="EK41" s="889"/>
      <c r="EL41" s="889"/>
      <c r="EM41" s="889"/>
      <c r="EN41" s="889"/>
      <c r="EO41" s="889"/>
      <c r="EP41" s="889"/>
      <c r="EQ41" s="889"/>
      <c r="ER41" s="889"/>
      <c r="ES41" s="889"/>
      <c r="ET41" s="889"/>
      <c r="EU41" s="889"/>
      <c r="EV41" s="889"/>
      <c r="EW41" s="889"/>
      <c r="EX41" s="889"/>
      <c r="EY41" s="889"/>
      <c r="EZ41" s="889"/>
      <c r="FA41" s="889"/>
      <c r="FB41" s="889"/>
      <c r="FC41" s="889"/>
      <c r="FD41" s="889"/>
      <c r="FE41" s="889"/>
      <c r="FF41" s="889"/>
      <c r="FG41" s="889"/>
      <c r="FH41" s="889"/>
      <c r="FI41" s="889"/>
      <c r="FJ41" s="889"/>
      <c r="FK41" s="889"/>
      <c r="FL41" s="889"/>
      <c r="FM41" s="889"/>
      <c r="FN41" s="889"/>
      <c r="FO41" s="889"/>
      <c r="FP41" s="889"/>
      <c r="FQ41" s="889"/>
      <c r="FR41" s="889"/>
      <c r="FS41" s="889"/>
      <c r="FT41" s="889"/>
      <c r="FU41" s="889"/>
      <c r="FV41" s="889"/>
      <c r="FW41" s="889"/>
      <c r="FX41" s="889"/>
      <c r="FY41" s="889"/>
      <c r="FZ41" s="889"/>
      <c r="GA41" s="889"/>
      <c r="GB41" s="889"/>
      <c r="GC41" s="889"/>
      <c r="GD41" s="889"/>
      <c r="GE41" s="889"/>
      <c r="GF41" s="889"/>
      <c r="GG41" s="889"/>
      <c r="GH41" s="889"/>
      <c r="GI41" s="889"/>
      <c r="GJ41" s="889"/>
      <c r="GK41" s="889"/>
      <c r="GL41" s="889"/>
      <c r="GM41" s="889"/>
      <c r="GN41" s="889"/>
      <c r="GO41" s="889"/>
      <c r="GP41" s="889"/>
      <c r="GQ41" s="889"/>
      <c r="GR41" s="889"/>
      <c r="GS41" s="889"/>
      <c r="GT41" s="889"/>
      <c r="GU41" s="889"/>
      <c r="GV41" s="889"/>
      <c r="GW41" s="889"/>
      <c r="GX41" s="889"/>
      <c r="GY41" s="889"/>
      <c r="GZ41" s="889"/>
      <c r="HA41" s="889"/>
      <c r="HB41" s="889"/>
      <c r="HC41" s="889"/>
      <c r="HD41" s="889"/>
      <c r="HE41" s="889"/>
      <c r="HF41" s="889"/>
      <c r="HG41" s="889"/>
      <c r="HH41" s="889"/>
      <c r="HI41" s="889"/>
      <c r="HJ41" s="889"/>
      <c r="HK41" s="889"/>
      <c r="HL41" s="889"/>
      <c r="HM41" s="889"/>
      <c r="HN41" s="889"/>
      <c r="HO41" s="889"/>
      <c r="HP41" s="889"/>
      <c r="HQ41" s="889"/>
      <c r="HR41" s="889"/>
      <c r="HS41" s="889"/>
      <c r="HT41" s="889"/>
      <c r="HU41" s="889"/>
      <c r="HV41" s="889"/>
      <c r="HW41" s="889"/>
      <c r="HX41" s="889"/>
      <c r="HY41" s="889"/>
      <c r="HZ41" s="889"/>
      <c r="IA41" s="889"/>
      <c r="IB41" s="889"/>
      <c r="IC41" s="889"/>
      <c r="ID41" s="889"/>
      <c r="IE41" s="889"/>
      <c r="IF41" s="889"/>
      <c r="IG41" s="889"/>
      <c r="IH41" s="889"/>
      <c r="II41" s="889"/>
      <c r="IJ41" s="889"/>
      <c r="IK41" s="889"/>
      <c r="IL41" s="889"/>
      <c r="IM41" s="889"/>
      <c r="IN41" s="889"/>
      <c r="IO41" s="889"/>
      <c r="IP41" s="889"/>
      <c r="IQ41" s="889"/>
      <c r="IR41" s="889"/>
      <c r="IS41" s="889"/>
      <c r="IT41" s="889"/>
      <c r="IU41" s="889"/>
      <c r="IV41" s="889"/>
    </row>
    <row r="42" spans="1:256" ht="10.5" customHeight="1">
      <c r="A42" s="924" t="s">
        <v>811</v>
      </c>
      <c r="B42" s="914">
        <v>0</v>
      </c>
      <c r="C42" s="915">
        <v>0.1</v>
      </c>
      <c r="D42" s="914">
        <v>0</v>
      </c>
      <c r="E42" s="914">
        <v>0</v>
      </c>
      <c r="F42" s="914">
        <v>0</v>
      </c>
      <c r="G42" s="914">
        <v>0</v>
      </c>
      <c r="H42" s="914">
        <v>0</v>
      </c>
      <c r="I42" s="914">
        <f>0.3-0.3</f>
        <v>0</v>
      </c>
      <c r="J42" s="914">
        <v>0</v>
      </c>
      <c r="K42" s="914">
        <v>0</v>
      </c>
      <c r="L42" s="915">
        <v>0</v>
      </c>
      <c r="M42" s="915">
        <v>0</v>
      </c>
      <c r="N42" s="915">
        <v>0</v>
      </c>
      <c r="O42" s="889"/>
      <c r="P42" s="889"/>
      <c r="Q42" s="889"/>
      <c r="R42" s="889"/>
      <c r="S42" s="889"/>
      <c r="T42" s="889"/>
      <c r="U42" s="889"/>
      <c r="V42" s="889"/>
      <c r="W42" s="889"/>
      <c r="X42" s="889"/>
      <c r="Y42" s="889"/>
      <c r="Z42" s="889"/>
      <c r="AA42" s="889"/>
      <c r="AB42" s="889"/>
      <c r="AC42" s="889"/>
      <c r="AD42" s="889"/>
      <c r="AE42" s="889"/>
      <c r="AF42" s="889"/>
      <c r="AG42" s="889"/>
      <c r="AH42" s="889"/>
      <c r="AI42" s="889"/>
      <c r="AJ42" s="889"/>
      <c r="AK42" s="889"/>
      <c r="AL42" s="889"/>
      <c r="AM42" s="889"/>
      <c r="AN42" s="889"/>
      <c r="AO42" s="889"/>
      <c r="AP42" s="889"/>
      <c r="AQ42" s="889"/>
      <c r="AR42" s="889"/>
      <c r="AS42" s="889"/>
      <c r="AT42" s="889"/>
      <c r="AU42" s="889"/>
      <c r="AV42" s="889"/>
      <c r="AW42" s="889"/>
      <c r="AX42" s="889"/>
      <c r="AY42" s="889"/>
      <c r="AZ42" s="889"/>
      <c r="BA42" s="889"/>
      <c r="BB42" s="889"/>
      <c r="BC42" s="889"/>
      <c r="BD42" s="889"/>
      <c r="BE42" s="889"/>
      <c r="BF42" s="889"/>
      <c r="BG42" s="889"/>
      <c r="BH42" s="889"/>
      <c r="BI42" s="889"/>
      <c r="BJ42" s="889"/>
      <c r="BK42" s="889"/>
      <c r="BL42" s="889"/>
      <c r="BM42" s="889"/>
      <c r="BN42" s="889"/>
      <c r="BO42" s="889"/>
      <c r="BP42" s="889"/>
      <c r="BQ42" s="889"/>
      <c r="BR42" s="889"/>
      <c r="BS42" s="889"/>
      <c r="BT42" s="889"/>
      <c r="BU42" s="889"/>
      <c r="BV42" s="889"/>
      <c r="BW42" s="889"/>
      <c r="BX42" s="889"/>
      <c r="BY42" s="889"/>
      <c r="BZ42" s="889"/>
      <c r="CA42" s="889"/>
      <c r="CB42" s="889"/>
      <c r="CC42" s="889"/>
      <c r="CD42" s="889"/>
      <c r="CE42" s="889"/>
      <c r="CF42" s="889"/>
      <c r="CG42" s="889"/>
      <c r="CH42" s="889"/>
      <c r="CI42" s="889"/>
      <c r="CJ42" s="889"/>
      <c r="CK42" s="889"/>
      <c r="CL42" s="889"/>
      <c r="CM42" s="889"/>
      <c r="CN42" s="889"/>
      <c r="CO42" s="889"/>
      <c r="CP42" s="889"/>
      <c r="CQ42" s="889"/>
      <c r="CR42" s="889"/>
      <c r="CS42" s="889"/>
      <c r="CT42" s="889"/>
      <c r="CU42" s="889"/>
      <c r="CV42" s="889"/>
      <c r="CW42" s="889"/>
      <c r="CX42" s="889"/>
      <c r="CY42" s="889"/>
      <c r="CZ42" s="889"/>
      <c r="DA42" s="889"/>
      <c r="DB42" s="889"/>
      <c r="DC42" s="889"/>
      <c r="DD42" s="889"/>
      <c r="DE42" s="889"/>
      <c r="DF42" s="889"/>
      <c r="DG42" s="889"/>
      <c r="DH42" s="889"/>
      <c r="DI42" s="889"/>
      <c r="DJ42" s="889"/>
      <c r="DK42" s="889"/>
      <c r="DL42" s="889"/>
      <c r="DM42" s="889"/>
      <c r="DN42" s="889"/>
      <c r="DO42" s="889"/>
      <c r="DP42" s="889"/>
      <c r="DQ42" s="889"/>
      <c r="DR42" s="889"/>
      <c r="DS42" s="889"/>
      <c r="DT42" s="889"/>
      <c r="DU42" s="889"/>
      <c r="DV42" s="889"/>
      <c r="DW42" s="889"/>
      <c r="DX42" s="889"/>
      <c r="DY42" s="889"/>
      <c r="DZ42" s="889"/>
      <c r="EA42" s="889"/>
      <c r="EB42" s="889"/>
      <c r="EC42" s="889"/>
      <c r="ED42" s="889"/>
      <c r="EE42" s="889"/>
      <c r="EF42" s="889"/>
      <c r="EG42" s="889"/>
      <c r="EH42" s="889"/>
      <c r="EI42" s="889"/>
      <c r="EJ42" s="889"/>
      <c r="EK42" s="889"/>
      <c r="EL42" s="889"/>
      <c r="EM42" s="889"/>
      <c r="EN42" s="889"/>
      <c r="EO42" s="889"/>
      <c r="EP42" s="889"/>
      <c r="EQ42" s="889"/>
      <c r="ER42" s="889"/>
      <c r="ES42" s="889"/>
      <c r="ET42" s="889"/>
      <c r="EU42" s="889"/>
      <c r="EV42" s="889"/>
      <c r="EW42" s="889"/>
      <c r="EX42" s="889"/>
      <c r="EY42" s="889"/>
      <c r="EZ42" s="889"/>
      <c r="FA42" s="889"/>
      <c r="FB42" s="889"/>
      <c r="FC42" s="889"/>
      <c r="FD42" s="889"/>
      <c r="FE42" s="889"/>
      <c r="FF42" s="889"/>
      <c r="FG42" s="889"/>
      <c r="FH42" s="889"/>
      <c r="FI42" s="889"/>
      <c r="FJ42" s="889"/>
      <c r="FK42" s="889"/>
      <c r="FL42" s="889"/>
      <c r="FM42" s="889"/>
      <c r="FN42" s="889"/>
      <c r="FO42" s="889"/>
      <c r="FP42" s="889"/>
      <c r="FQ42" s="889"/>
      <c r="FR42" s="889"/>
      <c r="FS42" s="889"/>
      <c r="FT42" s="889"/>
      <c r="FU42" s="889"/>
      <c r="FV42" s="889"/>
      <c r="FW42" s="889"/>
      <c r="FX42" s="889"/>
      <c r="FY42" s="889"/>
      <c r="FZ42" s="889"/>
      <c r="GA42" s="889"/>
      <c r="GB42" s="889"/>
      <c r="GC42" s="889"/>
      <c r="GD42" s="889"/>
      <c r="GE42" s="889"/>
      <c r="GF42" s="889"/>
      <c r="GG42" s="889"/>
      <c r="GH42" s="889"/>
      <c r="GI42" s="889"/>
      <c r="GJ42" s="889"/>
      <c r="GK42" s="889"/>
      <c r="GL42" s="889"/>
      <c r="GM42" s="889"/>
      <c r="GN42" s="889"/>
      <c r="GO42" s="889"/>
      <c r="GP42" s="889"/>
      <c r="GQ42" s="889"/>
      <c r="GR42" s="889"/>
      <c r="GS42" s="889"/>
      <c r="GT42" s="889"/>
      <c r="GU42" s="889"/>
      <c r="GV42" s="889"/>
      <c r="GW42" s="889"/>
      <c r="GX42" s="889"/>
      <c r="GY42" s="889"/>
      <c r="GZ42" s="889"/>
      <c r="HA42" s="889"/>
      <c r="HB42" s="889"/>
      <c r="HC42" s="889"/>
      <c r="HD42" s="889"/>
      <c r="HE42" s="889"/>
      <c r="HF42" s="889"/>
      <c r="HG42" s="889"/>
      <c r="HH42" s="889"/>
      <c r="HI42" s="889"/>
      <c r="HJ42" s="889"/>
      <c r="HK42" s="889"/>
      <c r="HL42" s="889"/>
      <c r="HM42" s="889"/>
      <c r="HN42" s="889"/>
      <c r="HO42" s="889"/>
      <c r="HP42" s="889"/>
      <c r="HQ42" s="889"/>
      <c r="HR42" s="889"/>
      <c r="HS42" s="889"/>
      <c r="HT42" s="889"/>
      <c r="HU42" s="889"/>
      <c r="HV42" s="889"/>
      <c r="HW42" s="889"/>
      <c r="HX42" s="889"/>
      <c r="HY42" s="889"/>
      <c r="HZ42" s="889"/>
      <c r="IA42" s="889"/>
      <c r="IB42" s="889"/>
      <c r="IC42" s="889"/>
      <c r="ID42" s="889"/>
      <c r="IE42" s="889"/>
      <c r="IF42" s="889"/>
      <c r="IG42" s="889"/>
      <c r="IH42" s="889"/>
      <c r="II42" s="889"/>
      <c r="IJ42" s="889"/>
      <c r="IK42" s="889"/>
      <c r="IL42" s="889"/>
      <c r="IM42" s="889"/>
      <c r="IN42" s="889"/>
      <c r="IO42" s="889"/>
      <c r="IP42" s="889"/>
      <c r="IQ42" s="889"/>
      <c r="IR42" s="889"/>
      <c r="IS42" s="889"/>
      <c r="IT42" s="889"/>
      <c r="IU42" s="889"/>
      <c r="IV42" s="889"/>
    </row>
    <row r="43" spans="1:256" s="897" customFormat="1" ht="12.75" customHeight="1" thickBot="1">
      <c r="A43" s="917" t="s">
        <v>801</v>
      </c>
      <c r="B43" s="926">
        <v>205.9</v>
      </c>
      <c r="C43" s="926">
        <v>224.3</v>
      </c>
      <c r="D43" s="927">
        <v>281.3</v>
      </c>
      <c r="E43" s="927">
        <v>408.5</v>
      </c>
      <c r="F43" s="928">
        <v>377.4</v>
      </c>
      <c r="G43" s="928">
        <v>294.5</v>
      </c>
      <c r="H43" s="928">
        <v>346.7</v>
      </c>
      <c r="I43" s="928">
        <v>348.7</v>
      </c>
      <c r="J43" s="928">
        <v>335.4</v>
      </c>
      <c r="K43" s="928">
        <v>370.8</v>
      </c>
      <c r="L43" s="929">
        <v>350.5</v>
      </c>
      <c r="M43" s="929">
        <v>381.4</v>
      </c>
      <c r="N43" s="928">
        <v>375.5</v>
      </c>
      <c r="O43" s="896"/>
      <c r="P43" s="896"/>
      <c r="Q43" s="896"/>
      <c r="R43" s="896"/>
      <c r="S43" s="896"/>
      <c r="T43" s="896"/>
      <c r="U43" s="896"/>
      <c r="V43" s="896"/>
      <c r="W43" s="896"/>
      <c r="X43" s="896"/>
      <c r="Y43" s="896"/>
      <c r="Z43" s="896"/>
      <c r="AA43" s="896"/>
      <c r="AB43" s="896"/>
      <c r="AC43" s="896"/>
      <c r="AD43" s="896"/>
      <c r="AE43" s="896"/>
      <c r="AF43" s="896"/>
      <c r="AG43" s="896"/>
      <c r="AH43" s="896"/>
      <c r="AI43" s="896"/>
      <c r="AJ43" s="896"/>
      <c r="AK43" s="896"/>
      <c r="AL43" s="896"/>
      <c r="AM43" s="896"/>
      <c r="AN43" s="896"/>
      <c r="AO43" s="896"/>
      <c r="AP43" s="896"/>
      <c r="AQ43" s="896"/>
      <c r="AR43" s="896"/>
      <c r="AS43" s="896"/>
      <c r="AT43" s="896"/>
      <c r="AU43" s="896"/>
      <c r="AV43" s="896"/>
      <c r="AW43" s="896"/>
      <c r="AX43" s="896"/>
      <c r="AY43" s="896"/>
      <c r="AZ43" s="896"/>
      <c r="BA43" s="896"/>
      <c r="BB43" s="896"/>
      <c r="BC43" s="896"/>
      <c r="BD43" s="896"/>
      <c r="BE43" s="896"/>
      <c r="BF43" s="896"/>
      <c r="BG43" s="896"/>
      <c r="BH43" s="896"/>
      <c r="BI43" s="896"/>
      <c r="BJ43" s="896"/>
      <c r="BK43" s="896"/>
      <c r="BL43" s="896"/>
      <c r="BM43" s="896"/>
      <c r="BN43" s="896"/>
      <c r="BO43" s="896"/>
      <c r="BP43" s="896"/>
      <c r="BQ43" s="896"/>
      <c r="BR43" s="896"/>
      <c r="BS43" s="896"/>
      <c r="BT43" s="896"/>
      <c r="BU43" s="896"/>
      <c r="BV43" s="896"/>
      <c r="BW43" s="896"/>
      <c r="BX43" s="896"/>
      <c r="BY43" s="896"/>
      <c r="BZ43" s="896"/>
      <c r="CA43" s="896"/>
      <c r="CB43" s="896"/>
      <c r="CC43" s="896"/>
      <c r="CD43" s="896"/>
      <c r="CE43" s="896"/>
      <c r="CF43" s="896"/>
      <c r="CG43" s="896"/>
      <c r="CH43" s="896"/>
      <c r="CI43" s="896"/>
      <c r="CJ43" s="896"/>
      <c r="CK43" s="896"/>
      <c r="CL43" s="896"/>
      <c r="CM43" s="896"/>
      <c r="CN43" s="896"/>
      <c r="CO43" s="896"/>
      <c r="CP43" s="896"/>
      <c r="CQ43" s="896"/>
      <c r="CR43" s="896"/>
      <c r="CS43" s="896"/>
      <c r="CT43" s="896"/>
      <c r="CU43" s="896"/>
      <c r="CV43" s="896"/>
      <c r="CW43" s="896"/>
      <c r="CX43" s="896"/>
      <c r="CY43" s="896"/>
      <c r="CZ43" s="896"/>
      <c r="DA43" s="896"/>
      <c r="DB43" s="896"/>
      <c r="DC43" s="896"/>
      <c r="DD43" s="896"/>
      <c r="DE43" s="896"/>
      <c r="DF43" s="896"/>
      <c r="DG43" s="896"/>
      <c r="DH43" s="896"/>
      <c r="DI43" s="896"/>
      <c r="DJ43" s="896"/>
      <c r="DK43" s="896"/>
      <c r="DL43" s="896"/>
      <c r="DM43" s="896"/>
      <c r="DN43" s="896"/>
      <c r="DO43" s="896"/>
      <c r="DP43" s="896"/>
      <c r="DQ43" s="896"/>
      <c r="DR43" s="896"/>
      <c r="DS43" s="896"/>
      <c r="DT43" s="896"/>
      <c r="DU43" s="896"/>
      <c r="DV43" s="896"/>
      <c r="DW43" s="896"/>
      <c r="DX43" s="896"/>
      <c r="DY43" s="896"/>
      <c r="DZ43" s="896"/>
      <c r="EA43" s="896"/>
      <c r="EB43" s="896"/>
      <c r="EC43" s="896"/>
      <c r="ED43" s="896"/>
      <c r="EE43" s="896"/>
      <c r="EF43" s="896"/>
      <c r="EG43" s="896"/>
      <c r="EH43" s="896"/>
      <c r="EI43" s="896"/>
      <c r="EJ43" s="896"/>
      <c r="EK43" s="896"/>
      <c r="EL43" s="896"/>
      <c r="EM43" s="896"/>
      <c r="EN43" s="896"/>
      <c r="EO43" s="896"/>
      <c r="EP43" s="896"/>
      <c r="EQ43" s="896"/>
      <c r="ER43" s="896"/>
      <c r="ES43" s="896"/>
      <c r="ET43" s="896"/>
      <c r="EU43" s="896"/>
      <c r="EV43" s="896"/>
      <c r="EW43" s="896"/>
      <c r="EX43" s="896"/>
      <c r="EY43" s="896"/>
      <c r="EZ43" s="896"/>
      <c r="FA43" s="896"/>
      <c r="FB43" s="896"/>
      <c r="FC43" s="896"/>
      <c r="FD43" s="896"/>
      <c r="FE43" s="896"/>
      <c r="FF43" s="896"/>
      <c r="FG43" s="896"/>
      <c r="FH43" s="896"/>
      <c r="FI43" s="896"/>
      <c r="FJ43" s="896"/>
      <c r="FK43" s="896"/>
      <c r="FL43" s="896"/>
      <c r="FM43" s="896"/>
      <c r="FN43" s="896"/>
      <c r="FO43" s="896"/>
      <c r="FP43" s="896"/>
      <c r="FQ43" s="896"/>
      <c r="FR43" s="896"/>
      <c r="FS43" s="896"/>
      <c r="FT43" s="896"/>
      <c r="FU43" s="896"/>
      <c r="FV43" s="896"/>
      <c r="FW43" s="896"/>
      <c r="FX43" s="896"/>
      <c r="FY43" s="896"/>
      <c r="FZ43" s="896"/>
      <c r="GA43" s="896"/>
      <c r="GB43" s="896"/>
      <c r="GC43" s="896"/>
      <c r="GD43" s="896"/>
      <c r="GE43" s="896"/>
      <c r="GF43" s="896"/>
      <c r="GG43" s="896"/>
      <c r="GH43" s="896"/>
      <c r="GI43" s="896"/>
      <c r="GJ43" s="896"/>
      <c r="GK43" s="896"/>
      <c r="GL43" s="896"/>
      <c r="GM43" s="896"/>
      <c r="GN43" s="896"/>
      <c r="GO43" s="896"/>
      <c r="GP43" s="896"/>
      <c r="GQ43" s="896"/>
      <c r="GR43" s="896"/>
      <c r="GS43" s="896"/>
      <c r="GT43" s="896"/>
      <c r="GU43" s="896"/>
      <c r="GV43" s="896"/>
      <c r="GW43" s="896"/>
      <c r="GX43" s="896"/>
      <c r="GY43" s="896"/>
      <c r="GZ43" s="896"/>
      <c r="HA43" s="896"/>
      <c r="HB43" s="896"/>
      <c r="HC43" s="896"/>
      <c r="HD43" s="896"/>
      <c r="HE43" s="896"/>
      <c r="HF43" s="896"/>
      <c r="HG43" s="896"/>
      <c r="HH43" s="896"/>
      <c r="HI43" s="896"/>
      <c r="HJ43" s="896"/>
      <c r="HK43" s="896"/>
      <c r="HL43" s="896"/>
      <c r="HM43" s="896"/>
      <c r="HN43" s="896"/>
      <c r="HO43" s="896"/>
      <c r="HP43" s="896"/>
      <c r="HQ43" s="896"/>
      <c r="HR43" s="896"/>
      <c r="HS43" s="896"/>
      <c r="HT43" s="896"/>
      <c r="HU43" s="896"/>
      <c r="HV43" s="896"/>
      <c r="HW43" s="896"/>
      <c r="HX43" s="896"/>
      <c r="HY43" s="896"/>
      <c r="HZ43" s="896"/>
      <c r="IA43" s="896"/>
      <c r="IB43" s="896"/>
      <c r="IC43" s="896"/>
      <c r="ID43" s="896"/>
      <c r="IE43" s="896"/>
      <c r="IF43" s="896"/>
      <c r="IG43" s="896"/>
      <c r="IH43" s="896"/>
      <c r="II43" s="896"/>
      <c r="IJ43" s="896"/>
      <c r="IK43" s="896"/>
      <c r="IL43" s="896"/>
      <c r="IM43" s="896"/>
      <c r="IN43" s="896"/>
      <c r="IO43" s="896"/>
      <c r="IP43" s="896"/>
      <c r="IQ43" s="896"/>
      <c r="IR43" s="896"/>
      <c r="IS43" s="896"/>
      <c r="IT43" s="896"/>
      <c r="IU43" s="896"/>
      <c r="IV43" s="896"/>
    </row>
    <row r="44" spans="1:256" ht="12" customHeight="1" thickTop="1">
      <c r="A44" s="931" t="s">
        <v>818</v>
      </c>
      <c r="B44" s="909">
        <v>86.8</v>
      </c>
      <c r="C44" s="909">
        <v>94.7</v>
      </c>
      <c r="D44" s="910">
        <v>120.1</v>
      </c>
      <c r="E44" s="910">
        <v>190.9</v>
      </c>
      <c r="F44" s="910">
        <v>182.5</v>
      </c>
      <c r="G44" s="910">
        <v>144.4</v>
      </c>
      <c r="H44" s="910">
        <v>168.9</v>
      </c>
      <c r="I44" s="910">
        <v>170.1</v>
      </c>
      <c r="J44" s="910">
        <v>163.69999999999999</v>
      </c>
      <c r="K44" s="910">
        <v>181.9</v>
      </c>
      <c r="L44" s="916">
        <v>170.4</v>
      </c>
      <c r="M44" s="916">
        <v>184.4</v>
      </c>
      <c r="N44" s="910">
        <v>182.8</v>
      </c>
      <c r="O44" s="889"/>
      <c r="P44" s="889"/>
      <c r="Q44" s="889"/>
      <c r="R44" s="889"/>
      <c r="S44" s="889"/>
      <c r="T44" s="889"/>
      <c r="U44" s="889"/>
      <c r="V44" s="889"/>
      <c r="W44" s="889"/>
      <c r="X44" s="889"/>
      <c r="Y44" s="889"/>
      <c r="Z44" s="889"/>
      <c r="AA44" s="889"/>
      <c r="AB44" s="889"/>
      <c r="AC44" s="889"/>
      <c r="AD44" s="889"/>
      <c r="AE44" s="889"/>
      <c r="AF44" s="889"/>
      <c r="AG44" s="889"/>
      <c r="AH44" s="889"/>
      <c r="AI44" s="889"/>
      <c r="AJ44" s="889"/>
      <c r="AK44" s="889"/>
      <c r="AL44" s="889"/>
      <c r="AM44" s="889"/>
      <c r="AN44" s="889"/>
      <c r="AO44" s="889"/>
      <c r="AP44" s="889"/>
      <c r="AQ44" s="889"/>
      <c r="AR44" s="889"/>
      <c r="AS44" s="889"/>
      <c r="AT44" s="889"/>
      <c r="AU44" s="889"/>
      <c r="AV44" s="889"/>
      <c r="AW44" s="889"/>
      <c r="AX44" s="889"/>
      <c r="AY44" s="889"/>
      <c r="AZ44" s="889"/>
      <c r="BA44" s="889"/>
      <c r="BB44" s="889"/>
      <c r="BC44" s="889"/>
      <c r="BD44" s="889"/>
      <c r="BE44" s="889"/>
      <c r="BF44" s="889"/>
      <c r="BG44" s="889"/>
      <c r="BH44" s="889"/>
      <c r="BI44" s="889"/>
      <c r="BJ44" s="889"/>
      <c r="BK44" s="889"/>
      <c r="BL44" s="889"/>
      <c r="BM44" s="889"/>
      <c r="BN44" s="889"/>
      <c r="BO44" s="889"/>
      <c r="BP44" s="889"/>
      <c r="BQ44" s="889"/>
      <c r="BR44" s="889"/>
      <c r="BS44" s="889"/>
      <c r="BT44" s="889"/>
      <c r="BU44" s="889"/>
      <c r="BV44" s="889"/>
      <c r="BW44" s="889"/>
      <c r="BX44" s="889"/>
      <c r="BY44" s="889"/>
      <c r="BZ44" s="889"/>
      <c r="CA44" s="889"/>
      <c r="CB44" s="889"/>
      <c r="CC44" s="889"/>
      <c r="CD44" s="889"/>
      <c r="CE44" s="889"/>
      <c r="CF44" s="889"/>
      <c r="CG44" s="889"/>
      <c r="CH44" s="889"/>
      <c r="CI44" s="889"/>
      <c r="CJ44" s="889"/>
      <c r="CK44" s="889"/>
      <c r="CL44" s="889"/>
      <c r="CM44" s="889"/>
      <c r="CN44" s="889"/>
      <c r="CO44" s="889"/>
      <c r="CP44" s="889"/>
      <c r="CQ44" s="889"/>
      <c r="CR44" s="889"/>
      <c r="CS44" s="889"/>
      <c r="CT44" s="889"/>
      <c r="CU44" s="889"/>
      <c r="CV44" s="889"/>
      <c r="CW44" s="889"/>
      <c r="CX44" s="889"/>
      <c r="CY44" s="889"/>
      <c r="CZ44" s="889"/>
      <c r="DA44" s="889"/>
      <c r="DB44" s="889"/>
      <c r="DC44" s="889"/>
      <c r="DD44" s="889"/>
      <c r="DE44" s="889"/>
      <c r="DF44" s="889"/>
      <c r="DG44" s="889"/>
      <c r="DH44" s="889"/>
      <c r="DI44" s="889"/>
      <c r="DJ44" s="889"/>
      <c r="DK44" s="889"/>
      <c r="DL44" s="889"/>
      <c r="DM44" s="889"/>
      <c r="DN44" s="889"/>
      <c r="DO44" s="889"/>
      <c r="DP44" s="889"/>
      <c r="DQ44" s="889"/>
      <c r="DR44" s="889"/>
      <c r="DS44" s="889"/>
      <c r="DT44" s="889"/>
      <c r="DU44" s="889"/>
      <c r="DV44" s="889"/>
      <c r="DW44" s="889"/>
      <c r="DX44" s="889"/>
      <c r="DY44" s="889"/>
      <c r="DZ44" s="889"/>
      <c r="EA44" s="889"/>
      <c r="EB44" s="889"/>
      <c r="EC44" s="889"/>
      <c r="ED44" s="889"/>
      <c r="EE44" s="889"/>
      <c r="EF44" s="889"/>
      <c r="EG44" s="889"/>
      <c r="EH44" s="889"/>
      <c r="EI44" s="889"/>
      <c r="EJ44" s="889"/>
      <c r="EK44" s="889"/>
      <c r="EL44" s="889"/>
      <c r="EM44" s="889"/>
      <c r="EN44" s="889"/>
      <c r="EO44" s="889"/>
      <c r="EP44" s="889"/>
      <c r="EQ44" s="889"/>
      <c r="ER44" s="889"/>
      <c r="ES44" s="889"/>
      <c r="ET44" s="889"/>
      <c r="EU44" s="889"/>
      <c r="EV44" s="889"/>
      <c r="EW44" s="889"/>
      <c r="EX44" s="889"/>
      <c r="EY44" s="889"/>
      <c r="EZ44" s="889"/>
      <c r="FA44" s="889"/>
      <c r="FB44" s="889"/>
      <c r="FC44" s="889"/>
      <c r="FD44" s="889"/>
      <c r="FE44" s="889"/>
      <c r="FF44" s="889"/>
      <c r="FG44" s="889"/>
      <c r="FH44" s="889"/>
      <c r="FI44" s="889"/>
      <c r="FJ44" s="889"/>
      <c r="FK44" s="889"/>
      <c r="FL44" s="889"/>
      <c r="FM44" s="889"/>
      <c r="FN44" s="889"/>
      <c r="FO44" s="889"/>
      <c r="FP44" s="889"/>
      <c r="FQ44" s="889"/>
      <c r="FR44" s="889"/>
      <c r="FS44" s="889"/>
      <c r="FT44" s="889"/>
      <c r="FU44" s="889"/>
      <c r="FV44" s="889"/>
      <c r="FW44" s="889"/>
      <c r="FX44" s="889"/>
      <c r="FY44" s="889"/>
      <c r="FZ44" s="889"/>
      <c r="GA44" s="889"/>
      <c r="GB44" s="889"/>
      <c r="GC44" s="889"/>
      <c r="GD44" s="889"/>
      <c r="GE44" s="889"/>
      <c r="GF44" s="889"/>
      <c r="GG44" s="889"/>
      <c r="GH44" s="889"/>
      <c r="GI44" s="889"/>
      <c r="GJ44" s="889"/>
      <c r="GK44" s="889"/>
      <c r="GL44" s="889"/>
      <c r="GM44" s="889"/>
      <c r="GN44" s="889"/>
      <c r="GO44" s="889"/>
      <c r="GP44" s="889"/>
      <c r="GQ44" s="889"/>
      <c r="GR44" s="889"/>
      <c r="GS44" s="889"/>
      <c r="GT44" s="889"/>
      <c r="GU44" s="889"/>
      <c r="GV44" s="889"/>
      <c r="GW44" s="889"/>
      <c r="GX44" s="889"/>
      <c r="GY44" s="889"/>
      <c r="GZ44" s="889"/>
      <c r="HA44" s="889"/>
      <c r="HB44" s="889"/>
      <c r="HC44" s="889"/>
      <c r="HD44" s="889"/>
      <c r="HE44" s="889"/>
      <c r="HF44" s="889"/>
      <c r="HG44" s="889"/>
      <c r="HH44" s="889"/>
      <c r="HI44" s="889"/>
      <c r="HJ44" s="889"/>
      <c r="HK44" s="889"/>
      <c r="HL44" s="889"/>
      <c r="HM44" s="889"/>
      <c r="HN44" s="889"/>
      <c r="HO44" s="889"/>
      <c r="HP44" s="889"/>
      <c r="HQ44" s="889"/>
      <c r="HR44" s="889"/>
      <c r="HS44" s="889"/>
      <c r="HT44" s="889"/>
      <c r="HU44" s="889"/>
      <c r="HV44" s="889"/>
      <c r="HW44" s="889"/>
      <c r="HX44" s="889"/>
      <c r="HY44" s="889"/>
      <c r="HZ44" s="889"/>
      <c r="IA44" s="889"/>
      <c r="IB44" s="889"/>
      <c r="IC44" s="889"/>
      <c r="ID44" s="889"/>
      <c r="IE44" s="889"/>
      <c r="IF44" s="889"/>
      <c r="IG44" s="889"/>
      <c r="IH44" s="889"/>
      <c r="II44" s="889"/>
      <c r="IJ44" s="889"/>
      <c r="IK44" s="889"/>
      <c r="IL44" s="889"/>
      <c r="IM44" s="889"/>
      <c r="IN44" s="889"/>
      <c r="IO44" s="889"/>
      <c r="IP44" s="889"/>
      <c r="IQ44" s="889"/>
      <c r="IR44" s="889"/>
      <c r="IS44" s="889"/>
      <c r="IT44" s="889"/>
      <c r="IU44" s="889"/>
      <c r="IV44" s="889"/>
    </row>
    <row r="45" spans="1:256" ht="12.75" customHeight="1">
      <c r="A45" s="932" t="s">
        <v>807</v>
      </c>
      <c r="B45" s="913">
        <v>1010</v>
      </c>
      <c r="C45" s="913">
        <v>1102</v>
      </c>
      <c r="D45" s="914">
        <v>1397</v>
      </c>
      <c r="E45" s="914">
        <v>2220</v>
      </c>
      <c r="F45" s="914">
        <v>2122</v>
      </c>
      <c r="G45" s="914">
        <v>1679.3</v>
      </c>
      <c r="H45" s="914">
        <v>1964.9</v>
      </c>
      <c r="I45" s="914">
        <v>1977.8</v>
      </c>
      <c r="J45" s="914">
        <v>1904.1</v>
      </c>
      <c r="K45" s="914">
        <v>2115.3000000000002</v>
      </c>
      <c r="L45" s="925">
        <v>1981.9</v>
      </c>
      <c r="M45" s="925">
        <v>2144.4</v>
      </c>
      <c r="N45" s="914">
        <v>2126.4</v>
      </c>
      <c r="O45" s="889"/>
      <c r="P45" s="889"/>
      <c r="Q45" s="889"/>
      <c r="R45" s="889"/>
      <c r="S45" s="889"/>
      <c r="T45" s="889"/>
      <c r="U45" s="889"/>
      <c r="V45" s="889"/>
      <c r="W45" s="889"/>
      <c r="X45" s="889"/>
      <c r="Y45" s="889"/>
      <c r="Z45" s="889"/>
      <c r="AA45" s="889"/>
      <c r="AB45" s="889"/>
      <c r="AC45" s="889"/>
      <c r="AD45" s="889"/>
      <c r="AE45" s="889"/>
      <c r="AF45" s="889"/>
      <c r="AG45" s="889"/>
      <c r="AH45" s="889"/>
      <c r="AI45" s="889"/>
      <c r="AJ45" s="889"/>
      <c r="AK45" s="889"/>
      <c r="AL45" s="889"/>
      <c r="AM45" s="889"/>
      <c r="AN45" s="889"/>
      <c r="AO45" s="889"/>
      <c r="AP45" s="889"/>
      <c r="AQ45" s="889"/>
      <c r="AR45" s="889"/>
      <c r="AS45" s="889"/>
      <c r="AT45" s="889"/>
      <c r="AU45" s="889"/>
      <c r="AV45" s="889"/>
      <c r="AW45" s="889"/>
      <c r="AX45" s="889"/>
      <c r="AY45" s="889"/>
      <c r="AZ45" s="889"/>
      <c r="BA45" s="889"/>
      <c r="BB45" s="889"/>
      <c r="BC45" s="889"/>
      <c r="BD45" s="889"/>
      <c r="BE45" s="889"/>
      <c r="BF45" s="889"/>
      <c r="BG45" s="889"/>
      <c r="BH45" s="889"/>
      <c r="BI45" s="889"/>
      <c r="BJ45" s="889"/>
      <c r="BK45" s="889"/>
      <c r="BL45" s="889"/>
      <c r="BM45" s="889"/>
      <c r="BN45" s="889"/>
      <c r="BO45" s="889"/>
      <c r="BP45" s="889"/>
      <c r="BQ45" s="889"/>
      <c r="BR45" s="889"/>
      <c r="BS45" s="889"/>
      <c r="BT45" s="889"/>
      <c r="BU45" s="889"/>
      <c r="BV45" s="889"/>
      <c r="BW45" s="889"/>
      <c r="BX45" s="889"/>
      <c r="BY45" s="889"/>
      <c r="BZ45" s="889"/>
      <c r="CA45" s="889"/>
      <c r="CB45" s="889"/>
      <c r="CC45" s="889"/>
      <c r="CD45" s="889"/>
      <c r="CE45" s="889"/>
      <c r="CF45" s="889"/>
      <c r="CG45" s="889"/>
      <c r="CH45" s="889"/>
      <c r="CI45" s="889"/>
      <c r="CJ45" s="889"/>
      <c r="CK45" s="889"/>
      <c r="CL45" s="889"/>
      <c r="CM45" s="889"/>
      <c r="CN45" s="889"/>
      <c r="CO45" s="889"/>
      <c r="CP45" s="889"/>
      <c r="CQ45" s="889"/>
      <c r="CR45" s="889"/>
      <c r="CS45" s="889"/>
      <c r="CT45" s="889"/>
      <c r="CU45" s="889"/>
      <c r="CV45" s="889"/>
      <c r="CW45" s="889"/>
      <c r="CX45" s="889"/>
      <c r="CY45" s="889"/>
      <c r="CZ45" s="889"/>
      <c r="DA45" s="889"/>
      <c r="DB45" s="889"/>
      <c r="DC45" s="889"/>
      <c r="DD45" s="889"/>
      <c r="DE45" s="889"/>
      <c r="DF45" s="889"/>
      <c r="DG45" s="889"/>
      <c r="DH45" s="889"/>
      <c r="DI45" s="889"/>
      <c r="DJ45" s="889"/>
      <c r="DK45" s="889"/>
      <c r="DL45" s="889"/>
      <c r="DM45" s="889"/>
      <c r="DN45" s="889"/>
      <c r="DO45" s="889"/>
      <c r="DP45" s="889"/>
      <c r="DQ45" s="889"/>
      <c r="DR45" s="889"/>
      <c r="DS45" s="889"/>
      <c r="DT45" s="889"/>
      <c r="DU45" s="889"/>
      <c r="DV45" s="889"/>
      <c r="DW45" s="889"/>
      <c r="DX45" s="889"/>
      <c r="DY45" s="889"/>
      <c r="DZ45" s="889"/>
      <c r="EA45" s="889"/>
      <c r="EB45" s="889"/>
      <c r="EC45" s="889"/>
      <c r="ED45" s="889"/>
      <c r="EE45" s="889"/>
      <c r="EF45" s="889"/>
      <c r="EG45" s="889"/>
      <c r="EH45" s="889"/>
      <c r="EI45" s="889"/>
      <c r="EJ45" s="889"/>
      <c r="EK45" s="889"/>
      <c r="EL45" s="889"/>
      <c r="EM45" s="889"/>
      <c r="EN45" s="889"/>
      <c r="EO45" s="889"/>
      <c r="EP45" s="889"/>
      <c r="EQ45" s="889"/>
      <c r="ER45" s="889"/>
      <c r="ES45" s="889"/>
      <c r="ET45" s="889"/>
      <c r="EU45" s="889"/>
      <c r="EV45" s="889"/>
      <c r="EW45" s="889"/>
      <c r="EX45" s="889"/>
      <c r="EY45" s="889"/>
      <c r="EZ45" s="889"/>
      <c r="FA45" s="889"/>
      <c r="FB45" s="889"/>
      <c r="FC45" s="889"/>
      <c r="FD45" s="889"/>
      <c r="FE45" s="889"/>
      <c r="FF45" s="889"/>
      <c r="FG45" s="889"/>
      <c r="FH45" s="889"/>
      <c r="FI45" s="889"/>
      <c r="FJ45" s="889"/>
      <c r="FK45" s="889"/>
      <c r="FL45" s="889"/>
      <c r="FM45" s="889"/>
      <c r="FN45" s="889"/>
      <c r="FO45" s="889"/>
      <c r="FP45" s="889"/>
      <c r="FQ45" s="889"/>
      <c r="FR45" s="889"/>
      <c r="FS45" s="889"/>
      <c r="FT45" s="889"/>
      <c r="FU45" s="889"/>
      <c r="FV45" s="889"/>
      <c r="FW45" s="889"/>
      <c r="FX45" s="889"/>
      <c r="FY45" s="889"/>
      <c r="FZ45" s="889"/>
      <c r="GA45" s="889"/>
      <c r="GB45" s="889"/>
      <c r="GC45" s="889"/>
      <c r="GD45" s="889"/>
      <c r="GE45" s="889"/>
      <c r="GF45" s="889"/>
      <c r="GG45" s="889"/>
      <c r="GH45" s="889"/>
      <c r="GI45" s="889"/>
      <c r="GJ45" s="889"/>
      <c r="GK45" s="889"/>
      <c r="GL45" s="889"/>
      <c r="GM45" s="889"/>
      <c r="GN45" s="889"/>
      <c r="GO45" s="889"/>
      <c r="GP45" s="889"/>
      <c r="GQ45" s="889"/>
      <c r="GR45" s="889"/>
      <c r="GS45" s="889"/>
      <c r="GT45" s="889"/>
      <c r="GU45" s="889"/>
      <c r="GV45" s="889"/>
      <c r="GW45" s="889"/>
      <c r="GX45" s="889"/>
      <c r="GY45" s="889"/>
      <c r="GZ45" s="889"/>
      <c r="HA45" s="889"/>
      <c r="HB45" s="889"/>
      <c r="HC45" s="889"/>
      <c r="HD45" s="889"/>
      <c r="HE45" s="889"/>
      <c r="HF45" s="889"/>
      <c r="HG45" s="889"/>
      <c r="HH45" s="889"/>
      <c r="HI45" s="889"/>
      <c r="HJ45" s="889"/>
      <c r="HK45" s="889"/>
      <c r="HL45" s="889"/>
      <c r="HM45" s="889"/>
      <c r="HN45" s="889"/>
      <c r="HO45" s="889"/>
      <c r="HP45" s="889"/>
      <c r="HQ45" s="889"/>
      <c r="HR45" s="889"/>
      <c r="HS45" s="889"/>
      <c r="HT45" s="889"/>
      <c r="HU45" s="889"/>
      <c r="HV45" s="889"/>
      <c r="HW45" s="889"/>
      <c r="HX45" s="889"/>
      <c r="HY45" s="889"/>
      <c r="HZ45" s="889"/>
      <c r="IA45" s="889"/>
      <c r="IB45" s="889"/>
      <c r="IC45" s="889"/>
      <c r="ID45" s="889"/>
      <c r="IE45" s="889"/>
      <c r="IF45" s="889"/>
      <c r="IG45" s="889"/>
      <c r="IH45" s="889"/>
      <c r="II45" s="889"/>
      <c r="IJ45" s="889"/>
      <c r="IK45" s="889"/>
      <c r="IL45" s="889"/>
      <c r="IM45" s="889"/>
      <c r="IN45" s="889"/>
      <c r="IO45" s="889"/>
      <c r="IP45" s="889"/>
      <c r="IQ45" s="889"/>
      <c r="IR45" s="889"/>
      <c r="IS45" s="889"/>
      <c r="IT45" s="889"/>
      <c r="IU45" s="889"/>
      <c r="IV45" s="889"/>
    </row>
    <row r="46" spans="1:256" s="897" customFormat="1" ht="12" customHeight="1">
      <c r="A46" s="890" t="s">
        <v>819</v>
      </c>
      <c r="B46" s="909">
        <v>73.599999999999994</v>
      </c>
      <c r="C46" s="909">
        <v>81</v>
      </c>
      <c r="D46" s="910">
        <v>103.2</v>
      </c>
      <c r="E46" s="910">
        <v>172.4</v>
      </c>
      <c r="F46" s="935">
        <v>86.4</v>
      </c>
      <c r="G46" s="935">
        <v>83.1</v>
      </c>
      <c r="H46" s="935">
        <v>123.7</v>
      </c>
      <c r="I46" s="935">
        <v>95.6</v>
      </c>
      <c r="J46" s="935">
        <v>144.6</v>
      </c>
      <c r="K46" s="935">
        <v>162.19999999999999</v>
      </c>
      <c r="L46" s="942">
        <v>128.69999999999999</v>
      </c>
      <c r="M46" s="936">
        <v>22.8</v>
      </c>
      <c r="N46" s="935">
        <v>130</v>
      </c>
      <c r="O46" s="896"/>
      <c r="P46" s="896"/>
      <c r="Q46" s="896"/>
      <c r="R46" s="896"/>
      <c r="S46" s="896"/>
      <c r="T46" s="896"/>
      <c r="U46" s="896"/>
      <c r="V46" s="896"/>
      <c r="W46" s="896"/>
      <c r="X46" s="896"/>
      <c r="Y46" s="896"/>
      <c r="Z46" s="896"/>
      <c r="AA46" s="896"/>
      <c r="AB46" s="896"/>
      <c r="AC46" s="896"/>
      <c r="AD46" s="896"/>
      <c r="AE46" s="896"/>
      <c r="AF46" s="896"/>
      <c r="AG46" s="896"/>
      <c r="AH46" s="896"/>
      <c r="AI46" s="896"/>
      <c r="AJ46" s="896"/>
      <c r="AK46" s="896"/>
      <c r="AL46" s="896"/>
      <c r="AM46" s="896"/>
      <c r="AN46" s="896"/>
      <c r="AO46" s="896"/>
      <c r="AP46" s="896"/>
      <c r="AQ46" s="896"/>
      <c r="AR46" s="896"/>
      <c r="AS46" s="896"/>
      <c r="AT46" s="896"/>
      <c r="AU46" s="896"/>
      <c r="AV46" s="896"/>
      <c r="AW46" s="896"/>
      <c r="AX46" s="896"/>
      <c r="AY46" s="896"/>
      <c r="AZ46" s="896"/>
      <c r="BA46" s="896"/>
      <c r="BB46" s="896"/>
      <c r="BC46" s="896"/>
      <c r="BD46" s="896"/>
      <c r="BE46" s="896"/>
      <c r="BF46" s="896"/>
      <c r="BG46" s="896"/>
      <c r="BH46" s="896"/>
      <c r="BI46" s="896"/>
      <c r="BJ46" s="896"/>
      <c r="BK46" s="896"/>
      <c r="BL46" s="896"/>
      <c r="BM46" s="896"/>
      <c r="BN46" s="896"/>
      <c r="BO46" s="896"/>
      <c r="BP46" s="896"/>
      <c r="BQ46" s="896"/>
      <c r="BR46" s="896"/>
      <c r="BS46" s="896"/>
      <c r="BT46" s="896"/>
      <c r="BU46" s="896"/>
      <c r="BV46" s="896"/>
      <c r="BW46" s="896"/>
      <c r="BX46" s="896"/>
      <c r="BY46" s="896"/>
      <c r="BZ46" s="896"/>
      <c r="CA46" s="896"/>
      <c r="CB46" s="896"/>
      <c r="CC46" s="896"/>
      <c r="CD46" s="896"/>
      <c r="CE46" s="896"/>
      <c r="CF46" s="896"/>
      <c r="CG46" s="896"/>
      <c r="CH46" s="896"/>
      <c r="CI46" s="896"/>
      <c r="CJ46" s="896"/>
      <c r="CK46" s="896"/>
      <c r="CL46" s="896"/>
      <c r="CM46" s="896"/>
      <c r="CN46" s="896"/>
      <c r="CO46" s="896"/>
      <c r="CP46" s="896"/>
      <c r="CQ46" s="896"/>
      <c r="CR46" s="896"/>
      <c r="CS46" s="896"/>
      <c r="CT46" s="896"/>
      <c r="CU46" s="896"/>
      <c r="CV46" s="896"/>
      <c r="CW46" s="896"/>
      <c r="CX46" s="896"/>
      <c r="CY46" s="896"/>
      <c r="CZ46" s="896"/>
      <c r="DA46" s="896"/>
      <c r="DB46" s="896"/>
      <c r="DC46" s="896"/>
      <c r="DD46" s="896"/>
      <c r="DE46" s="896"/>
      <c r="DF46" s="896"/>
      <c r="DG46" s="896"/>
      <c r="DH46" s="896"/>
      <c r="DI46" s="896"/>
      <c r="DJ46" s="896"/>
      <c r="DK46" s="896"/>
      <c r="DL46" s="896"/>
      <c r="DM46" s="896"/>
      <c r="DN46" s="896"/>
      <c r="DO46" s="896"/>
      <c r="DP46" s="896"/>
      <c r="DQ46" s="896"/>
      <c r="DR46" s="896"/>
      <c r="DS46" s="896"/>
      <c r="DT46" s="896"/>
      <c r="DU46" s="896"/>
      <c r="DV46" s="896"/>
      <c r="DW46" s="896"/>
      <c r="DX46" s="896"/>
      <c r="DY46" s="896"/>
      <c r="DZ46" s="896"/>
      <c r="EA46" s="896"/>
      <c r="EB46" s="896"/>
      <c r="EC46" s="896"/>
      <c r="ED46" s="896"/>
      <c r="EE46" s="896"/>
      <c r="EF46" s="896"/>
      <c r="EG46" s="896"/>
      <c r="EH46" s="896"/>
      <c r="EI46" s="896"/>
      <c r="EJ46" s="896"/>
      <c r="EK46" s="896"/>
      <c r="EL46" s="896"/>
      <c r="EM46" s="896"/>
      <c r="EN46" s="896"/>
      <c r="EO46" s="896"/>
      <c r="EP46" s="896"/>
      <c r="EQ46" s="896"/>
      <c r="ER46" s="896"/>
      <c r="ES46" s="896"/>
      <c r="ET46" s="896"/>
      <c r="EU46" s="896"/>
      <c r="EV46" s="896"/>
      <c r="EW46" s="896"/>
      <c r="EX46" s="896"/>
      <c r="EY46" s="896"/>
      <c r="EZ46" s="896"/>
      <c r="FA46" s="896"/>
      <c r="FB46" s="896"/>
      <c r="FC46" s="896"/>
      <c r="FD46" s="896"/>
      <c r="FE46" s="896"/>
      <c r="FF46" s="896"/>
      <c r="FG46" s="896"/>
      <c r="FH46" s="896"/>
      <c r="FI46" s="896"/>
      <c r="FJ46" s="896"/>
      <c r="FK46" s="896"/>
      <c r="FL46" s="896"/>
      <c r="FM46" s="896"/>
      <c r="FN46" s="896"/>
      <c r="FO46" s="896"/>
      <c r="FP46" s="896"/>
      <c r="FQ46" s="896"/>
      <c r="FR46" s="896"/>
      <c r="FS46" s="896"/>
      <c r="FT46" s="896"/>
      <c r="FU46" s="896"/>
      <c r="FV46" s="896"/>
      <c r="FW46" s="896"/>
      <c r="FX46" s="896"/>
      <c r="FY46" s="896"/>
      <c r="FZ46" s="896"/>
      <c r="GA46" s="896"/>
      <c r="GB46" s="896"/>
      <c r="GC46" s="896"/>
      <c r="GD46" s="896"/>
      <c r="GE46" s="896"/>
      <c r="GF46" s="896"/>
      <c r="GG46" s="896"/>
      <c r="GH46" s="896"/>
      <c r="GI46" s="896"/>
      <c r="GJ46" s="896"/>
      <c r="GK46" s="896"/>
      <c r="GL46" s="896"/>
      <c r="GM46" s="896"/>
      <c r="GN46" s="896"/>
      <c r="GO46" s="896"/>
      <c r="GP46" s="896"/>
      <c r="GQ46" s="896"/>
      <c r="GR46" s="896"/>
      <c r="GS46" s="896"/>
      <c r="GT46" s="896"/>
      <c r="GU46" s="896"/>
      <c r="GV46" s="896"/>
      <c r="GW46" s="896"/>
      <c r="GX46" s="896"/>
      <c r="GY46" s="896"/>
      <c r="GZ46" s="896"/>
      <c r="HA46" s="896"/>
      <c r="HB46" s="896"/>
      <c r="HC46" s="896"/>
      <c r="HD46" s="896"/>
      <c r="HE46" s="896"/>
      <c r="HF46" s="896"/>
      <c r="HG46" s="896"/>
      <c r="HH46" s="896"/>
      <c r="HI46" s="896"/>
      <c r="HJ46" s="896"/>
      <c r="HK46" s="896"/>
      <c r="HL46" s="896"/>
      <c r="HM46" s="896"/>
      <c r="HN46" s="896"/>
      <c r="HO46" s="896"/>
      <c r="HP46" s="896"/>
      <c r="HQ46" s="896"/>
      <c r="HR46" s="896"/>
      <c r="HS46" s="896"/>
      <c r="HT46" s="896"/>
      <c r="HU46" s="896"/>
      <c r="HV46" s="896"/>
      <c r="HW46" s="896"/>
      <c r="HX46" s="896"/>
      <c r="HY46" s="896"/>
      <c r="HZ46" s="896"/>
      <c r="IA46" s="896"/>
      <c r="IB46" s="896"/>
      <c r="IC46" s="896"/>
      <c r="ID46" s="896"/>
      <c r="IE46" s="896"/>
      <c r="IF46" s="896"/>
      <c r="IG46" s="896"/>
      <c r="IH46" s="896"/>
      <c r="II46" s="896"/>
      <c r="IJ46" s="896"/>
      <c r="IK46" s="896"/>
      <c r="IL46" s="896"/>
      <c r="IM46" s="896"/>
      <c r="IN46" s="896"/>
      <c r="IO46" s="896"/>
      <c r="IP46" s="896"/>
      <c r="IQ46" s="896"/>
      <c r="IR46" s="896"/>
      <c r="IS46" s="896"/>
      <c r="IT46" s="896"/>
      <c r="IU46" s="896"/>
      <c r="IV46" s="896"/>
    </row>
    <row r="47" spans="1:256" s="897" customFormat="1" ht="12" customHeight="1" thickBot="1">
      <c r="A47" s="917" t="s">
        <v>820</v>
      </c>
      <c r="B47" s="918">
        <v>856</v>
      </c>
      <c r="C47" s="918">
        <v>943</v>
      </c>
      <c r="D47" s="919">
        <v>1200</v>
      </c>
      <c r="E47" s="919">
        <v>2005</v>
      </c>
      <c r="F47" s="939">
        <v>1005</v>
      </c>
      <c r="G47" s="939">
        <v>966.2</v>
      </c>
      <c r="H47" s="939">
        <v>1438.3</v>
      </c>
      <c r="I47" s="939">
        <v>1112.4000000000001</v>
      </c>
      <c r="J47" s="939">
        <v>1681.5</v>
      </c>
      <c r="K47" s="939">
        <v>1886</v>
      </c>
      <c r="L47" s="940">
        <v>1496.9</v>
      </c>
      <c r="M47" s="940">
        <v>265.5</v>
      </c>
      <c r="N47" s="939">
        <v>1512.2</v>
      </c>
      <c r="O47" s="896"/>
      <c r="P47" s="896"/>
      <c r="Q47" s="896"/>
      <c r="R47" s="896"/>
      <c r="S47" s="896"/>
      <c r="T47" s="896"/>
      <c r="U47" s="896"/>
      <c r="V47" s="896"/>
      <c r="W47" s="896"/>
      <c r="X47" s="896"/>
      <c r="Y47" s="896"/>
      <c r="Z47" s="896"/>
      <c r="AA47" s="896"/>
      <c r="AB47" s="896"/>
      <c r="AC47" s="896"/>
      <c r="AD47" s="896"/>
      <c r="AE47" s="896"/>
      <c r="AF47" s="896"/>
      <c r="AG47" s="896"/>
      <c r="AH47" s="896"/>
      <c r="AI47" s="896"/>
      <c r="AJ47" s="896"/>
      <c r="AK47" s="896"/>
      <c r="AL47" s="896"/>
      <c r="AM47" s="896"/>
      <c r="AN47" s="896"/>
      <c r="AO47" s="896"/>
      <c r="AP47" s="896"/>
      <c r="AQ47" s="896"/>
      <c r="AR47" s="896"/>
      <c r="AS47" s="896"/>
      <c r="AT47" s="896"/>
      <c r="AU47" s="896"/>
      <c r="AV47" s="896"/>
      <c r="AW47" s="896"/>
      <c r="AX47" s="896"/>
      <c r="AY47" s="896"/>
      <c r="AZ47" s="896"/>
      <c r="BA47" s="896"/>
      <c r="BB47" s="896"/>
      <c r="BC47" s="896"/>
      <c r="BD47" s="896"/>
      <c r="BE47" s="896"/>
      <c r="BF47" s="896"/>
      <c r="BG47" s="896"/>
      <c r="BH47" s="896"/>
      <c r="BI47" s="896"/>
      <c r="BJ47" s="896"/>
      <c r="BK47" s="896"/>
      <c r="BL47" s="896"/>
      <c r="BM47" s="896"/>
      <c r="BN47" s="896"/>
      <c r="BO47" s="896"/>
      <c r="BP47" s="896"/>
      <c r="BQ47" s="896"/>
      <c r="BR47" s="896"/>
      <c r="BS47" s="896"/>
      <c r="BT47" s="896"/>
      <c r="BU47" s="896"/>
      <c r="BV47" s="896"/>
      <c r="BW47" s="896"/>
      <c r="BX47" s="896"/>
      <c r="BY47" s="896"/>
      <c r="BZ47" s="896"/>
      <c r="CA47" s="896"/>
      <c r="CB47" s="896"/>
      <c r="CC47" s="896"/>
      <c r="CD47" s="896"/>
      <c r="CE47" s="896"/>
      <c r="CF47" s="896"/>
      <c r="CG47" s="896"/>
      <c r="CH47" s="896"/>
      <c r="CI47" s="896"/>
      <c r="CJ47" s="896"/>
      <c r="CK47" s="896"/>
      <c r="CL47" s="896"/>
      <c r="CM47" s="896"/>
      <c r="CN47" s="896"/>
      <c r="CO47" s="896"/>
      <c r="CP47" s="896"/>
      <c r="CQ47" s="896"/>
      <c r="CR47" s="896"/>
      <c r="CS47" s="896"/>
      <c r="CT47" s="896"/>
      <c r="CU47" s="896"/>
      <c r="CV47" s="896"/>
      <c r="CW47" s="896"/>
      <c r="CX47" s="896"/>
      <c r="CY47" s="896"/>
      <c r="CZ47" s="896"/>
      <c r="DA47" s="896"/>
      <c r="DB47" s="896"/>
      <c r="DC47" s="896"/>
      <c r="DD47" s="896"/>
      <c r="DE47" s="896"/>
      <c r="DF47" s="896"/>
      <c r="DG47" s="896"/>
      <c r="DH47" s="896"/>
      <c r="DI47" s="896"/>
      <c r="DJ47" s="896"/>
      <c r="DK47" s="896"/>
      <c r="DL47" s="896"/>
      <c r="DM47" s="896"/>
      <c r="DN47" s="896"/>
      <c r="DO47" s="896"/>
      <c r="DP47" s="896"/>
      <c r="DQ47" s="896"/>
      <c r="DR47" s="896"/>
      <c r="DS47" s="896"/>
      <c r="DT47" s="896"/>
      <c r="DU47" s="896"/>
      <c r="DV47" s="896"/>
      <c r="DW47" s="896"/>
      <c r="DX47" s="896"/>
      <c r="DY47" s="896"/>
      <c r="DZ47" s="896"/>
      <c r="EA47" s="896"/>
      <c r="EB47" s="896"/>
      <c r="EC47" s="896"/>
      <c r="ED47" s="896"/>
      <c r="EE47" s="896"/>
      <c r="EF47" s="896"/>
      <c r="EG47" s="896"/>
      <c r="EH47" s="896"/>
      <c r="EI47" s="896"/>
      <c r="EJ47" s="896"/>
      <c r="EK47" s="896"/>
      <c r="EL47" s="896"/>
      <c r="EM47" s="896"/>
      <c r="EN47" s="896"/>
      <c r="EO47" s="896"/>
      <c r="EP47" s="896"/>
      <c r="EQ47" s="896"/>
      <c r="ER47" s="896"/>
      <c r="ES47" s="896"/>
      <c r="ET47" s="896"/>
      <c r="EU47" s="896"/>
      <c r="EV47" s="896"/>
      <c r="EW47" s="896"/>
      <c r="EX47" s="896"/>
      <c r="EY47" s="896"/>
      <c r="EZ47" s="896"/>
      <c r="FA47" s="896"/>
      <c r="FB47" s="896"/>
      <c r="FC47" s="896"/>
      <c r="FD47" s="896"/>
      <c r="FE47" s="896"/>
      <c r="FF47" s="896"/>
      <c r="FG47" s="896"/>
      <c r="FH47" s="896"/>
      <c r="FI47" s="896"/>
      <c r="FJ47" s="896"/>
      <c r="FK47" s="896"/>
      <c r="FL47" s="896"/>
      <c r="FM47" s="896"/>
      <c r="FN47" s="896"/>
      <c r="FO47" s="896"/>
      <c r="FP47" s="896"/>
      <c r="FQ47" s="896"/>
      <c r="FR47" s="896"/>
      <c r="FS47" s="896"/>
      <c r="FT47" s="896"/>
      <c r="FU47" s="896"/>
      <c r="FV47" s="896"/>
      <c r="FW47" s="896"/>
      <c r="FX47" s="896"/>
      <c r="FY47" s="896"/>
      <c r="FZ47" s="896"/>
      <c r="GA47" s="896"/>
      <c r="GB47" s="896"/>
      <c r="GC47" s="896"/>
      <c r="GD47" s="896"/>
      <c r="GE47" s="896"/>
      <c r="GF47" s="896"/>
      <c r="GG47" s="896"/>
      <c r="GH47" s="896"/>
      <c r="GI47" s="896"/>
      <c r="GJ47" s="896"/>
      <c r="GK47" s="896"/>
      <c r="GL47" s="896"/>
      <c r="GM47" s="896"/>
      <c r="GN47" s="896"/>
      <c r="GO47" s="896"/>
      <c r="GP47" s="896"/>
      <c r="GQ47" s="896"/>
      <c r="GR47" s="896"/>
      <c r="GS47" s="896"/>
      <c r="GT47" s="896"/>
      <c r="GU47" s="896"/>
      <c r="GV47" s="896"/>
      <c r="GW47" s="896"/>
      <c r="GX47" s="896"/>
      <c r="GY47" s="896"/>
      <c r="GZ47" s="896"/>
      <c r="HA47" s="896"/>
      <c r="HB47" s="896"/>
      <c r="HC47" s="896"/>
      <c r="HD47" s="896"/>
      <c r="HE47" s="896"/>
      <c r="HF47" s="896"/>
      <c r="HG47" s="896"/>
      <c r="HH47" s="896"/>
      <c r="HI47" s="896"/>
      <c r="HJ47" s="896"/>
      <c r="HK47" s="896"/>
      <c r="HL47" s="896"/>
      <c r="HM47" s="896"/>
      <c r="HN47" s="896"/>
      <c r="HO47" s="896"/>
      <c r="HP47" s="896"/>
      <c r="HQ47" s="896"/>
      <c r="HR47" s="896"/>
      <c r="HS47" s="896"/>
      <c r="HT47" s="896"/>
      <c r="HU47" s="896"/>
      <c r="HV47" s="896"/>
      <c r="HW47" s="896"/>
      <c r="HX47" s="896"/>
      <c r="HY47" s="896"/>
      <c r="HZ47" s="896"/>
      <c r="IA47" s="896"/>
      <c r="IB47" s="896"/>
      <c r="IC47" s="896"/>
      <c r="ID47" s="896"/>
      <c r="IE47" s="896"/>
      <c r="IF47" s="896"/>
      <c r="IG47" s="896"/>
      <c r="IH47" s="896"/>
      <c r="II47" s="896"/>
      <c r="IJ47" s="896"/>
      <c r="IK47" s="896"/>
      <c r="IL47" s="896"/>
      <c r="IM47" s="896"/>
      <c r="IN47" s="896"/>
      <c r="IO47" s="896"/>
      <c r="IP47" s="896"/>
      <c r="IQ47" s="896"/>
      <c r="IR47" s="896"/>
      <c r="IS47" s="896"/>
      <c r="IT47" s="896"/>
      <c r="IU47" s="896"/>
      <c r="IV47" s="896"/>
    </row>
    <row r="48" spans="1:256" ht="12" customHeight="1" thickTop="1">
      <c r="A48" s="875"/>
      <c r="B48" s="943"/>
      <c r="C48" s="944"/>
      <c r="D48" s="944"/>
      <c r="E48" s="944"/>
      <c r="F48" s="944"/>
      <c r="G48" s="945"/>
      <c r="H48" s="946"/>
      <c r="I48" s="947"/>
      <c r="J48" s="947"/>
      <c r="K48" s="948"/>
      <c r="L48" s="948"/>
      <c r="M48" s="948"/>
      <c r="N48" s="948"/>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89"/>
      <c r="AN48" s="889"/>
      <c r="AO48" s="889"/>
      <c r="AP48" s="889"/>
      <c r="AQ48" s="889"/>
      <c r="AR48" s="889"/>
      <c r="AS48" s="889"/>
      <c r="AT48" s="889"/>
      <c r="AU48" s="889"/>
      <c r="AV48" s="889"/>
      <c r="AW48" s="889"/>
      <c r="AX48" s="889"/>
      <c r="AY48" s="889"/>
      <c r="AZ48" s="889"/>
      <c r="BA48" s="889"/>
      <c r="BB48" s="889"/>
      <c r="BC48" s="889"/>
      <c r="BD48" s="889"/>
      <c r="BE48" s="889"/>
      <c r="BF48" s="889"/>
      <c r="BG48" s="889"/>
      <c r="BH48" s="889"/>
      <c r="BI48" s="889"/>
      <c r="BJ48" s="889"/>
      <c r="BK48" s="889"/>
      <c r="BL48" s="889"/>
      <c r="BM48" s="889"/>
      <c r="BN48" s="889"/>
      <c r="BO48" s="889"/>
      <c r="BP48" s="889"/>
      <c r="BQ48" s="889"/>
      <c r="BR48" s="889"/>
      <c r="BS48" s="889"/>
      <c r="BT48" s="889"/>
      <c r="BU48" s="889"/>
      <c r="BV48" s="889"/>
      <c r="BW48" s="889"/>
      <c r="BX48" s="889"/>
      <c r="BY48" s="889"/>
      <c r="BZ48" s="889"/>
      <c r="CA48" s="889"/>
      <c r="CB48" s="889"/>
      <c r="CC48" s="889"/>
      <c r="CD48" s="889"/>
      <c r="CE48" s="889"/>
      <c r="CF48" s="889"/>
      <c r="CG48" s="889"/>
      <c r="CH48" s="889"/>
      <c r="CI48" s="889"/>
      <c r="CJ48" s="889"/>
      <c r="CK48" s="889"/>
      <c r="CL48" s="889"/>
      <c r="CM48" s="889"/>
      <c r="CN48" s="889"/>
      <c r="CO48" s="889"/>
      <c r="CP48" s="889"/>
      <c r="CQ48" s="889"/>
      <c r="CR48" s="889"/>
      <c r="CS48" s="889"/>
      <c r="CT48" s="889"/>
      <c r="CU48" s="889"/>
      <c r="CV48" s="889"/>
      <c r="CW48" s="889"/>
      <c r="CX48" s="889"/>
      <c r="CY48" s="889"/>
      <c r="CZ48" s="889"/>
      <c r="DA48" s="889"/>
      <c r="DB48" s="889"/>
      <c r="DC48" s="889"/>
      <c r="DD48" s="889"/>
      <c r="DE48" s="889"/>
      <c r="DF48" s="889"/>
      <c r="DG48" s="889"/>
      <c r="DH48" s="889"/>
      <c r="DI48" s="889"/>
      <c r="DJ48" s="889"/>
      <c r="DK48" s="889"/>
      <c r="DL48" s="889"/>
      <c r="DM48" s="889"/>
      <c r="DN48" s="889"/>
      <c r="DO48" s="889"/>
      <c r="DP48" s="889"/>
      <c r="DQ48" s="889"/>
      <c r="DR48" s="889"/>
      <c r="DS48" s="889"/>
      <c r="DT48" s="889"/>
      <c r="DU48" s="889"/>
      <c r="DV48" s="889"/>
      <c r="DW48" s="889"/>
      <c r="DX48" s="889"/>
      <c r="DY48" s="889"/>
      <c r="DZ48" s="889"/>
      <c r="EA48" s="889"/>
      <c r="EB48" s="889"/>
      <c r="EC48" s="889"/>
      <c r="ED48" s="889"/>
      <c r="EE48" s="889"/>
      <c r="EF48" s="889"/>
      <c r="EG48" s="889"/>
      <c r="EH48" s="889"/>
      <c r="EI48" s="889"/>
      <c r="EJ48" s="889"/>
      <c r="EK48" s="889"/>
      <c r="EL48" s="889"/>
      <c r="EM48" s="889"/>
      <c r="EN48" s="889"/>
      <c r="EO48" s="889"/>
      <c r="EP48" s="889"/>
      <c r="EQ48" s="889"/>
      <c r="ER48" s="889"/>
      <c r="ES48" s="889"/>
      <c r="ET48" s="889"/>
      <c r="EU48" s="889"/>
      <c r="EV48" s="889"/>
      <c r="EW48" s="889"/>
      <c r="EX48" s="889"/>
      <c r="EY48" s="889"/>
      <c r="EZ48" s="889"/>
      <c r="FA48" s="889"/>
      <c r="FB48" s="889"/>
      <c r="FC48" s="889"/>
      <c r="FD48" s="889"/>
      <c r="FE48" s="889"/>
      <c r="FF48" s="889"/>
      <c r="FG48" s="889"/>
      <c r="FH48" s="889"/>
      <c r="FI48" s="889"/>
      <c r="FJ48" s="889"/>
      <c r="FK48" s="889"/>
      <c r="FL48" s="889"/>
      <c r="FM48" s="889"/>
      <c r="FN48" s="889"/>
      <c r="FO48" s="889"/>
      <c r="FP48" s="889"/>
      <c r="FQ48" s="889"/>
      <c r="FR48" s="889"/>
      <c r="FS48" s="889"/>
      <c r="FT48" s="889"/>
      <c r="FU48" s="889"/>
      <c r="FV48" s="889"/>
      <c r="FW48" s="889"/>
      <c r="FX48" s="889"/>
      <c r="FY48" s="889"/>
      <c r="FZ48" s="889"/>
      <c r="GA48" s="889"/>
      <c r="GB48" s="889"/>
      <c r="GC48" s="889"/>
      <c r="GD48" s="889"/>
      <c r="GE48" s="889"/>
      <c r="GF48" s="889"/>
      <c r="GG48" s="889"/>
      <c r="GH48" s="889"/>
      <c r="GI48" s="889"/>
      <c r="GJ48" s="889"/>
      <c r="GK48" s="889"/>
      <c r="GL48" s="889"/>
      <c r="GM48" s="889"/>
      <c r="GN48" s="889"/>
      <c r="GO48" s="889"/>
      <c r="GP48" s="889"/>
      <c r="GQ48" s="889"/>
      <c r="GR48" s="889"/>
      <c r="GS48" s="889"/>
      <c r="GT48" s="889"/>
      <c r="GU48" s="889"/>
      <c r="GV48" s="889"/>
      <c r="GW48" s="889"/>
      <c r="GX48" s="889"/>
      <c r="GY48" s="889"/>
      <c r="GZ48" s="889"/>
      <c r="HA48" s="889"/>
      <c r="HB48" s="889"/>
      <c r="HC48" s="889"/>
      <c r="HD48" s="889"/>
      <c r="HE48" s="889"/>
      <c r="HF48" s="889"/>
      <c r="HG48" s="889"/>
      <c r="HH48" s="889"/>
      <c r="HI48" s="889"/>
      <c r="HJ48" s="889"/>
      <c r="HK48" s="889"/>
      <c r="HL48" s="889"/>
      <c r="HM48" s="889"/>
      <c r="HN48" s="889"/>
      <c r="HO48" s="889"/>
      <c r="HP48" s="889"/>
      <c r="HQ48" s="889"/>
      <c r="HR48" s="889"/>
      <c r="HS48" s="889"/>
      <c r="HT48" s="889"/>
      <c r="HU48" s="889"/>
      <c r="HV48" s="889"/>
      <c r="HW48" s="889"/>
      <c r="HX48" s="889"/>
      <c r="HY48" s="889"/>
      <c r="HZ48" s="889"/>
      <c r="IA48" s="889"/>
      <c r="IB48" s="889"/>
      <c r="IC48" s="889"/>
      <c r="ID48" s="889"/>
      <c r="IE48" s="889"/>
      <c r="IF48" s="889"/>
      <c r="IG48" s="889"/>
      <c r="IH48" s="889"/>
      <c r="II48" s="889"/>
      <c r="IJ48" s="889"/>
      <c r="IK48" s="889"/>
      <c r="IL48" s="889"/>
      <c r="IM48" s="889"/>
      <c r="IN48" s="889"/>
      <c r="IO48" s="889"/>
      <c r="IP48" s="889"/>
      <c r="IQ48" s="889"/>
      <c r="IR48" s="889"/>
      <c r="IS48" s="889"/>
      <c r="IT48" s="889"/>
      <c r="IU48" s="889"/>
      <c r="IV48" s="889"/>
    </row>
    <row r="49" spans="1:256" s="952" customFormat="1" ht="10.5" customHeight="1">
      <c r="A49" s="949" t="s">
        <v>821</v>
      </c>
      <c r="B49" s="950"/>
      <c r="C49" s="950"/>
      <c r="D49" s="950"/>
      <c r="E49" s="950"/>
      <c r="F49" s="950"/>
      <c r="G49" s="945"/>
      <c r="H49" s="945"/>
      <c r="I49" s="945"/>
      <c r="J49" s="945"/>
      <c r="K49" s="948"/>
      <c r="L49" s="948"/>
      <c r="M49" s="948"/>
      <c r="N49" s="948"/>
      <c r="O49" s="951"/>
      <c r="P49" s="951"/>
      <c r="Q49" s="951"/>
      <c r="R49" s="951"/>
      <c r="S49" s="951"/>
      <c r="T49" s="951"/>
      <c r="U49" s="951"/>
      <c r="V49" s="951"/>
      <c r="W49" s="951"/>
      <c r="X49" s="951"/>
      <c r="Y49" s="951"/>
      <c r="Z49" s="951"/>
      <c r="AA49" s="951"/>
      <c r="AB49" s="951"/>
      <c r="AC49" s="951"/>
      <c r="AD49" s="951"/>
      <c r="AE49" s="951"/>
      <c r="AF49" s="951"/>
      <c r="AG49" s="951"/>
      <c r="AH49" s="951"/>
      <c r="AI49" s="951"/>
      <c r="AJ49" s="951"/>
      <c r="AK49" s="951"/>
      <c r="AL49" s="951"/>
      <c r="AM49" s="951"/>
      <c r="AN49" s="951"/>
      <c r="AO49" s="951"/>
      <c r="AP49" s="951"/>
      <c r="AQ49" s="951"/>
      <c r="AR49" s="951"/>
      <c r="AS49" s="951"/>
      <c r="AT49" s="951"/>
      <c r="AU49" s="951"/>
      <c r="AV49" s="951"/>
      <c r="AW49" s="951"/>
      <c r="AX49" s="951"/>
      <c r="AY49" s="951"/>
      <c r="AZ49" s="951"/>
      <c r="BA49" s="951"/>
      <c r="BB49" s="951"/>
      <c r="BC49" s="951"/>
      <c r="BD49" s="951"/>
      <c r="BE49" s="951"/>
      <c r="BF49" s="951"/>
      <c r="BG49" s="951"/>
      <c r="BH49" s="951"/>
      <c r="BI49" s="951"/>
      <c r="BJ49" s="951"/>
      <c r="BK49" s="951"/>
      <c r="BL49" s="951"/>
      <c r="BM49" s="951"/>
      <c r="BN49" s="951"/>
      <c r="BO49" s="951"/>
      <c r="BP49" s="951"/>
      <c r="BQ49" s="951"/>
      <c r="BR49" s="951"/>
      <c r="BS49" s="951"/>
      <c r="BT49" s="951"/>
      <c r="BU49" s="951"/>
      <c r="BV49" s="951"/>
      <c r="BW49" s="951"/>
      <c r="BX49" s="951"/>
      <c r="BY49" s="951"/>
      <c r="BZ49" s="951"/>
      <c r="CA49" s="951"/>
      <c r="CB49" s="951"/>
      <c r="CC49" s="951"/>
      <c r="CD49" s="951"/>
      <c r="CE49" s="951"/>
      <c r="CF49" s="951"/>
      <c r="CG49" s="951"/>
      <c r="CH49" s="951"/>
      <c r="CI49" s="951"/>
      <c r="CJ49" s="951"/>
      <c r="CK49" s="951"/>
      <c r="CL49" s="951"/>
      <c r="CM49" s="951"/>
      <c r="CN49" s="951"/>
      <c r="CO49" s="951"/>
      <c r="CP49" s="951"/>
      <c r="CQ49" s="951"/>
      <c r="CR49" s="951"/>
      <c r="CS49" s="951"/>
      <c r="CT49" s="951"/>
      <c r="CU49" s="951"/>
      <c r="CV49" s="951"/>
      <c r="CW49" s="951"/>
      <c r="CX49" s="951"/>
      <c r="CY49" s="951"/>
      <c r="CZ49" s="951"/>
      <c r="DA49" s="951"/>
      <c r="DB49" s="951"/>
      <c r="DC49" s="951"/>
      <c r="DD49" s="951"/>
      <c r="DE49" s="951"/>
      <c r="DF49" s="951"/>
      <c r="DG49" s="951"/>
      <c r="DH49" s="951"/>
      <c r="DI49" s="951"/>
      <c r="DJ49" s="951"/>
      <c r="DK49" s="951"/>
      <c r="DL49" s="951"/>
      <c r="DM49" s="951"/>
      <c r="DN49" s="951"/>
      <c r="DO49" s="951"/>
      <c r="DP49" s="951"/>
      <c r="DQ49" s="951"/>
      <c r="DR49" s="951"/>
      <c r="DS49" s="951"/>
      <c r="DT49" s="951"/>
      <c r="DU49" s="951"/>
      <c r="DV49" s="951"/>
      <c r="DW49" s="951"/>
      <c r="DX49" s="951"/>
      <c r="DY49" s="951"/>
      <c r="DZ49" s="951"/>
      <c r="EA49" s="951"/>
      <c r="EB49" s="951"/>
      <c r="EC49" s="951"/>
      <c r="ED49" s="951"/>
      <c r="EE49" s="951"/>
      <c r="EF49" s="951"/>
      <c r="EG49" s="951"/>
      <c r="EH49" s="951"/>
      <c r="EI49" s="951"/>
      <c r="EJ49" s="951"/>
      <c r="EK49" s="951"/>
      <c r="EL49" s="951"/>
      <c r="EM49" s="951"/>
      <c r="EN49" s="951"/>
      <c r="EO49" s="951"/>
      <c r="EP49" s="951"/>
      <c r="EQ49" s="951"/>
      <c r="ER49" s="951"/>
      <c r="ES49" s="951"/>
      <c r="ET49" s="951"/>
      <c r="EU49" s="951"/>
      <c r="EV49" s="951"/>
      <c r="EW49" s="951"/>
      <c r="EX49" s="951"/>
      <c r="EY49" s="951"/>
      <c r="EZ49" s="951"/>
      <c r="FA49" s="951"/>
      <c r="FB49" s="951"/>
      <c r="FC49" s="951"/>
      <c r="FD49" s="951"/>
      <c r="FE49" s="951"/>
      <c r="FF49" s="951"/>
      <c r="FG49" s="951"/>
      <c r="FH49" s="951"/>
      <c r="FI49" s="951"/>
      <c r="FJ49" s="951"/>
      <c r="FK49" s="951"/>
      <c r="FL49" s="951"/>
      <c r="FM49" s="951"/>
      <c r="FN49" s="951"/>
      <c r="FO49" s="951"/>
      <c r="FP49" s="951"/>
      <c r="FQ49" s="951"/>
      <c r="FR49" s="951"/>
      <c r="FS49" s="951"/>
      <c r="FT49" s="951"/>
      <c r="FU49" s="951"/>
      <c r="FV49" s="951"/>
      <c r="FW49" s="951"/>
      <c r="FX49" s="951"/>
      <c r="FY49" s="951"/>
      <c r="FZ49" s="951"/>
      <c r="GA49" s="951"/>
      <c r="GB49" s="951"/>
      <c r="GC49" s="951"/>
      <c r="GD49" s="951"/>
      <c r="GE49" s="951"/>
      <c r="GF49" s="951"/>
      <c r="GG49" s="951"/>
      <c r="GH49" s="951"/>
      <c r="GI49" s="951"/>
      <c r="GJ49" s="951"/>
      <c r="GK49" s="951"/>
      <c r="GL49" s="951"/>
      <c r="GM49" s="951"/>
      <c r="GN49" s="951"/>
      <c r="GO49" s="951"/>
      <c r="GP49" s="951"/>
      <c r="GQ49" s="951"/>
      <c r="GR49" s="951"/>
      <c r="GS49" s="951"/>
      <c r="GT49" s="951"/>
      <c r="GU49" s="951"/>
      <c r="GV49" s="951"/>
      <c r="GW49" s="951"/>
      <c r="GX49" s="951"/>
      <c r="GY49" s="951"/>
      <c r="GZ49" s="951"/>
      <c r="HA49" s="951"/>
      <c r="HB49" s="951"/>
      <c r="HC49" s="951"/>
      <c r="HD49" s="951"/>
      <c r="HE49" s="951"/>
      <c r="HF49" s="951"/>
      <c r="HG49" s="951"/>
      <c r="HH49" s="951"/>
      <c r="HI49" s="951"/>
      <c r="HJ49" s="951"/>
      <c r="HK49" s="951"/>
      <c r="HL49" s="951"/>
      <c r="HM49" s="951"/>
      <c r="HN49" s="951"/>
      <c r="HO49" s="951"/>
      <c r="HP49" s="951"/>
      <c r="HQ49" s="951"/>
      <c r="HR49" s="951"/>
      <c r="HS49" s="951"/>
      <c r="HT49" s="951"/>
      <c r="HU49" s="951"/>
      <c r="HV49" s="951"/>
      <c r="HW49" s="951"/>
      <c r="HX49" s="951"/>
      <c r="HY49" s="951"/>
      <c r="HZ49" s="951"/>
      <c r="IA49" s="951"/>
      <c r="IB49" s="951"/>
      <c r="IC49" s="951"/>
      <c r="ID49" s="951"/>
      <c r="IE49" s="951"/>
      <c r="IF49" s="951"/>
      <c r="IG49" s="951"/>
      <c r="IH49" s="951"/>
      <c r="II49" s="951"/>
      <c r="IJ49" s="951"/>
      <c r="IK49" s="951"/>
      <c r="IL49" s="951"/>
      <c r="IM49" s="951"/>
      <c r="IN49" s="951"/>
      <c r="IO49" s="951"/>
      <c r="IP49" s="951"/>
      <c r="IQ49" s="951"/>
      <c r="IR49" s="951"/>
      <c r="IS49" s="951"/>
      <c r="IT49" s="951"/>
      <c r="IU49" s="951"/>
      <c r="IV49" s="951"/>
    </row>
    <row r="50" spans="1:256" s="952" customFormat="1" ht="10.5" customHeight="1">
      <c r="A50" s="949" t="s">
        <v>822</v>
      </c>
      <c r="B50" s="950"/>
      <c r="C50" s="950"/>
      <c r="D50" s="950"/>
      <c r="E50" s="950"/>
      <c r="F50" s="950"/>
      <c r="G50" s="945"/>
      <c r="H50" s="945"/>
      <c r="I50" s="945"/>
      <c r="J50" s="945"/>
      <c r="K50" s="948"/>
      <c r="L50" s="948"/>
      <c r="M50" s="948"/>
      <c r="N50" s="948"/>
      <c r="O50" s="951"/>
      <c r="P50" s="951"/>
      <c r="Q50" s="951"/>
      <c r="R50" s="951"/>
      <c r="S50" s="951"/>
      <c r="T50" s="951"/>
      <c r="U50" s="951"/>
      <c r="V50" s="951"/>
      <c r="W50" s="951"/>
      <c r="X50" s="951"/>
      <c r="Y50" s="951"/>
      <c r="Z50" s="951"/>
      <c r="AA50" s="951"/>
      <c r="AB50" s="951"/>
      <c r="AC50" s="951"/>
      <c r="AD50" s="951"/>
      <c r="AE50" s="951"/>
      <c r="AF50" s="951"/>
      <c r="AG50" s="951"/>
      <c r="AH50" s="951"/>
      <c r="AI50" s="951"/>
      <c r="AJ50" s="951"/>
      <c r="AK50" s="951"/>
      <c r="AL50" s="951"/>
      <c r="AM50" s="951"/>
      <c r="AN50" s="951"/>
      <c r="AO50" s="951"/>
      <c r="AP50" s="951"/>
      <c r="AQ50" s="951"/>
      <c r="AR50" s="951"/>
      <c r="AS50" s="951"/>
      <c r="AT50" s="951"/>
      <c r="AU50" s="951"/>
      <c r="AV50" s="951"/>
      <c r="AW50" s="951"/>
      <c r="AX50" s="951"/>
      <c r="AY50" s="951"/>
      <c r="AZ50" s="951"/>
      <c r="BA50" s="951"/>
      <c r="BB50" s="951"/>
      <c r="BC50" s="951"/>
      <c r="BD50" s="951"/>
      <c r="BE50" s="951"/>
      <c r="BF50" s="951"/>
      <c r="BG50" s="951"/>
      <c r="BH50" s="951"/>
      <c r="BI50" s="951"/>
      <c r="BJ50" s="951"/>
      <c r="BK50" s="951"/>
      <c r="BL50" s="951"/>
      <c r="BM50" s="951"/>
      <c r="BN50" s="951"/>
      <c r="BO50" s="951"/>
      <c r="BP50" s="951"/>
      <c r="BQ50" s="951"/>
      <c r="BR50" s="951"/>
      <c r="BS50" s="951"/>
      <c r="BT50" s="951"/>
      <c r="BU50" s="951"/>
      <c r="BV50" s="951"/>
      <c r="BW50" s="951"/>
      <c r="BX50" s="951"/>
      <c r="BY50" s="951"/>
      <c r="BZ50" s="951"/>
      <c r="CA50" s="951"/>
      <c r="CB50" s="951"/>
      <c r="CC50" s="951"/>
      <c r="CD50" s="951"/>
      <c r="CE50" s="951"/>
      <c r="CF50" s="951"/>
      <c r="CG50" s="951"/>
      <c r="CH50" s="951"/>
      <c r="CI50" s="951"/>
      <c r="CJ50" s="951"/>
      <c r="CK50" s="951"/>
      <c r="CL50" s="951"/>
      <c r="CM50" s="951"/>
      <c r="CN50" s="951"/>
      <c r="CO50" s="951"/>
      <c r="CP50" s="951"/>
      <c r="CQ50" s="951"/>
      <c r="CR50" s="951"/>
      <c r="CS50" s="951"/>
      <c r="CT50" s="951"/>
      <c r="CU50" s="951"/>
      <c r="CV50" s="951"/>
      <c r="CW50" s="951"/>
      <c r="CX50" s="951"/>
      <c r="CY50" s="951"/>
      <c r="CZ50" s="951"/>
      <c r="DA50" s="951"/>
      <c r="DB50" s="951"/>
      <c r="DC50" s="951"/>
      <c r="DD50" s="951"/>
      <c r="DE50" s="951"/>
      <c r="DF50" s="951"/>
      <c r="DG50" s="951"/>
      <c r="DH50" s="951"/>
      <c r="DI50" s="951"/>
      <c r="DJ50" s="951"/>
      <c r="DK50" s="951"/>
      <c r="DL50" s="951"/>
      <c r="DM50" s="951"/>
      <c r="DN50" s="951"/>
      <c r="DO50" s="951"/>
      <c r="DP50" s="951"/>
      <c r="DQ50" s="951"/>
      <c r="DR50" s="951"/>
      <c r="DS50" s="951"/>
      <c r="DT50" s="951"/>
      <c r="DU50" s="951"/>
      <c r="DV50" s="951"/>
      <c r="DW50" s="951"/>
      <c r="DX50" s="951"/>
      <c r="DY50" s="951"/>
      <c r="DZ50" s="951"/>
      <c r="EA50" s="951"/>
      <c r="EB50" s="951"/>
      <c r="EC50" s="951"/>
      <c r="ED50" s="951"/>
      <c r="EE50" s="951"/>
      <c r="EF50" s="951"/>
      <c r="EG50" s="951"/>
      <c r="EH50" s="951"/>
      <c r="EI50" s="951"/>
      <c r="EJ50" s="951"/>
      <c r="EK50" s="951"/>
      <c r="EL50" s="951"/>
      <c r="EM50" s="951"/>
      <c r="EN50" s="951"/>
      <c r="EO50" s="951"/>
      <c r="EP50" s="951"/>
      <c r="EQ50" s="951"/>
      <c r="ER50" s="951"/>
      <c r="ES50" s="951"/>
      <c r="ET50" s="951"/>
      <c r="EU50" s="951"/>
      <c r="EV50" s="951"/>
      <c r="EW50" s="951"/>
      <c r="EX50" s="951"/>
      <c r="EY50" s="951"/>
      <c r="EZ50" s="951"/>
      <c r="FA50" s="951"/>
      <c r="FB50" s="951"/>
      <c r="FC50" s="951"/>
      <c r="FD50" s="951"/>
      <c r="FE50" s="951"/>
      <c r="FF50" s="951"/>
      <c r="FG50" s="951"/>
      <c r="FH50" s="951"/>
      <c r="FI50" s="951"/>
      <c r="FJ50" s="951"/>
      <c r="FK50" s="951"/>
      <c r="FL50" s="951"/>
      <c r="FM50" s="951"/>
      <c r="FN50" s="951"/>
      <c r="FO50" s="951"/>
      <c r="FP50" s="951"/>
      <c r="FQ50" s="951"/>
      <c r="FR50" s="951"/>
      <c r="FS50" s="951"/>
      <c r="FT50" s="951"/>
      <c r="FU50" s="951"/>
      <c r="FV50" s="951"/>
      <c r="FW50" s="951"/>
      <c r="FX50" s="951"/>
      <c r="FY50" s="951"/>
      <c r="FZ50" s="951"/>
      <c r="GA50" s="951"/>
      <c r="GB50" s="951"/>
      <c r="GC50" s="951"/>
      <c r="GD50" s="951"/>
      <c r="GE50" s="951"/>
      <c r="GF50" s="951"/>
      <c r="GG50" s="951"/>
      <c r="GH50" s="951"/>
      <c r="GI50" s="951"/>
      <c r="GJ50" s="951"/>
      <c r="GK50" s="951"/>
      <c r="GL50" s="951"/>
      <c r="GM50" s="951"/>
      <c r="GN50" s="951"/>
      <c r="GO50" s="951"/>
      <c r="GP50" s="951"/>
      <c r="GQ50" s="951"/>
      <c r="GR50" s="951"/>
      <c r="GS50" s="951"/>
      <c r="GT50" s="951"/>
      <c r="GU50" s="951"/>
      <c r="GV50" s="951"/>
      <c r="GW50" s="951"/>
      <c r="GX50" s="951"/>
      <c r="GY50" s="951"/>
      <c r="GZ50" s="951"/>
      <c r="HA50" s="951"/>
      <c r="HB50" s="951"/>
      <c r="HC50" s="951"/>
      <c r="HD50" s="951"/>
      <c r="HE50" s="951"/>
      <c r="HF50" s="951"/>
      <c r="HG50" s="951"/>
      <c r="HH50" s="951"/>
      <c r="HI50" s="951"/>
      <c r="HJ50" s="951"/>
      <c r="HK50" s="951"/>
      <c r="HL50" s="951"/>
      <c r="HM50" s="951"/>
      <c r="HN50" s="951"/>
      <c r="HO50" s="951"/>
      <c r="HP50" s="951"/>
      <c r="HQ50" s="951"/>
      <c r="HR50" s="951"/>
      <c r="HS50" s="951"/>
      <c r="HT50" s="951"/>
      <c r="HU50" s="951"/>
      <c r="HV50" s="951"/>
      <c r="HW50" s="951"/>
      <c r="HX50" s="951"/>
      <c r="HY50" s="951"/>
      <c r="HZ50" s="951"/>
      <c r="IA50" s="951"/>
      <c r="IB50" s="951"/>
      <c r="IC50" s="951"/>
      <c r="ID50" s="951"/>
      <c r="IE50" s="951"/>
      <c r="IF50" s="951"/>
      <c r="IG50" s="951"/>
      <c r="IH50" s="951"/>
      <c r="II50" s="951"/>
      <c r="IJ50" s="951"/>
      <c r="IK50" s="951"/>
      <c r="IL50" s="951"/>
      <c r="IM50" s="951"/>
      <c r="IN50" s="951"/>
      <c r="IO50" s="951"/>
      <c r="IP50" s="951"/>
      <c r="IQ50" s="951"/>
      <c r="IR50" s="951"/>
      <c r="IS50" s="951"/>
      <c r="IT50" s="951"/>
      <c r="IU50" s="951"/>
      <c r="IV50" s="951"/>
    </row>
    <row r="51" spans="1:256" s="952" customFormat="1" ht="10.5" customHeight="1">
      <c r="A51" s="949" t="s">
        <v>823</v>
      </c>
      <c r="B51" s="875"/>
      <c r="C51" s="950"/>
      <c r="D51" s="950"/>
      <c r="E51" s="950"/>
      <c r="F51" s="950"/>
      <c r="G51" s="945"/>
      <c r="H51" s="945"/>
      <c r="I51" s="945"/>
      <c r="J51" s="945"/>
      <c r="K51" s="948"/>
      <c r="L51" s="948"/>
      <c r="M51" s="948"/>
      <c r="N51" s="948"/>
      <c r="O51" s="951"/>
      <c r="P51" s="951"/>
      <c r="Q51" s="951"/>
      <c r="R51" s="951"/>
      <c r="S51" s="951"/>
      <c r="T51" s="951"/>
      <c r="U51" s="951"/>
      <c r="V51" s="951"/>
      <c r="W51" s="951"/>
      <c r="X51" s="951"/>
      <c r="Y51" s="951"/>
      <c r="Z51" s="951"/>
      <c r="AA51" s="951"/>
      <c r="AB51" s="951"/>
      <c r="AC51" s="951"/>
      <c r="AD51" s="951"/>
      <c r="AE51" s="951"/>
      <c r="AF51" s="951"/>
      <c r="AG51" s="951"/>
      <c r="AH51" s="951"/>
      <c r="AI51" s="951"/>
      <c r="AJ51" s="951"/>
      <c r="AK51" s="951"/>
      <c r="AL51" s="951"/>
      <c r="AM51" s="951"/>
      <c r="AN51" s="951"/>
      <c r="AO51" s="951"/>
      <c r="AP51" s="951"/>
      <c r="AQ51" s="951"/>
      <c r="AR51" s="951"/>
      <c r="AS51" s="951"/>
      <c r="AT51" s="951"/>
      <c r="AU51" s="951"/>
      <c r="AV51" s="951"/>
      <c r="AW51" s="951"/>
      <c r="AX51" s="951"/>
      <c r="AY51" s="951"/>
      <c r="AZ51" s="951"/>
      <c r="BA51" s="951"/>
      <c r="BB51" s="951"/>
      <c r="BC51" s="951"/>
      <c r="BD51" s="951"/>
      <c r="BE51" s="951"/>
      <c r="BF51" s="951"/>
      <c r="BG51" s="951"/>
      <c r="BH51" s="951"/>
      <c r="BI51" s="951"/>
      <c r="BJ51" s="951"/>
      <c r="BK51" s="951"/>
      <c r="BL51" s="951"/>
      <c r="BM51" s="951"/>
      <c r="BN51" s="951"/>
      <c r="BO51" s="951"/>
      <c r="BP51" s="951"/>
      <c r="BQ51" s="951"/>
      <c r="BR51" s="951"/>
      <c r="BS51" s="951"/>
      <c r="BT51" s="951"/>
      <c r="BU51" s="951"/>
      <c r="BV51" s="951"/>
      <c r="BW51" s="951"/>
      <c r="BX51" s="951"/>
      <c r="BY51" s="951"/>
      <c r="BZ51" s="951"/>
      <c r="CA51" s="951"/>
      <c r="CB51" s="951"/>
      <c r="CC51" s="951"/>
      <c r="CD51" s="951"/>
      <c r="CE51" s="951"/>
      <c r="CF51" s="951"/>
      <c r="CG51" s="951"/>
      <c r="CH51" s="951"/>
      <c r="CI51" s="951"/>
      <c r="CJ51" s="951"/>
      <c r="CK51" s="951"/>
      <c r="CL51" s="951"/>
      <c r="CM51" s="951"/>
      <c r="CN51" s="951"/>
      <c r="CO51" s="951"/>
      <c r="CP51" s="951"/>
      <c r="CQ51" s="951"/>
      <c r="CR51" s="951"/>
      <c r="CS51" s="951"/>
      <c r="CT51" s="951"/>
      <c r="CU51" s="951"/>
      <c r="CV51" s="951"/>
      <c r="CW51" s="951"/>
      <c r="CX51" s="951"/>
      <c r="CY51" s="951"/>
      <c r="CZ51" s="951"/>
      <c r="DA51" s="951"/>
      <c r="DB51" s="951"/>
      <c r="DC51" s="951"/>
      <c r="DD51" s="951"/>
      <c r="DE51" s="951"/>
      <c r="DF51" s="951"/>
      <c r="DG51" s="951"/>
      <c r="DH51" s="951"/>
      <c r="DI51" s="951"/>
      <c r="DJ51" s="951"/>
      <c r="DK51" s="951"/>
      <c r="DL51" s="951"/>
      <c r="DM51" s="951"/>
      <c r="DN51" s="951"/>
      <c r="DO51" s="951"/>
      <c r="DP51" s="951"/>
      <c r="DQ51" s="951"/>
      <c r="DR51" s="951"/>
      <c r="DS51" s="951"/>
      <c r="DT51" s="951"/>
      <c r="DU51" s="951"/>
      <c r="DV51" s="951"/>
      <c r="DW51" s="951"/>
      <c r="DX51" s="951"/>
      <c r="DY51" s="951"/>
      <c r="DZ51" s="951"/>
      <c r="EA51" s="951"/>
      <c r="EB51" s="951"/>
      <c r="EC51" s="951"/>
      <c r="ED51" s="951"/>
      <c r="EE51" s="951"/>
      <c r="EF51" s="951"/>
      <c r="EG51" s="951"/>
      <c r="EH51" s="951"/>
      <c r="EI51" s="951"/>
      <c r="EJ51" s="951"/>
      <c r="EK51" s="951"/>
      <c r="EL51" s="951"/>
      <c r="EM51" s="951"/>
      <c r="EN51" s="951"/>
      <c r="EO51" s="951"/>
      <c r="EP51" s="951"/>
      <c r="EQ51" s="951"/>
      <c r="ER51" s="951"/>
      <c r="ES51" s="951"/>
      <c r="ET51" s="951"/>
      <c r="EU51" s="951"/>
      <c r="EV51" s="951"/>
      <c r="EW51" s="951"/>
      <c r="EX51" s="951"/>
      <c r="EY51" s="951"/>
      <c r="EZ51" s="951"/>
      <c r="FA51" s="951"/>
      <c r="FB51" s="951"/>
      <c r="FC51" s="951"/>
      <c r="FD51" s="951"/>
      <c r="FE51" s="951"/>
      <c r="FF51" s="951"/>
      <c r="FG51" s="951"/>
      <c r="FH51" s="951"/>
      <c r="FI51" s="951"/>
      <c r="FJ51" s="951"/>
      <c r="FK51" s="951"/>
      <c r="FL51" s="951"/>
      <c r="FM51" s="951"/>
      <c r="FN51" s="951"/>
      <c r="FO51" s="951"/>
      <c r="FP51" s="951"/>
      <c r="FQ51" s="951"/>
      <c r="FR51" s="951"/>
      <c r="FS51" s="951"/>
      <c r="FT51" s="951"/>
      <c r="FU51" s="951"/>
      <c r="FV51" s="951"/>
      <c r="FW51" s="951"/>
      <c r="FX51" s="951"/>
      <c r="FY51" s="951"/>
      <c r="FZ51" s="951"/>
      <c r="GA51" s="951"/>
      <c r="GB51" s="951"/>
      <c r="GC51" s="951"/>
      <c r="GD51" s="951"/>
      <c r="GE51" s="951"/>
      <c r="GF51" s="951"/>
      <c r="GG51" s="951"/>
      <c r="GH51" s="951"/>
      <c r="GI51" s="951"/>
      <c r="GJ51" s="951"/>
      <c r="GK51" s="951"/>
      <c r="GL51" s="951"/>
      <c r="GM51" s="951"/>
      <c r="GN51" s="951"/>
      <c r="GO51" s="951"/>
      <c r="GP51" s="951"/>
      <c r="GQ51" s="951"/>
      <c r="GR51" s="951"/>
      <c r="GS51" s="951"/>
      <c r="GT51" s="951"/>
      <c r="GU51" s="951"/>
      <c r="GV51" s="951"/>
      <c r="GW51" s="951"/>
      <c r="GX51" s="951"/>
      <c r="GY51" s="951"/>
      <c r="GZ51" s="951"/>
      <c r="HA51" s="951"/>
      <c r="HB51" s="951"/>
      <c r="HC51" s="951"/>
      <c r="HD51" s="951"/>
      <c r="HE51" s="951"/>
      <c r="HF51" s="951"/>
      <c r="HG51" s="951"/>
      <c r="HH51" s="951"/>
      <c r="HI51" s="951"/>
      <c r="HJ51" s="951"/>
      <c r="HK51" s="951"/>
      <c r="HL51" s="951"/>
      <c r="HM51" s="951"/>
      <c r="HN51" s="951"/>
      <c r="HO51" s="951"/>
      <c r="HP51" s="951"/>
      <c r="HQ51" s="951"/>
      <c r="HR51" s="951"/>
      <c r="HS51" s="951"/>
      <c r="HT51" s="951"/>
      <c r="HU51" s="951"/>
      <c r="HV51" s="951"/>
      <c r="HW51" s="951"/>
      <c r="HX51" s="951"/>
      <c r="HY51" s="951"/>
      <c r="HZ51" s="951"/>
      <c r="IA51" s="951"/>
      <c r="IB51" s="951"/>
      <c r="IC51" s="951"/>
      <c r="ID51" s="951"/>
      <c r="IE51" s="951"/>
      <c r="IF51" s="951"/>
      <c r="IG51" s="951"/>
      <c r="IH51" s="951"/>
      <c r="II51" s="951"/>
      <c r="IJ51" s="951"/>
      <c r="IK51" s="951"/>
      <c r="IL51" s="951"/>
      <c r="IM51" s="951"/>
      <c r="IN51" s="951"/>
      <c r="IO51" s="951"/>
      <c r="IP51" s="951"/>
      <c r="IQ51" s="951"/>
      <c r="IR51" s="951"/>
      <c r="IS51" s="951"/>
      <c r="IT51" s="951"/>
      <c r="IU51" s="951"/>
      <c r="IV51" s="951"/>
    </row>
    <row r="52" spans="1:256" ht="10.5" customHeight="1">
      <c r="A52" s="949"/>
      <c r="B52" s="875"/>
      <c r="C52" s="950"/>
      <c r="D52" s="950"/>
      <c r="E52" s="950"/>
      <c r="F52" s="950"/>
      <c r="G52" s="945"/>
      <c r="H52" s="946"/>
      <c r="I52" s="947"/>
      <c r="J52" s="947"/>
      <c r="K52" s="948"/>
      <c r="L52" s="948"/>
      <c r="M52" s="948"/>
      <c r="N52" s="948"/>
      <c r="O52" s="889"/>
      <c r="P52" s="889"/>
      <c r="Q52" s="889"/>
      <c r="R52" s="889"/>
      <c r="S52" s="889"/>
      <c r="T52" s="889"/>
      <c r="U52" s="889"/>
      <c r="V52" s="889"/>
      <c r="W52" s="889"/>
      <c r="X52" s="889"/>
      <c r="Y52" s="889"/>
      <c r="Z52" s="889"/>
      <c r="AA52" s="889"/>
      <c r="AB52" s="889"/>
      <c r="AC52" s="889"/>
      <c r="AD52" s="889"/>
      <c r="AE52" s="889"/>
      <c r="AF52" s="889"/>
      <c r="AG52" s="889"/>
      <c r="AH52" s="889"/>
      <c r="AI52" s="889"/>
      <c r="AJ52" s="889"/>
      <c r="AK52" s="889"/>
      <c r="AL52" s="889"/>
      <c r="AM52" s="889"/>
      <c r="AN52" s="889"/>
      <c r="AO52" s="889"/>
      <c r="AP52" s="889"/>
      <c r="AQ52" s="889"/>
      <c r="AR52" s="889"/>
      <c r="AS52" s="889"/>
      <c r="AT52" s="889"/>
      <c r="AU52" s="889"/>
      <c r="AV52" s="889"/>
      <c r="AW52" s="889"/>
      <c r="AX52" s="889"/>
      <c r="AY52" s="889"/>
      <c r="AZ52" s="889"/>
      <c r="BA52" s="889"/>
      <c r="BB52" s="889"/>
      <c r="BC52" s="889"/>
      <c r="BD52" s="889"/>
      <c r="BE52" s="889"/>
      <c r="BF52" s="889"/>
      <c r="BG52" s="889"/>
      <c r="BH52" s="889"/>
      <c r="BI52" s="889"/>
      <c r="BJ52" s="889"/>
      <c r="BK52" s="889"/>
      <c r="BL52" s="889"/>
      <c r="BM52" s="889"/>
      <c r="BN52" s="889"/>
      <c r="BO52" s="889"/>
      <c r="BP52" s="889"/>
      <c r="BQ52" s="889"/>
      <c r="BR52" s="889"/>
      <c r="BS52" s="889"/>
      <c r="BT52" s="889"/>
      <c r="BU52" s="889"/>
      <c r="BV52" s="889"/>
      <c r="BW52" s="889"/>
      <c r="BX52" s="889"/>
      <c r="BY52" s="889"/>
      <c r="BZ52" s="889"/>
      <c r="CA52" s="889"/>
      <c r="CB52" s="889"/>
      <c r="CC52" s="889"/>
      <c r="CD52" s="889"/>
      <c r="CE52" s="889"/>
      <c r="CF52" s="889"/>
      <c r="CG52" s="889"/>
      <c r="CH52" s="889"/>
      <c r="CI52" s="889"/>
      <c r="CJ52" s="889"/>
      <c r="CK52" s="889"/>
      <c r="CL52" s="889"/>
      <c r="CM52" s="889"/>
      <c r="CN52" s="889"/>
      <c r="CO52" s="889"/>
      <c r="CP52" s="889"/>
      <c r="CQ52" s="889"/>
      <c r="CR52" s="889"/>
      <c r="CS52" s="889"/>
      <c r="CT52" s="889"/>
      <c r="CU52" s="889"/>
      <c r="CV52" s="889"/>
      <c r="CW52" s="889"/>
      <c r="CX52" s="889"/>
      <c r="CY52" s="889"/>
      <c r="CZ52" s="889"/>
      <c r="DA52" s="889"/>
      <c r="DB52" s="889"/>
      <c r="DC52" s="889"/>
      <c r="DD52" s="889"/>
      <c r="DE52" s="889"/>
      <c r="DF52" s="889"/>
      <c r="DG52" s="889"/>
      <c r="DH52" s="889"/>
      <c r="DI52" s="889"/>
      <c r="DJ52" s="889"/>
      <c r="DK52" s="889"/>
      <c r="DL52" s="889"/>
      <c r="DM52" s="889"/>
      <c r="DN52" s="889"/>
      <c r="DO52" s="889"/>
      <c r="DP52" s="889"/>
      <c r="DQ52" s="889"/>
      <c r="DR52" s="889"/>
      <c r="DS52" s="889"/>
      <c r="DT52" s="889"/>
      <c r="DU52" s="889"/>
      <c r="DV52" s="889"/>
      <c r="DW52" s="889"/>
      <c r="DX52" s="889"/>
      <c r="DY52" s="889"/>
      <c r="DZ52" s="889"/>
      <c r="EA52" s="889"/>
      <c r="EB52" s="889"/>
      <c r="EC52" s="889"/>
      <c r="ED52" s="889"/>
      <c r="EE52" s="889"/>
      <c r="EF52" s="889"/>
      <c r="EG52" s="889"/>
      <c r="EH52" s="889"/>
      <c r="EI52" s="889"/>
      <c r="EJ52" s="889"/>
      <c r="EK52" s="889"/>
      <c r="EL52" s="889"/>
      <c r="EM52" s="889"/>
      <c r="EN52" s="889"/>
      <c r="EO52" s="889"/>
      <c r="EP52" s="889"/>
      <c r="EQ52" s="889"/>
      <c r="ER52" s="889"/>
      <c r="ES52" s="889"/>
      <c r="ET52" s="889"/>
      <c r="EU52" s="889"/>
      <c r="EV52" s="889"/>
      <c r="EW52" s="889"/>
      <c r="EX52" s="889"/>
      <c r="EY52" s="889"/>
      <c r="EZ52" s="889"/>
      <c r="FA52" s="889"/>
      <c r="FB52" s="889"/>
      <c r="FC52" s="889"/>
      <c r="FD52" s="889"/>
      <c r="FE52" s="889"/>
      <c r="FF52" s="889"/>
      <c r="FG52" s="889"/>
      <c r="FH52" s="889"/>
      <c r="FI52" s="889"/>
      <c r="FJ52" s="889"/>
      <c r="FK52" s="889"/>
      <c r="FL52" s="889"/>
      <c r="FM52" s="889"/>
      <c r="FN52" s="889"/>
      <c r="FO52" s="889"/>
      <c r="FP52" s="889"/>
      <c r="FQ52" s="889"/>
      <c r="FR52" s="889"/>
      <c r="FS52" s="889"/>
      <c r="FT52" s="889"/>
      <c r="FU52" s="889"/>
      <c r="FV52" s="889"/>
      <c r="FW52" s="889"/>
      <c r="FX52" s="889"/>
      <c r="FY52" s="889"/>
      <c r="FZ52" s="889"/>
      <c r="GA52" s="889"/>
      <c r="GB52" s="889"/>
      <c r="GC52" s="889"/>
      <c r="GD52" s="889"/>
      <c r="GE52" s="889"/>
      <c r="GF52" s="889"/>
      <c r="GG52" s="889"/>
      <c r="GH52" s="889"/>
      <c r="GI52" s="889"/>
      <c r="GJ52" s="889"/>
      <c r="GK52" s="889"/>
      <c r="GL52" s="889"/>
      <c r="GM52" s="889"/>
      <c r="GN52" s="889"/>
      <c r="GO52" s="889"/>
      <c r="GP52" s="889"/>
      <c r="GQ52" s="889"/>
      <c r="GR52" s="889"/>
      <c r="GS52" s="889"/>
      <c r="GT52" s="889"/>
      <c r="GU52" s="889"/>
      <c r="GV52" s="889"/>
      <c r="GW52" s="889"/>
      <c r="GX52" s="889"/>
      <c r="GY52" s="889"/>
      <c r="GZ52" s="889"/>
      <c r="HA52" s="889"/>
      <c r="HB52" s="889"/>
      <c r="HC52" s="889"/>
      <c r="HD52" s="889"/>
      <c r="HE52" s="889"/>
      <c r="HF52" s="889"/>
      <c r="HG52" s="889"/>
      <c r="HH52" s="889"/>
      <c r="HI52" s="889"/>
      <c r="HJ52" s="889"/>
      <c r="HK52" s="889"/>
      <c r="HL52" s="889"/>
      <c r="HM52" s="889"/>
      <c r="HN52" s="889"/>
      <c r="HO52" s="889"/>
      <c r="HP52" s="889"/>
      <c r="HQ52" s="889"/>
      <c r="HR52" s="889"/>
      <c r="HS52" s="889"/>
      <c r="HT52" s="889"/>
      <c r="HU52" s="889"/>
      <c r="HV52" s="889"/>
      <c r="HW52" s="889"/>
      <c r="HX52" s="889"/>
      <c r="HY52" s="889"/>
      <c r="HZ52" s="889"/>
      <c r="IA52" s="889"/>
      <c r="IB52" s="889"/>
      <c r="IC52" s="889"/>
      <c r="ID52" s="889"/>
      <c r="IE52" s="889"/>
      <c r="IF52" s="889"/>
      <c r="IG52" s="889"/>
      <c r="IH52" s="889"/>
      <c r="II52" s="889"/>
      <c r="IJ52" s="889"/>
      <c r="IK52" s="889"/>
      <c r="IL52" s="889"/>
      <c r="IM52" s="889"/>
      <c r="IN52" s="889"/>
      <c r="IO52" s="889"/>
      <c r="IP52" s="889"/>
      <c r="IQ52" s="889"/>
      <c r="IR52" s="889"/>
      <c r="IS52" s="889"/>
      <c r="IT52" s="889"/>
      <c r="IU52" s="889"/>
      <c r="IV52" s="889"/>
    </row>
    <row r="53" spans="1:256" ht="10.5" customHeight="1">
      <c r="A53" s="949"/>
      <c r="B53" s="875"/>
      <c r="C53" s="950"/>
      <c r="D53" s="950"/>
      <c r="E53" s="950"/>
      <c r="F53" s="950"/>
      <c r="G53" s="945"/>
      <c r="H53" s="946"/>
      <c r="I53" s="947"/>
      <c r="J53" s="947"/>
      <c r="K53" s="948"/>
      <c r="L53" s="948"/>
      <c r="M53" s="948"/>
      <c r="N53" s="948"/>
      <c r="O53" s="889"/>
      <c r="P53" s="889"/>
      <c r="Q53" s="889"/>
      <c r="R53" s="889"/>
      <c r="S53" s="889"/>
      <c r="T53" s="889"/>
      <c r="U53" s="889"/>
      <c r="V53" s="889"/>
      <c r="W53" s="889"/>
      <c r="X53" s="889"/>
      <c r="Y53" s="889"/>
      <c r="Z53" s="889"/>
      <c r="AA53" s="889"/>
      <c r="AB53" s="889"/>
      <c r="AC53" s="889"/>
      <c r="AD53" s="889"/>
      <c r="AE53" s="889"/>
      <c r="AF53" s="889"/>
      <c r="AG53" s="889"/>
      <c r="AH53" s="889"/>
      <c r="AI53" s="889"/>
      <c r="AJ53" s="889"/>
      <c r="AK53" s="889"/>
      <c r="AL53" s="889"/>
      <c r="AM53" s="889"/>
      <c r="AN53" s="889"/>
      <c r="AO53" s="889"/>
      <c r="AP53" s="889"/>
      <c r="AQ53" s="889"/>
      <c r="AR53" s="889"/>
      <c r="AS53" s="889"/>
      <c r="AT53" s="889"/>
      <c r="AU53" s="889"/>
      <c r="AV53" s="889"/>
      <c r="AW53" s="889"/>
      <c r="AX53" s="889"/>
      <c r="AY53" s="889"/>
      <c r="AZ53" s="889"/>
      <c r="BA53" s="889"/>
      <c r="BB53" s="889"/>
      <c r="BC53" s="889"/>
      <c r="BD53" s="889"/>
      <c r="BE53" s="889"/>
      <c r="BF53" s="889"/>
      <c r="BG53" s="889"/>
      <c r="BH53" s="889"/>
      <c r="BI53" s="889"/>
      <c r="BJ53" s="889"/>
      <c r="BK53" s="889"/>
      <c r="BL53" s="889"/>
      <c r="BM53" s="889"/>
      <c r="BN53" s="889"/>
      <c r="BO53" s="889"/>
      <c r="BP53" s="889"/>
      <c r="BQ53" s="889"/>
      <c r="BR53" s="889"/>
      <c r="BS53" s="889"/>
      <c r="BT53" s="889"/>
      <c r="BU53" s="889"/>
      <c r="BV53" s="889"/>
      <c r="BW53" s="889"/>
      <c r="BX53" s="889"/>
      <c r="BY53" s="889"/>
      <c r="BZ53" s="889"/>
      <c r="CA53" s="889"/>
      <c r="CB53" s="889"/>
      <c r="CC53" s="889"/>
      <c r="CD53" s="889"/>
      <c r="CE53" s="889"/>
      <c r="CF53" s="889"/>
      <c r="CG53" s="889"/>
      <c r="CH53" s="889"/>
      <c r="CI53" s="889"/>
      <c r="CJ53" s="889"/>
      <c r="CK53" s="889"/>
      <c r="CL53" s="889"/>
      <c r="CM53" s="889"/>
      <c r="CN53" s="889"/>
      <c r="CO53" s="889"/>
      <c r="CP53" s="889"/>
      <c r="CQ53" s="889"/>
      <c r="CR53" s="889"/>
      <c r="CS53" s="889"/>
      <c r="CT53" s="889"/>
      <c r="CU53" s="889"/>
      <c r="CV53" s="889"/>
      <c r="CW53" s="889"/>
      <c r="CX53" s="889"/>
      <c r="CY53" s="889"/>
      <c r="CZ53" s="889"/>
      <c r="DA53" s="889"/>
      <c r="DB53" s="889"/>
      <c r="DC53" s="889"/>
      <c r="DD53" s="889"/>
      <c r="DE53" s="889"/>
      <c r="DF53" s="889"/>
      <c r="DG53" s="889"/>
      <c r="DH53" s="889"/>
      <c r="DI53" s="889"/>
      <c r="DJ53" s="889"/>
      <c r="DK53" s="889"/>
      <c r="DL53" s="889"/>
      <c r="DM53" s="889"/>
      <c r="DN53" s="889"/>
      <c r="DO53" s="889"/>
      <c r="DP53" s="889"/>
      <c r="DQ53" s="889"/>
      <c r="DR53" s="889"/>
      <c r="DS53" s="889"/>
      <c r="DT53" s="889"/>
      <c r="DU53" s="889"/>
      <c r="DV53" s="889"/>
      <c r="DW53" s="889"/>
      <c r="DX53" s="889"/>
      <c r="DY53" s="889"/>
      <c r="DZ53" s="889"/>
      <c r="EA53" s="889"/>
      <c r="EB53" s="889"/>
      <c r="EC53" s="889"/>
      <c r="ED53" s="889"/>
      <c r="EE53" s="889"/>
      <c r="EF53" s="889"/>
      <c r="EG53" s="889"/>
      <c r="EH53" s="889"/>
      <c r="EI53" s="889"/>
      <c r="EJ53" s="889"/>
      <c r="EK53" s="889"/>
      <c r="EL53" s="889"/>
      <c r="EM53" s="889"/>
      <c r="EN53" s="889"/>
      <c r="EO53" s="889"/>
      <c r="EP53" s="889"/>
      <c r="EQ53" s="889"/>
      <c r="ER53" s="889"/>
      <c r="ES53" s="889"/>
      <c r="ET53" s="889"/>
      <c r="EU53" s="889"/>
      <c r="EV53" s="889"/>
      <c r="EW53" s="889"/>
      <c r="EX53" s="889"/>
      <c r="EY53" s="889"/>
      <c r="EZ53" s="889"/>
      <c r="FA53" s="889"/>
      <c r="FB53" s="889"/>
      <c r="FC53" s="889"/>
      <c r="FD53" s="889"/>
      <c r="FE53" s="889"/>
      <c r="FF53" s="889"/>
      <c r="FG53" s="889"/>
      <c r="FH53" s="889"/>
      <c r="FI53" s="889"/>
      <c r="FJ53" s="889"/>
      <c r="FK53" s="889"/>
      <c r="FL53" s="889"/>
      <c r="FM53" s="889"/>
      <c r="FN53" s="889"/>
      <c r="FO53" s="889"/>
      <c r="FP53" s="889"/>
      <c r="FQ53" s="889"/>
      <c r="FR53" s="889"/>
      <c r="FS53" s="889"/>
      <c r="FT53" s="889"/>
      <c r="FU53" s="889"/>
      <c r="FV53" s="889"/>
      <c r="FW53" s="889"/>
      <c r="FX53" s="889"/>
      <c r="FY53" s="889"/>
      <c r="FZ53" s="889"/>
      <c r="GA53" s="889"/>
      <c r="GB53" s="889"/>
      <c r="GC53" s="889"/>
      <c r="GD53" s="889"/>
      <c r="GE53" s="889"/>
      <c r="GF53" s="889"/>
      <c r="GG53" s="889"/>
      <c r="GH53" s="889"/>
      <c r="GI53" s="889"/>
      <c r="GJ53" s="889"/>
      <c r="GK53" s="889"/>
      <c r="GL53" s="889"/>
      <c r="GM53" s="889"/>
      <c r="GN53" s="889"/>
      <c r="GO53" s="889"/>
      <c r="GP53" s="889"/>
      <c r="GQ53" s="889"/>
      <c r="GR53" s="889"/>
      <c r="GS53" s="889"/>
      <c r="GT53" s="889"/>
      <c r="GU53" s="889"/>
      <c r="GV53" s="889"/>
      <c r="GW53" s="889"/>
      <c r="GX53" s="889"/>
      <c r="GY53" s="889"/>
      <c r="GZ53" s="889"/>
      <c r="HA53" s="889"/>
      <c r="HB53" s="889"/>
      <c r="HC53" s="889"/>
      <c r="HD53" s="889"/>
      <c r="HE53" s="889"/>
      <c r="HF53" s="889"/>
      <c r="HG53" s="889"/>
      <c r="HH53" s="889"/>
      <c r="HI53" s="889"/>
      <c r="HJ53" s="889"/>
      <c r="HK53" s="889"/>
      <c r="HL53" s="889"/>
      <c r="HM53" s="889"/>
      <c r="HN53" s="889"/>
      <c r="HO53" s="889"/>
      <c r="HP53" s="889"/>
      <c r="HQ53" s="889"/>
      <c r="HR53" s="889"/>
      <c r="HS53" s="889"/>
      <c r="HT53" s="889"/>
      <c r="HU53" s="889"/>
      <c r="HV53" s="889"/>
      <c r="HW53" s="889"/>
      <c r="HX53" s="889"/>
      <c r="HY53" s="889"/>
      <c r="HZ53" s="889"/>
      <c r="IA53" s="889"/>
      <c r="IB53" s="889"/>
      <c r="IC53" s="889"/>
      <c r="ID53" s="889"/>
      <c r="IE53" s="889"/>
      <c r="IF53" s="889"/>
      <c r="IG53" s="889"/>
      <c r="IH53" s="889"/>
      <c r="II53" s="889"/>
      <c r="IJ53" s="889"/>
      <c r="IK53" s="889"/>
      <c r="IL53" s="889"/>
      <c r="IM53" s="889"/>
      <c r="IN53" s="889"/>
      <c r="IO53" s="889"/>
      <c r="IP53" s="889"/>
      <c r="IQ53" s="889"/>
      <c r="IR53" s="889"/>
      <c r="IS53" s="889"/>
      <c r="IT53" s="889"/>
      <c r="IU53" s="889"/>
      <c r="IV53" s="889"/>
    </row>
    <row r="54" spans="1:256" ht="10.5" customHeight="1">
      <c r="A54" s="949"/>
      <c r="B54" s="875"/>
      <c r="C54" s="950"/>
      <c r="D54" s="950"/>
      <c r="E54" s="950"/>
      <c r="F54" s="950"/>
      <c r="G54" s="945"/>
      <c r="H54" s="946"/>
      <c r="I54" s="947"/>
      <c r="J54" s="947"/>
      <c r="K54" s="948"/>
      <c r="L54" s="948"/>
      <c r="M54" s="948"/>
      <c r="N54" s="948"/>
      <c r="O54" s="889"/>
      <c r="P54" s="889"/>
      <c r="Q54" s="889"/>
      <c r="R54" s="889"/>
      <c r="S54" s="889"/>
      <c r="T54" s="889"/>
      <c r="U54" s="889"/>
      <c r="V54" s="889"/>
      <c r="W54" s="889"/>
      <c r="X54" s="889"/>
      <c r="Y54" s="889"/>
      <c r="Z54" s="889"/>
      <c r="AA54" s="889"/>
      <c r="AB54" s="889"/>
      <c r="AC54" s="889"/>
      <c r="AD54" s="889"/>
      <c r="AE54" s="889"/>
      <c r="AF54" s="889"/>
      <c r="AG54" s="889"/>
      <c r="AH54" s="889"/>
      <c r="AI54" s="889"/>
      <c r="AJ54" s="889"/>
      <c r="AK54" s="889"/>
      <c r="AL54" s="889"/>
      <c r="AM54" s="889"/>
      <c r="AN54" s="889"/>
      <c r="AO54" s="889"/>
      <c r="AP54" s="889"/>
      <c r="AQ54" s="889"/>
      <c r="AR54" s="889"/>
      <c r="AS54" s="889"/>
      <c r="AT54" s="889"/>
      <c r="AU54" s="889"/>
      <c r="AV54" s="889"/>
      <c r="AW54" s="889"/>
      <c r="AX54" s="889"/>
      <c r="AY54" s="889"/>
      <c r="AZ54" s="889"/>
      <c r="BA54" s="889"/>
      <c r="BB54" s="889"/>
      <c r="BC54" s="889"/>
      <c r="BD54" s="889"/>
      <c r="BE54" s="889"/>
      <c r="BF54" s="889"/>
      <c r="BG54" s="889"/>
      <c r="BH54" s="889"/>
      <c r="BI54" s="889"/>
      <c r="BJ54" s="889"/>
      <c r="BK54" s="889"/>
      <c r="BL54" s="889"/>
      <c r="BM54" s="889"/>
      <c r="BN54" s="889"/>
      <c r="BO54" s="889"/>
      <c r="BP54" s="889"/>
      <c r="BQ54" s="889"/>
      <c r="BR54" s="889"/>
      <c r="BS54" s="889"/>
      <c r="BT54" s="889"/>
      <c r="BU54" s="889"/>
      <c r="BV54" s="889"/>
      <c r="BW54" s="889"/>
      <c r="BX54" s="889"/>
      <c r="BY54" s="889"/>
      <c r="BZ54" s="889"/>
      <c r="CA54" s="889"/>
      <c r="CB54" s="889"/>
      <c r="CC54" s="889"/>
      <c r="CD54" s="889"/>
      <c r="CE54" s="889"/>
      <c r="CF54" s="889"/>
      <c r="CG54" s="889"/>
      <c r="CH54" s="889"/>
      <c r="CI54" s="889"/>
      <c r="CJ54" s="889"/>
      <c r="CK54" s="889"/>
      <c r="CL54" s="889"/>
      <c r="CM54" s="889"/>
      <c r="CN54" s="889"/>
      <c r="CO54" s="889"/>
      <c r="CP54" s="889"/>
      <c r="CQ54" s="889"/>
      <c r="CR54" s="889"/>
      <c r="CS54" s="889"/>
      <c r="CT54" s="889"/>
      <c r="CU54" s="889"/>
      <c r="CV54" s="889"/>
      <c r="CW54" s="889"/>
      <c r="CX54" s="889"/>
      <c r="CY54" s="889"/>
      <c r="CZ54" s="889"/>
      <c r="DA54" s="889"/>
      <c r="DB54" s="889"/>
      <c r="DC54" s="889"/>
      <c r="DD54" s="889"/>
      <c r="DE54" s="889"/>
      <c r="DF54" s="889"/>
      <c r="DG54" s="889"/>
      <c r="DH54" s="889"/>
      <c r="DI54" s="889"/>
      <c r="DJ54" s="889"/>
      <c r="DK54" s="889"/>
      <c r="DL54" s="889"/>
      <c r="DM54" s="889"/>
      <c r="DN54" s="889"/>
      <c r="DO54" s="889"/>
      <c r="DP54" s="889"/>
      <c r="DQ54" s="889"/>
      <c r="DR54" s="889"/>
      <c r="DS54" s="889"/>
      <c r="DT54" s="889"/>
      <c r="DU54" s="889"/>
      <c r="DV54" s="889"/>
      <c r="DW54" s="889"/>
      <c r="DX54" s="889"/>
      <c r="DY54" s="889"/>
      <c r="DZ54" s="889"/>
      <c r="EA54" s="889"/>
      <c r="EB54" s="889"/>
      <c r="EC54" s="889"/>
      <c r="ED54" s="889"/>
      <c r="EE54" s="889"/>
      <c r="EF54" s="889"/>
      <c r="EG54" s="889"/>
      <c r="EH54" s="889"/>
      <c r="EI54" s="889"/>
      <c r="EJ54" s="889"/>
      <c r="EK54" s="889"/>
      <c r="EL54" s="889"/>
      <c r="EM54" s="889"/>
      <c r="EN54" s="889"/>
      <c r="EO54" s="889"/>
      <c r="EP54" s="889"/>
      <c r="EQ54" s="889"/>
      <c r="ER54" s="889"/>
      <c r="ES54" s="889"/>
      <c r="ET54" s="889"/>
      <c r="EU54" s="889"/>
      <c r="EV54" s="889"/>
      <c r="EW54" s="889"/>
      <c r="EX54" s="889"/>
      <c r="EY54" s="889"/>
      <c r="EZ54" s="889"/>
      <c r="FA54" s="889"/>
      <c r="FB54" s="889"/>
      <c r="FC54" s="889"/>
      <c r="FD54" s="889"/>
      <c r="FE54" s="889"/>
      <c r="FF54" s="889"/>
      <c r="FG54" s="889"/>
      <c r="FH54" s="889"/>
      <c r="FI54" s="889"/>
      <c r="FJ54" s="889"/>
      <c r="FK54" s="889"/>
      <c r="FL54" s="889"/>
      <c r="FM54" s="889"/>
      <c r="FN54" s="889"/>
      <c r="FO54" s="889"/>
      <c r="FP54" s="889"/>
      <c r="FQ54" s="889"/>
      <c r="FR54" s="889"/>
      <c r="FS54" s="889"/>
      <c r="FT54" s="889"/>
      <c r="FU54" s="889"/>
      <c r="FV54" s="889"/>
      <c r="FW54" s="889"/>
      <c r="FX54" s="889"/>
      <c r="FY54" s="889"/>
      <c r="FZ54" s="889"/>
      <c r="GA54" s="889"/>
      <c r="GB54" s="889"/>
      <c r="GC54" s="889"/>
      <c r="GD54" s="889"/>
      <c r="GE54" s="889"/>
      <c r="GF54" s="889"/>
      <c r="GG54" s="889"/>
      <c r="GH54" s="889"/>
      <c r="GI54" s="889"/>
      <c r="GJ54" s="889"/>
      <c r="GK54" s="889"/>
      <c r="GL54" s="889"/>
      <c r="GM54" s="889"/>
      <c r="GN54" s="889"/>
      <c r="GO54" s="889"/>
      <c r="GP54" s="889"/>
      <c r="GQ54" s="889"/>
      <c r="GR54" s="889"/>
      <c r="GS54" s="889"/>
      <c r="GT54" s="889"/>
      <c r="GU54" s="889"/>
      <c r="GV54" s="889"/>
      <c r="GW54" s="889"/>
      <c r="GX54" s="889"/>
      <c r="GY54" s="889"/>
      <c r="GZ54" s="889"/>
      <c r="HA54" s="889"/>
      <c r="HB54" s="889"/>
      <c r="HC54" s="889"/>
      <c r="HD54" s="889"/>
      <c r="HE54" s="889"/>
      <c r="HF54" s="889"/>
      <c r="HG54" s="889"/>
      <c r="HH54" s="889"/>
      <c r="HI54" s="889"/>
      <c r="HJ54" s="889"/>
      <c r="HK54" s="889"/>
      <c r="HL54" s="889"/>
      <c r="HM54" s="889"/>
      <c r="HN54" s="889"/>
      <c r="HO54" s="889"/>
      <c r="HP54" s="889"/>
      <c r="HQ54" s="889"/>
      <c r="HR54" s="889"/>
      <c r="HS54" s="889"/>
      <c r="HT54" s="889"/>
      <c r="HU54" s="889"/>
      <c r="HV54" s="889"/>
      <c r="HW54" s="889"/>
      <c r="HX54" s="889"/>
      <c r="HY54" s="889"/>
      <c r="HZ54" s="889"/>
      <c r="IA54" s="889"/>
      <c r="IB54" s="889"/>
      <c r="IC54" s="889"/>
      <c r="ID54" s="889"/>
      <c r="IE54" s="889"/>
      <c r="IF54" s="889"/>
      <c r="IG54" s="889"/>
      <c r="IH54" s="889"/>
      <c r="II54" s="889"/>
      <c r="IJ54" s="889"/>
      <c r="IK54" s="889"/>
      <c r="IL54" s="889"/>
      <c r="IM54" s="889"/>
      <c r="IN54" s="889"/>
      <c r="IO54" s="889"/>
      <c r="IP54" s="889"/>
      <c r="IQ54" s="889"/>
      <c r="IR54" s="889"/>
      <c r="IS54" s="889"/>
      <c r="IT54" s="889"/>
      <c r="IU54" s="889"/>
      <c r="IV54" s="889"/>
    </row>
    <row r="55" spans="1:256" ht="10.5" customHeight="1">
      <c r="A55" s="949"/>
      <c r="B55" s="875"/>
      <c r="C55" s="950"/>
      <c r="D55" s="950"/>
      <c r="E55" s="950"/>
      <c r="F55" s="950"/>
      <c r="G55" s="945"/>
      <c r="H55" s="946"/>
      <c r="I55" s="947"/>
      <c r="J55" s="947"/>
      <c r="K55" s="948"/>
      <c r="L55" s="948"/>
      <c r="M55" s="948"/>
      <c r="N55" s="948"/>
      <c r="O55" s="889"/>
      <c r="P55" s="889"/>
      <c r="Q55" s="889"/>
      <c r="R55" s="889"/>
      <c r="S55" s="889"/>
      <c r="T55" s="889"/>
      <c r="U55" s="889"/>
      <c r="V55" s="889"/>
      <c r="W55" s="889"/>
      <c r="X55" s="889"/>
      <c r="Y55" s="889"/>
      <c r="Z55" s="889"/>
      <c r="AA55" s="889"/>
      <c r="AB55" s="889"/>
      <c r="AC55" s="889"/>
      <c r="AD55" s="889"/>
      <c r="AE55" s="889"/>
      <c r="AF55" s="889"/>
      <c r="AG55" s="889"/>
      <c r="AH55" s="889"/>
      <c r="AI55" s="889"/>
      <c r="AJ55" s="889"/>
      <c r="AK55" s="889"/>
      <c r="AL55" s="889"/>
      <c r="AM55" s="889"/>
      <c r="AN55" s="889"/>
      <c r="AO55" s="889"/>
      <c r="AP55" s="889"/>
      <c r="AQ55" s="889"/>
      <c r="AR55" s="889"/>
      <c r="AS55" s="889"/>
      <c r="AT55" s="889"/>
      <c r="AU55" s="889"/>
      <c r="AV55" s="889"/>
      <c r="AW55" s="889"/>
      <c r="AX55" s="889"/>
      <c r="AY55" s="889"/>
      <c r="AZ55" s="889"/>
      <c r="BA55" s="889"/>
      <c r="BB55" s="889"/>
      <c r="BC55" s="889"/>
      <c r="BD55" s="889"/>
      <c r="BE55" s="889"/>
      <c r="BF55" s="889"/>
      <c r="BG55" s="889"/>
      <c r="BH55" s="889"/>
      <c r="BI55" s="889"/>
      <c r="BJ55" s="889"/>
      <c r="BK55" s="889"/>
      <c r="BL55" s="889"/>
      <c r="BM55" s="889"/>
      <c r="BN55" s="889"/>
      <c r="BO55" s="889"/>
      <c r="BP55" s="889"/>
      <c r="BQ55" s="889"/>
      <c r="BR55" s="889"/>
      <c r="BS55" s="889"/>
      <c r="BT55" s="889"/>
      <c r="BU55" s="889"/>
      <c r="BV55" s="889"/>
      <c r="BW55" s="889"/>
      <c r="BX55" s="889"/>
      <c r="BY55" s="889"/>
      <c r="BZ55" s="889"/>
      <c r="CA55" s="889"/>
      <c r="CB55" s="889"/>
      <c r="CC55" s="889"/>
      <c r="CD55" s="889"/>
      <c r="CE55" s="889"/>
      <c r="CF55" s="889"/>
      <c r="CG55" s="889"/>
      <c r="CH55" s="889"/>
      <c r="CI55" s="889"/>
      <c r="CJ55" s="889"/>
      <c r="CK55" s="889"/>
      <c r="CL55" s="889"/>
      <c r="CM55" s="889"/>
      <c r="CN55" s="889"/>
      <c r="CO55" s="889"/>
      <c r="CP55" s="889"/>
      <c r="CQ55" s="889"/>
      <c r="CR55" s="889"/>
      <c r="CS55" s="889"/>
      <c r="CT55" s="889"/>
      <c r="CU55" s="889"/>
      <c r="CV55" s="889"/>
      <c r="CW55" s="889"/>
      <c r="CX55" s="889"/>
      <c r="CY55" s="889"/>
      <c r="CZ55" s="889"/>
      <c r="DA55" s="889"/>
      <c r="DB55" s="889"/>
      <c r="DC55" s="889"/>
      <c r="DD55" s="889"/>
      <c r="DE55" s="889"/>
      <c r="DF55" s="889"/>
      <c r="DG55" s="889"/>
      <c r="DH55" s="889"/>
      <c r="DI55" s="889"/>
      <c r="DJ55" s="889"/>
      <c r="DK55" s="889"/>
      <c r="DL55" s="889"/>
      <c r="DM55" s="889"/>
      <c r="DN55" s="889"/>
      <c r="DO55" s="889"/>
      <c r="DP55" s="889"/>
      <c r="DQ55" s="889"/>
      <c r="DR55" s="889"/>
      <c r="DS55" s="889"/>
      <c r="DT55" s="889"/>
      <c r="DU55" s="889"/>
      <c r="DV55" s="889"/>
      <c r="DW55" s="889"/>
      <c r="DX55" s="889"/>
      <c r="DY55" s="889"/>
      <c r="DZ55" s="889"/>
      <c r="EA55" s="889"/>
      <c r="EB55" s="889"/>
      <c r="EC55" s="889"/>
      <c r="ED55" s="889"/>
      <c r="EE55" s="889"/>
      <c r="EF55" s="889"/>
      <c r="EG55" s="889"/>
      <c r="EH55" s="889"/>
      <c r="EI55" s="889"/>
      <c r="EJ55" s="889"/>
      <c r="EK55" s="889"/>
      <c r="EL55" s="889"/>
      <c r="EM55" s="889"/>
      <c r="EN55" s="889"/>
      <c r="EO55" s="889"/>
      <c r="EP55" s="889"/>
      <c r="EQ55" s="889"/>
      <c r="ER55" s="889"/>
      <c r="ES55" s="889"/>
      <c r="ET55" s="889"/>
      <c r="EU55" s="889"/>
      <c r="EV55" s="889"/>
      <c r="EW55" s="889"/>
      <c r="EX55" s="889"/>
      <c r="EY55" s="889"/>
      <c r="EZ55" s="889"/>
      <c r="FA55" s="889"/>
      <c r="FB55" s="889"/>
      <c r="FC55" s="889"/>
      <c r="FD55" s="889"/>
      <c r="FE55" s="889"/>
      <c r="FF55" s="889"/>
      <c r="FG55" s="889"/>
      <c r="FH55" s="889"/>
      <c r="FI55" s="889"/>
      <c r="FJ55" s="889"/>
      <c r="FK55" s="889"/>
      <c r="FL55" s="889"/>
      <c r="FM55" s="889"/>
      <c r="FN55" s="889"/>
      <c r="FO55" s="889"/>
      <c r="FP55" s="889"/>
      <c r="FQ55" s="889"/>
      <c r="FR55" s="889"/>
      <c r="FS55" s="889"/>
      <c r="FT55" s="889"/>
      <c r="FU55" s="889"/>
      <c r="FV55" s="889"/>
      <c r="FW55" s="889"/>
      <c r="FX55" s="889"/>
      <c r="FY55" s="889"/>
      <c r="FZ55" s="889"/>
      <c r="GA55" s="889"/>
      <c r="GB55" s="889"/>
      <c r="GC55" s="889"/>
      <c r="GD55" s="889"/>
      <c r="GE55" s="889"/>
      <c r="GF55" s="889"/>
      <c r="GG55" s="889"/>
      <c r="GH55" s="889"/>
      <c r="GI55" s="889"/>
      <c r="GJ55" s="889"/>
      <c r="GK55" s="889"/>
      <c r="GL55" s="889"/>
      <c r="GM55" s="889"/>
      <c r="GN55" s="889"/>
      <c r="GO55" s="889"/>
      <c r="GP55" s="889"/>
      <c r="GQ55" s="889"/>
      <c r="GR55" s="889"/>
      <c r="GS55" s="889"/>
      <c r="GT55" s="889"/>
      <c r="GU55" s="889"/>
      <c r="GV55" s="889"/>
      <c r="GW55" s="889"/>
      <c r="GX55" s="889"/>
      <c r="GY55" s="889"/>
      <c r="GZ55" s="889"/>
      <c r="HA55" s="889"/>
      <c r="HB55" s="889"/>
      <c r="HC55" s="889"/>
      <c r="HD55" s="889"/>
      <c r="HE55" s="889"/>
      <c r="HF55" s="889"/>
      <c r="HG55" s="889"/>
      <c r="HH55" s="889"/>
      <c r="HI55" s="889"/>
      <c r="HJ55" s="889"/>
      <c r="HK55" s="889"/>
      <c r="HL55" s="889"/>
      <c r="HM55" s="889"/>
      <c r="HN55" s="889"/>
      <c r="HO55" s="889"/>
      <c r="HP55" s="889"/>
      <c r="HQ55" s="889"/>
      <c r="HR55" s="889"/>
      <c r="HS55" s="889"/>
      <c r="HT55" s="889"/>
      <c r="HU55" s="889"/>
      <c r="HV55" s="889"/>
      <c r="HW55" s="889"/>
      <c r="HX55" s="889"/>
      <c r="HY55" s="889"/>
      <c r="HZ55" s="889"/>
      <c r="IA55" s="889"/>
      <c r="IB55" s="889"/>
      <c r="IC55" s="889"/>
      <c r="ID55" s="889"/>
      <c r="IE55" s="889"/>
      <c r="IF55" s="889"/>
      <c r="IG55" s="889"/>
      <c r="IH55" s="889"/>
      <c r="II55" s="889"/>
      <c r="IJ55" s="889"/>
      <c r="IK55" s="889"/>
      <c r="IL55" s="889"/>
      <c r="IM55" s="889"/>
      <c r="IN55" s="889"/>
      <c r="IO55" s="889"/>
      <c r="IP55" s="889"/>
      <c r="IQ55" s="889"/>
      <c r="IR55" s="889"/>
      <c r="IS55" s="889"/>
      <c r="IT55" s="889"/>
      <c r="IU55" s="889"/>
      <c r="IV55" s="889"/>
    </row>
    <row r="56" spans="1:256" ht="10.5" customHeight="1">
      <c r="A56" s="949"/>
      <c r="B56" s="875"/>
      <c r="C56" s="950"/>
      <c r="D56" s="950"/>
      <c r="E56" s="950"/>
      <c r="F56" s="950"/>
      <c r="G56" s="945"/>
      <c r="H56" s="946"/>
      <c r="I56" s="947"/>
      <c r="J56" s="947"/>
      <c r="K56" s="948"/>
      <c r="L56" s="948"/>
      <c r="M56" s="948"/>
      <c r="N56" s="948"/>
      <c r="O56" s="889"/>
      <c r="P56" s="889"/>
      <c r="Q56" s="889"/>
      <c r="R56" s="889"/>
      <c r="S56" s="889"/>
      <c r="T56" s="889"/>
      <c r="U56" s="889"/>
      <c r="V56" s="889"/>
      <c r="W56" s="889"/>
      <c r="X56" s="889"/>
      <c r="Y56" s="889"/>
      <c r="Z56" s="889"/>
      <c r="AA56" s="889"/>
      <c r="AB56" s="889"/>
      <c r="AC56" s="889"/>
      <c r="AD56" s="889"/>
      <c r="AE56" s="889"/>
      <c r="AF56" s="889"/>
      <c r="AG56" s="889"/>
      <c r="AH56" s="889"/>
      <c r="AI56" s="889"/>
      <c r="AJ56" s="889"/>
      <c r="AK56" s="889"/>
      <c r="AL56" s="889"/>
      <c r="AM56" s="889"/>
      <c r="AN56" s="889"/>
      <c r="AO56" s="889"/>
      <c r="AP56" s="889"/>
      <c r="AQ56" s="889"/>
      <c r="AR56" s="889"/>
      <c r="AS56" s="889"/>
      <c r="AT56" s="889"/>
      <c r="AU56" s="889"/>
      <c r="AV56" s="889"/>
      <c r="AW56" s="889"/>
      <c r="AX56" s="889"/>
      <c r="AY56" s="889"/>
      <c r="AZ56" s="889"/>
      <c r="BA56" s="889"/>
      <c r="BB56" s="889"/>
      <c r="BC56" s="889"/>
      <c r="BD56" s="889"/>
      <c r="BE56" s="889"/>
      <c r="BF56" s="889"/>
      <c r="BG56" s="889"/>
      <c r="BH56" s="889"/>
      <c r="BI56" s="889"/>
      <c r="BJ56" s="889"/>
      <c r="BK56" s="889"/>
      <c r="BL56" s="889"/>
      <c r="BM56" s="889"/>
      <c r="BN56" s="889"/>
      <c r="BO56" s="889"/>
      <c r="BP56" s="889"/>
      <c r="BQ56" s="889"/>
      <c r="BR56" s="889"/>
      <c r="BS56" s="889"/>
      <c r="BT56" s="889"/>
      <c r="BU56" s="889"/>
      <c r="BV56" s="889"/>
      <c r="BW56" s="889"/>
      <c r="BX56" s="889"/>
      <c r="BY56" s="889"/>
      <c r="BZ56" s="889"/>
      <c r="CA56" s="889"/>
      <c r="CB56" s="889"/>
      <c r="CC56" s="889"/>
      <c r="CD56" s="889"/>
      <c r="CE56" s="889"/>
      <c r="CF56" s="889"/>
      <c r="CG56" s="889"/>
      <c r="CH56" s="889"/>
      <c r="CI56" s="889"/>
      <c r="CJ56" s="889"/>
      <c r="CK56" s="889"/>
      <c r="CL56" s="889"/>
      <c r="CM56" s="889"/>
      <c r="CN56" s="889"/>
      <c r="CO56" s="889"/>
      <c r="CP56" s="889"/>
      <c r="CQ56" s="889"/>
      <c r="CR56" s="889"/>
      <c r="CS56" s="889"/>
      <c r="CT56" s="889"/>
      <c r="CU56" s="889"/>
      <c r="CV56" s="889"/>
      <c r="CW56" s="889"/>
      <c r="CX56" s="889"/>
      <c r="CY56" s="889"/>
      <c r="CZ56" s="889"/>
      <c r="DA56" s="889"/>
      <c r="DB56" s="889"/>
      <c r="DC56" s="889"/>
      <c r="DD56" s="889"/>
      <c r="DE56" s="889"/>
      <c r="DF56" s="889"/>
      <c r="DG56" s="889"/>
      <c r="DH56" s="889"/>
      <c r="DI56" s="889"/>
      <c r="DJ56" s="889"/>
      <c r="DK56" s="889"/>
      <c r="DL56" s="889"/>
      <c r="DM56" s="889"/>
      <c r="DN56" s="889"/>
      <c r="DO56" s="889"/>
      <c r="DP56" s="889"/>
      <c r="DQ56" s="889"/>
      <c r="DR56" s="889"/>
      <c r="DS56" s="889"/>
      <c r="DT56" s="889"/>
      <c r="DU56" s="889"/>
      <c r="DV56" s="889"/>
      <c r="DW56" s="889"/>
      <c r="DX56" s="889"/>
      <c r="DY56" s="889"/>
      <c r="DZ56" s="889"/>
      <c r="EA56" s="889"/>
      <c r="EB56" s="889"/>
      <c r="EC56" s="889"/>
      <c r="ED56" s="889"/>
      <c r="EE56" s="889"/>
      <c r="EF56" s="889"/>
      <c r="EG56" s="889"/>
      <c r="EH56" s="889"/>
      <c r="EI56" s="889"/>
      <c r="EJ56" s="889"/>
      <c r="EK56" s="889"/>
      <c r="EL56" s="889"/>
      <c r="EM56" s="889"/>
      <c r="EN56" s="889"/>
      <c r="EO56" s="889"/>
      <c r="EP56" s="889"/>
      <c r="EQ56" s="889"/>
      <c r="ER56" s="889"/>
      <c r="ES56" s="889"/>
      <c r="ET56" s="889"/>
      <c r="EU56" s="889"/>
      <c r="EV56" s="889"/>
      <c r="EW56" s="889"/>
      <c r="EX56" s="889"/>
      <c r="EY56" s="889"/>
      <c r="EZ56" s="889"/>
      <c r="FA56" s="889"/>
      <c r="FB56" s="889"/>
      <c r="FC56" s="889"/>
      <c r="FD56" s="889"/>
      <c r="FE56" s="889"/>
      <c r="FF56" s="889"/>
      <c r="FG56" s="889"/>
      <c r="FH56" s="889"/>
      <c r="FI56" s="889"/>
      <c r="FJ56" s="889"/>
      <c r="FK56" s="889"/>
      <c r="FL56" s="889"/>
      <c r="FM56" s="889"/>
      <c r="FN56" s="889"/>
      <c r="FO56" s="889"/>
      <c r="FP56" s="889"/>
      <c r="FQ56" s="889"/>
      <c r="FR56" s="889"/>
      <c r="FS56" s="889"/>
      <c r="FT56" s="889"/>
      <c r="FU56" s="889"/>
      <c r="FV56" s="889"/>
      <c r="FW56" s="889"/>
      <c r="FX56" s="889"/>
      <c r="FY56" s="889"/>
      <c r="FZ56" s="889"/>
      <c r="GA56" s="889"/>
      <c r="GB56" s="889"/>
      <c r="GC56" s="889"/>
      <c r="GD56" s="889"/>
      <c r="GE56" s="889"/>
      <c r="GF56" s="889"/>
      <c r="GG56" s="889"/>
      <c r="GH56" s="889"/>
      <c r="GI56" s="889"/>
      <c r="GJ56" s="889"/>
      <c r="GK56" s="889"/>
      <c r="GL56" s="889"/>
      <c r="GM56" s="889"/>
      <c r="GN56" s="889"/>
      <c r="GO56" s="889"/>
      <c r="GP56" s="889"/>
      <c r="GQ56" s="889"/>
      <c r="GR56" s="889"/>
      <c r="GS56" s="889"/>
      <c r="GT56" s="889"/>
      <c r="GU56" s="889"/>
      <c r="GV56" s="889"/>
      <c r="GW56" s="889"/>
      <c r="GX56" s="889"/>
      <c r="GY56" s="889"/>
      <c r="GZ56" s="889"/>
      <c r="HA56" s="889"/>
      <c r="HB56" s="889"/>
      <c r="HC56" s="889"/>
      <c r="HD56" s="889"/>
      <c r="HE56" s="889"/>
      <c r="HF56" s="889"/>
      <c r="HG56" s="889"/>
      <c r="HH56" s="889"/>
      <c r="HI56" s="889"/>
      <c r="HJ56" s="889"/>
      <c r="HK56" s="889"/>
      <c r="HL56" s="889"/>
      <c r="HM56" s="889"/>
      <c r="HN56" s="889"/>
      <c r="HO56" s="889"/>
      <c r="HP56" s="889"/>
      <c r="HQ56" s="889"/>
      <c r="HR56" s="889"/>
      <c r="HS56" s="889"/>
      <c r="HT56" s="889"/>
      <c r="HU56" s="889"/>
      <c r="HV56" s="889"/>
      <c r="HW56" s="889"/>
      <c r="HX56" s="889"/>
      <c r="HY56" s="889"/>
      <c r="HZ56" s="889"/>
      <c r="IA56" s="889"/>
      <c r="IB56" s="889"/>
      <c r="IC56" s="889"/>
      <c r="ID56" s="889"/>
      <c r="IE56" s="889"/>
      <c r="IF56" s="889"/>
      <c r="IG56" s="889"/>
      <c r="IH56" s="889"/>
      <c r="II56" s="889"/>
      <c r="IJ56" s="889"/>
      <c r="IK56" s="889"/>
      <c r="IL56" s="889"/>
      <c r="IM56" s="889"/>
      <c r="IN56" s="889"/>
      <c r="IO56" s="889"/>
      <c r="IP56" s="889"/>
      <c r="IQ56" s="889"/>
      <c r="IR56" s="889"/>
      <c r="IS56" s="889"/>
      <c r="IT56" s="889"/>
      <c r="IU56" s="889"/>
      <c r="IV56" s="889"/>
    </row>
    <row r="57" spans="1:256" ht="10.5" customHeight="1">
      <c r="A57" s="949"/>
      <c r="B57" s="875"/>
      <c r="C57" s="950"/>
      <c r="D57" s="950"/>
      <c r="E57" s="950"/>
      <c r="F57" s="950"/>
      <c r="G57" s="945"/>
      <c r="H57" s="946"/>
      <c r="I57" s="947"/>
      <c r="J57" s="947"/>
      <c r="K57" s="948"/>
      <c r="L57" s="948"/>
      <c r="M57" s="948"/>
      <c r="N57" s="948"/>
      <c r="O57" s="889"/>
      <c r="P57" s="889"/>
      <c r="Q57" s="889"/>
      <c r="R57" s="889"/>
      <c r="S57" s="889"/>
      <c r="T57" s="889"/>
      <c r="U57" s="889"/>
      <c r="V57" s="889"/>
      <c r="W57" s="889"/>
      <c r="X57" s="889"/>
      <c r="Y57" s="889"/>
      <c r="Z57" s="889"/>
      <c r="AA57" s="889"/>
      <c r="AB57" s="889"/>
      <c r="AC57" s="889"/>
      <c r="AD57" s="889"/>
      <c r="AE57" s="889"/>
      <c r="AF57" s="889"/>
      <c r="AG57" s="889"/>
      <c r="AH57" s="889"/>
      <c r="AI57" s="889"/>
      <c r="AJ57" s="889"/>
      <c r="AK57" s="889"/>
      <c r="AL57" s="889"/>
      <c r="AM57" s="889"/>
      <c r="AN57" s="889"/>
      <c r="AO57" s="889"/>
      <c r="AP57" s="889"/>
      <c r="AQ57" s="889"/>
      <c r="AR57" s="889"/>
      <c r="AS57" s="889"/>
      <c r="AT57" s="889"/>
      <c r="AU57" s="889"/>
      <c r="AV57" s="889"/>
      <c r="AW57" s="889"/>
      <c r="AX57" s="889"/>
      <c r="AY57" s="889"/>
      <c r="AZ57" s="889"/>
      <c r="BA57" s="889"/>
      <c r="BB57" s="889"/>
      <c r="BC57" s="889"/>
      <c r="BD57" s="889"/>
      <c r="BE57" s="889"/>
      <c r="BF57" s="889"/>
      <c r="BG57" s="889"/>
      <c r="BH57" s="889"/>
      <c r="BI57" s="889"/>
      <c r="BJ57" s="889"/>
      <c r="BK57" s="889"/>
      <c r="BL57" s="889"/>
      <c r="BM57" s="889"/>
      <c r="BN57" s="889"/>
      <c r="BO57" s="889"/>
      <c r="BP57" s="889"/>
      <c r="BQ57" s="889"/>
      <c r="BR57" s="889"/>
      <c r="BS57" s="889"/>
      <c r="BT57" s="889"/>
      <c r="BU57" s="889"/>
      <c r="BV57" s="889"/>
      <c r="BW57" s="889"/>
      <c r="BX57" s="889"/>
      <c r="BY57" s="889"/>
      <c r="BZ57" s="889"/>
      <c r="CA57" s="889"/>
      <c r="CB57" s="889"/>
      <c r="CC57" s="889"/>
      <c r="CD57" s="889"/>
      <c r="CE57" s="889"/>
      <c r="CF57" s="889"/>
      <c r="CG57" s="889"/>
      <c r="CH57" s="889"/>
      <c r="CI57" s="889"/>
      <c r="CJ57" s="889"/>
      <c r="CK57" s="889"/>
      <c r="CL57" s="889"/>
      <c r="CM57" s="889"/>
      <c r="CN57" s="889"/>
      <c r="CO57" s="889"/>
      <c r="CP57" s="889"/>
      <c r="CQ57" s="889"/>
      <c r="CR57" s="889"/>
      <c r="CS57" s="889"/>
      <c r="CT57" s="889"/>
      <c r="CU57" s="889"/>
      <c r="CV57" s="889"/>
      <c r="CW57" s="889"/>
      <c r="CX57" s="889"/>
      <c r="CY57" s="889"/>
      <c r="CZ57" s="889"/>
      <c r="DA57" s="889"/>
      <c r="DB57" s="889"/>
      <c r="DC57" s="889"/>
      <c r="DD57" s="889"/>
      <c r="DE57" s="889"/>
      <c r="DF57" s="889"/>
      <c r="DG57" s="889"/>
      <c r="DH57" s="889"/>
      <c r="DI57" s="889"/>
      <c r="DJ57" s="889"/>
      <c r="DK57" s="889"/>
      <c r="DL57" s="889"/>
      <c r="DM57" s="889"/>
      <c r="DN57" s="889"/>
      <c r="DO57" s="889"/>
      <c r="DP57" s="889"/>
      <c r="DQ57" s="889"/>
      <c r="DR57" s="889"/>
      <c r="DS57" s="889"/>
      <c r="DT57" s="889"/>
      <c r="DU57" s="889"/>
      <c r="DV57" s="889"/>
      <c r="DW57" s="889"/>
      <c r="DX57" s="889"/>
      <c r="DY57" s="889"/>
      <c r="DZ57" s="889"/>
      <c r="EA57" s="889"/>
      <c r="EB57" s="889"/>
      <c r="EC57" s="889"/>
      <c r="ED57" s="889"/>
      <c r="EE57" s="889"/>
      <c r="EF57" s="889"/>
      <c r="EG57" s="889"/>
      <c r="EH57" s="889"/>
      <c r="EI57" s="889"/>
      <c r="EJ57" s="889"/>
      <c r="EK57" s="889"/>
      <c r="EL57" s="889"/>
      <c r="EM57" s="889"/>
      <c r="EN57" s="889"/>
      <c r="EO57" s="889"/>
      <c r="EP57" s="889"/>
      <c r="EQ57" s="889"/>
      <c r="ER57" s="889"/>
      <c r="ES57" s="889"/>
      <c r="ET57" s="889"/>
      <c r="EU57" s="889"/>
      <c r="EV57" s="889"/>
      <c r="EW57" s="889"/>
      <c r="EX57" s="889"/>
      <c r="EY57" s="889"/>
      <c r="EZ57" s="889"/>
      <c r="FA57" s="889"/>
      <c r="FB57" s="889"/>
      <c r="FC57" s="889"/>
      <c r="FD57" s="889"/>
      <c r="FE57" s="889"/>
      <c r="FF57" s="889"/>
      <c r="FG57" s="889"/>
      <c r="FH57" s="889"/>
      <c r="FI57" s="889"/>
      <c r="FJ57" s="889"/>
      <c r="FK57" s="889"/>
      <c r="FL57" s="889"/>
      <c r="FM57" s="889"/>
      <c r="FN57" s="889"/>
      <c r="FO57" s="889"/>
      <c r="FP57" s="889"/>
      <c r="FQ57" s="889"/>
      <c r="FR57" s="889"/>
      <c r="FS57" s="889"/>
      <c r="FT57" s="889"/>
      <c r="FU57" s="889"/>
      <c r="FV57" s="889"/>
      <c r="FW57" s="889"/>
      <c r="FX57" s="889"/>
      <c r="FY57" s="889"/>
      <c r="FZ57" s="889"/>
      <c r="GA57" s="889"/>
      <c r="GB57" s="889"/>
      <c r="GC57" s="889"/>
      <c r="GD57" s="889"/>
      <c r="GE57" s="889"/>
      <c r="GF57" s="889"/>
      <c r="GG57" s="889"/>
      <c r="GH57" s="889"/>
      <c r="GI57" s="889"/>
      <c r="GJ57" s="889"/>
      <c r="GK57" s="889"/>
      <c r="GL57" s="889"/>
      <c r="GM57" s="889"/>
      <c r="GN57" s="889"/>
      <c r="GO57" s="889"/>
      <c r="GP57" s="889"/>
      <c r="GQ57" s="889"/>
      <c r="GR57" s="889"/>
      <c r="GS57" s="889"/>
      <c r="GT57" s="889"/>
      <c r="GU57" s="889"/>
      <c r="GV57" s="889"/>
      <c r="GW57" s="889"/>
      <c r="GX57" s="889"/>
      <c r="GY57" s="889"/>
      <c r="GZ57" s="889"/>
      <c r="HA57" s="889"/>
      <c r="HB57" s="889"/>
      <c r="HC57" s="889"/>
      <c r="HD57" s="889"/>
      <c r="HE57" s="889"/>
      <c r="HF57" s="889"/>
      <c r="HG57" s="889"/>
      <c r="HH57" s="889"/>
      <c r="HI57" s="889"/>
      <c r="HJ57" s="889"/>
      <c r="HK57" s="889"/>
      <c r="HL57" s="889"/>
      <c r="HM57" s="889"/>
      <c r="HN57" s="889"/>
      <c r="HO57" s="889"/>
      <c r="HP57" s="889"/>
      <c r="HQ57" s="889"/>
      <c r="HR57" s="889"/>
      <c r="HS57" s="889"/>
      <c r="HT57" s="889"/>
      <c r="HU57" s="889"/>
      <c r="HV57" s="889"/>
      <c r="HW57" s="889"/>
      <c r="HX57" s="889"/>
      <c r="HY57" s="889"/>
      <c r="HZ57" s="889"/>
      <c r="IA57" s="889"/>
      <c r="IB57" s="889"/>
      <c r="IC57" s="889"/>
      <c r="ID57" s="889"/>
      <c r="IE57" s="889"/>
      <c r="IF57" s="889"/>
      <c r="IG57" s="889"/>
      <c r="IH57" s="889"/>
      <c r="II57" s="889"/>
      <c r="IJ57" s="889"/>
      <c r="IK57" s="889"/>
      <c r="IL57" s="889"/>
      <c r="IM57" s="889"/>
      <c r="IN57" s="889"/>
      <c r="IO57" s="889"/>
      <c r="IP57" s="889"/>
      <c r="IQ57" s="889"/>
      <c r="IR57" s="889"/>
      <c r="IS57" s="889"/>
      <c r="IT57" s="889"/>
      <c r="IU57" s="889"/>
      <c r="IV57" s="889"/>
    </row>
    <row r="58" spans="1:256" ht="10.5" customHeight="1">
      <c r="A58" s="949"/>
      <c r="B58" s="875"/>
      <c r="C58" s="950"/>
      <c r="D58" s="950"/>
      <c r="E58" s="950"/>
      <c r="F58" s="950"/>
      <c r="G58" s="945"/>
      <c r="H58" s="946"/>
      <c r="I58" s="947"/>
      <c r="J58" s="947"/>
      <c r="K58" s="948"/>
      <c r="L58" s="948"/>
      <c r="M58" s="948"/>
      <c r="N58" s="948"/>
      <c r="O58" s="889"/>
      <c r="P58" s="889"/>
      <c r="Q58" s="889"/>
      <c r="R58" s="889"/>
      <c r="S58" s="889"/>
      <c r="T58" s="889"/>
      <c r="U58" s="889"/>
      <c r="V58" s="889"/>
      <c r="W58" s="889"/>
      <c r="X58" s="889"/>
      <c r="Y58" s="889"/>
      <c r="Z58" s="889"/>
      <c r="AA58" s="889"/>
      <c r="AB58" s="889"/>
      <c r="AC58" s="889"/>
      <c r="AD58" s="889"/>
      <c r="AE58" s="889"/>
      <c r="AF58" s="889"/>
      <c r="AG58" s="889"/>
      <c r="AH58" s="889"/>
      <c r="AI58" s="889"/>
      <c r="AJ58" s="889"/>
      <c r="AK58" s="889"/>
      <c r="AL58" s="889"/>
      <c r="AM58" s="889"/>
      <c r="AN58" s="889"/>
      <c r="AO58" s="889"/>
      <c r="AP58" s="889"/>
      <c r="AQ58" s="889"/>
      <c r="AR58" s="889"/>
      <c r="AS58" s="889"/>
      <c r="AT58" s="889"/>
      <c r="AU58" s="889"/>
      <c r="AV58" s="889"/>
      <c r="AW58" s="889"/>
      <c r="AX58" s="889"/>
      <c r="AY58" s="889"/>
      <c r="AZ58" s="889"/>
      <c r="BA58" s="889"/>
      <c r="BB58" s="889"/>
      <c r="BC58" s="889"/>
      <c r="BD58" s="889"/>
      <c r="BE58" s="889"/>
      <c r="BF58" s="889"/>
      <c r="BG58" s="889"/>
      <c r="BH58" s="889"/>
      <c r="BI58" s="889"/>
      <c r="BJ58" s="889"/>
      <c r="BK58" s="889"/>
      <c r="BL58" s="889"/>
      <c r="BM58" s="889"/>
      <c r="BN58" s="889"/>
      <c r="BO58" s="889"/>
      <c r="BP58" s="889"/>
      <c r="BQ58" s="889"/>
      <c r="BR58" s="889"/>
      <c r="BS58" s="889"/>
      <c r="BT58" s="889"/>
      <c r="BU58" s="889"/>
      <c r="BV58" s="889"/>
      <c r="BW58" s="889"/>
      <c r="BX58" s="889"/>
      <c r="BY58" s="889"/>
      <c r="BZ58" s="889"/>
      <c r="CA58" s="889"/>
      <c r="CB58" s="889"/>
      <c r="CC58" s="889"/>
      <c r="CD58" s="889"/>
      <c r="CE58" s="889"/>
      <c r="CF58" s="889"/>
      <c r="CG58" s="889"/>
      <c r="CH58" s="889"/>
      <c r="CI58" s="889"/>
      <c r="CJ58" s="889"/>
      <c r="CK58" s="889"/>
      <c r="CL58" s="889"/>
      <c r="CM58" s="889"/>
      <c r="CN58" s="889"/>
      <c r="CO58" s="889"/>
      <c r="CP58" s="889"/>
      <c r="CQ58" s="889"/>
      <c r="CR58" s="889"/>
      <c r="CS58" s="889"/>
      <c r="CT58" s="889"/>
      <c r="CU58" s="889"/>
      <c r="CV58" s="889"/>
      <c r="CW58" s="889"/>
      <c r="CX58" s="889"/>
      <c r="CY58" s="889"/>
      <c r="CZ58" s="889"/>
      <c r="DA58" s="889"/>
      <c r="DB58" s="889"/>
      <c r="DC58" s="889"/>
      <c r="DD58" s="889"/>
      <c r="DE58" s="889"/>
      <c r="DF58" s="889"/>
      <c r="DG58" s="889"/>
      <c r="DH58" s="889"/>
      <c r="DI58" s="889"/>
      <c r="DJ58" s="889"/>
      <c r="DK58" s="889"/>
      <c r="DL58" s="889"/>
      <c r="DM58" s="889"/>
      <c r="DN58" s="889"/>
      <c r="DO58" s="889"/>
      <c r="DP58" s="889"/>
      <c r="DQ58" s="889"/>
      <c r="DR58" s="889"/>
      <c r="DS58" s="889"/>
      <c r="DT58" s="889"/>
      <c r="DU58" s="889"/>
      <c r="DV58" s="889"/>
      <c r="DW58" s="889"/>
      <c r="DX58" s="889"/>
      <c r="DY58" s="889"/>
      <c r="DZ58" s="889"/>
      <c r="EA58" s="889"/>
      <c r="EB58" s="889"/>
      <c r="EC58" s="889"/>
      <c r="ED58" s="889"/>
      <c r="EE58" s="889"/>
      <c r="EF58" s="889"/>
      <c r="EG58" s="889"/>
      <c r="EH58" s="889"/>
      <c r="EI58" s="889"/>
      <c r="EJ58" s="889"/>
      <c r="EK58" s="889"/>
      <c r="EL58" s="889"/>
      <c r="EM58" s="889"/>
      <c r="EN58" s="889"/>
      <c r="EO58" s="889"/>
      <c r="EP58" s="889"/>
      <c r="EQ58" s="889"/>
      <c r="ER58" s="889"/>
      <c r="ES58" s="889"/>
      <c r="ET58" s="889"/>
      <c r="EU58" s="889"/>
      <c r="EV58" s="889"/>
      <c r="EW58" s="889"/>
      <c r="EX58" s="889"/>
      <c r="EY58" s="889"/>
      <c r="EZ58" s="889"/>
      <c r="FA58" s="889"/>
      <c r="FB58" s="889"/>
      <c r="FC58" s="889"/>
      <c r="FD58" s="889"/>
      <c r="FE58" s="889"/>
      <c r="FF58" s="889"/>
      <c r="FG58" s="889"/>
      <c r="FH58" s="889"/>
      <c r="FI58" s="889"/>
      <c r="FJ58" s="889"/>
      <c r="FK58" s="889"/>
      <c r="FL58" s="889"/>
      <c r="FM58" s="889"/>
      <c r="FN58" s="889"/>
      <c r="FO58" s="889"/>
      <c r="FP58" s="889"/>
      <c r="FQ58" s="889"/>
      <c r="FR58" s="889"/>
      <c r="FS58" s="889"/>
      <c r="FT58" s="889"/>
      <c r="FU58" s="889"/>
      <c r="FV58" s="889"/>
      <c r="FW58" s="889"/>
      <c r="FX58" s="889"/>
      <c r="FY58" s="889"/>
      <c r="FZ58" s="889"/>
      <c r="GA58" s="889"/>
      <c r="GB58" s="889"/>
      <c r="GC58" s="889"/>
      <c r="GD58" s="889"/>
      <c r="GE58" s="889"/>
      <c r="GF58" s="889"/>
      <c r="GG58" s="889"/>
      <c r="GH58" s="889"/>
      <c r="GI58" s="889"/>
      <c r="GJ58" s="889"/>
      <c r="GK58" s="889"/>
      <c r="GL58" s="889"/>
      <c r="GM58" s="889"/>
      <c r="GN58" s="889"/>
      <c r="GO58" s="889"/>
      <c r="GP58" s="889"/>
      <c r="GQ58" s="889"/>
      <c r="GR58" s="889"/>
      <c r="GS58" s="889"/>
      <c r="GT58" s="889"/>
      <c r="GU58" s="889"/>
      <c r="GV58" s="889"/>
      <c r="GW58" s="889"/>
      <c r="GX58" s="889"/>
      <c r="GY58" s="889"/>
      <c r="GZ58" s="889"/>
      <c r="HA58" s="889"/>
      <c r="HB58" s="889"/>
      <c r="HC58" s="889"/>
      <c r="HD58" s="889"/>
      <c r="HE58" s="889"/>
      <c r="HF58" s="889"/>
      <c r="HG58" s="889"/>
      <c r="HH58" s="889"/>
      <c r="HI58" s="889"/>
      <c r="HJ58" s="889"/>
      <c r="HK58" s="889"/>
      <c r="HL58" s="889"/>
      <c r="HM58" s="889"/>
      <c r="HN58" s="889"/>
      <c r="HO58" s="889"/>
      <c r="HP58" s="889"/>
      <c r="HQ58" s="889"/>
      <c r="HR58" s="889"/>
      <c r="HS58" s="889"/>
      <c r="HT58" s="889"/>
      <c r="HU58" s="889"/>
      <c r="HV58" s="889"/>
      <c r="HW58" s="889"/>
      <c r="HX58" s="889"/>
      <c r="HY58" s="889"/>
      <c r="HZ58" s="889"/>
      <c r="IA58" s="889"/>
      <c r="IB58" s="889"/>
      <c r="IC58" s="889"/>
      <c r="ID58" s="889"/>
      <c r="IE58" s="889"/>
      <c r="IF58" s="889"/>
      <c r="IG58" s="889"/>
      <c r="IH58" s="889"/>
      <c r="II58" s="889"/>
      <c r="IJ58" s="889"/>
      <c r="IK58" s="889"/>
      <c r="IL58" s="889"/>
      <c r="IM58" s="889"/>
      <c r="IN58" s="889"/>
      <c r="IO58" s="889"/>
      <c r="IP58" s="889"/>
      <c r="IQ58" s="889"/>
      <c r="IR58" s="889"/>
      <c r="IS58" s="889"/>
      <c r="IT58" s="889"/>
      <c r="IU58" s="889"/>
      <c r="IV58" s="889"/>
    </row>
    <row r="59" spans="1:256" ht="10.5" customHeight="1">
      <c r="A59" s="949"/>
      <c r="B59" s="875"/>
      <c r="C59" s="950"/>
      <c r="D59" s="950"/>
      <c r="E59" s="950"/>
      <c r="F59" s="950"/>
      <c r="G59" s="945"/>
      <c r="H59" s="946"/>
      <c r="I59" s="947"/>
      <c r="J59" s="947"/>
      <c r="K59" s="948"/>
      <c r="L59" s="948"/>
      <c r="M59" s="948"/>
      <c r="N59" s="948"/>
      <c r="O59" s="889"/>
      <c r="P59" s="889"/>
      <c r="Q59" s="889"/>
      <c r="R59" s="889"/>
      <c r="S59" s="889"/>
      <c r="T59" s="889"/>
      <c r="U59" s="889"/>
      <c r="V59" s="889"/>
      <c r="W59" s="889"/>
      <c r="X59" s="889"/>
      <c r="Y59" s="889"/>
      <c r="Z59" s="889"/>
      <c r="AA59" s="889"/>
      <c r="AB59" s="889"/>
      <c r="AC59" s="889"/>
      <c r="AD59" s="889"/>
      <c r="AE59" s="889"/>
      <c r="AF59" s="889"/>
      <c r="AG59" s="889"/>
      <c r="AH59" s="889"/>
      <c r="AI59" s="889"/>
      <c r="AJ59" s="889"/>
      <c r="AK59" s="889"/>
      <c r="AL59" s="889"/>
      <c r="AM59" s="889"/>
      <c r="AN59" s="889"/>
      <c r="AO59" s="889"/>
      <c r="AP59" s="889"/>
      <c r="AQ59" s="889"/>
      <c r="AR59" s="889"/>
      <c r="AS59" s="889"/>
      <c r="AT59" s="889"/>
      <c r="AU59" s="889"/>
      <c r="AV59" s="889"/>
      <c r="AW59" s="889"/>
      <c r="AX59" s="889"/>
      <c r="AY59" s="889"/>
      <c r="AZ59" s="889"/>
      <c r="BA59" s="889"/>
      <c r="BB59" s="889"/>
      <c r="BC59" s="889"/>
      <c r="BD59" s="889"/>
      <c r="BE59" s="889"/>
      <c r="BF59" s="889"/>
      <c r="BG59" s="889"/>
      <c r="BH59" s="889"/>
      <c r="BI59" s="889"/>
      <c r="BJ59" s="889"/>
      <c r="BK59" s="889"/>
      <c r="BL59" s="889"/>
      <c r="BM59" s="889"/>
      <c r="BN59" s="889"/>
      <c r="BO59" s="889"/>
      <c r="BP59" s="889"/>
      <c r="BQ59" s="889"/>
      <c r="BR59" s="889"/>
      <c r="BS59" s="889"/>
      <c r="BT59" s="889"/>
      <c r="BU59" s="889"/>
      <c r="BV59" s="889"/>
      <c r="BW59" s="889"/>
      <c r="BX59" s="889"/>
      <c r="BY59" s="889"/>
      <c r="BZ59" s="889"/>
      <c r="CA59" s="889"/>
      <c r="CB59" s="889"/>
      <c r="CC59" s="889"/>
      <c r="CD59" s="889"/>
      <c r="CE59" s="889"/>
      <c r="CF59" s="889"/>
      <c r="CG59" s="889"/>
      <c r="CH59" s="889"/>
      <c r="CI59" s="889"/>
      <c r="CJ59" s="889"/>
      <c r="CK59" s="889"/>
      <c r="CL59" s="889"/>
      <c r="CM59" s="889"/>
      <c r="CN59" s="889"/>
      <c r="CO59" s="889"/>
      <c r="CP59" s="889"/>
      <c r="CQ59" s="889"/>
      <c r="CR59" s="889"/>
      <c r="CS59" s="889"/>
      <c r="CT59" s="889"/>
      <c r="CU59" s="889"/>
      <c r="CV59" s="889"/>
      <c r="CW59" s="889"/>
      <c r="CX59" s="889"/>
      <c r="CY59" s="889"/>
      <c r="CZ59" s="889"/>
      <c r="DA59" s="889"/>
      <c r="DB59" s="889"/>
      <c r="DC59" s="889"/>
      <c r="DD59" s="889"/>
      <c r="DE59" s="889"/>
      <c r="DF59" s="889"/>
      <c r="DG59" s="889"/>
      <c r="DH59" s="889"/>
      <c r="DI59" s="889"/>
      <c r="DJ59" s="889"/>
      <c r="DK59" s="889"/>
      <c r="DL59" s="889"/>
      <c r="DM59" s="889"/>
      <c r="DN59" s="889"/>
      <c r="DO59" s="889"/>
      <c r="DP59" s="889"/>
      <c r="DQ59" s="889"/>
      <c r="DR59" s="889"/>
      <c r="DS59" s="889"/>
      <c r="DT59" s="889"/>
      <c r="DU59" s="889"/>
      <c r="DV59" s="889"/>
      <c r="DW59" s="889"/>
      <c r="DX59" s="889"/>
      <c r="DY59" s="889"/>
      <c r="DZ59" s="889"/>
      <c r="EA59" s="889"/>
      <c r="EB59" s="889"/>
      <c r="EC59" s="889"/>
      <c r="ED59" s="889"/>
      <c r="EE59" s="889"/>
      <c r="EF59" s="889"/>
      <c r="EG59" s="889"/>
      <c r="EH59" s="889"/>
      <c r="EI59" s="889"/>
      <c r="EJ59" s="889"/>
      <c r="EK59" s="889"/>
      <c r="EL59" s="889"/>
      <c r="EM59" s="889"/>
      <c r="EN59" s="889"/>
      <c r="EO59" s="889"/>
      <c r="EP59" s="889"/>
      <c r="EQ59" s="889"/>
      <c r="ER59" s="889"/>
      <c r="ES59" s="889"/>
      <c r="ET59" s="889"/>
      <c r="EU59" s="889"/>
      <c r="EV59" s="889"/>
      <c r="EW59" s="889"/>
      <c r="EX59" s="889"/>
      <c r="EY59" s="889"/>
      <c r="EZ59" s="889"/>
      <c r="FA59" s="889"/>
      <c r="FB59" s="889"/>
      <c r="FC59" s="889"/>
      <c r="FD59" s="889"/>
      <c r="FE59" s="889"/>
      <c r="FF59" s="889"/>
      <c r="FG59" s="889"/>
      <c r="FH59" s="889"/>
      <c r="FI59" s="889"/>
      <c r="FJ59" s="889"/>
      <c r="FK59" s="889"/>
      <c r="FL59" s="889"/>
      <c r="FM59" s="889"/>
      <c r="FN59" s="889"/>
      <c r="FO59" s="889"/>
      <c r="FP59" s="889"/>
      <c r="FQ59" s="889"/>
      <c r="FR59" s="889"/>
      <c r="FS59" s="889"/>
      <c r="FT59" s="889"/>
      <c r="FU59" s="889"/>
      <c r="FV59" s="889"/>
      <c r="FW59" s="889"/>
      <c r="FX59" s="889"/>
      <c r="FY59" s="889"/>
      <c r="FZ59" s="889"/>
      <c r="GA59" s="889"/>
      <c r="GB59" s="889"/>
      <c r="GC59" s="889"/>
      <c r="GD59" s="889"/>
      <c r="GE59" s="889"/>
      <c r="GF59" s="889"/>
      <c r="GG59" s="889"/>
      <c r="GH59" s="889"/>
      <c r="GI59" s="889"/>
      <c r="GJ59" s="889"/>
      <c r="GK59" s="889"/>
      <c r="GL59" s="889"/>
      <c r="GM59" s="889"/>
      <c r="GN59" s="889"/>
      <c r="GO59" s="889"/>
      <c r="GP59" s="889"/>
      <c r="GQ59" s="889"/>
      <c r="GR59" s="889"/>
      <c r="GS59" s="889"/>
      <c r="GT59" s="889"/>
      <c r="GU59" s="889"/>
      <c r="GV59" s="889"/>
      <c r="GW59" s="889"/>
      <c r="GX59" s="889"/>
      <c r="GY59" s="889"/>
      <c r="GZ59" s="889"/>
      <c r="HA59" s="889"/>
      <c r="HB59" s="889"/>
      <c r="HC59" s="889"/>
      <c r="HD59" s="889"/>
      <c r="HE59" s="889"/>
      <c r="HF59" s="889"/>
      <c r="HG59" s="889"/>
      <c r="HH59" s="889"/>
      <c r="HI59" s="889"/>
      <c r="HJ59" s="889"/>
      <c r="HK59" s="889"/>
      <c r="HL59" s="889"/>
      <c r="HM59" s="889"/>
      <c r="HN59" s="889"/>
      <c r="HO59" s="889"/>
      <c r="HP59" s="889"/>
      <c r="HQ59" s="889"/>
      <c r="HR59" s="889"/>
      <c r="HS59" s="889"/>
      <c r="HT59" s="889"/>
      <c r="HU59" s="889"/>
      <c r="HV59" s="889"/>
      <c r="HW59" s="889"/>
      <c r="HX59" s="889"/>
      <c r="HY59" s="889"/>
      <c r="HZ59" s="889"/>
      <c r="IA59" s="889"/>
      <c r="IB59" s="889"/>
      <c r="IC59" s="889"/>
      <c r="ID59" s="889"/>
      <c r="IE59" s="889"/>
      <c r="IF59" s="889"/>
      <c r="IG59" s="889"/>
      <c r="IH59" s="889"/>
      <c r="II59" s="889"/>
      <c r="IJ59" s="889"/>
      <c r="IK59" s="889"/>
      <c r="IL59" s="889"/>
      <c r="IM59" s="889"/>
      <c r="IN59" s="889"/>
      <c r="IO59" s="889"/>
      <c r="IP59" s="889"/>
      <c r="IQ59" s="889"/>
      <c r="IR59" s="889"/>
      <c r="IS59" s="889"/>
      <c r="IT59" s="889"/>
      <c r="IU59" s="889"/>
      <c r="IV59" s="889"/>
    </row>
    <row r="60" spans="1:256" ht="10.5" customHeight="1">
      <c r="A60" s="949"/>
      <c r="B60" s="875"/>
      <c r="C60" s="950"/>
      <c r="D60" s="950"/>
      <c r="E60" s="950"/>
      <c r="F60" s="950"/>
      <c r="G60" s="945"/>
      <c r="H60" s="946"/>
      <c r="I60" s="947"/>
      <c r="J60" s="947"/>
      <c r="K60" s="948"/>
      <c r="L60" s="948"/>
      <c r="M60" s="948"/>
      <c r="N60" s="948"/>
      <c r="O60" s="889"/>
      <c r="P60" s="889"/>
      <c r="Q60" s="889"/>
      <c r="R60" s="889"/>
      <c r="S60" s="889"/>
      <c r="T60" s="889"/>
      <c r="U60" s="889"/>
      <c r="V60" s="889"/>
      <c r="W60" s="889"/>
      <c r="X60" s="889"/>
      <c r="Y60" s="889"/>
      <c r="Z60" s="889"/>
      <c r="AA60" s="889"/>
      <c r="AB60" s="889"/>
      <c r="AC60" s="889"/>
      <c r="AD60" s="889"/>
      <c r="AE60" s="889"/>
      <c r="AF60" s="889"/>
      <c r="AG60" s="889"/>
      <c r="AH60" s="889"/>
      <c r="AI60" s="889"/>
      <c r="AJ60" s="889"/>
      <c r="AK60" s="889"/>
      <c r="AL60" s="889"/>
      <c r="AM60" s="889"/>
      <c r="AN60" s="889"/>
      <c r="AO60" s="889"/>
      <c r="AP60" s="889"/>
      <c r="AQ60" s="889"/>
      <c r="AR60" s="889"/>
      <c r="AS60" s="889"/>
      <c r="AT60" s="889"/>
      <c r="AU60" s="889"/>
      <c r="AV60" s="889"/>
      <c r="AW60" s="889"/>
      <c r="AX60" s="889"/>
      <c r="AY60" s="889"/>
      <c r="AZ60" s="889"/>
      <c r="BA60" s="889"/>
      <c r="BB60" s="889"/>
      <c r="BC60" s="889"/>
      <c r="BD60" s="889"/>
      <c r="BE60" s="889"/>
      <c r="BF60" s="889"/>
      <c r="BG60" s="889"/>
      <c r="BH60" s="889"/>
      <c r="BI60" s="889"/>
      <c r="BJ60" s="889"/>
      <c r="BK60" s="889"/>
      <c r="BL60" s="889"/>
      <c r="BM60" s="889"/>
      <c r="BN60" s="889"/>
      <c r="BO60" s="889"/>
      <c r="BP60" s="889"/>
      <c r="BQ60" s="889"/>
      <c r="BR60" s="889"/>
      <c r="BS60" s="889"/>
      <c r="BT60" s="889"/>
      <c r="BU60" s="889"/>
      <c r="BV60" s="889"/>
      <c r="BW60" s="889"/>
      <c r="BX60" s="889"/>
      <c r="BY60" s="889"/>
      <c r="BZ60" s="889"/>
      <c r="CA60" s="889"/>
      <c r="CB60" s="889"/>
      <c r="CC60" s="889"/>
      <c r="CD60" s="889"/>
      <c r="CE60" s="889"/>
      <c r="CF60" s="889"/>
      <c r="CG60" s="889"/>
      <c r="CH60" s="889"/>
      <c r="CI60" s="889"/>
      <c r="CJ60" s="889"/>
      <c r="CK60" s="889"/>
      <c r="CL60" s="889"/>
      <c r="CM60" s="889"/>
      <c r="CN60" s="889"/>
      <c r="CO60" s="889"/>
      <c r="CP60" s="889"/>
      <c r="CQ60" s="889"/>
      <c r="CR60" s="889"/>
      <c r="CS60" s="889"/>
      <c r="CT60" s="889"/>
      <c r="CU60" s="889"/>
      <c r="CV60" s="889"/>
      <c r="CW60" s="889"/>
      <c r="CX60" s="889"/>
      <c r="CY60" s="889"/>
      <c r="CZ60" s="889"/>
      <c r="DA60" s="889"/>
      <c r="DB60" s="889"/>
      <c r="DC60" s="889"/>
      <c r="DD60" s="889"/>
      <c r="DE60" s="889"/>
      <c r="DF60" s="889"/>
      <c r="DG60" s="889"/>
      <c r="DH60" s="889"/>
      <c r="DI60" s="889"/>
      <c r="DJ60" s="889"/>
      <c r="DK60" s="889"/>
      <c r="DL60" s="889"/>
      <c r="DM60" s="889"/>
      <c r="DN60" s="889"/>
      <c r="DO60" s="889"/>
      <c r="DP60" s="889"/>
      <c r="DQ60" s="889"/>
      <c r="DR60" s="889"/>
      <c r="DS60" s="889"/>
      <c r="DT60" s="889"/>
      <c r="DU60" s="889"/>
      <c r="DV60" s="889"/>
      <c r="DW60" s="889"/>
      <c r="DX60" s="889"/>
      <c r="DY60" s="889"/>
      <c r="DZ60" s="889"/>
      <c r="EA60" s="889"/>
      <c r="EB60" s="889"/>
      <c r="EC60" s="889"/>
      <c r="ED60" s="889"/>
      <c r="EE60" s="889"/>
      <c r="EF60" s="889"/>
      <c r="EG60" s="889"/>
      <c r="EH60" s="889"/>
      <c r="EI60" s="889"/>
      <c r="EJ60" s="889"/>
      <c r="EK60" s="889"/>
      <c r="EL60" s="889"/>
      <c r="EM60" s="889"/>
      <c r="EN60" s="889"/>
      <c r="EO60" s="889"/>
      <c r="EP60" s="889"/>
      <c r="EQ60" s="889"/>
      <c r="ER60" s="889"/>
      <c r="ES60" s="889"/>
      <c r="ET60" s="889"/>
      <c r="EU60" s="889"/>
      <c r="EV60" s="889"/>
      <c r="EW60" s="889"/>
      <c r="EX60" s="889"/>
      <c r="EY60" s="889"/>
      <c r="EZ60" s="889"/>
      <c r="FA60" s="889"/>
      <c r="FB60" s="889"/>
      <c r="FC60" s="889"/>
      <c r="FD60" s="889"/>
      <c r="FE60" s="889"/>
      <c r="FF60" s="889"/>
      <c r="FG60" s="889"/>
      <c r="FH60" s="889"/>
      <c r="FI60" s="889"/>
      <c r="FJ60" s="889"/>
      <c r="FK60" s="889"/>
      <c r="FL60" s="889"/>
      <c r="FM60" s="889"/>
      <c r="FN60" s="889"/>
      <c r="FO60" s="889"/>
      <c r="FP60" s="889"/>
      <c r="FQ60" s="889"/>
      <c r="FR60" s="889"/>
      <c r="FS60" s="889"/>
      <c r="FT60" s="889"/>
      <c r="FU60" s="889"/>
      <c r="FV60" s="889"/>
      <c r="FW60" s="889"/>
      <c r="FX60" s="889"/>
      <c r="FY60" s="889"/>
      <c r="FZ60" s="889"/>
      <c r="GA60" s="889"/>
      <c r="GB60" s="889"/>
      <c r="GC60" s="889"/>
      <c r="GD60" s="889"/>
      <c r="GE60" s="889"/>
      <c r="GF60" s="889"/>
      <c r="GG60" s="889"/>
      <c r="GH60" s="889"/>
      <c r="GI60" s="889"/>
      <c r="GJ60" s="889"/>
      <c r="GK60" s="889"/>
      <c r="GL60" s="889"/>
      <c r="GM60" s="889"/>
      <c r="GN60" s="889"/>
      <c r="GO60" s="889"/>
      <c r="GP60" s="889"/>
      <c r="GQ60" s="889"/>
      <c r="GR60" s="889"/>
      <c r="GS60" s="889"/>
      <c r="GT60" s="889"/>
      <c r="GU60" s="889"/>
      <c r="GV60" s="889"/>
      <c r="GW60" s="889"/>
      <c r="GX60" s="889"/>
      <c r="GY60" s="889"/>
      <c r="GZ60" s="889"/>
      <c r="HA60" s="889"/>
      <c r="HB60" s="889"/>
      <c r="HC60" s="889"/>
      <c r="HD60" s="889"/>
      <c r="HE60" s="889"/>
      <c r="HF60" s="889"/>
      <c r="HG60" s="889"/>
      <c r="HH60" s="889"/>
      <c r="HI60" s="889"/>
      <c r="HJ60" s="889"/>
      <c r="HK60" s="889"/>
      <c r="HL60" s="889"/>
      <c r="HM60" s="889"/>
      <c r="HN60" s="889"/>
      <c r="HO60" s="889"/>
      <c r="HP60" s="889"/>
      <c r="HQ60" s="889"/>
      <c r="HR60" s="889"/>
      <c r="HS60" s="889"/>
      <c r="HT60" s="889"/>
      <c r="HU60" s="889"/>
      <c r="HV60" s="889"/>
      <c r="HW60" s="889"/>
      <c r="HX60" s="889"/>
      <c r="HY60" s="889"/>
      <c r="HZ60" s="889"/>
      <c r="IA60" s="889"/>
      <c r="IB60" s="889"/>
      <c r="IC60" s="889"/>
      <c r="ID60" s="889"/>
      <c r="IE60" s="889"/>
      <c r="IF60" s="889"/>
      <c r="IG60" s="889"/>
      <c r="IH60" s="889"/>
      <c r="II60" s="889"/>
      <c r="IJ60" s="889"/>
      <c r="IK60" s="889"/>
      <c r="IL60" s="889"/>
      <c r="IM60" s="889"/>
      <c r="IN60" s="889"/>
      <c r="IO60" s="889"/>
      <c r="IP60" s="889"/>
      <c r="IQ60" s="889"/>
      <c r="IR60" s="889"/>
      <c r="IS60" s="889"/>
      <c r="IT60" s="889"/>
      <c r="IU60" s="889"/>
      <c r="IV60" s="889"/>
    </row>
    <row r="61" spans="1:256" ht="10.5" customHeight="1">
      <c r="A61" s="949"/>
      <c r="B61" s="875"/>
      <c r="C61" s="950"/>
      <c r="D61" s="950"/>
      <c r="E61" s="950"/>
      <c r="F61" s="950"/>
      <c r="G61" s="945"/>
      <c r="H61" s="946"/>
      <c r="I61" s="947"/>
      <c r="J61" s="947"/>
      <c r="K61" s="948"/>
      <c r="L61" s="948"/>
      <c r="M61" s="948"/>
      <c r="N61" s="948"/>
      <c r="O61" s="889"/>
      <c r="P61" s="889"/>
      <c r="Q61" s="889"/>
      <c r="R61" s="889"/>
      <c r="S61" s="889"/>
      <c r="T61" s="889"/>
      <c r="U61" s="889"/>
      <c r="V61" s="889"/>
      <c r="W61" s="889"/>
      <c r="X61" s="889"/>
      <c r="Y61" s="889"/>
      <c r="Z61" s="889"/>
      <c r="AA61" s="889"/>
      <c r="AB61" s="889"/>
      <c r="AC61" s="889"/>
      <c r="AD61" s="889"/>
      <c r="AE61" s="889"/>
      <c r="AF61" s="889"/>
      <c r="AG61" s="889"/>
      <c r="AH61" s="889"/>
      <c r="AI61" s="889"/>
      <c r="AJ61" s="889"/>
      <c r="AK61" s="889"/>
      <c r="AL61" s="889"/>
      <c r="AM61" s="889"/>
      <c r="AN61" s="889"/>
      <c r="AO61" s="889"/>
      <c r="AP61" s="889"/>
      <c r="AQ61" s="889"/>
      <c r="AR61" s="889"/>
      <c r="AS61" s="889"/>
      <c r="AT61" s="889"/>
      <c r="AU61" s="889"/>
      <c r="AV61" s="889"/>
      <c r="AW61" s="889"/>
      <c r="AX61" s="889"/>
      <c r="AY61" s="889"/>
      <c r="AZ61" s="889"/>
      <c r="BA61" s="889"/>
      <c r="BB61" s="889"/>
      <c r="BC61" s="889"/>
      <c r="BD61" s="889"/>
      <c r="BE61" s="889"/>
      <c r="BF61" s="889"/>
      <c r="BG61" s="889"/>
      <c r="BH61" s="889"/>
      <c r="BI61" s="889"/>
      <c r="BJ61" s="889"/>
      <c r="BK61" s="889"/>
      <c r="BL61" s="889"/>
      <c r="BM61" s="889"/>
      <c r="BN61" s="889"/>
      <c r="BO61" s="889"/>
      <c r="BP61" s="889"/>
      <c r="BQ61" s="889"/>
      <c r="BR61" s="889"/>
      <c r="BS61" s="889"/>
      <c r="BT61" s="889"/>
      <c r="BU61" s="889"/>
      <c r="BV61" s="889"/>
      <c r="BW61" s="889"/>
      <c r="BX61" s="889"/>
      <c r="BY61" s="889"/>
      <c r="BZ61" s="889"/>
      <c r="CA61" s="889"/>
      <c r="CB61" s="889"/>
      <c r="CC61" s="889"/>
      <c r="CD61" s="889"/>
      <c r="CE61" s="889"/>
      <c r="CF61" s="889"/>
      <c r="CG61" s="889"/>
      <c r="CH61" s="889"/>
      <c r="CI61" s="889"/>
      <c r="CJ61" s="889"/>
      <c r="CK61" s="889"/>
      <c r="CL61" s="889"/>
      <c r="CM61" s="889"/>
      <c r="CN61" s="889"/>
      <c r="CO61" s="889"/>
      <c r="CP61" s="889"/>
      <c r="CQ61" s="889"/>
      <c r="CR61" s="889"/>
      <c r="CS61" s="889"/>
      <c r="CT61" s="889"/>
      <c r="CU61" s="889"/>
      <c r="CV61" s="889"/>
      <c r="CW61" s="889"/>
      <c r="CX61" s="889"/>
      <c r="CY61" s="889"/>
      <c r="CZ61" s="889"/>
      <c r="DA61" s="889"/>
      <c r="DB61" s="889"/>
      <c r="DC61" s="889"/>
      <c r="DD61" s="889"/>
      <c r="DE61" s="889"/>
      <c r="DF61" s="889"/>
      <c r="DG61" s="889"/>
      <c r="DH61" s="889"/>
      <c r="DI61" s="889"/>
      <c r="DJ61" s="889"/>
      <c r="DK61" s="889"/>
      <c r="DL61" s="889"/>
      <c r="DM61" s="889"/>
      <c r="DN61" s="889"/>
      <c r="DO61" s="889"/>
      <c r="DP61" s="889"/>
      <c r="DQ61" s="889"/>
      <c r="DR61" s="889"/>
      <c r="DS61" s="889"/>
      <c r="DT61" s="889"/>
      <c r="DU61" s="889"/>
      <c r="DV61" s="889"/>
      <c r="DW61" s="889"/>
      <c r="DX61" s="889"/>
      <c r="DY61" s="889"/>
      <c r="DZ61" s="889"/>
      <c r="EA61" s="889"/>
      <c r="EB61" s="889"/>
      <c r="EC61" s="889"/>
      <c r="ED61" s="889"/>
      <c r="EE61" s="889"/>
      <c r="EF61" s="889"/>
      <c r="EG61" s="889"/>
      <c r="EH61" s="889"/>
      <c r="EI61" s="889"/>
      <c r="EJ61" s="889"/>
      <c r="EK61" s="889"/>
      <c r="EL61" s="889"/>
      <c r="EM61" s="889"/>
      <c r="EN61" s="889"/>
      <c r="EO61" s="889"/>
      <c r="EP61" s="889"/>
      <c r="EQ61" s="889"/>
      <c r="ER61" s="889"/>
      <c r="ES61" s="889"/>
      <c r="ET61" s="889"/>
      <c r="EU61" s="889"/>
      <c r="EV61" s="889"/>
      <c r="EW61" s="889"/>
      <c r="EX61" s="889"/>
      <c r="EY61" s="889"/>
      <c r="EZ61" s="889"/>
      <c r="FA61" s="889"/>
      <c r="FB61" s="889"/>
      <c r="FC61" s="889"/>
      <c r="FD61" s="889"/>
      <c r="FE61" s="889"/>
      <c r="FF61" s="889"/>
      <c r="FG61" s="889"/>
      <c r="FH61" s="889"/>
      <c r="FI61" s="889"/>
      <c r="FJ61" s="889"/>
      <c r="FK61" s="889"/>
      <c r="FL61" s="889"/>
      <c r="FM61" s="889"/>
      <c r="FN61" s="889"/>
      <c r="FO61" s="889"/>
      <c r="FP61" s="889"/>
      <c r="FQ61" s="889"/>
      <c r="FR61" s="889"/>
      <c r="FS61" s="889"/>
      <c r="FT61" s="889"/>
      <c r="FU61" s="889"/>
      <c r="FV61" s="889"/>
      <c r="FW61" s="889"/>
      <c r="FX61" s="889"/>
      <c r="FY61" s="889"/>
      <c r="FZ61" s="889"/>
      <c r="GA61" s="889"/>
      <c r="GB61" s="889"/>
      <c r="GC61" s="889"/>
      <c r="GD61" s="889"/>
      <c r="GE61" s="889"/>
      <c r="GF61" s="889"/>
      <c r="GG61" s="889"/>
      <c r="GH61" s="889"/>
      <c r="GI61" s="889"/>
      <c r="GJ61" s="889"/>
      <c r="GK61" s="889"/>
      <c r="GL61" s="889"/>
      <c r="GM61" s="889"/>
      <c r="GN61" s="889"/>
      <c r="GO61" s="889"/>
      <c r="GP61" s="889"/>
      <c r="GQ61" s="889"/>
      <c r="GR61" s="889"/>
      <c r="GS61" s="889"/>
      <c r="GT61" s="889"/>
      <c r="GU61" s="889"/>
      <c r="GV61" s="889"/>
      <c r="GW61" s="889"/>
      <c r="GX61" s="889"/>
      <c r="GY61" s="889"/>
      <c r="GZ61" s="889"/>
      <c r="HA61" s="889"/>
      <c r="HB61" s="889"/>
      <c r="HC61" s="889"/>
      <c r="HD61" s="889"/>
      <c r="HE61" s="889"/>
      <c r="HF61" s="889"/>
      <c r="HG61" s="889"/>
      <c r="HH61" s="889"/>
      <c r="HI61" s="889"/>
      <c r="HJ61" s="889"/>
      <c r="HK61" s="889"/>
      <c r="HL61" s="889"/>
      <c r="HM61" s="889"/>
      <c r="HN61" s="889"/>
      <c r="HO61" s="889"/>
      <c r="HP61" s="889"/>
      <c r="HQ61" s="889"/>
      <c r="HR61" s="889"/>
      <c r="HS61" s="889"/>
      <c r="HT61" s="889"/>
      <c r="HU61" s="889"/>
      <c r="HV61" s="889"/>
      <c r="HW61" s="889"/>
      <c r="HX61" s="889"/>
      <c r="HY61" s="889"/>
      <c r="HZ61" s="889"/>
      <c r="IA61" s="889"/>
      <c r="IB61" s="889"/>
      <c r="IC61" s="889"/>
      <c r="ID61" s="889"/>
      <c r="IE61" s="889"/>
      <c r="IF61" s="889"/>
      <c r="IG61" s="889"/>
      <c r="IH61" s="889"/>
      <c r="II61" s="889"/>
      <c r="IJ61" s="889"/>
      <c r="IK61" s="889"/>
      <c r="IL61" s="889"/>
      <c r="IM61" s="889"/>
      <c r="IN61" s="889"/>
      <c r="IO61" s="889"/>
      <c r="IP61" s="889"/>
      <c r="IQ61" s="889"/>
      <c r="IR61" s="889"/>
      <c r="IS61" s="889"/>
      <c r="IT61" s="889"/>
      <c r="IU61" s="889"/>
      <c r="IV61" s="889"/>
    </row>
    <row r="62" spans="1:256" ht="12" customHeight="1">
      <c r="A62" s="949"/>
      <c r="B62" s="875"/>
      <c r="C62" s="950"/>
      <c r="D62" s="950"/>
      <c r="E62" s="950"/>
      <c r="F62" s="950"/>
      <c r="G62" s="945"/>
      <c r="H62" s="946"/>
      <c r="I62" s="947"/>
      <c r="J62" s="947"/>
      <c r="K62" s="948"/>
      <c r="L62" s="948"/>
      <c r="M62" s="948"/>
      <c r="N62" s="948"/>
      <c r="O62" s="889"/>
      <c r="P62" s="889"/>
      <c r="Q62" s="889"/>
      <c r="R62" s="889"/>
      <c r="S62" s="889"/>
      <c r="T62" s="889"/>
      <c r="U62" s="889"/>
      <c r="V62" s="889"/>
      <c r="W62" s="889"/>
      <c r="X62" s="889"/>
      <c r="Y62" s="889"/>
      <c r="Z62" s="889"/>
      <c r="AA62" s="889"/>
      <c r="AB62" s="889"/>
      <c r="AC62" s="889"/>
      <c r="AD62" s="889"/>
      <c r="AE62" s="889"/>
      <c r="AF62" s="889"/>
      <c r="AG62" s="889"/>
      <c r="AH62" s="889"/>
      <c r="AI62" s="889"/>
      <c r="AJ62" s="889"/>
      <c r="AK62" s="889"/>
      <c r="AL62" s="889"/>
      <c r="AM62" s="889"/>
      <c r="AN62" s="889"/>
      <c r="AO62" s="889"/>
      <c r="AP62" s="889"/>
      <c r="AQ62" s="889"/>
      <c r="AR62" s="889"/>
      <c r="AS62" s="889"/>
      <c r="AT62" s="889"/>
      <c r="AU62" s="889"/>
      <c r="AV62" s="889"/>
      <c r="AW62" s="889"/>
      <c r="AX62" s="889"/>
      <c r="AY62" s="889"/>
      <c r="AZ62" s="889"/>
      <c r="BA62" s="889"/>
      <c r="BB62" s="889"/>
      <c r="BC62" s="889"/>
      <c r="BD62" s="889"/>
      <c r="BE62" s="889"/>
      <c r="BF62" s="889"/>
      <c r="BG62" s="889"/>
      <c r="BH62" s="889"/>
      <c r="BI62" s="889"/>
      <c r="BJ62" s="889"/>
      <c r="BK62" s="889"/>
      <c r="BL62" s="889"/>
      <c r="BM62" s="889"/>
      <c r="BN62" s="889"/>
      <c r="BO62" s="889"/>
      <c r="BP62" s="889"/>
      <c r="BQ62" s="889"/>
      <c r="BR62" s="889"/>
      <c r="BS62" s="889"/>
      <c r="BT62" s="889"/>
      <c r="BU62" s="889"/>
      <c r="BV62" s="889"/>
      <c r="BW62" s="889"/>
      <c r="BX62" s="889"/>
      <c r="BY62" s="889"/>
      <c r="BZ62" s="889"/>
      <c r="CA62" s="889"/>
      <c r="CB62" s="889"/>
      <c r="CC62" s="889"/>
      <c r="CD62" s="889"/>
      <c r="CE62" s="889"/>
      <c r="CF62" s="889"/>
      <c r="CG62" s="889"/>
      <c r="CH62" s="889"/>
      <c r="CI62" s="889"/>
      <c r="CJ62" s="889"/>
      <c r="CK62" s="889"/>
      <c r="CL62" s="889"/>
      <c r="CM62" s="889"/>
      <c r="CN62" s="889"/>
      <c r="CO62" s="889"/>
      <c r="CP62" s="889"/>
      <c r="CQ62" s="889"/>
      <c r="CR62" s="889"/>
      <c r="CS62" s="889"/>
      <c r="CT62" s="889"/>
      <c r="CU62" s="889"/>
      <c r="CV62" s="889"/>
      <c r="CW62" s="889"/>
      <c r="CX62" s="889"/>
      <c r="CY62" s="889"/>
      <c r="CZ62" s="889"/>
      <c r="DA62" s="889"/>
      <c r="DB62" s="889"/>
      <c r="DC62" s="889"/>
      <c r="DD62" s="889"/>
      <c r="DE62" s="889"/>
      <c r="DF62" s="889"/>
      <c r="DG62" s="889"/>
      <c r="DH62" s="889"/>
      <c r="DI62" s="889"/>
      <c r="DJ62" s="889"/>
      <c r="DK62" s="889"/>
      <c r="DL62" s="889"/>
      <c r="DM62" s="889"/>
      <c r="DN62" s="889"/>
      <c r="DO62" s="889"/>
      <c r="DP62" s="889"/>
      <c r="DQ62" s="889"/>
      <c r="DR62" s="889"/>
      <c r="DS62" s="889"/>
      <c r="DT62" s="889"/>
      <c r="DU62" s="889"/>
      <c r="DV62" s="889"/>
      <c r="DW62" s="889"/>
      <c r="DX62" s="889"/>
      <c r="DY62" s="889"/>
      <c r="DZ62" s="889"/>
      <c r="EA62" s="889"/>
      <c r="EB62" s="889"/>
      <c r="EC62" s="889"/>
      <c r="ED62" s="889"/>
      <c r="EE62" s="889"/>
      <c r="EF62" s="889"/>
      <c r="EG62" s="889"/>
      <c r="EH62" s="889"/>
      <c r="EI62" s="889"/>
      <c r="EJ62" s="889"/>
      <c r="EK62" s="889"/>
      <c r="EL62" s="889"/>
      <c r="EM62" s="889"/>
      <c r="EN62" s="889"/>
      <c r="EO62" s="889"/>
      <c r="EP62" s="889"/>
      <c r="EQ62" s="889"/>
      <c r="ER62" s="889"/>
      <c r="ES62" s="889"/>
      <c r="ET62" s="889"/>
      <c r="EU62" s="889"/>
      <c r="EV62" s="889"/>
      <c r="EW62" s="889"/>
      <c r="EX62" s="889"/>
      <c r="EY62" s="889"/>
      <c r="EZ62" s="889"/>
      <c r="FA62" s="889"/>
      <c r="FB62" s="889"/>
      <c r="FC62" s="889"/>
      <c r="FD62" s="889"/>
      <c r="FE62" s="889"/>
      <c r="FF62" s="889"/>
      <c r="FG62" s="889"/>
      <c r="FH62" s="889"/>
      <c r="FI62" s="889"/>
      <c r="FJ62" s="889"/>
      <c r="FK62" s="889"/>
      <c r="FL62" s="889"/>
      <c r="FM62" s="889"/>
      <c r="FN62" s="889"/>
      <c r="FO62" s="889"/>
      <c r="FP62" s="889"/>
      <c r="FQ62" s="889"/>
      <c r="FR62" s="889"/>
      <c r="FS62" s="889"/>
      <c r="FT62" s="889"/>
      <c r="FU62" s="889"/>
      <c r="FV62" s="889"/>
      <c r="FW62" s="889"/>
      <c r="FX62" s="889"/>
      <c r="FY62" s="889"/>
      <c r="FZ62" s="889"/>
      <c r="GA62" s="889"/>
      <c r="GB62" s="889"/>
      <c r="GC62" s="889"/>
      <c r="GD62" s="889"/>
      <c r="GE62" s="889"/>
      <c r="GF62" s="889"/>
      <c r="GG62" s="889"/>
      <c r="GH62" s="889"/>
      <c r="GI62" s="889"/>
      <c r="GJ62" s="889"/>
      <c r="GK62" s="889"/>
      <c r="GL62" s="889"/>
      <c r="GM62" s="889"/>
      <c r="GN62" s="889"/>
      <c r="GO62" s="889"/>
      <c r="GP62" s="889"/>
      <c r="GQ62" s="889"/>
      <c r="GR62" s="889"/>
      <c r="GS62" s="889"/>
      <c r="GT62" s="889"/>
      <c r="GU62" s="889"/>
      <c r="GV62" s="889"/>
      <c r="GW62" s="889"/>
      <c r="GX62" s="889"/>
      <c r="GY62" s="889"/>
      <c r="GZ62" s="889"/>
      <c r="HA62" s="889"/>
      <c r="HB62" s="889"/>
      <c r="HC62" s="889"/>
      <c r="HD62" s="889"/>
      <c r="HE62" s="889"/>
      <c r="HF62" s="889"/>
      <c r="HG62" s="889"/>
      <c r="HH62" s="889"/>
      <c r="HI62" s="889"/>
      <c r="HJ62" s="889"/>
      <c r="HK62" s="889"/>
      <c r="HL62" s="889"/>
      <c r="HM62" s="889"/>
      <c r="HN62" s="889"/>
      <c r="HO62" s="889"/>
      <c r="HP62" s="889"/>
      <c r="HQ62" s="889"/>
      <c r="HR62" s="889"/>
      <c r="HS62" s="889"/>
      <c r="HT62" s="889"/>
      <c r="HU62" s="889"/>
      <c r="HV62" s="889"/>
      <c r="HW62" s="889"/>
      <c r="HX62" s="889"/>
      <c r="HY62" s="889"/>
      <c r="HZ62" s="889"/>
      <c r="IA62" s="889"/>
      <c r="IB62" s="889"/>
      <c r="IC62" s="889"/>
      <c r="ID62" s="889"/>
      <c r="IE62" s="889"/>
      <c r="IF62" s="889"/>
      <c r="IG62" s="889"/>
      <c r="IH62" s="889"/>
      <c r="II62" s="889"/>
      <c r="IJ62" s="889"/>
      <c r="IK62" s="889"/>
      <c r="IL62" s="889"/>
      <c r="IM62" s="889"/>
      <c r="IN62" s="889"/>
      <c r="IO62" s="889"/>
      <c r="IP62" s="889"/>
      <c r="IQ62" s="889"/>
      <c r="IR62" s="889"/>
      <c r="IS62" s="889"/>
      <c r="IT62" s="889"/>
      <c r="IU62" s="889"/>
      <c r="IV62" s="889"/>
    </row>
    <row r="63" spans="1:256" ht="9.75" customHeight="1">
      <c r="C63" s="953"/>
      <c r="D63" s="953"/>
      <c r="E63" s="953"/>
      <c r="F63" s="953"/>
      <c r="G63" s="945"/>
      <c r="H63" s="946"/>
      <c r="I63" s="947"/>
      <c r="J63" s="947"/>
      <c r="K63" s="948"/>
      <c r="L63" s="948"/>
      <c r="M63" s="948"/>
      <c r="N63" s="948"/>
      <c r="O63" s="889"/>
      <c r="P63" s="889"/>
      <c r="Q63" s="889"/>
      <c r="R63" s="889"/>
      <c r="S63" s="889"/>
      <c r="T63" s="889"/>
      <c r="U63" s="889"/>
      <c r="V63" s="889"/>
      <c r="W63" s="889"/>
      <c r="X63" s="889"/>
      <c r="Y63" s="889"/>
      <c r="Z63" s="889"/>
      <c r="AA63" s="889"/>
      <c r="AB63" s="889"/>
      <c r="AC63" s="889"/>
      <c r="AD63" s="889"/>
      <c r="AE63" s="889"/>
      <c r="AF63" s="889"/>
      <c r="AG63" s="889"/>
      <c r="AH63" s="889"/>
      <c r="AI63" s="889"/>
      <c r="AJ63" s="889"/>
      <c r="AK63" s="889"/>
      <c r="AL63" s="889"/>
      <c r="AM63" s="889"/>
      <c r="AN63" s="889"/>
      <c r="AO63" s="889"/>
      <c r="AP63" s="889"/>
      <c r="AQ63" s="889"/>
      <c r="AR63" s="889"/>
      <c r="AS63" s="889"/>
      <c r="AT63" s="889"/>
      <c r="AU63" s="889"/>
      <c r="AV63" s="889"/>
      <c r="AW63" s="889"/>
      <c r="AX63" s="889"/>
      <c r="AY63" s="889"/>
      <c r="AZ63" s="889"/>
      <c r="BA63" s="889"/>
      <c r="BB63" s="889"/>
      <c r="BC63" s="889"/>
      <c r="BD63" s="889"/>
      <c r="BE63" s="889"/>
      <c r="BF63" s="889"/>
      <c r="BG63" s="889"/>
      <c r="BH63" s="889"/>
      <c r="BI63" s="889"/>
      <c r="BJ63" s="889"/>
      <c r="BK63" s="889"/>
      <c r="BL63" s="889"/>
      <c r="BM63" s="889"/>
      <c r="BN63" s="889"/>
      <c r="BO63" s="889"/>
      <c r="BP63" s="889"/>
      <c r="BQ63" s="889"/>
      <c r="BR63" s="889"/>
      <c r="BS63" s="889"/>
      <c r="BT63" s="889"/>
      <c r="BU63" s="889"/>
      <c r="BV63" s="889"/>
      <c r="BW63" s="889"/>
      <c r="BX63" s="889"/>
      <c r="BY63" s="889"/>
      <c r="BZ63" s="889"/>
      <c r="CA63" s="889"/>
      <c r="CB63" s="889"/>
      <c r="CC63" s="889"/>
      <c r="CD63" s="889"/>
      <c r="CE63" s="889"/>
      <c r="CF63" s="889"/>
      <c r="CG63" s="889"/>
      <c r="CH63" s="889"/>
      <c r="CI63" s="889"/>
      <c r="CJ63" s="889"/>
      <c r="CK63" s="889"/>
      <c r="CL63" s="889"/>
      <c r="CM63" s="889"/>
      <c r="CN63" s="889"/>
      <c r="CO63" s="889"/>
      <c r="CP63" s="889"/>
      <c r="CQ63" s="889"/>
      <c r="CR63" s="889"/>
      <c r="CS63" s="889"/>
      <c r="CT63" s="889"/>
      <c r="CU63" s="889"/>
      <c r="CV63" s="889"/>
      <c r="CW63" s="889"/>
      <c r="CX63" s="889"/>
      <c r="CY63" s="889"/>
      <c r="CZ63" s="889"/>
      <c r="DA63" s="889"/>
      <c r="DB63" s="889"/>
      <c r="DC63" s="889"/>
      <c r="DD63" s="889"/>
      <c r="DE63" s="889"/>
      <c r="DF63" s="889"/>
      <c r="DG63" s="889"/>
      <c r="DH63" s="889"/>
      <c r="DI63" s="889"/>
      <c r="DJ63" s="889"/>
      <c r="DK63" s="889"/>
      <c r="DL63" s="889"/>
      <c r="DM63" s="889"/>
      <c r="DN63" s="889"/>
      <c r="DO63" s="889"/>
      <c r="DP63" s="889"/>
      <c r="DQ63" s="889"/>
      <c r="DR63" s="889"/>
      <c r="DS63" s="889"/>
      <c r="DT63" s="889"/>
      <c r="DU63" s="889"/>
      <c r="DV63" s="889"/>
      <c r="DW63" s="889"/>
      <c r="DX63" s="889"/>
      <c r="DY63" s="889"/>
      <c r="DZ63" s="889"/>
      <c r="EA63" s="889"/>
      <c r="EB63" s="889"/>
      <c r="EC63" s="889"/>
      <c r="ED63" s="889"/>
      <c r="EE63" s="889"/>
      <c r="EF63" s="889"/>
      <c r="EG63" s="889"/>
      <c r="EH63" s="889"/>
      <c r="EI63" s="889"/>
      <c r="EJ63" s="889"/>
      <c r="EK63" s="889"/>
      <c r="EL63" s="889"/>
      <c r="EM63" s="889"/>
      <c r="EN63" s="889"/>
      <c r="EO63" s="889"/>
      <c r="EP63" s="889"/>
      <c r="EQ63" s="889"/>
      <c r="ER63" s="889"/>
      <c r="ES63" s="889"/>
      <c r="ET63" s="889"/>
      <c r="EU63" s="889"/>
      <c r="EV63" s="889"/>
      <c r="EW63" s="889"/>
      <c r="EX63" s="889"/>
      <c r="EY63" s="889"/>
      <c r="EZ63" s="889"/>
      <c r="FA63" s="889"/>
      <c r="FB63" s="889"/>
      <c r="FC63" s="889"/>
      <c r="FD63" s="889"/>
      <c r="FE63" s="889"/>
      <c r="FF63" s="889"/>
      <c r="FG63" s="889"/>
      <c r="FH63" s="889"/>
      <c r="FI63" s="889"/>
      <c r="FJ63" s="889"/>
      <c r="FK63" s="889"/>
      <c r="FL63" s="889"/>
      <c r="FM63" s="889"/>
      <c r="FN63" s="889"/>
      <c r="FO63" s="889"/>
      <c r="FP63" s="889"/>
      <c r="FQ63" s="889"/>
      <c r="FR63" s="889"/>
      <c r="FS63" s="889"/>
      <c r="FT63" s="889"/>
      <c r="FU63" s="889"/>
      <c r="FV63" s="889"/>
      <c r="FW63" s="889"/>
      <c r="FX63" s="889"/>
      <c r="FY63" s="889"/>
      <c r="FZ63" s="889"/>
      <c r="GA63" s="889"/>
      <c r="GB63" s="889"/>
      <c r="GC63" s="889"/>
      <c r="GD63" s="889"/>
      <c r="GE63" s="889"/>
      <c r="GF63" s="889"/>
      <c r="GG63" s="889"/>
      <c r="GH63" s="889"/>
      <c r="GI63" s="889"/>
      <c r="GJ63" s="889"/>
      <c r="GK63" s="889"/>
      <c r="GL63" s="889"/>
      <c r="GM63" s="889"/>
      <c r="GN63" s="889"/>
      <c r="GO63" s="889"/>
      <c r="GP63" s="889"/>
      <c r="GQ63" s="889"/>
      <c r="GR63" s="889"/>
      <c r="GS63" s="889"/>
      <c r="GT63" s="889"/>
      <c r="GU63" s="889"/>
      <c r="GV63" s="889"/>
      <c r="GW63" s="889"/>
      <c r="GX63" s="889"/>
      <c r="GY63" s="889"/>
      <c r="GZ63" s="889"/>
      <c r="HA63" s="889"/>
      <c r="HB63" s="889"/>
      <c r="HC63" s="889"/>
      <c r="HD63" s="889"/>
      <c r="HE63" s="889"/>
      <c r="HF63" s="889"/>
      <c r="HG63" s="889"/>
      <c r="HH63" s="889"/>
      <c r="HI63" s="889"/>
      <c r="HJ63" s="889"/>
      <c r="HK63" s="889"/>
      <c r="HL63" s="889"/>
      <c r="HM63" s="889"/>
      <c r="HN63" s="889"/>
      <c r="HO63" s="889"/>
      <c r="HP63" s="889"/>
      <c r="HQ63" s="889"/>
      <c r="HR63" s="889"/>
      <c r="HS63" s="889"/>
      <c r="HT63" s="889"/>
      <c r="HU63" s="889"/>
      <c r="HV63" s="889"/>
      <c r="HW63" s="889"/>
      <c r="HX63" s="889"/>
      <c r="HY63" s="889"/>
      <c r="HZ63" s="889"/>
      <c r="IA63" s="889"/>
      <c r="IB63" s="889"/>
      <c r="IC63" s="889"/>
      <c r="ID63" s="889"/>
      <c r="IE63" s="889"/>
      <c r="IF63" s="889"/>
      <c r="IG63" s="889"/>
      <c r="IH63" s="889"/>
      <c r="II63" s="889"/>
      <c r="IJ63" s="889"/>
      <c r="IK63" s="889"/>
      <c r="IL63" s="889"/>
      <c r="IM63" s="889"/>
      <c r="IN63" s="889"/>
      <c r="IO63" s="889"/>
      <c r="IP63" s="889"/>
      <c r="IQ63" s="889"/>
      <c r="IR63" s="889"/>
      <c r="IS63" s="889"/>
      <c r="IT63" s="889"/>
      <c r="IU63" s="889"/>
      <c r="IV63" s="889"/>
    </row>
    <row r="64" spans="1:256" ht="6" customHeight="1">
      <c r="C64" s="953"/>
      <c r="D64" s="953"/>
      <c r="E64" s="953"/>
      <c r="F64" s="953"/>
      <c r="G64" s="945"/>
      <c r="H64" s="946"/>
      <c r="I64" s="947"/>
      <c r="J64" s="947"/>
      <c r="K64" s="954"/>
      <c r="L64" s="954"/>
      <c r="M64" s="954"/>
      <c r="N64" s="954"/>
      <c r="O64" s="889"/>
      <c r="P64" s="889"/>
      <c r="Q64" s="889"/>
      <c r="R64" s="889"/>
      <c r="S64" s="889"/>
      <c r="T64" s="889"/>
      <c r="U64" s="889"/>
      <c r="V64" s="889"/>
      <c r="W64" s="889"/>
      <c r="X64" s="889"/>
      <c r="Y64" s="889"/>
      <c r="Z64" s="889"/>
      <c r="AA64" s="889"/>
      <c r="AB64" s="889"/>
      <c r="AC64" s="889"/>
      <c r="AD64" s="889"/>
      <c r="AE64" s="889"/>
      <c r="AF64" s="889"/>
      <c r="AG64" s="889"/>
      <c r="AH64" s="889"/>
      <c r="AI64" s="889"/>
      <c r="AJ64" s="889"/>
      <c r="AK64" s="889"/>
      <c r="AL64" s="889"/>
      <c r="AM64" s="889"/>
      <c r="AN64" s="889"/>
      <c r="AO64" s="889"/>
      <c r="AP64" s="889"/>
      <c r="AQ64" s="889"/>
      <c r="AR64" s="889"/>
      <c r="AS64" s="889"/>
      <c r="AT64" s="889"/>
      <c r="AU64" s="889"/>
      <c r="AV64" s="889"/>
      <c r="AW64" s="889"/>
      <c r="AX64" s="889"/>
      <c r="AY64" s="889"/>
      <c r="AZ64" s="889"/>
      <c r="BA64" s="889"/>
      <c r="BB64" s="889"/>
      <c r="BC64" s="889"/>
      <c r="BD64" s="889"/>
      <c r="BE64" s="889"/>
      <c r="BF64" s="889"/>
      <c r="BG64" s="889"/>
      <c r="BH64" s="889"/>
      <c r="BI64" s="889"/>
      <c r="BJ64" s="889"/>
      <c r="BK64" s="889"/>
      <c r="BL64" s="889"/>
      <c r="BM64" s="889"/>
      <c r="BN64" s="889"/>
      <c r="BO64" s="889"/>
      <c r="BP64" s="889"/>
      <c r="BQ64" s="889"/>
      <c r="BR64" s="889"/>
      <c r="BS64" s="889"/>
      <c r="BT64" s="889"/>
      <c r="BU64" s="889"/>
      <c r="BV64" s="889"/>
      <c r="BW64" s="889"/>
      <c r="BX64" s="889"/>
      <c r="BY64" s="889"/>
      <c r="BZ64" s="889"/>
      <c r="CA64" s="889"/>
      <c r="CB64" s="889"/>
      <c r="CC64" s="889"/>
      <c r="CD64" s="889"/>
      <c r="CE64" s="889"/>
      <c r="CF64" s="889"/>
      <c r="CG64" s="889"/>
      <c r="CH64" s="889"/>
      <c r="CI64" s="889"/>
      <c r="CJ64" s="889"/>
      <c r="CK64" s="889"/>
      <c r="CL64" s="889"/>
      <c r="CM64" s="889"/>
      <c r="CN64" s="889"/>
      <c r="CO64" s="889"/>
      <c r="CP64" s="889"/>
      <c r="CQ64" s="889"/>
      <c r="CR64" s="889"/>
      <c r="CS64" s="889"/>
      <c r="CT64" s="889"/>
      <c r="CU64" s="889"/>
      <c r="CV64" s="889"/>
      <c r="CW64" s="889"/>
      <c r="CX64" s="889"/>
      <c r="CY64" s="889"/>
      <c r="CZ64" s="889"/>
      <c r="DA64" s="889"/>
      <c r="DB64" s="889"/>
      <c r="DC64" s="889"/>
      <c r="DD64" s="889"/>
      <c r="DE64" s="889"/>
      <c r="DF64" s="889"/>
      <c r="DG64" s="889"/>
      <c r="DH64" s="889"/>
      <c r="DI64" s="889"/>
      <c r="DJ64" s="889"/>
      <c r="DK64" s="889"/>
      <c r="DL64" s="889"/>
      <c r="DM64" s="889"/>
      <c r="DN64" s="889"/>
      <c r="DO64" s="889"/>
      <c r="DP64" s="889"/>
      <c r="DQ64" s="889"/>
      <c r="DR64" s="889"/>
      <c r="DS64" s="889"/>
      <c r="DT64" s="889"/>
      <c r="DU64" s="889"/>
      <c r="DV64" s="889"/>
      <c r="DW64" s="889"/>
      <c r="DX64" s="889"/>
      <c r="DY64" s="889"/>
      <c r="DZ64" s="889"/>
      <c r="EA64" s="889"/>
      <c r="EB64" s="889"/>
      <c r="EC64" s="889"/>
      <c r="ED64" s="889"/>
      <c r="EE64" s="889"/>
      <c r="EF64" s="889"/>
      <c r="EG64" s="889"/>
      <c r="EH64" s="889"/>
      <c r="EI64" s="889"/>
      <c r="EJ64" s="889"/>
      <c r="EK64" s="889"/>
      <c r="EL64" s="889"/>
      <c r="EM64" s="889"/>
      <c r="EN64" s="889"/>
      <c r="EO64" s="889"/>
      <c r="EP64" s="889"/>
      <c r="EQ64" s="889"/>
      <c r="ER64" s="889"/>
      <c r="ES64" s="889"/>
      <c r="ET64" s="889"/>
      <c r="EU64" s="889"/>
      <c r="EV64" s="889"/>
      <c r="EW64" s="889"/>
      <c r="EX64" s="889"/>
      <c r="EY64" s="889"/>
      <c r="EZ64" s="889"/>
      <c r="FA64" s="889"/>
      <c r="FB64" s="889"/>
      <c r="FC64" s="889"/>
      <c r="FD64" s="889"/>
      <c r="FE64" s="889"/>
      <c r="FF64" s="889"/>
      <c r="FG64" s="889"/>
      <c r="FH64" s="889"/>
      <c r="FI64" s="889"/>
      <c r="FJ64" s="889"/>
      <c r="FK64" s="889"/>
      <c r="FL64" s="889"/>
      <c r="FM64" s="889"/>
      <c r="FN64" s="889"/>
      <c r="FO64" s="889"/>
      <c r="FP64" s="889"/>
      <c r="FQ64" s="889"/>
      <c r="FR64" s="889"/>
      <c r="FS64" s="889"/>
      <c r="FT64" s="889"/>
      <c r="FU64" s="889"/>
      <c r="FV64" s="889"/>
      <c r="FW64" s="889"/>
      <c r="FX64" s="889"/>
      <c r="FY64" s="889"/>
      <c r="FZ64" s="889"/>
      <c r="GA64" s="889"/>
      <c r="GB64" s="889"/>
      <c r="GC64" s="889"/>
      <c r="GD64" s="889"/>
      <c r="GE64" s="889"/>
      <c r="GF64" s="889"/>
      <c r="GG64" s="889"/>
      <c r="GH64" s="889"/>
      <c r="GI64" s="889"/>
      <c r="GJ64" s="889"/>
      <c r="GK64" s="889"/>
      <c r="GL64" s="889"/>
      <c r="GM64" s="889"/>
      <c r="GN64" s="889"/>
      <c r="GO64" s="889"/>
      <c r="GP64" s="889"/>
      <c r="GQ64" s="889"/>
      <c r="GR64" s="889"/>
      <c r="GS64" s="889"/>
      <c r="GT64" s="889"/>
      <c r="GU64" s="889"/>
      <c r="GV64" s="889"/>
      <c r="GW64" s="889"/>
      <c r="GX64" s="889"/>
      <c r="GY64" s="889"/>
      <c r="GZ64" s="889"/>
      <c r="HA64" s="889"/>
      <c r="HB64" s="889"/>
      <c r="HC64" s="889"/>
      <c r="HD64" s="889"/>
      <c r="HE64" s="889"/>
      <c r="HF64" s="889"/>
      <c r="HG64" s="889"/>
      <c r="HH64" s="889"/>
      <c r="HI64" s="889"/>
      <c r="HJ64" s="889"/>
      <c r="HK64" s="889"/>
      <c r="HL64" s="889"/>
      <c r="HM64" s="889"/>
      <c r="HN64" s="889"/>
      <c r="HO64" s="889"/>
      <c r="HP64" s="889"/>
      <c r="HQ64" s="889"/>
      <c r="HR64" s="889"/>
      <c r="HS64" s="889"/>
      <c r="HT64" s="889"/>
      <c r="HU64" s="889"/>
      <c r="HV64" s="889"/>
      <c r="HW64" s="889"/>
      <c r="HX64" s="889"/>
      <c r="HY64" s="889"/>
      <c r="HZ64" s="889"/>
      <c r="IA64" s="889"/>
      <c r="IB64" s="889"/>
      <c r="IC64" s="889"/>
      <c r="ID64" s="889"/>
      <c r="IE64" s="889"/>
      <c r="IF64" s="889"/>
      <c r="IG64" s="889"/>
      <c r="IH64" s="889"/>
      <c r="II64" s="889"/>
      <c r="IJ64" s="889"/>
      <c r="IK64" s="889"/>
      <c r="IL64" s="889"/>
      <c r="IM64" s="889"/>
      <c r="IN64" s="889"/>
      <c r="IO64" s="889"/>
      <c r="IP64" s="889"/>
      <c r="IQ64" s="889"/>
      <c r="IR64" s="889"/>
      <c r="IS64" s="889"/>
      <c r="IT64" s="889"/>
      <c r="IU64" s="889"/>
      <c r="IV64" s="889"/>
    </row>
    <row r="65" spans="1:256" ht="27" customHeight="1">
      <c r="A65" s="865" t="s">
        <v>791</v>
      </c>
      <c r="B65" s="866"/>
      <c r="C65" s="866"/>
      <c r="D65" s="866"/>
      <c r="E65" s="866"/>
      <c r="F65" s="866"/>
      <c r="G65" s="947"/>
      <c r="H65" s="947"/>
      <c r="I65" s="947"/>
      <c r="J65" s="947"/>
      <c r="K65" s="954"/>
      <c r="L65" s="954"/>
      <c r="M65" s="954"/>
      <c r="N65" s="954"/>
      <c r="O65" s="889"/>
      <c r="P65" s="889"/>
      <c r="Q65" s="889"/>
      <c r="R65" s="889"/>
      <c r="S65" s="889"/>
      <c r="T65" s="889"/>
      <c r="U65" s="889"/>
      <c r="V65" s="889"/>
      <c r="W65" s="889"/>
      <c r="X65" s="889"/>
      <c r="Y65" s="889"/>
      <c r="Z65" s="889"/>
      <c r="AA65" s="889"/>
      <c r="AB65" s="889"/>
      <c r="AC65" s="889"/>
      <c r="AD65" s="889"/>
      <c r="AE65" s="889"/>
      <c r="AF65" s="889"/>
      <c r="AG65" s="889"/>
      <c r="AH65" s="889"/>
      <c r="AI65" s="889"/>
      <c r="AJ65" s="889"/>
      <c r="AK65" s="889"/>
      <c r="AL65" s="889"/>
      <c r="AM65" s="889"/>
      <c r="AN65" s="889"/>
      <c r="AO65" s="889"/>
      <c r="AP65" s="889"/>
      <c r="AQ65" s="889"/>
      <c r="AR65" s="889"/>
      <c r="AS65" s="889"/>
      <c r="AT65" s="889"/>
      <c r="AU65" s="889"/>
      <c r="AV65" s="889"/>
      <c r="AW65" s="889"/>
      <c r="AX65" s="889"/>
      <c r="AY65" s="889"/>
      <c r="AZ65" s="889"/>
      <c r="BA65" s="889"/>
      <c r="BB65" s="889"/>
      <c r="BC65" s="889"/>
      <c r="BD65" s="889"/>
      <c r="BE65" s="889"/>
      <c r="BF65" s="889"/>
      <c r="BG65" s="889"/>
      <c r="BH65" s="889"/>
      <c r="BI65" s="889"/>
      <c r="BJ65" s="889"/>
      <c r="BK65" s="889"/>
      <c r="BL65" s="889"/>
      <c r="BM65" s="889"/>
      <c r="BN65" s="889"/>
      <c r="BO65" s="889"/>
      <c r="BP65" s="889"/>
      <c r="BQ65" s="889"/>
      <c r="BR65" s="889"/>
      <c r="BS65" s="889"/>
      <c r="BT65" s="889"/>
      <c r="BU65" s="889"/>
      <c r="BV65" s="889"/>
      <c r="BW65" s="889"/>
      <c r="BX65" s="889"/>
      <c r="BY65" s="889"/>
      <c r="BZ65" s="889"/>
      <c r="CA65" s="889"/>
      <c r="CB65" s="889"/>
      <c r="CC65" s="889"/>
      <c r="CD65" s="889"/>
      <c r="CE65" s="889"/>
      <c r="CF65" s="889"/>
      <c r="CG65" s="889"/>
      <c r="CH65" s="889"/>
      <c r="CI65" s="889"/>
      <c r="CJ65" s="889"/>
      <c r="CK65" s="889"/>
      <c r="CL65" s="889"/>
      <c r="CM65" s="889"/>
      <c r="CN65" s="889"/>
      <c r="CO65" s="889"/>
      <c r="CP65" s="889"/>
      <c r="CQ65" s="889"/>
      <c r="CR65" s="889"/>
      <c r="CS65" s="889"/>
      <c r="CT65" s="889"/>
      <c r="CU65" s="889"/>
      <c r="CV65" s="889"/>
      <c r="CW65" s="889"/>
      <c r="CX65" s="889"/>
      <c r="CY65" s="889"/>
      <c r="CZ65" s="889"/>
      <c r="DA65" s="889"/>
      <c r="DB65" s="889"/>
      <c r="DC65" s="889"/>
      <c r="DD65" s="889"/>
      <c r="DE65" s="889"/>
      <c r="DF65" s="889"/>
      <c r="DG65" s="889"/>
      <c r="DH65" s="889"/>
      <c r="DI65" s="889"/>
      <c r="DJ65" s="889"/>
      <c r="DK65" s="889"/>
      <c r="DL65" s="889"/>
      <c r="DM65" s="889"/>
      <c r="DN65" s="889"/>
      <c r="DO65" s="889"/>
      <c r="DP65" s="889"/>
      <c r="DQ65" s="889"/>
      <c r="DR65" s="889"/>
      <c r="DS65" s="889"/>
      <c r="DT65" s="889"/>
      <c r="DU65" s="889"/>
      <c r="DV65" s="889"/>
      <c r="DW65" s="889"/>
      <c r="DX65" s="889"/>
      <c r="DY65" s="889"/>
      <c r="DZ65" s="889"/>
      <c r="EA65" s="889"/>
      <c r="EB65" s="889"/>
      <c r="EC65" s="889"/>
      <c r="ED65" s="889"/>
      <c r="EE65" s="889"/>
      <c r="EF65" s="889"/>
      <c r="EG65" s="889"/>
      <c r="EH65" s="889"/>
      <c r="EI65" s="889"/>
      <c r="EJ65" s="889"/>
      <c r="EK65" s="889"/>
      <c r="EL65" s="889"/>
      <c r="EM65" s="889"/>
      <c r="EN65" s="889"/>
      <c r="EO65" s="889"/>
      <c r="EP65" s="889"/>
      <c r="EQ65" s="889"/>
      <c r="ER65" s="889"/>
      <c r="ES65" s="889"/>
      <c r="ET65" s="889"/>
      <c r="EU65" s="889"/>
      <c r="EV65" s="889"/>
      <c r="EW65" s="889"/>
      <c r="EX65" s="889"/>
      <c r="EY65" s="889"/>
      <c r="EZ65" s="889"/>
      <c r="FA65" s="889"/>
      <c r="FB65" s="889"/>
      <c r="FC65" s="889"/>
      <c r="FD65" s="889"/>
      <c r="FE65" s="889"/>
      <c r="FF65" s="889"/>
      <c r="FG65" s="889"/>
      <c r="FH65" s="889"/>
      <c r="FI65" s="889"/>
      <c r="FJ65" s="889"/>
      <c r="FK65" s="889"/>
      <c r="FL65" s="889"/>
      <c r="FM65" s="889"/>
      <c r="FN65" s="889"/>
      <c r="FO65" s="889"/>
      <c r="FP65" s="889"/>
      <c r="FQ65" s="889"/>
      <c r="FR65" s="889"/>
      <c r="FS65" s="889"/>
      <c r="FT65" s="889"/>
      <c r="FU65" s="889"/>
      <c r="FV65" s="889"/>
      <c r="FW65" s="889"/>
      <c r="FX65" s="889"/>
      <c r="FY65" s="889"/>
      <c r="FZ65" s="889"/>
      <c r="GA65" s="889"/>
      <c r="GB65" s="889"/>
      <c r="GC65" s="889"/>
      <c r="GD65" s="889"/>
      <c r="GE65" s="889"/>
      <c r="GF65" s="889"/>
      <c r="GG65" s="889"/>
      <c r="GH65" s="889"/>
      <c r="GI65" s="889"/>
      <c r="GJ65" s="889"/>
      <c r="GK65" s="889"/>
      <c r="GL65" s="889"/>
      <c r="GM65" s="889"/>
      <c r="GN65" s="889"/>
      <c r="GO65" s="889"/>
      <c r="GP65" s="889"/>
      <c r="GQ65" s="889"/>
      <c r="GR65" s="889"/>
      <c r="GS65" s="889"/>
      <c r="GT65" s="889"/>
      <c r="GU65" s="889"/>
      <c r="GV65" s="889"/>
      <c r="GW65" s="889"/>
      <c r="GX65" s="889"/>
      <c r="GY65" s="889"/>
      <c r="GZ65" s="889"/>
      <c r="HA65" s="889"/>
      <c r="HB65" s="889"/>
      <c r="HC65" s="889"/>
      <c r="HD65" s="889"/>
      <c r="HE65" s="889"/>
      <c r="HF65" s="889"/>
      <c r="HG65" s="889"/>
      <c r="HH65" s="889"/>
      <c r="HI65" s="889"/>
      <c r="HJ65" s="889"/>
      <c r="HK65" s="889"/>
      <c r="HL65" s="889"/>
      <c r="HM65" s="889"/>
      <c r="HN65" s="889"/>
      <c r="HO65" s="889"/>
      <c r="HP65" s="889"/>
      <c r="HQ65" s="889"/>
      <c r="HR65" s="889"/>
      <c r="HS65" s="889"/>
      <c r="HT65" s="889"/>
      <c r="HU65" s="889"/>
      <c r="HV65" s="889"/>
      <c r="HW65" s="889"/>
      <c r="HX65" s="889"/>
      <c r="HY65" s="889"/>
      <c r="HZ65" s="889"/>
      <c r="IA65" s="889"/>
      <c r="IB65" s="889"/>
      <c r="IC65" s="889"/>
      <c r="ID65" s="889"/>
      <c r="IE65" s="889"/>
      <c r="IF65" s="889"/>
      <c r="IG65" s="889"/>
      <c r="IH65" s="889"/>
      <c r="II65" s="889"/>
      <c r="IJ65" s="889"/>
      <c r="IK65" s="889"/>
      <c r="IL65" s="889"/>
      <c r="IM65" s="889"/>
      <c r="IN65" s="889"/>
      <c r="IO65" s="889"/>
      <c r="IP65" s="889"/>
      <c r="IQ65" s="889"/>
      <c r="IR65" s="889"/>
      <c r="IS65" s="889"/>
      <c r="IT65" s="889"/>
      <c r="IU65" s="889"/>
      <c r="IV65" s="889"/>
    </row>
    <row r="66" spans="1:256" ht="22.5" customHeight="1">
      <c r="A66" s="865" t="s">
        <v>824</v>
      </c>
      <c r="B66" s="866"/>
      <c r="C66" s="866"/>
      <c r="D66" s="866"/>
      <c r="E66" s="866"/>
      <c r="F66" s="872"/>
      <c r="G66" s="947"/>
      <c r="H66" s="947"/>
      <c r="I66" s="947"/>
      <c r="J66" s="945"/>
      <c r="K66" s="954"/>
      <c r="L66" s="954"/>
      <c r="M66" s="954"/>
      <c r="N66" s="954"/>
      <c r="O66" s="889"/>
      <c r="P66" s="889"/>
      <c r="Q66" s="889"/>
      <c r="R66" s="889"/>
      <c r="S66" s="889"/>
      <c r="T66" s="889"/>
      <c r="U66" s="889"/>
      <c r="V66" s="889"/>
      <c r="W66" s="889"/>
      <c r="X66" s="889"/>
      <c r="Y66" s="889"/>
      <c r="Z66" s="889"/>
      <c r="AA66" s="889"/>
      <c r="AB66" s="889"/>
      <c r="AC66" s="889"/>
      <c r="AD66" s="889"/>
      <c r="AE66" s="889"/>
      <c r="AF66" s="889"/>
      <c r="AG66" s="889"/>
      <c r="AH66" s="889"/>
      <c r="AI66" s="889"/>
      <c r="AJ66" s="889"/>
      <c r="AK66" s="889"/>
      <c r="AL66" s="889"/>
      <c r="AM66" s="889"/>
      <c r="AN66" s="889"/>
      <c r="AO66" s="889"/>
      <c r="AP66" s="889"/>
      <c r="AQ66" s="889"/>
      <c r="AR66" s="889"/>
      <c r="AS66" s="889"/>
      <c r="AT66" s="889"/>
      <c r="AU66" s="889"/>
      <c r="AV66" s="889"/>
      <c r="AW66" s="889"/>
      <c r="AX66" s="889"/>
      <c r="AY66" s="889"/>
      <c r="AZ66" s="889"/>
      <c r="BA66" s="889"/>
      <c r="BB66" s="889"/>
      <c r="BC66" s="889"/>
      <c r="BD66" s="889"/>
      <c r="BE66" s="889"/>
      <c r="BF66" s="889"/>
      <c r="BG66" s="889"/>
      <c r="BH66" s="889"/>
      <c r="BI66" s="889"/>
      <c r="BJ66" s="889"/>
      <c r="BK66" s="889"/>
      <c r="BL66" s="889"/>
      <c r="BM66" s="889"/>
      <c r="BN66" s="889"/>
      <c r="BO66" s="889"/>
      <c r="BP66" s="889"/>
      <c r="BQ66" s="889"/>
      <c r="BR66" s="889"/>
      <c r="BS66" s="889"/>
      <c r="BT66" s="889"/>
      <c r="BU66" s="889"/>
      <c r="BV66" s="889"/>
      <c r="BW66" s="889"/>
      <c r="BX66" s="889"/>
      <c r="BY66" s="889"/>
      <c r="BZ66" s="889"/>
      <c r="CA66" s="889"/>
      <c r="CB66" s="889"/>
      <c r="CC66" s="889"/>
      <c r="CD66" s="889"/>
      <c r="CE66" s="889"/>
      <c r="CF66" s="889"/>
      <c r="CG66" s="889"/>
      <c r="CH66" s="889"/>
      <c r="CI66" s="889"/>
      <c r="CJ66" s="889"/>
      <c r="CK66" s="889"/>
      <c r="CL66" s="889"/>
      <c r="CM66" s="889"/>
      <c r="CN66" s="889"/>
      <c r="CO66" s="889"/>
      <c r="CP66" s="889"/>
      <c r="CQ66" s="889"/>
      <c r="CR66" s="889"/>
      <c r="CS66" s="889"/>
      <c r="CT66" s="889"/>
      <c r="CU66" s="889"/>
      <c r="CV66" s="889"/>
      <c r="CW66" s="889"/>
      <c r="CX66" s="889"/>
      <c r="CY66" s="889"/>
      <c r="CZ66" s="889"/>
      <c r="DA66" s="889"/>
      <c r="DB66" s="889"/>
      <c r="DC66" s="889"/>
      <c r="DD66" s="889"/>
      <c r="DE66" s="889"/>
      <c r="DF66" s="889"/>
      <c r="DG66" s="889"/>
      <c r="DH66" s="889"/>
      <c r="DI66" s="889"/>
      <c r="DJ66" s="889"/>
      <c r="DK66" s="889"/>
      <c r="DL66" s="889"/>
      <c r="DM66" s="889"/>
      <c r="DN66" s="889"/>
      <c r="DO66" s="889"/>
      <c r="DP66" s="889"/>
      <c r="DQ66" s="889"/>
      <c r="DR66" s="889"/>
      <c r="DS66" s="889"/>
      <c r="DT66" s="889"/>
      <c r="DU66" s="889"/>
      <c r="DV66" s="889"/>
      <c r="DW66" s="889"/>
      <c r="DX66" s="889"/>
      <c r="DY66" s="889"/>
      <c r="DZ66" s="889"/>
      <c r="EA66" s="889"/>
      <c r="EB66" s="889"/>
      <c r="EC66" s="889"/>
      <c r="ED66" s="889"/>
      <c r="EE66" s="889"/>
      <c r="EF66" s="889"/>
      <c r="EG66" s="889"/>
      <c r="EH66" s="889"/>
      <c r="EI66" s="889"/>
      <c r="EJ66" s="889"/>
      <c r="EK66" s="889"/>
      <c r="EL66" s="889"/>
      <c r="EM66" s="889"/>
      <c r="EN66" s="889"/>
      <c r="EO66" s="889"/>
      <c r="EP66" s="889"/>
      <c r="EQ66" s="889"/>
      <c r="ER66" s="889"/>
      <c r="ES66" s="889"/>
      <c r="ET66" s="889"/>
      <c r="EU66" s="889"/>
      <c r="EV66" s="889"/>
      <c r="EW66" s="889"/>
      <c r="EX66" s="889"/>
      <c r="EY66" s="889"/>
      <c r="EZ66" s="889"/>
      <c r="FA66" s="889"/>
      <c r="FB66" s="889"/>
      <c r="FC66" s="889"/>
      <c r="FD66" s="889"/>
      <c r="FE66" s="889"/>
      <c r="FF66" s="889"/>
      <c r="FG66" s="889"/>
      <c r="FH66" s="889"/>
      <c r="FI66" s="889"/>
      <c r="FJ66" s="889"/>
      <c r="FK66" s="889"/>
      <c r="FL66" s="889"/>
      <c r="FM66" s="889"/>
      <c r="FN66" s="889"/>
      <c r="FO66" s="889"/>
      <c r="FP66" s="889"/>
      <c r="FQ66" s="889"/>
      <c r="FR66" s="889"/>
      <c r="FS66" s="889"/>
      <c r="FT66" s="889"/>
      <c r="FU66" s="889"/>
      <c r="FV66" s="889"/>
      <c r="FW66" s="889"/>
      <c r="FX66" s="889"/>
      <c r="FY66" s="889"/>
      <c r="FZ66" s="889"/>
      <c r="GA66" s="889"/>
      <c r="GB66" s="889"/>
      <c r="GC66" s="889"/>
      <c r="GD66" s="889"/>
      <c r="GE66" s="889"/>
      <c r="GF66" s="889"/>
      <c r="GG66" s="889"/>
      <c r="GH66" s="889"/>
      <c r="GI66" s="889"/>
      <c r="GJ66" s="889"/>
      <c r="GK66" s="889"/>
      <c r="GL66" s="889"/>
      <c r="GM66" s="889"/>
      <c r="GN66" s="889"/>
      <c r="GO66" s="889"/>
      <c r="GP66" s="889"/>
      <c r="GQ66" s="889"/>
      <c r="GR66" s="889"/>
      <c r="GS66" s="889"/>
      <c r="GT66" s="889"/>
      <c r="GU66" s="889"/>
      <c r="GV66" s="889"/>
      <c r="GW66" s="889"/>
      <c r="GX66" s="889"/>
      <c r="GY66" s="889"/>
      <c r="GZ66" s="889"/>
      <c r="HA66" s="889"/>
      <c r="HB66" s="889"/>
      <c r="HC66" s="889"/>
      <c r="HD66" s="889"/>
      <c r="HE66" s="889"/>
      <c r="HF66" s="889"/>
      <c r="HG66" s="889"/>
      <c r="HH66" s="889"/>
      <c r="HI66" s="889"/>
      <c r="HJ66" s="889"/>
      <c r="HK66" s="889"/>
      <c r="HL66" s="889"/>
      <c r="HM66" s="889"/>
      <c r="HN66" s="889"/>
      <c r="HO66" s="889"/>
      <c r="HP66" s="889"/>
      <c r="HQ66" s="889"/>
      <c r="HR66" s="889"/>
      <c r="HS66" s="889"/>
      <c r="HT66" s="889"/>
      <c r="HU66" s="889"/>
      <c r="HV66" s="889"/>
      <c r="HW66" s="889"/>
      <c r="HX66" s="889"/>
      <c r="HY66" s="889"/>
      <c r="HZ66" s="889"/>
      <c r="IA66" s="889"/>
      <c r="IB66" s="889"/>
      <c r="IC66" s="889"/>
      <c r="ID66" s="889"/>
      <c r="IE66" s="889"/>
      <c r="IF66" s="889"/>
      <c r="IG66" s="889"/>
      <c r="IH66" s="889"/>
      <c r="II66" s="889"/>
      <c r="IJ66" s="889"/>
      <c r="IK66" s="889"/>
      <c r="IL66" s="889"/>
      <c r="IM66" s="889"/>
      <c r="IN66" s="889"/>
      <c r="IO66" s="889"/>
      <c r="IP66" s="889"/>
      <c r="IQ66" s="889"/>
      <c r="IR66" s="889"/>
      <c r="IS66" s="889"/>
      <c r="IT66" s="889"/>
      <c r="IU66" s="889"/>
      <c r="IV66" s="889"/>
    </row>
    <row r="67" spans="1:256" ht="22.5" customHeight="1">
      <c r="A67" s="865" t="s">
        <v>825</v>
      </c>
      <c r="B67" s="866"/>
      <c r="C67" s="866"/>
      <c r="D67" s="866"/>
      <c r="E67" s="866"/>
      <c r="F67" s="872"/>
      <c r="G67" s="947"/>
      <c r="H67" s="947"/>
      <c r="I67" s="947"/>
      <c r="J67" s="945"/>
      <c r="K67" s="954"/>
      <c r="L67" s="954"/>
      <c r="M67" s="954"/>
      <c r="N67" s="954"/>
      <c r="O67" s="889"/>
      <c r="P67" s="889"/>
      <c r="Q67" s="889"/>
      <c r="R67" s="889"/>
      <c r="S67" s="889"/>
      <c r="T67" s="889"/>
      <c r="U67" s="889"/>
      <c r="V67" s="889"/>
      <c r="W67" s="889"/>
      <c r="X67" s="889"/>
      <c r="Y67" s="889"/>
      <c r="Z67" s="889"/>
      <c r="AA67" s="889"/>
      <c r="AB67" s="889"/>
      <c r="AC67" s="889"/>
      <c r="AD67" s="889"/>
      <c r="AE67" s="889"/>
      <c r="AF67" s="889"/>
      <c r="AG67" s="889"/>
      <c r="AH67" s="889"/>
      <c r="AI67" s="889"/>
      <c r="AJ67" s="889"/>
      <c r="AK67" s="889"/>
      <c r="AL67" s="889"/>
      <c r="AM67" s="889"/>
      <c r="AN67" s="889"/>
      <c r="AO67" s="889"/>
      <c r="AP67" s="889"/>
      <c r="AQ67" s="889"/>
      <c r="AR67" s="889"/>
      <c r="AS67" s="889"/>
      <c r="AT67" s="889"/>
      <c r="AU67" s="889"/>
      <c r="AV67" s="889"/>
      <c r="AW67" s="889"/>
      <c r="AX67" s="889"/>
      <c r="AY67" s="889"/>
      <c r="AZ67" s="889"/>
      <c r="BA67" s="889"/>
      <c r="BB67" s="889"/>
      <c r="BC67" s="889"/>
      <c r="BD67" s="889"/>
      <c r="BE67" s="889"/>
      <c r="BF67" s="889"/>
      <c r="BG67" s="889"/>
      <c r="BH67" s="889"/>
      <c r="BI67" s="889"/>
      <c r="BJ67" s="889"/>
      <c r="BK67" s="889"/>
      <c r="BL67" s="889"/>
      <c r="BM67" s="889"/>
      <c r="BN67" s="889"/>
      <c r="BO67" s="889"/>
      <c r="BP67" s="889"/>
      <c r="BQ67" s="889"/>
      <c r="BR67" s="889"/>
      <c r="BS67" s="889"/>
      <c r="BT67" s="889"/>
      <c r="BU67" s="889"/>
      <c r="BV67" s="889"/>
      <c r="BW67" s="889"/>
      <c r="BX67" s="889"/>
      <c r="BY67" s="889"/>
      <c r="BZ67" s="889"/>
      <c r="CA67" s="889"/>
      <c r="CB67" s="889"/>
      <c r="CC67" s="889"/>
      <c r="CD67" s="889"/>
      <c r="CE67" s="889"/>
      <c r="CF67" s="889"/>
      <c r="CG67" s="889"/>
      <c r="CH67" s="889"/>
      <c r="CI67" s="889"/>
      <c r="CJ67" s="889"/>
      <c r="CK67" s="889"/>
      <c r="CL67" s="889"/>
      <c r="CM67" s="889"/>
      <c r="CN67" s="889"/>
      <c r="CO67" s="889"/>
      <c r="CP67" s="889"/>
      <c r="CQ67" s="889"/>
      <c r="CR67" s="889"/>
      <c r="CS67" s="889"/>
      <c r="CT67" s="889"/>
      <c r="CU67" s="889"/>
      <c r="CV67" s="889"/>
      <c r="CW67" s="889"/>
      <c r="CX67" s="889"/>
      <c r="CY67" s="889"/>
      <c r="CZ67" s="889"/>
      <c r="DA67" s="889"/>
      <c r="DB67" s="889"/>
      <c r="DC67" s="889"/>
      <c r="DD67" s="889"/>
      <c r="DE67" s="889"/>
      <c r="DF67" s="889"/>
      <c r="DG67" s="889"/>
      <c r="DH67" s="889"/>
      <c r="DI67" s="889"/>
      <c r="DJ67" s="889"/>
      <c r="DK67" s="889"/>
      <c r="DL67" s="889"/>
      <c r="DM67" s="889"/>
      <c r="DN67" s="889"/>
      <c r="DO67" s="889"/>
      <c r="DP67" s="889"/>
      <c r="DQ67" s="889"/>
      <c r="DR67" s="889"/>
      <c r="DS67" s="889"/>
      <c r="DT67" s="889"/>
      <c r="DU67" s="889"/>
      <c r="DV67" s="889"/>
      <c r="DW67" s="889"/>
      <c r="DX67" s="889"/>
      <c r="DY67" s="889"/>
      <c r="DZ67" s="889"/>
      <c r="EA67" s="889"/>
      <c r="EB67" s="889"/>
      <c r="EC67" s="889"/>
      <c r="ED67" s="889"/>
      <c r="EE67" s="889"/>
      <c r="EF67" s="889"/>
      <c r="EG67" s="889"/>
      <c r="EH67" s="889"/>
      <c r="EI67" s="889"/>
      <c r="EJ67" s="889"/>
      <c r="EK67" s="889"/>
      <c r="EL67" s="889"/>
      <c r="EM67" s="889"/>
      <c r="EN67" s="889"/>
      <c r="EO67" s="889"/>
      <c r="EP67" s="889"/>
      <c r="EQ67" s="889"/>
      <c r="ER67" s="889"/>
      <c r="ES67" s="889"/>
      <c r="ET67" s="889"/>
      <c r="EU67" s="889"/>
      <c r="EV67" s="889"/>
      <c r="EW67" s="889"/>
      <c r="EX67" s="889"/>
      <c r="EY67" s="889"/>
      <c r="EZ67" s="889"/>
      <c r="FA67" s="889"/>
      <c r="FB67" s="889"/>
      <c r="FC67" s="889"/>
      <c r="FD67" s="889"/>
      <c r="FE67" s="889"/>
      <c r="FF67" s="889"/>
      <c r="FG67" s="889"/>
      <c r="FH67" s="889"/>
      <c r="FI67" s="889"/>
      <c r="FJ67" s="889"/>
      <c r="FK67" s="889"/>
      <c r="FL67" s="889"/>
      <c r="FM67" s="889"/>
      <c r="FN67" s="889"/>
      <c r="FO67" s="889"/>
      <c r="FP67" s="889"/>
      <c r="FQ67" s="889"/>
      <c r="FR67" s="889"/>
      <c r="FS67" s="889"/>
      <c r="FT67" s="889"/>
      <c r="FU67" s="889"/>
      <c r="FV67" s="889"/>
      <c r="FW67" s="889"/>
      <c r="FX67" s="889"/>
      <c r="FY67" s="889"/>
      <c r="FZ67" s="889"/>
      <c r="GA67" s="889"/>
      <c r="GB67" s="889"/>
      <c r="GC67" s="889"/>
      <c r="GD67" s="889"/>
      <c r="GE67" s="889"/>
      <c r="GF67" s="889"/>
      <c r="GG67" s="889"/>
      <c r="GH67" s="889"/>
      <c r="GI67" s="889"/>
      <c r="GJ67" s="889"/>
      <c r="GK67" s="889"/>
      <c r="GL67" s="889"/>
      <c r="GM67" s="889"/>
      <c r="GN67" s="889"/>
      <c r="GO67" s="889"/>
      <c r="GP67" s="889"/>
      <c r="GQ67" s="889"/>
      <c r="GR67" s="889"/>
      <c r="GS67" s="889"/>
      <c r="GT67" s="889"/>
      <c r="GU67" s="889"/>
      <c r="GV67" s="889"/>
      <c r="GW67" s="889"/>
      <c r="GX67" s="889"/>
      <c r="GY67" s="889"/>
      <c r="GZ67" s="889"/>
      <c r="HA67" s="889"/>
      <c r="HB67" s="889"/>
      <c r="HC67" s="889"/>
      <c r="HD67" s="889"/>
      <c r="HE67" s="889"/>
      <c r="HF67" s="889"/>
      <c r="HG67" s="889"/>
      <c r="HH67" s="889"/>
      <c r="HI67" s="889"/>
      <c r="HJ67" s="889"/>
      <c r="HK67" s="889"/>
      <c r="HL67" s="889"/>
      <c r="HM67" s="889"/>
      <c r="HN67" s="889"/>
      <c r="HO67" s="889"/>
      <c r="HP67" s="889"/>
      <c r="HQ67" s="889"/>
      <c r="HR67" s="889"/>
      <c r="HS67" s="889"/>
      <c r="HT67" s="889"/>
      <c r="HU67" s="889"/>
      <c r="HV67" s="889"/>
      <c r="HW67" s="889"/>
      <c r="HX67" s="889"/>
      <c r="HY67" s="889"/>
      <c r="HZ67" s="889"/>
      <c r="IA67" s="889"/>
      <c r="IB67" s="889"/>
      <c r="IC67" s="889"/>
      <c r="ID67" s="889"/>
      <c r="IE67" s="889"/>
      <c r="IF67" s="889"/>
      <c r="IG67" s="889"/>
      <c r="IH67" s="889"/>
      <c r="II67" s="889"/>
      <c r="IJ67" s="889"/>
      <c r="IK67" s="889"/>
      <c r="IL67" s="889"/>
      <c r="IM67" s="889"/>
      <c r="IN67" s="889"/>
      <c r="IO67" s="889"/>
      <c r="IP67" s="889"/>
      <c r="IQ67" s="889"/>
      <c r="IR67" s="889"/>
      <c r="IS67" s="889"/>
      <c r="IT67" s="889"/>
      <c r="IU67" s="889"/>
      <c r="IV67" s="889"/>
    </row>
    <row r="68" spans="1:256" ht="12.75" customHeight="1">
      <c r="A68" s="875"/>
      <c r="B68" s="875"/>
      <c r="C68" s="875"/>
      <c r="D68" s="882"/>
      <c r="E68" s="877"/>
      <c r="F68" s="878"/>
      <c r="G68" s="952"/>
      <c r="H68" s="880"/>
      <c r="I68" s="880"/>
      <c r="K68" s="880"/>
      <c r="M68" s="880"/>
      <c r="N68" s="880" t="s">
        <v>124</v>
      </c>
      <c r="O68" s="889"/>
      <c r="P68" s="889"/>
      <c r="Q68" s="889"/>
      <c r="R68" s="889"/>
      <c r="S68" s="889"/>
      <c r="T68" s="889"/>
      <c r="U68" s="889"/>
      <c r="V68" s="889"/>
      <c r="W68" s="889"/>
      <c r="X68" s="889"/>
      <c r="Y68" s="889"/>
      <c r="Z68" s="889"/>
      <c r="AA68" s="889"/>
      <c r="AB68" s="889"/>
      <c r="AC68" s="889"/>
      <c r="AD68" s="889"/>
      <c r="AE68" s="889"/>
      <c r="AF68" s="889"/>
      <c r="AG68" s="889"/>
      <c r="AH68" s="889"/>
      <c r="AI68" s="889"/>
      <c r="AJ68" s="889"/>
      <c r="AK68" s="889"/>
      <c r="AL68" s="889"/>
      <c r="AM68" s="889"/>
      <c r="AN68" s="889"/>
      <c r="AO68" s="889"/>
      <c r="AP68" s="889"/>
      <c r="AQ68" s="889"/>
      <c r="AR68" s="889"/>
      <c r="AS68" s="889"/>
      <c r="AT68" s="889"/>
      <c r="AU68" s="889"/>
      <c r="AV68" s="889"/>
      <c r="AW68" s="889"/>
      <c r="AX68" s="889"/>
      <c r="AY68" s="889"/>
      <c r="AZ68" s="889"/>
      <c r="BA68" s="889"/>
      <c r="BB68" s="889"/>
      <c r="BC68" s="889"/>
      <c r="BD68" s="889"/>
      <c r="BE68" s="889"/>
      <c r="BF68" s="889"/>
      <c r="BG68" s="889"/>
      <c r="BH68" s="889"/>
      <c r="BI68" s="889"/>
      <c r="BJ68" s="889"/>
      <c r="BK68" s="889"/>
      <c r="BL68" s="889"/>
      <c r="BM68" s="889"/>
      <c r="BN68" s="889"/>
      <c r="BO68" s="889"/>
      <c r="BP68" s="889"/>
      <c r="BQ68" s="889"/>
      <c r="BR68" s="889"/>
      <c r="BS68" s="889"/>
      <c r="BT68" s="889"/>
      <c r="BU68" s="889"/>
      <c r="BV68" s="889"/>
      <c r="BW68" s="889"/>
      <c r="BX68" s="889"/>
      <c r="BY68" s="889"/>
      <c r="BZ68" s="889"/>
      <c r="CA68" s="889"/>
      <c r="CB68" s="889"/>
      <c r="CC68" s="889"/>
      <c r="CD68" s="889"/>
      <c r="CE68" s="889"/>
      <c r="CF68" s="889"/>
      <c r="CG68" s="889"/>
      <c r="CH68" s="889"/>
      <c r="CI68" s="889"/>
      <c r="CJ68" s="889"/>
      <c r="CK68" s="889"/>
      <c r="CL68" s="889"/>
      <c r="CM68" s="889"/>
      <c r="CN68" s="889"/>
      <c r="CO68" s="889"/>
      <c r="CP68" s="889"/>
      <c r="CQ68" s="889"/>
      <c r="CR68" s="889"/>
      <c r="CS68" s="889"/>
      <c r="CT68" s="889"/>
      <c r="CU68" s="889"/>
      <c r="CV68" s="889"/>
      <c r="CW68" s="889"/>
      <c r="CX68" s="889"/>
      <c r="CY68" s="889"/>
      <c r="CZ68" s="889"/>
      <c r="DA68" s="889"/>
      <c r="DB68" s="889"/>
      <c r="DC68" s="889"/>
      <c r="DD68" s="889"/>
      <c r="DE68" s="889"/>
      <c r="DF68" s="889"/>
      <c r="DG68" s="889"/>
      <c r="DH68" s="889"/>
      <c r="DI68" s="889"/>
      <c r="DJ68" s="889"/>
      <c r="DK68" s="889"/>
      <c r="DL68" s="889"/>
      <c r="DM68" s="889"/>
      <c r="DN68" s="889"/>
      <c r="DO68" s="889"/>
      <c r="DP68" s="889"/>
      <c r="DQ68" s="889"/>
      <c r="DR68" s="889"/>
      <c r="DS68" s="889"/>
      <c r="DT68" s="889"/>
      <c r="DU68" s="889"/>
      <c r="DV68" s="889"/>
      <c r="DW68" s="889"/>
      <c r="DX68" s="889"/>
      <c r="DY68" s="889"/>
      <c r="DZ68" s="889"/>
      <c r="EA68" s="889"/>
      <c r="EB68" s="889"/>
      <c r="EC68" s="889"/>
      <c r="ED68" s="889"/>
      <c r="EE68" s="889"/>
      <c r="EF68" s="889"/>
      <c r="EG68" s="889"/>
      <c r="EH68" s="889"/>
      <c r="EI68" s="889"/>
      <c r="EJ68" s="889"/>
      <c r="EK68" s="889"/>
      <c r="EL68" s="889"/>
      <c r="EM68" s="889"/>
      <c r="EN68" s="889"/>
      <c r="EO68" s="889"/>
      <c r="EP68" s="889"/>
      <c r="EQ68" s="889"/>
      <c r="ER68" s="889"/>
      <c r="ES68" s="889"/>
      <c r="ET68" s="889"/>
      <c r="EU68" s="889"/>
      <c r="EV68" s="889"/>
      <c r="EW68" s="889"/>
      <c r="EX68" s="889"/>
      <c r="EY68" s="889"/>
      <c r="EZ68" s="889"/>
      <c r="FA68" s="889"/>
      <c r="FB68" s="889"/>
      <c r="FC68" s="889"/>
      <c r="FD68" s="889"/>
      <c r="FE68" s="889"/>
      <c r="FF68" s="889"/>
      <c r="FG68" s="889"/>
      <c r="FH68" s="889"/>
      <c r="FI68" s="889"/>
      <c r="FJ68" s="889"/>
      <c r="FK68" s="889"/>
      <c r="FL68" s="889"/>
      <c r="FM68" s="889"/>
      <c r="FN68" s="889"/>
      <c r="FO68" s="889"/>
      <c r="FP68" s="889"/>
      <c r="FQ68" s="889"/>
      <c r="FR68" s="889"/>
      <c r="FS68" s="889"/>
      <c r="FT68" s="889"/>
      <c r="FU68" s="889"/>
      <c r="FV68" s="889"/>
      <c r="FW68" s="889"/>
      <c r="FX68" s="889"/>
      <c r="FY68" s="889"/>
      <c r="FZ68" s="889"/>
      <c r="GA68" s="889"/>
      <c r="GB68" s="889"/>
      <c r="GC68" s="889"/>
      <c r="GD68" s="889"/>
      <c r="GE68" s="889"/>
      <c r="GF68" s="889"/>
      <c r="GG68" s="889"/>
      <c r="GH68" s="889"/>
      <c r="GI68" s="889"/>
      <c r="GJ68" s="889"/>
      <c r="GK68" s="889"/>
      <c r="GL68" s="889"/>
      <c r="GM68" s="889"/>
      <c r="GN68" s="889"/>
      <c r="GO68" s="889"/>
      <c r="GP68" s="889"/>
      <c r="GQ68" s="889"/>
      <c r="GR68" s="889"/>
      <c r="GS68" s="889"/>
      <c r="GT68" s="889"/>
      <c r="GU68" s="889"/>
      <c r="GV68" s="889"/>
      <c r="GW68" s="889"/>
      <c r="GX68" s="889"/>
      <c r="GY68" s="889"/>
      <c r="GZ68" s="889"/>
      <c r="HA68" s="889"/>
      <c r="HB68" s="889"/>
      <c r="HC68" s="889"/>
      <c r="HD68" s="889"/>
      <c r="HE68" s="889"/>
      <c r="HF68" s="889"/>
      <c r="HG68" s="889"/>
      <c r="HH68" s="889"/>
      <c r="HI68" s="889"/>
      <c r="HJ68" s="889"/>
      <c r="HK68" s="889"/>
      <c r="HL68" s="889"/>
      <c r="HM68" s="889"/>
      <c r="HN68" s="889"/>
      <c r="HO68" s="889"/>
      <c r="HP68" s="889"/>
      <c r="HQ68" s="889"/>
      <c r="HR68" s="889"/>
      <c r="HS68" s="889"/>
      <c r="HT68" s="889"/>
      <c r="HU68" s="889"/>
      <c r="HV68" s="889"/>
      <c r="HW68" s="889"/>
      <c r="HX68" s="889"/>
      <c r="HY68" s="889"/>
      <c r="HZ68" s="889"/>
      <c r="IA68" s="889"/>
      <c r="IB68" s="889"/>
      <c r="IC68" s="889"/>
      <c r="ID68" s="889"/>
      <c r="IE68" s="889"/>
      <c r="IF68" s="889"/>
      <c r="IG68" s="889"/>
      <c r="IH68" s="889"/>
      <c r="II68" s="889"/>
      <c r="IJ68" s="889"/>
      <c r="IK68" s="889"/>
      <c r="IL68" s="889"/>
      <c r="IM68" s="889"/>
      <c r="IN68" s="889"/>
      <c r="IO68" s="889"/>
      <c r="IP68" s="889"/>
      <c r="IQ68" s="889"/>
      <c r="IR68" s="889"/>
      <c r="IS68" s="889"/>
      <c r="IT68" s="889"/>
      <c r="IU68" s="889"/>
      <c r="IV68" s="889"/>
    </row>
    <row r="69" spans="1:256" ht="11.25" customHeight="1" thickBot="1">
      <c r="A69" s="875"/>
      <c r="B69" s="875"/>
      <c r="C69" s="875"/>
      <c r="D69" s="882"/>
      <c r="E69" s="877"/>
      <c r="F69" s="878"/>
      <c r="G69" s="956"/>
      <c r="H69" s="884"/>
      <c r="I69" s="884"/>
      <c r="K69" s="884"/>
      <c r="M69" s="885"/>
      <c r="N69" s="885" t="s">
        <v>794</v>
      </c>
      <c r="O69" s="889"/>
      <c r="P69" s="889"/>
      <c r="Q69" s="889"/>
      <c r="R69" s="889"/>
      <c r="S69" s="889"/>
      <c r="T69" s="889"/>
      <c r="U69" s="889"/>
      <c r="V69" s="889"/>
      <c r="W69" s="889"/>
      <c r="X69" s="889"/>
      <c r="Y69" s="889"/>
      <c r="Z69" s="889"/>
      <c r="AA69" s="889"/>
      <c r="AB69" s="889"/>
      <c r="AC69" s="889"/>
      <c r="AD69" s="889"/>
      <c r="AE69" s="889"/>
      <c r="AF69" s="889"/>
      <c r="AG69" s="889"/>
      <c r="AH69" s="889"/>
      <c r="AI69" s="889"/>
      <c r="AJ69" s="889"/>
      <c r="AK69" s="889"/>
      <c r="AL69" s="889"/>
      <c r="AM69" s="889"/>
      <c r="AN69" s="889"/>
      <c r="AO69" s="889"/>
      <c r="AP69" s="889"/>
      <c r="AQ69" s="889"/>
      <c r="AR69" s="889"/>
      <c r="AS69" s="889"/>
      <c r="AT69" s="889"/>
      <c r="AU69" s="889"/>
      <c r="AV69" s="889"/>
      <c r="AW69" s="889"/>
      <c r="AX69" s="889"/>
      <c r="AY69" s="889"/>
      <c r="AZ69" s="889"/>
      <c r="BA69" s="889"/>
      <c r="BB69" s="889"/>
      <c r="BC69" s="889"/>
      <c r="BD69" s="889"/>
      <c r="BE69" s="889"/>
      <c r="BF69" s="889"/>
      <c r="BG69" s="889"/>
      <c r="BH69" s="889"/>
      <c r="BI69" s="889"/>
      <c r="BJ69" s="889"/>
      <c r="BK69" s="889"/>
      <c r="BL69" s="889"/>
      <c r="BM69" s="889"/>
      <c r="BN69" s="889"/>
      <c r="BO69" s="889"/>
      <c r="BP69" s="889"/>
      <c r="BQ69" s="889"/>
      <c r="BR69" s="889"/>
      <c r="BS69" s="889"/>
      <c r="BT69" s="889"/>
      <c r="BU69" s="889"/>
      <c r="BV69" s="889"/>
      <c r="BW69" s="889"/>
      <c r="BX69" s="889"/>
      <c r="BY69" s="889"/>
      <c r="BZ69" s="889"/>
      <c r="CA69" s="889"/>
      <c r="CB69" s="889"/>
      <c r="CC69" s="889"/>
      <c r="CD69" s="889"/>
      <c r="CE69" s="889"/>
      <c r="CF69" s="889"/>
      <c r="CG69" s="889"/>
      <c r="CH69" s="889"/>
      <c r="CI69" s="889"/>
      <c r="CJ69" s="889"/>
      <c r="CK69" s="889"/>
      <c r="CL69" s="889"/>
      <c r="CM69" s="889"/>
      <c r="CN69" s="889"/>
      <c r="CO69" s="889"/>
      <c r="CP69" s="889"/>
      <c r="CQ69" s="889"/>
      <c r="CR69" s="889"/>
      <c r="CS69" s="889"/>
      <c r="CT69" s="889"/>
      <c r="CU69" s="889"/>
      <c r="CV69" s="889"/>
      <c r="CW69" s="889"/>
      <c r="CX69" s="889"/>
      <c r="CY69" s="889"/>
      <c r="CZ69" s="889"/>
      <c r="DA69" s="889"/>
      <c r="DB69" s="889"/>
      <c r="DC69" s="889"/>
      <c r="DD69" s="889"/>
      <c r="DE69" s="889"/>
      <c r="DF69" s="889"/>
      <c r="DG69" s="889"/>
      <c r="DH69" s="889"/>
      <c r="DI69" s="889"/>
      <c r="DJ69" s="889"/>
      <c r="DK69" s="889"/>
      <c r="DL69" s="889"/>
      <c r="DM69" s="889"/>
      <c r="DN69" s="889"/>
      <c r="DO69" s="889"/>
      <c r="DP69" s="889"/>
      <c r="DQ69" s="889"/>
      <c r="DR69" s="889"/>
      <c r="DS69" s="889"/>
      <c r="DT69" s="889"/>
      <c r="DU69" s="889"/>
      <c r="DV69" s="889"/>
      <c r="DW69" s="889"/>
      <c r="DX69" s="889"/>
      <c r="DY69" s="889"/>
      <c r="DZ69" s="889"/>
      <c r="EA69" s="889"/>
      <c r="EB69" s="889"/>
      <c r="EC69" s="889"/>
      <c r="ED69" s="889"/>
      <c r="EE69" s="889"/>
      <c r="EF69" s="889"/>
      <c r="EG69" s="889"/>
      <c r="EH69" s="889"/>
      <c r="EI69" s="889"/>
      <c r="EJ69" s="889"/>
      <c r="EK69" s="889"/>
      <c r="EL69" s="889"/>
      <c r="EM69" s="889"/>
      <c r="EN69" s="889"/>
      <c r="EO69" s="889"/>
      <c r="EP69" s="889"/>
      <c r="EQ69" s="889"/>
      <c r="ER69" s="889"/>
      <c r="ES69" s="889"/>
      <c r="ET69" s="889"/>
      <c r="EU69" s="889"/>
      <c r="EV69" s="889"/>
      <c r="EW69" s="889"/>
      <c r="EX69" s="889"/>
      <c r="EY69" s="889"/>
      <c r="EZ69" s="889"/>
      <c r="FA69" s="889"/>
      <c r="FB69" s="889"/>
      <c r="FC69" s="889"/>
      <c r="FD69" s="889"/>
      <c r="FE69" s="889"/>
      <c r="FF69" s="889"/>
      <c r="FG69" s="889"/>
      <c r="FH69" s="889"/>
      <c r="FI69" s="889"/>
      <c r="FJ69" s="889"/>
      <c r="FK69" s="889"/>
      <c r="FL69" s="889"/>
      <c r="FM69" s="889"/>
      <c r="FN69" s="889"/>
      <c r="FO69" s="889"/>
      <c r="FP69" s="889"/>
      <c r="FQ69" s="889"/>
      <c r="FR69" s="889"/>
      <c r="FS69" s="889"/>
      <c r="FT69" s="889"/>
      <c r="FU69" s="889"/>
      <c r="FV69" s="889"/>
      <c r="FW69" s="889"/>
      <c r="FX69" s="889"/>
      <c r="FY69" s="889"/>
      <c r="FZ69" s="889"/>
      <c r="GA69" s="889"/>
      <c r="GB69" s="889"/>
      <c r="GC69" s="889"/>
      <c r="GD69" s="889"/>
      <c r="GE69" s="889"/>
      <c r="GF69" s="889"/>
      <c r="GG69" s="889"/>
      <c r="GH69" s="889"/>
      <c r="GI69" s="889"/>
      <c r="GJ69" s="889"/>
      <c r="GK69" s="889"/>
      <c r="GL69" s="889"/>
      <c r="GM69" s="889"/>
      <c r="GN69" s="889"/>
      <c r="GO69" s="889"/>
      <c r="GP69" s="889"/>
      <c r="GQ69" s="889"/>
      <c r="GR69" s="889"/>
      <c r="GS69" s="889"/>
      <c r="GT69" s="889"/>
      <c r="GU69" s="889"/>
      <c r="GV69" s="889"/>
      <c r="GW69" s="889"/>
      <c r="GX69" s="889"/>
      <c r="GY69" s="889"/>
      <c r="GZ69" s="889"/>
      <c r="HA69" s="889"/>
      <c r="HB69" s="889"/>
      <c r="HC69" s="889"/>
      <c r="HD69" s="889"/>
      <c r="HE69" s="889"/>
      <c r="HF69" s="889"/>
      <c r="HG69" s="889"/>
      <c r="HH69" s="889"/>
      <c r="HI69" s="889"/>
      <c r="HJ69" s="889"/>
      <c r="HK69" s="889"/>
      <c r="HL69" s="889"/>
      <c r="HM69" s="889"/>
      <c r="HN69" s="889"/>
      <c r="HO69" s="889"/>
      <c r="HP69" s="889"/>
      <c r="HQ69" s="889"/>
      <c r="HR69" s="889"/>
      <c r="HS69" s="889"/>
      <c r="HT69" s="889"/>
      <c r="HU69" s="889"/>
      <c r="HV69" s="889"/>
      <c r="HW69" s="889"/>
      <c r="HX69" s="889"/>
      <c r="HY69" s="889"/>
      <c r="HZ69" s="889"/>
      <c r="IA69" s="889"/>
      <c r="IB69" s="889"/>
      <c r="IC69" s="889"/>
      <c r="ID69" s="889"/>
      <c r="IE69" s="889"/>
      <c r="IF69" s="889"/>
      <c r="IG69" s="889"/>
      <c r="IH69" s="889"/>
      <c r="II69" s="889"/>
      <c r="IJ69" s="889"/>
      <c r="IK69" s="889"/>
      <c r="IL69" s="889"/>
      <c r="IM69" s="889"/>
      <c r="IN69" s="889"/>
      <c r="IO69" s="889"/>
      <c r="IP69" s="889"/>
      <c r="IQ69" s="889"/>
      <c r="IR69" s="889"/>
      <c r="IS69" s="889"/>
      <c r="IT69" s="889"/>
      <c r="IU69" s="889"/>
      <c r="IV69" s="889"/>
    </row>
    <row r="70" spans="1:256" s="958" customFormat="1" ht="13.5" customHeight="1" thickTop="1">
      <c r="A70" s="886"/>
      <c r="B70" s="887">
        <v>1996</v>
      </c>
      <c r="C70" s="887">
        <v>1997</v>
      </c>
      <c r="D70" s="887">
        <v>1998</v>
      </c>
      <c r="E70" s="887">
        <v>1999</v>
      </c>
      <c r="F70" s="887">
        <v>2000</v>
      </c>
      <c r="G70" s="887">
        <v>2001</v>
      </c>
      <c r="H70" s="887">
        <v>2002</v>
      </c>
      <c r="I70" s="887">
        <v>2003</v>
      </c>
      <c r="J70" s="887">
        <v>2004</v>
      </c>
      <c r="K70" s="887">
        <v>2005</v>
      </c>
      <c r="L70" s="887">
        <v>2006</v>
      </c>
      <c r="M70" s="888">
        <v>2007</v>
      </c>
      <c r="N70" s="888">
        <v>2008</v>
      </c>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7"/>
      <c r="AM70" s="957"/>
      <c r="AN70" s="957"/>
      <c r="AO70" s="957"/>
      <c r="AP70" s="957"/>
      <c r="AQ70" s="957"/>
      <c r="AR70" s="957"/>
      <c r="AS70" s="957"/>
      <c r="AT70" s="957"/>
      <c r="AU70" s="957"/>
      <c r="AV70" s="957"/>
      <c r="AW70" s="957"/>
      <c r="AX70" s="957"/>
      <c r="AY70" s="957"/>
      <c r="AZ70" s="957"/>
      <c r="BA70" s="957"/>
      <c r="BB70" s="957"/>
      <c r="BC70" s="957"/>
      <c r="BD70" s="957"/>
      <c r="BE70" s="957"/>
      <c r="BF70" s="957"/>
      <c r="BG70" s="957"/>
      <c r="BH70" s="957"/>
      <c r="BI70" s="957"/>
      <c r="BJ70" s="957"/>
      <c r="BK70" s="957"/>
      <c r="BL70" s="957"/>
      <c r="BM70" s="957"/>
      <c r="BN70" s="957"/>
      <c r="BO70" s="957"/>
      <c r="BP70" s="957"/>
      <c r="BQ70" s="957"/>
      <c r="BR70" s="957"/>
      <c r="BS70" s="957"/>
      <c r="BT70" s="957"/>
      <c r="BU70" s="957"/>
      <c r="BV70" s="957"/>
      <c r="BW70" s="957"/>
      <c r="BX70" s="957"/>
      <c r="BY70" s="957"/>
      <c r="BZ70" s="957"/>
      <c r="CA70" s="957"/>
      <c r="CB70" s="957"/>
      <c r="CC70" s="957"/>
      <c r="CD70" s="957"/>
      <c r="CE70" s="957"/>
      <c r="CF70" s="957"/>
      <c r="CG70" s="957"/>
      <c r="CH70" s="957"/>
      <c r="CI70" s="957"/>
      <c r="CJ70" s="957"/>
      <c r="CK70" s="957"/>
      <c r="CL70" s="957"/>
      <c r="CM70" s="957"/>
      <c r="CN70" s="957"/>
      <c r="CO70" s="957"/>
      <c r="CP70" s="957"/>
      <c r="CQ70" s="957"/>
      <c r="CR70" s="957"/>
      <c r="CS70" s="957"/>
      <c r="CT70" s="957"/>
      <c r="CU70" s="957"/>
      <c r="CV70" s="957"/>
      <c r="CW70" s="957"/>
      <c r="CX70" s="957"/>
      <c r="CY70" s="957"/>
      <c r="CZ70" s="957"/>
      <c r="DA70" s="957"/>
      <c r="DB70" s="957"/>
      <c r="DC70" s="957"/>
      <c r="DD70" s="957"/>
      <c r="DE70" s="957"/>
      <c r="DF70" s="957"/>
      <c r="DG70" s="957"/>
      <c r="DH70" s="957"/>
      <c r="DI70" s="957"/>
      <c r="DJ70" s="957"/>
      <c r="DK70" s="957"/>
      <c r="DL70" s="957"/>
      <c r="DM70" s="957"/>
      <c r="DN70" s="957"/>
      <c r="DO70" s="957"/>
      <c r="DP70" s="957"/>
      <c r="DQ70" s="957"/>
      <c r="DR70" s="957"/>
      <c r="DS70" s="957"/>
      <c r="DT70" s="957"/>
      <c r="DU70" s="957"/>
      <c r="DV70" s="957"/>
      <c r="DW70" s="957"/>
      <c r="DX70" s="957"/>
      <c r="DY70" s="957"/>
      <c r="DZ70" s="957"/>
      <c r="EA70" s="957"/>
      <c r="EB70" s="957"/>
      <c r="EC70" s="957"/>
      <c r="ED70" s="957"/>
      <c r="EE70" s="957"/>
      <c r="EF70" s="957"/>
      <c r="EG70" s="957"/>
      <c r="EH70" s="957"/>
      <c r="EI70" s="957"/>
      <c r="EJ70" s="957"/>
      <c r="EK70" s="957"/>
      <c r="EL70" s="957"/>
      <c r="EM70" s="957"/>
      <c r="EN70" s="957"/>
      <c r="EO70" s="957"/>
      <c r="EP70" s="957"/>
      <c r="EQ70" s="957"/>
      <c r="ER70" s="957"/>
      <c r="ES70" s="957"/>
      <c r="ET70" s="957"/>
      <c r="EU70" s="957"/>
      <c r="EV70" s="957"/>
      <c r="EW70" s="957"/>
      <c r="EX70" s="957"/>
      <c r="EY70" s="957"/>
      <c r="EZ70" s="957"/>
      <c r="FA70" s="957"/>
      <c r="FB70" s="957"/>
      <c r="FC70" s="957"/>
      <c r="FD70" s="957"/>
      <c r="FE70" s="957"/>
      <c r="FF70" s="957"/>
      <c r="FG70" s="957"/>
      <c r="FH70" s="957"/>
      <c r="FI70" s="957"/>
      <c r="FJ70" s="957"/>
      <c r="FK70" s="957"/>
      <c r="FL70" s="957"/>
      <c r="FM70" s="957"/>
      <c r="FN70" s="957"/>
      <c r="FO70" s="957"/>
      <c r="FP70" s="957"/>
      <c r="FQ70" s="957"/>
      <c r="FR70" s="957"/>
      <c r="FS70" s="957"/>
      <c r="FT70" s="957"/>
      <c r="FU70" s="957"/>
      <c r="FV70" s="957"/>
      <c r="FW70" s="957"/>
      <c r="FX70" s="957"/>
      <c r="FY70" s="957"/>
      <c r="FZ70" s="957"/>
      <c r="GA70" s="957"/>
      <c r="GB70" s="957"/>
      <c r="GC70" s="957"/>
      <c r="GD70" s="957"/>
      <c r="GE70" s="957"/>
      <c r="GF70" s="957"/>
      <c r="GG70" s="957"/>
      <c r="GH70" s="957"/>
      <c r="GI70" s="957"/>
      <c r="GJ70" s="957"/>
      <c r="GK70" s="957"/>
      <c r="GL70" s="957"/>
      <c r="GM70" s="957"/>
      <c r="GN70" s="957"/>
      <c r="GO70" s="957"/>
      <c r="GP70" s="957"/>
      <c r="GQ70" s="957"/>
      <c r="GR70" s="957"/>
      <c r="GS70" s="957"/>
      <c r="GT70" s="957"/>
      <c r="GU70" s="957"/>
      <c r="GV70" s="957"/>
      <c r="GW70" s="957"/>
      <c r="GX70" s="957"/>
      <c r="GY70" s="957"/>
      <c r="GZ70" s="957"/>
      <c r="HA70" s="957"/>
      <c r="HB70" s="957"/>
      <c r="HC70" s="957"/>
      <c r="HD70" s="957"/>
      <c r="HE70" s="957"/>
      <c r="HF70" s="957"/>
      <c r="HG70" s="957"/>
      <c r="HH70" s="957"/>
      <c r="HI70" s="957"/>
      <c r="HJ70" s="957"/>
      <c r="HK70" s="957"/>
      <c r="HL70" s="957"/>
      <c r="HM70" s="957"/>
      <c r="HN70" s="957"/>
      <c r="HO70" s="957"/>
      <c r="HP70" s="957"/>
      <c r="HQ70" s="957"/>
      <c r="HR70" s="957"/>
      <c r="HS70" s="957"/>
      <c r="HT70" s="957"/>
      <c r="HU70" s="957"/>
      <c r="HV70" s="957"/>
      <c r="HW70" s="957"/>
      <c r="HX70" s="957"/>
      <c r="HY70" s="957"/>
      <c r="HZ70" s="957"/>
      <c r="IA70" s="957"/>
      <c r="IB70" s="957"/>
      <c r="IC70" s="957"/>
      <c r="ID70" s="957"/>
      <c r="IE70" s="957"/>
      <c r="IF70" s="957"/>
      <c r="IG70" s="957"/>
      <c r="IH70" s="957"/>
      <c r="II70" s="957"/>
      <c r="IJ70" s="957"/>
      <c r="IK70" s="957"/>
      <c r="IL70" s="957"/>
      <c r="IM70" s="957"/>
      <c r="IN70" s="957"/>
      <c r="IO70" s="957"/>
      <c r="IP70" s="957"/>
      <c r="IQ70" s="957"/>
      <c r="IR70" s="957"/>
      <c r="IS70" s="957"/>
      <c r="IT70" s="957"/>
      <c r="IU70" s="957"/>
      <c r="IV70" s="957"/>
    </row>
    <row r="71" spans="1:256" s="897" customFormat="1" ht="11.25" customHeight="1">
      <c r="A71" s="890" t="s">
        <v>826</v>
      </c>
      <c r="B71" s="875"/>
      <c r="C71" s="875"/>
      <c r="D71" s="875"/>
      <c r="E71" s="875"/>
      <c r="F71" s="959"/>
      <c r="G71" s="959"/>
      <c r="H71" s="959"/>
      <c r="I71" s="959"/>
      <c r="J71" s="959"/>
      <c r="K71" s="960"/>
      <c r="L71" s="960"/>
      <c r="M71" s="961"/>
      <c r="N71" s="961"/>
      <c r="O71" s="896"/>
      <c r="P71" s="896"/>
      <c r="Q71" s="896"/>
      <c r="R71" s="896"/>
      <c r="S71" s="896"/>
      <c r="T71" s="896"/>
      <c r="U71" s="896"/>
      <c r="V71" s="896"/>
      <c r="W71" s="896"/>
      <c r="X71" s="896"/>
      <c r="Y71" s="896"/>
      <c r="Z71" s="896"/>
      <c r="AA71" s="896"/>
      <c r="AB71" s="896"/>
      <c r="AC71" s="896"/>
      <c r="AD71" s="896"/>
      <c r="AE71" s="896"/>
      <c r="AF71" s="896"/>
      <c r="AG71" s="896"/>
      <c r="AH71" s="896"/>
      <c r="AI71" s="896"/>
      <c r="AJ71" s="896"/>
      <c r="AK71" s="896"/>
      <c r="AL71" s="896"/>
      <c r="AM71" s="896"/>
      <c r="AN71" s="896"/>
      <c r="AO71" s="896"/>
      <c r="AP71" s="896"/>
      <c r="AQ71" s="896"/>
      <c r="AR71" s="896"/>
      <c r="AS71" s="896"/>
      <c r="AT71" s="896"/>
      <c r="AU71" s="896"/>
      <c r="AV71" s="896"/>
      <c r="AW71" s="896"/>
      <c r="AX71" s="896"/>
      <c r="AY71" s="896"/>
      <c r="AZ71" s="896"/>
      <c r="BA71" s="896"/>
      <c r="BB71" s="896"/>
      <c r="BC71" s="896"/>
      <c r="BD71" s="896"/>
      <c r="BE71" s="896"/>
      <c r="BF71" s="896"/>
      <c r="BG71" s="896"/>
      <c r="BH71" s="896"/>
      <c r="BI71" s="896"/>
      <c r="BJ71" s="896"/>
      <c r="BK71" s="896"/>
      <c r="BL71" s="896"/>
      <c r="BM71" s="896"/>
      <c r="BN71" s="896"/>
      <c r="BO71" s="896"/>
      <c r="BP71" s="896"/>
      <c r="BQ71" s="896"/>
      <c r="BR71" s="896"/>
      <c r="BS71" s="896"/>
      <c r="BT71" s="896"/>
      <c r="BU71" s="896"/>
      <c r="BV71" s="896"/>
      <c r="BW71" s="896"/>
      <c r="BX71" s="896"/>
      <c r="BY71" s="896"/>
      <c r="BZ71" s="896"/>
      <c r="CA71" s="896"/>
      <c r="CB71" s="896"/>
      <c r="CC71" s="896"/>
      <c r="CD71" s="896"/>
      <c r="CE71" s="896"/>
      <c r="CF71" s="896"/>
      <c r="CG71" s="896"/>
      <c r="CH71" s="896"/>
      <c r="CI71" s="896"/>
      <c r="CJ71" s="896"/>
      <c r="CK71" s="896"/>
      <c r="CL71" s="896"/>
      <c r="CM71" s="896"/>
      <c r="CN71" s="896"/>
      <c r="CO71" s="896"/>
      <c r="CP71" s="896"/>
      <c r="CQ71" s="896"/>
      <c r="CR71" s="896"/>
      <c r="CS71" s="896"/>
      <c r="CT71" s="896"/>
      <c r="CU71" s="896"/>
      <c r="CV71" s="896"/>
      <c r="CW71" s="896"/>
      <c r="CX71" s="896"/>
      <c r="CY71" s="896"/>
      <c r="CZ71" s="896"/>
      <c r="DA71" s="896"/>
      <c r="DB71" s="896"/>
      <c r="DC71" s="896"/>
      <c r="DD71" s="896"/>
      <c r="DE71" s="896"/>
      <c r="DF71" s="896"/>
      <c r="DG71" s="896"/>
      <c r="DH71" s="896"/>
      <c r="DI71" s="896"/>
      <c r="DJ71" s="896"/>
      <c r="DK71" s="896"/>
      <c r="DL71" s="896"/>
      <c r="DM71" s="896"/>
      <c r="DN71" s="896"/>
      <c r="DO71" s="896"/>
      <c r="DP71" s="896"/>
      <c r="DQ71" s="896"/>
      <c r="DR71" s="896"/>
      <c r="DS71" s="896"/>
      <c r="DT71" s="896"/>
      <c r="DU71" s="896"/>
      <c r="DV71" s="896"/>
      <c r="DW71" s="896"/>
      <c r="DX71" s="896"/>
      <c r="DY71" s="896"/>
      <c r="DZ71" s="896"/>
      <c r="EA71" s="896"/>
      <c r="EB71" s="896"/>
      <c r="EC71" s="896"/>
      <c r="ED71" s="896"/>
      <c r="EE71" s="896"/>
      <c r="EF71" s="896"/>
      <c r="EG71" s="896"/>
      <c r="EH71" s="896"/>
      <c r="EI71" s="896"/>
      <c r="EJ71" s="896"/>
      <c r="EK71" s="896"/>
      <c r="EL71" s="896"/>
      <c r="EM71" s="896"/>
      <c r="EN71" s="896"/>
      <c r="EO71" s="896"/>
      <c r="EP71" s="896"/>
      <c r="EQ71" s="896"/>
      <c r="ER71" s="896"/>
      <c r="ES71" s="896"/>
      <c r="ET71" s="896"/>
      <c r="EU71" s="896"/>
      <c r="EV71" s="896"/>
      <c r="EW71" s="896"/>
      <c r="EX71" s="896"/>
      <c r="EY71" s="896"/>
      <c r="EZ71" s="896"/>
      <c r="FA71" s="896"/>
      <c r="FB71" s="896"/>
      <c r="FC71" s="896"/>
      <c r="FD71" s="896"/>
      <c r="FE71" s="896"/>
      <c r="FF71" s="896"/>
      <c r="FG71" s="896"/>
      <c r="FH71" s="896"/>
      <c r="FI71" s="896"/>
      <c r="FJ71" s="896"/>
      <c r="FK71" s="896"/>
      <c r="FL71" s="896"/>
      <c r="FM71" s="896"/>
      <c r="FN71" s="896"/>
      <c r="FO71" s="896"/>
      <c r="FP71" s="896"/>
      <c r="FQ71" s="896"/>
      <c r="FR71" s="896"/>
      <c r="FS71" s="896"/>
      <c r="FT71" s="896"/>
      <c r="FU71" s="896"/>
      <c r="FV71" s="896"/>
      <c r="FW71" s="896"/>
      <c r="FX71" s="896"/>
      <c r="FY71" s="896"/>
      <c r="FZ71" s="896"/>
      <c r="GA71" s="896"/>
      <c r="GB71" s="896"/>
      <c r="GC71" s="896"/>
      <c r="GD71" s="896"/>
      <c r="GE71" s="896"/>
      <c r="GF71" s="896"/>
      <c r="GG71" s="896"/>
      <c r="GH71" s="896"/>
      <c r="GI71" s="896"/>
      <c r="GJ71" s="896"/>
      <c r="GK71" s="896"/>
      <c r="GL71" s="896"/>
      <c r="GM71" s="896"/>
      <c r="GN71" s="896"/>
      <c r="GO71" s="896"/>
      <c r="GP71" s="896"/>
      <c r="GQ71" s="896"/>
      <c r="GR71" s="896"/>
      <c r="GS71" s="896"/>
      <c r="GT71" s="896"/>
      <c r="GU71" s="896"/>
      <c r="GV71" s="896"/>
      <c r="GW71" s="896"/>
      <c r="GX71" s="896"/>
      <c r="GY71" s="896"/>
      <c r="GZ71" s="896"/>
      <c r="HA71" s="896"/>
      <c r="HB71" s="896"/>
      <c r="HC71" s="896"/>
      <c r="HD71" s="896"/>
      <c r="HE71" s="896"/>
      <c r="HF71" s="896"/>
      <c r="HG71" s="896"/>
      <c r="HH71" s="896"/>
      <c r="HI71" s="896"/>
      <c r="HJ71" s="896"/>
      <c r="HK71" s="896"/>
      <c r="HL71" s="896"/>
      <c r="HM71" s="896"/>
      <c r="HN71" s="896"/>
      <c r="HO71" s="896"/>
      <c r="HP71" s="896"/>
      <c r="HQ71" s="896"/>
      <c r="HR71" s="896"/>
      <c r="HS71" s="896"/>
      <c r="HT71" s="896"/>
      <c r="HU71" s="896"/>
      <c r="HV71" s="896"/>
      <c r="HW71" s="896"/>
      <c r="HX71" s="896"/>
      <c r="HY71" s="896"/>
      <c r="HZ71" s="896"/>
      <c r="IA71" s="896"/>
      <c r="IB71" s="896"/>
      <c r="IC71" s="896"/>
      <c r="ID71" s="896"/>
      <c r="IE71" s="896"/>
      <c r="IF71" s="896"/>
      <c r="IG71" s="896"/>
      <c r="IH71" s="896"/>
      <c r="II71" s="896"/>
      <c r="IJ71" s="896"/>
      <c r="IK71" s="896"/>
      <c r="IL71" s="896"/>
      <c r="IM71" s="896"/>
      <c r="IN71" s="896"/>
      <c r="IO71" s="896"/>
      <c r="IP71" s="896"/>
      <c r="IQ71" s="896"/>
      <c r="IR71" s="896"/>
      <c r="IS71" s="896"/>
      <c r="IT71" s="896"/>
      <c r="IU71" s="896"/>
      <c r="IV71" s="896"/>
    </row>
    <row r="72" spans="1:256" ht="10.5" customHeight="1">
      <c r="A72" s="875" t="s">
        <v>457</v>
      </c>
      <c r="B72" s="962">
        <v>94.9</v>
      </c>
      <c r="C72" s="962">
        <v>83.7</v>
      </c>
      <c r="D72" s="963">
        <v>82.3</v>
      </c>
      <c r="E72" s="963">
        <v>73.599999999999994</v>
      </c>
      <c r="F72" s="963">
        <v>51.6</v>
      </c>
      <c r="G72" s="963">
        <v>44.9</v>
      </c>
      <c r="H72" s="963">
        <v>39.700000000000003</v>
      </c>
      <c r="I72" s="963">
        <v>32</v>
      </c>
      <c r="J72" s="963">
        <v>25.1</v>
      </c>
      <c r="K72" s="962">
        <v>24.8</v>
      </c>
      <c r="L72" s="964">
        <v>53.9</v>
      </c>
      <c r="M72" s="965">
        <v>40.9</v>
      </c>
      <c r="N72" s="962">
        <v>27.2</v>
      </c>
      <c r="O72" s="889"/>
      <c r="P72" s="889"/>
      <c r="Q72" s="889"/>
      <c r="R72" s="889"/>
      <c r="S72" s="889"/>
      <c r="T72" s="889"/>
      <c r="U72" s="889"/>
      <c r="V72" s="889"/>
      <c r="W72" s="889"/>
      <c r="X72" s="889"/>
      <c r="Y72" s="889"/>
      <c r="Z72" s="889"/>
      <c r="AA72" s="889"/>
      <c r="AB72" s="889"/>
      <c r="AC72" s="889"/>
      <c r="AD72" s="889"/>
      <c r="AE72" s="889"/>
      <c r="AF72" s="889"/>
      <c r="AG72" s="889"/>
      <c r="AH72" s="889"/>
      <c r="AI72" s="889"/>
      <c r="AJ72" s="889"/>
      <c r="AK72" s="889"/>
      <c r="AL72" s="889"/>
      <c r="AM72" s="889"/>
      <c r="AN72" s="889"/>
      <c r="AO72" s="889"/>
      <c r="AP72" s="889"/>
      <c r="AQ72" s="889"/>
      <c r="AR72" s="889"/>
      <c r="AS72" s="889"/>
      <c r="AT72" s="889"/>
      <c r="AU72" s="889"/>
      <c r="AV72" s="889"/>
      <c r="AW72" s="889"/>
      <c r="AX72" s="889"/>
      <c r="AY72" s="889"/>
      <c r="AZ72" s="889"/>
      <c r="BA72" s="889"/>
      <c r="BB72" s="889"/>
      <c r="BC72" s="889"/>
      <c r="BD72" s="889"/>
      <c r="BE72" s="889"/>
      <c r="BF72" s="889"/>
      <c r="BG72" s="889"/>
      <c r="BH72" s="889"/>
      <c r="BI72" s="889"/>
      <c r="BJ72" s="889"/>
      <c r="BK72" s="889"/>
      <c r="BL72" s="889"/>
      <c r="BM72" s="889"/>
      <c r="BN72" s="889"/>
      <c r="BO72" s="889"/>
      <c r="BP72" s="889"/>
      <c r="BQ72" s="889"/>
      <c r="BR72" s="889"/>
      <c r="BS72" s="889"/>
      <c r="BT72" s="889"/>
      <c r="BU72" s="889"/>
      <c r="BV72" s="889"/>
      <c r="BW72" s="889"/>
      <c r="BX72" s="889"/>
      <c r="BY72" s="889"/>
      <c r="BZ72" s="889"/>
      <c r="CA72" s="889"/>
      <c r="CB72" s="889"/>
      <c r="CC72" s="889"/>
      <c r="CD72" s="889"/>
      <c r="CE72" s="889"/>
      <c r="CF72" s="889"/>
      <c r="CG72" s="889"/>
      <c r="CH72" s="889"/>
      <c r="CI72" s="889"/>
      <c r="CJ72" s="889"/>
      <c r="CK72" s="889"/>
      <c r="CL72" s="889"/>
      <c r="CM72" s="889"/>
      <c r="CN72" s="889"/>
      <c r="CO72" s="889"/>
      <c r="CP72" s="889"/>
      <c r="CQ72" s="889"/>
      <c r="CR72" s="889"/>
      <c r="CS72" s="889"/>
      <c r="CT72" s="889"/>
      <c r="CU72" s="889"/>
      <c r="CV72" s="889"/>
      <c r="CW72" s="889"/>
      <c r="CX72" s="889"/>
      <c r="CY72" s="889"/>
      <c r="CZ72" s="889"/>
      <c r="DA72" s="889"/>
      <c r="DB72" s="889"/>
      <c r="DC72" s="889"/>
      <c r="DD72" s="889"/>
      <c r="DE72" s="889"/>
      <c r="DF72" s="889"/>
      <c r="DG72" s="889"/>
      <c r="DH72" s="889"/>
      <c r="DI72" s="889"/>
      <c r="DJ72" s="889"/>
      <c r="DK72" s="889"/>
      <c r="DL72" s="889"/>
      <c r="DM72" s="889"/>
      <c r="DN72" s="889"/>
      <c r="DO72" s="889"/>
      <c r="DP72" s="889"/>
      <c r="DQ72" s="889"/>
      <c r="DR72" s="889"/>
      <c r="DS72" s="889"/>
      <c r="DT72" s="889"/>
      <c r="DU72" s="889"/>
      <c r="DV72" s="889"/>
      <c r="DW72" s="889"/>
      <c r="DX72" s="889"/>
      <c r="DY72" s="889"/>
      <c r="DZ72" s="889"/>
      <c r="EA72" s="889"/>
      <c r="EB72" s="889"/>
      <c r="EC72" s="889"/>
      <c r="ED72" s="889"/>
      <c r="EE72" s="889"/>
      <c r="EF72" s="889"/>
      <c r="EG72" s="889"/>
      <c r="EH72" s="889"/>
      <c r="EI72" s="889"/>
      <c r="EJ72" s="889"/>
      <c r="EK72" s="889"/>
      <c r="EL72" s="889"/>
      <c r="EM72" s="889"/>
      <c r="EN72" s="889"/>
      <c r="EO72" s="889"/>
      <c r="EP72" s="889"/>
      <c r="EQ72" s="889"/>
      <c r="ER72" s="889"/>
      <c r="ES72" s="889"/>
      <c r="ET72" s="889"/>
      <c r="EU72" s="889"/>
      <c r="EV72" s="889"/>
      <c r="EW72" s="889"/>
      <c r="EX72" s="889"/>
      <c r="EY72" s="889"/>
      <c r="EZ72" s="889"/>
      <c r="FA72" s="889"/>
      <c r="FB72" s="889"/>
      <c r="FC72" s="889"/>
      <c r="FD72" s="889"/>
      <c r="FE72" s="889"/>
      <c r="FF72" s="889"/>
      <c r="FG72" s="889"/>
      <c r="FH72" s="889"/>
      <c r="FI72" s="889"/>
      <c r="FJ72" s="889"/>
      <c r="FK72" s="889"/>
      <c r="FL72" s="889"/>
      <c r="FM72" s="889"/>
      <c r="FN72" s="889"/>
      <c r="FO72" s="889"/>
      <c r="FP72" s="889"/>
      <c r="FQ72" s="889"/>
      <c r="FR72" s="889"/>
      <c r="FS72" s="889"/>
      <c r="FT72" s="889"/>
      <c r="FU72" s="889"/>
      <c r="FV72" s="889"/>
      <c r="FW72" s="889"/>
      <c r="FX72" s="889"/>
      <c r="FY72" s="889"/>
      <c r="FZ72" s="889"/>
      <c r="GA72" s="889"/>
      <c r="GB72" s="889"/>
      <c r="GC72" s="889"/>
      <c r="GD72" s="889"/>
      <c r="GE72" s="889"/>
      <c r="GF72" s="889"/>
      <c r="GG72" s="889"/>
      <c r="GH72" s="889"/>
      <c r="GI72" s="889"/>
      <c r="GJ72" s="889"/>
      <c r="GK72" s="889"/>
      <c r="GL72" s="889"/>
      <c r="GM72" s="889"/>
      <c r="GN72" s="889"/>
      <c r="GO72" s="889"/>
      <c r="GP72" s="889"/>
      <c r="GQ72" s="889"/>
      <c r="GR72" s="889"/>
      <c r="GS72" s="889"/>
      <c r="GT72" s="889"/>
      <c r="GU72" s="889"/>
      <c r="GV72" s="889"/>
      <c r="GW72" s="889"/>
      <c r="GX72" s="889"/>
      <c r="GY72" s="889"/>
      <c r="GZ72" s="889"/>
      <c r="HA72" s="889"/>
      <c r="HB72" s="889"/>
      <c r="HC72" s="889"/>
      <c r="HD72" s="889"/>
      <c r="HE72" s="889"/>
      <c r="HF72" s="889"/>
      <c r="HG72" s="889"/>
      <c r="HH72" s="889"/>
      <c r="HI72" s="889"/>
      <c r="HJ72" s="889"/>
      <c r="HK72" s="889"/>
      <c r="HL72" s="889"/>
      <c r="HM72" s="889"/>
      <c r="HN72" s="889"/>
      <c r="HO72" s="889"/>
      <c r="HP72" s="889"/>
      <c r="HQ72" s="889"/>
      <c r="HR72" s="889"/>
      <c r="HS72" s="889"/>
      <c r="HT72" s="889"/>
      <c r="HU72" s="889"/>
      <c r="HV72" s="889"/>
      <c r="HW72" s="889"/>
      <c r="HX72" s="889"/>
      <c r="HY72" s="889"/>
      <c r="HZ72" s="889"/>
      <c r="IA72" s="889"/>
      <c r="IB72" s="889"/>
      <c r="IC72" s="889"/>
      <c r="ID72" s="889"/>
      <c r="IE72" s="889"/>
      <c r="IF72" s="889"/>
      <c r="IG72" s="889"/>
      <c r="IH72" s="889"/>
      <c r="II72" s="889"/>
      <c r="IJ72" s="889"/>
      <c r="IK72" s="889"/>
      <c r="IL72" s="889"/>
      <c r="IM72" s="889"/>
      <c r="IN72" s="889"/>
      <c r="IO72" s="889"/>
      <c r="IP72" s="889"/>
      <c r="IQ72" s="889"/>
      <c r="IR72" s="889"/>
      <c r="IS72" s="889"/>
      <c r="IT72" s="889"/>
      <c r="IU72" s="889"/>
      <c r="IV72" s="889"/>
    </row>
    <row r="73" spans="1:256" ht="10.5" customHeight="1">
      <c r="A73" s="875" t="s">
        <v>798</v>
      </c>
      <c r="B73" s="962">
        <v>313.8</v>
      </c>
      <c r="C73" s="962">
        <v>422.5</v>
      </c>
      <c r="D73" s="963">
        <v>429.6</v>
      </c>
      <c r="E73" s="963">
        <v>497.5</v>
      </c>
      <c r="F73" s="963">
        <v>629.20000000000005</v>
      </c>
      <c r="G73" s="963">
        <v>578.29999999999995</v>
      </c>
      <c r="H73" s="963">
        <v>624.29999999999995</v>
      </c>
      <c r="I73" s="963">
        <v>841.9</v>
      </c>
      <c r="J73" s="963">
        <v>887.4</v>
      </c>
      <c r="K73" s="962">
        <v>826.5</v>
      </c>
      <c r="L73" s="965">
        <v>781</v>
      </c>
      <c r="M73" s="965">
        <v>826.9</v>
      </c>
      <c r="N73" s="962">
        <v>833.9</v>
      </c>
      <c r="O73" s="889"/>
      <c r="P73" s="889"/>
      <c r="Q73" s="889"/>
      <c r="R73" s="889"/>
      <c r="S73" s="889"/>
      <c r="T73" s="889"/>
      <c r="U73" s="889"/>
      <c r="V73" s="889"/>
      <c r="W73" s="889"/>
      <c r="X73" s="889"/>
      <c r="Y73" s="889"/>
      <c r="Z73" s="889"/>
      <c r="AA73" s="889"/>
      <c r="AB73" s="889"/>
      <c r="AC73" s="889"/>
      <c r="AD73" s="889"/>
      <c r="AE73" s="889"/>
      <c r="AF73" s="889"/>
      <c r="AG73" s="889"/>
      <c r="AH73" s="889"/>
      <c r="AI73" s="889"/>
      <c r="AJ73" s="889"/>
      <c r="AK73" s="889"/>
      <c r="AL73" s="889"/>
      <c r="AM73" s="889"/>
      <c r="AN73" s="889"/>
      <c r="AO73" s="889"/>
      <c r="AP73" s="889"/>
      <c r="AQ73" s="889"/>
      <c r="AR73" s="889"/>
      <c r="AS73" s="889"/>
      <c r="AT73" s="889"/>
      <c r="AU73" s="889"/>
      <c r="AV73" s="889"/>
      <c r="AW73" s="889"/>
      <c r="AX73" s="889"/>
      <c r="AY73" s="889"/>
      <c r="AZ73" s="889"/>
      <c r="BA73" s="889"/>
      <c r="BB73" s="889"/>
      <c r="BC73" s="889"/>
      <c r="BD73" s="889"/>
      <c r="BE73" s="889"/>
      <c r="BF73" s="889"/>
      <c r="BG73" s="889"/>
      <c r="BH73" s="889"/>
      <c r="BI73" s="889"/>
      <c r="BJ73" s="889"/>
      <c r="BK73" s="889"/>
      <c r="BL73" s="889"/>
      <c r="BM73" s="889"/>
      <c r="BN73" s="889"/>
      <c r="BO73" s="889"/>
      <c r="BP73" s="889"/>
      <c r="BQ73" s="889"/>
      <c r="BR73" s="889"/>
      <c r="BS73" s="889"/>
      <c r="BT73" s="889"/>
      <c r="BU73" s="889"/>
      <c r="BV73" s="889"/>
      <c r="BW73" s="889"/>
      <c r="BX73" s="889"/>
      <c r="BY73" s="889"/>
      <c r="BZ73" s="889"/>
      <c r="CA73" s="889"/>
      <c r="CB73" s="889"/>
      <c r="CC73" s="889"/>
      <c r="CD73" s="889"/>
      <c r="CE73" s="889"/>
      <c r="CF73" s="889"/>
      <c r="CG73" s="889"/>
      <c r="CH73" s="889"/>
      <c r="CI73" s="889"/>
      <c r="CJ73" s="889"/>
      <c r="CK73" s="889"/>
      <c r="CL73" s="889"/>
      <c r="CM73" s="889"/>
      <c r="CN73" s="889"/>
      <c r="CO73" s="889"/>
      <c r="CP73" s="889"/>
      <c r="CQ73" s="889"/>
      <c r="CR73" s="889"/>
      <c r="CS73" s="889"/>
      <c r="CT73" s="889"/>
      <c r="CU73" s="889"/>
      <c r="CV73" s="889"/>
      <c r="CW73" s="889"/>
      <c r="CX73" s="889"/>
      <c r="CY73" s="889"/>
      <c r="CZ73" s="889"/>
      <c r="DA73" s="889"/>
      <c r="DB73" s="889"/>
      <c r="DC73" s="889"/>
      <c r="DD73" s="889"/>
      <c r="DE73" s="889"/>
      <c r="DF73" s="889"/>
      <c r="DG73" s="889"/>
      <c r="DH73" s="889"/>
      <c r="DI73" s="889"/>
      <c r="DJ73" s="889"/>
      <c r="DK73" s="889"/>
      <c r="DL73" s="889"/>
      <c r="DM73" s="889"/>
      <c r="DN73" s="889"/>
      <c r="DO73" s="889"/>
      <c r="DP73" s="889"/>
      <c r="DQ73" s="889"/>
      <c r="DR73" s="889"/>
      <c r="DS73" s="889"/>
      <c r="DT73" s="889"/>
      <c r="DU73" s="889"/>
      <c r="DV73" s="889"/>
      <c r="DW73" s="889"/>
      <c r="DX73" s="889"/>
      <c r="DY73" s="889"/>
      <c r="DZ73" s="889"/>
      <c r="EA73" s="889"/>
      <c r="EB73" s="889"/>
      <c r="EC73" s="889"/>
      <c r="ED73" s="889"/>
      <c r="EE73" s="889"/>
      <c r="EF73" s="889"/>
      <c r="EG73" s="889"/>
      <c r="EH73" s="889"/>
      <c r="EI73" s="889"/>
      <c r="EJ73" s="889"/>
      <c r="EK73" s="889"/>
      <c r="EL73" s="889"/>
      <c r="EM73" s="889"/>
      <c r="EN73" s="889"/>
      <c r="EO73" s="889"/>
      <c r="EP73" s="889"/>
      <c r="EQ73" s="889"/>
      <c r="ER73" s="889"/>
      <c r="ES73" s="889"/>
      <c r="ET73" s="889"/>
      <c r="EU73" s="889"/>
      <c r="EV73" s="889"/>
      <c r="EW73" s="889"/>
      <c r="EX73" s="889"/>
      <c r="EY73" s="889"/>
      <c r="EZ73" s="889"/>
      <c r="FA73" s="889"/>
      <c r="FB73" s="889"/>
      <c r="FC73" s="889"/>
      <c r="FD73" s="889"/>
      <c r="FE73" s="889"/>
      <c r="FF73" s="889"/>
      <c r="FG73" s="889"/>
      <c r="FH73" s="889"/>
      <c r="FI73" s="889"/>
      <c r="FJ73" s="889"/>
      <c r="FK73" s="889"/>
      <c r="FL73" s="889"/>
      <c r="FM73" s="889"/>
      <c r="FN73" s="889"/>
      <c r="FO73" s="889"/>
      <c r="FP73" s="889"/>
      <c r="FQ73" s="889"/>
      <c r="FR73" s="889"/>
      <c r="FS73" s="889"/>
      <c r="FT73" s="889"/>
      <c r="FU73" s="889"/>
      <c r="FV73" s="889"/>
      <c r="FW73" s="889"/>
      <c r="FX73" s="889"/>
      <c r="FY73" s="889"/>
      <c r="FZ73" s="889"/>
      <c r="GA73" s="889"/>
      <c r="GB73" s="889"/>
      <c r="GC73" s="889"/>
      <c r="GD73" s="889"/>
      <c r="GE73" s="889"/>
      <c r="GF73" s="889"/>
      <c r="GG73" s="889"/>
      <c r="GH73" s="889"/>
      <c r="GI73" s="889"/>
      <c r="GJ73" s="889"/>
      <c r="GK73" s="889"/>
      <c r="GL73" s="889"/>
      <c r="GM73" s="889"/>
      <c r="GN73" s="889"/>
      <c r="GO73" s="889"/>
      <c r="GP73" s="889"/>
      <c r="GQ73" s="889"/>
      <c r="GR73" s="889"/>
      <c r="GS73" s="889"/>
      <c r="GT73" s="889"/>
      <c r="GU73" s="889"/>
      <c r="GV73" s="889"/>
      <c r="GW73" s="889"/>
      <c r="GX73" s="889"/>
      <c r="GY73" s="889"/>
      <c r="GZ73" s="889"/>
      <c r="HA73" s="889"/>
      <c r="HB73" s="889"/>
      <c r="HC73" s="889"/>
      <c r="HD73" s="889"/>
      <c r="HE73" s="889"/>
      <c r="HF73" s="889"/>
      <c r="HG73" s="889"/>
      <c r="HH73" s="889"/>
      <c r="HI73" s="889"/>
      <c r="HJ73" s="889"/>
      <c r="HK73" s="889"/>
      <c r="HL73" s="889"/>
      <c r="HM73" s="889"/>
      <c r="HN73" s="889"/>
      <c r="HO73" s="889"/>
      <c r="HP73" s="889"/>
      <c r="HQ73" s="889"/>
      <c r="HR73" s="889"/>
      <c r="HS73" s="889"/>
      <c r="HT73" s="889"/>
      <c r="HU73" s="889"/>
      <c r="HV73" s="889"/>
      <c r="HW73" s="889"/>
      <c r="HX73" s="889"/>
      <c r="HY73" s="889"/>
      <c r="HZ73" s="889"/>
      <c r="IA73" s="889"/>
      <c r="IB73" s="889"/>
      <c r="IC73" s="889"/>
      <c r="ID73" s="889"/>
      <c r="IE73" s="889"/>
      <c r="IF73" s="889"/>
      <c r="IG73" s="889"/>
      <c r="IH73" s="889"/>
      <c r="II73" s="889"/>
      <c r="IJ73" s="889"/>
      <c r="IK73" s="889"/>
      <c r="IL73" s="889"/>
      <c r="IM73" s="889"/>
      <c r="IN73" s="889"/>
      <c r="IO73" s="889"/>
      <c r="IP73" s="889"/>
      <c r="IQ73" s="889"/>
      <c r="IR73" s="889"/>
      <c r="IS73" s="889"/>
      <c r="IT73" s="889"/>
      <c r="IU73" s="889"/>
      <c r="IV73" s="889"/>
    </row>
    <row r="74" spans="1:256" ht="10.5" customHeight="1">
      <c r="A74" s="875" t="s">
        <v>799</v>
      </c>
      <c r="B74" s="962">
        <v>11.3</v>
      </c>
      <c r="C74" s="962">
        <v>11.5</v>
      </c>
      <c r="D74" s="963">
        <v>10</v>
      </c>
      <c r="E74" s="963">
        <v>14.5</v>
      </c>
      <c r="F74" s="963">
        <v>11.9</v>
      </c>
      <c r="G74" s="963">
        <v>12.3</v>
      </c>
      <c r="H74" s="963">
        <v>9.1999999999999993</v>
      </c>
      <c r="I74" s="963">
        <v>6.96</v>
      </c>
      <c r="J74" s="963">
        <v>7.2</v>
      </c>
      <c r="K74" s="962">
        <v>11.2</v>
      </c>
      <c r="L74" s="964">
        <v>7.1</v>
      </c>
      <c r="M74" s="966">
        <v>1.5</v>
      </c>
      <c r="N74" s="962">
        <v>1</v>
      </c>
      <c r="O74" s="889"/>
      <c r="P74" s="889"/>
      <c r="Q74" s="889"/>
      <c r="R74" s="889"/>
      <c r="S74" s="889"/>
      <c r="T74" s="889"/>
      <c r="U74" s="889"/>
      <c r="V74" s="889"/>
      <c r="W74" s="889"/>
      <c r="X74" s="889"/>
      <c r="Y74" s="889"/>
      <c r="Z74" s="889"/>
      <c r="AA74" s="889"/>
      <c r="AB74" s="889"/>
      <c r="AC74" s="889"/>
      <c r="AD74" s="889"/>
      <c r="AE74" s="889"/>
      <c r="AF74" s="889"/>
      <c r="AG74" s="889"/>
      <c r="AH74" s="889"/>
      <c r="AI74" s="889"/>
      <c r="AJ74" s="889"/>
      <c r="AK74" s="889"/>
      <c r="AL74" s="889"/>
      <c r="AM74" s="889"/>
      <c r="AN74" s="889"/>
      <c r="AO74" s="889"/>
      <c r="AP74" s="889"/>
      <c r="AQ74" s="889"/>
      <c r="AR74" s="889"/>
      <c r="AS74" s="889"/>
      <c r="AT74" s="889"/>
      <c r="AU74" s="889"/>
      <c r="AV74" s="889"/>
      <c r="AW74" s="889"/>
      <c r="AX74" s="889"/>
      <c r="AY74" s="889"/>
      <c r="AZ74" s="889"/>
      <c r="BA74" s="889"/>
      <c r="BB74" s="889"/>
      <c r="BC74" s="889"/>
      <c r="BD74" s="889"/>
      <c r="BE74" s="889"/>
      <c r="BF74" s="889"/>
      <c r="BG74" s="889"/>
      <c r="BH74" s="889"/>
      <c r="BI74" s="889"/>
      <c r="BJ74" s="889"/>
      <c r="BK74" s="889"/>
      <c r="BL74" s="889"/>
      <c r="BM74" s="889"/>
      <c r="BN74" s="889"/>
      <c r="BO74" s="889"/>
      <c r="BP74" s="889"/>
      <c r="BQ74" s="889"/>
      <c r="BR74" s="889"/>
      <c r="BS74" s="889"/>
      <c r="BT74" s="889"/>
      <c r="BU74" s="889"/>
      <c r="BV74" s="889"/>
      <c r="BW74" s="889"/>
      <c r="BX74" s="889"/>
      <c r="BY74" s="889"/>
      <c r="BZ74" s="889"/>
      <c r="CA74" s="889"/>
      <c r="CB74" s="889"/>
      <c r="CC74" s="889"/>
      <c r="CD74" s="889"/>
      <c r="CE74" s="889"/>
      <c r="CF74" s="889"/>
      <c r="CG74" s="889"/>
      <c r="CH74" s="889"/>
      <c r="CI74" s="889"/>
      <c r="CJ74" s="889"/>
      <c r="CK74" s="889"/>
      <c r="CL74" s="889"/>
      <c r="CM74" s="889"/>
      <c r="CN74" s="889"/>
      <c r="CO74" s="889"/>
      <c r="CP74" s="889"/>
      <c r="CQ74" s="889"/>
      <c r="CR74" s="889"/>
      <c r="CS74" s="889"/>
      <c r="CT74" s="889"/>
      <c r="CU74" s="889"/>
      <c r="CV74" s="889"/>
      <c r="CW74" s="889"/>
      <c r="CX74" s="889"/>
      <c r="CY74" s="889"/>
      <c r="CZ74" s="889"/>
      <c r="DA74" s="889"/>
      <c r="DB74" s="889"/>
      <c r="DC74" s="889"/>
      <c r="DD74" s="889"/>
      <c r="DE74" s="889"/>
      <c r="DF74" s="889"/>
      <c r="DG74" s="889"/>
      <c r="DH74" s="889"/>
      <c r="DI74" s="889"/>
      <c r="DJ74" s="889"/>
      <c r="DK74" s="889"/>
      <c r="DL74" s="889"/>
      <c r="DM74" s="889"/>
      <c r="DN74" s="889"/>
      <c r="DO74" s="889"/>
      <c r="DP74" s="889"/>
      <c r="DQ74" s="889"/>
      <c r="DR74" s="889"/>
      <c r="DS74" s="889"/>
      <c r="DT74" s="889"/>
      <c r="DU74" s="889"/>
      <c r="DV74" s="889"/>
      <c r="DW74" s="889"/>
      <c r="DX74" s="889"/>
      <c r="DY74" s="889"/>
      <c r="DZ74" s="889"/>
      <c r="EA74" s="889"/>
      <c r="EB74" s="889"/>
      <c r="EC74" s="889"/>
      <c r="ED74" s="889"/>
      <c r="EE74" s="889"/>
      <c r="EF74" s="889"/>
      <c r="EG74" s="889"/>
      <c r="EH74" s="889"/>
      <c r="EI74" s="889"/>
      <c r="EJ74" s="889"/>
      <c r="EK74" s="889"/>
      <c r="EL74" s="889"/>
      <c r="EM74" s="889"/>
      <c r="EN74" s="889"/>
      <c r="EO74" s="889"/>
      <c r="EP74" s="889"/>
      <c r="EQ74" s="889"/>
      <c r="ER74" s="889"/>
      <c r="ES74" s="889"/>
      <c r="ET74" s="889"/>
      <c r="EU74" s="889"/>
      <c r="EV74" s="889"/>
      <c r="EW74" s="889"/>
      <c r="EX74" s="889"/>
      <c r="EY74" s="889"/>
      <c r="EZ74" s="889"/>
      <c r="FA74" s="889"/>
      <c r="FB74" s="889"/>
      <c r="FC74" s="889"/>
      <c r="FD74" s="889"/>
      <c r="FE74" s="889"/>
      <c r="FF74" s="889"/>
      <c r="FG74" s="889"/>
      <c r="FH74" s="889"/>
      <c r="FI74" s="889"/>
      <c r="FJ74" s="889"/>
      <c r="FK74" s="889"/>
      <c r="FL74" s="889"/>
      <c r="FM74" s="889"/>
      <c r="FN74" s="889"/>
      <c r="FO74" s="889"/>
      <c r="FP74" s="889"/>
      <c r="FQ74" s="889"/>
      <c r="FR74" s="889"/>
      <c r="FS74" s="889"/>
      <c r="FT74" s="889"/>
      <c r="FU74" s="889"/>
      <c r="FV74" s="889"/>
      <c r="FW74" s="889"/>
      <c r="FX74" s="889"/>
      <c r="FY74" s="889"/>
      <c r="FZ74" s="889"/>
      <c r="GA74" s="889"/>
      <c r="GB74" s="889"/>
      <c r="GC74" s="889"/>
      <c r="GD74" s="889"/>
      <c r="GE74" s="889"/>
      <c r="GF74" s="889"/>
      <c r="GG74" s="889"/>
      <c r="GH74" s="889"/>
      <c r="GI74" s="889"/>
      <c r="GJ74" s="889"/>
      <c r="GK74" s="889"/>
      <c r="GL74" s="889"/>
      <c r="GM74" s="889"/>
      <c r="GN74" s="889"/>
      <c r="GO74" s="889"/>
      <c r="GP74" s="889"/>
      <c r="GQ74" s="889"/>
      <c r="GR74" s="889"/>
      <c r="GS74" s="889"/>
      <c r="GT74" s="889"/>
      <c r="GU74" s="889"/>
      <c r="GV74" s="889"/>
      <c r="GW74" s="889"/>
      <c r="GX74" s="889"/>
      <c r="GY74" s="889"/>
      <c r="GZ74" s="889"/>
      <c r="HA74" s="889"/>
      <c r="HB74" s="889"/>
      <c r="HC74" s="889"/>
      <c r="HD74" s="889"/>
      <c r="HE74" s="889"/>
      <c r="HF74" s="889"/>
      <c r="HG74" s="889"/>
      <c r="HH74" s="889"/>
      <c r="HI74" s="889"/>
      <c r="HJ74" s="889"/>
      <c r="HK74" s="889"/>
      <c r="HL74" s="889"/>
      <c r="HM74" s="889"/>
      <c r="HN74" s="889"/>
      <c r="HO74" s="889"/>
      <c r="HP74" s="889"/>
      <c r="HQ74" s="889"/>
      <c r="HR74" s="889"/>
      <c r="HS74" s="889"/>
      <c r="HT74" s="889"/>
      <c r="HU74" s="889"/>
      <c r="HV74" s="889"/>
      <c r="HW74" s="889"/>
      <c r="HX74" s="889"/>
      <c r="HY74" s="889"/>
      <c r="HZ74" s="889"/>
      <c r="IA74" s="889"/>
      <c r="IB74" s="889"/>
      <c r="IC74" s="889"/>
      <c r="ID74" s="889"/>
      <c r="IE74" s="889"/>
      <c r="IF74" s="889"/>
      <c r="IG74" s="889"/>
      <c r="IH74" s="889"/>
      <c r="II74" s="889"/>
      <c r="IJ74" s="889"/>
      <c r="IK74" s="889"/>
      <c r="IL74" s="889"/>
      <c r="IM74" s="889"/>
      <c r="IN74" s="889"/>
      <c r="IO74" s="889"/>
      <c r="IP74" s="889"/>
      <c r="IQ74" s="889"/>
      <c r="IR74" s="889"/>
      <c r="IS74" s="889"/>
      <c r="IT74" s="889"/>
      <c r="IU74" s="889"/>
      <c r="IV74" s="889"/>
    </row>
    <row r="75" spans="1:256" ht="10.5" customHeight="1">
      <c r="A75" s="924" t="s">
        <v>800</v>
      </c>
      <c r="B75" s="914">
        <v>0</v>
      </c>
      <c r="C75" s="914">
        <v>0</v>
      </c>
      <c r="D75" s="967">
        <v>0</v>
      </c>
      <c r="E75" s="914">
        <v>0</v>
      </c>
      <c r="F75" s="914">
        <v>8.6</v>
      </c>
      <c r="G75" s="914">
        <v>0</v>
      </c>
      <c r="H75" s="914">
        <v>0</v>
      </c>
      <c r="I75" s="914">
        <v>0</v>
      </c>
      <c r="J75" s="914">
        <v>5.4</v>
      </c>
      <c r="K75" s="914">
        <v>6.8</v>
      </c>
      <c r="L75" s="915">
        <v>8</v>
      </c>
      <c r="M75" s="915">
        <v>7.2</v>
      </c>
      <c r="N75" s="914">
        <v>4.7</v>
      </c>
      <c r="O75" s="889"/>
      <c r="P75" s="889"/>
      <c r="Q75" s="889"/>
      <c r="R75" s="889"/>
      <c r="S75" s="889"/>
      <c r="T75" s="889"/>
      <c r="U75" s="889"/>
      <c r="V75" s="889"/>
      <c r="W75" s="889"/>
      <c r="X75" s="889"/>
      <c r="Y75" s="889"/>
      <c r="Z75" s="889"/>
      <c r="AA75" s="889"/>
      <c r="AB75" s="889"/>
      <c r="AC75" s="889"/>
      <c r="AD75" s="889"/>
      <c r="AE75" s="889"/>
      <c r="AF75" s="889"/>
      <c r="AG75" s="889"/>
      <c r="AH75" s="889"/>
      <c r="AI75" s="889"/>
      <c r="AJ75" s="889"/>
      <c r="AK75" s="889"/>
      <c r="AL75" s="889"/>
      <c r="AM75" s="889"/>
      <c r="AN75" s="889"/>
      <c r="AO75" s="889"/>
      <c r="AP75" s="889"/>
      <c r="AQ75" s="889"/>
      <c r="AR75" s="889"/>
      <c r="AS75" s="889"/>
      <c r="AT75" s="889"/>
      <c r="AU75" s="889"/>
      <c r="AV75" s="889"/>
      <c r="AW75" s="889"/>
      <c r="AX75" s="889"/>
      <c r="AY75" s="889"/>
      <c r="AZ75" s="889"/>
      <c r="BA75" s="889"/>
      <c r="BB75" s="889"/>
      <c r="BC75" s="889"/>
      <c r="BD75" s="889"/>
      <c r="BE75" s="889"/>
      <c r="BF75" s="889"/>
      <c r="BG75" s="889"/>
      <c r="BH75" s="889"/>
      <c r="BI75" s="889"/>
      <c r="BJ75" s="889"/>
      <c r="BK75" s="889"/>
      <c r="BL75" s="889"/>
      <c r="BM75" s="889"/>
      <c r="BN75" s="889"/>
      <c r="BO75" s="889"/>
      <c r="BP75" s="889"/>
      <c r="BQ75" s="889"/>
      <c r="BR75" s="889"/>
      <c r="BS75" s="889"/>
      <c r="BT75" s="889"/>
      <c r="BU75" s="889"/>
      <c r="BV75" s="889"/>
      <c r="BW75" s="889"/>
      <c r="BX75" s="889"/>
      <c r="BY75" s="889"/>
      <c r="BZ75" s="889"/>
      <c r="CA75" s="889"/>
      <c r="CB75" s="889"/>
      <c r="CC75" s="889"/>
      <c r="CD75" s="889"/>
      <c r="CE75" s="889"/>
      <c r="CF75" s="889"/>
      <c r="CG75" s="889"/>
      <c r="CH75" s="889"/>
      <c r="CI75" s="889"/>
      <c r="CJ75" s="889"/>
      <c r="CK75" s="889"/>
      <c r="CL75" s="889"/>
      <c r="CM75" s="889"/>
      <c r="CN75" s="889"/>
      <c r="CO75" s="889"/>
      <c r="CP75" s="889"/>
      <c r="CQ75" s="889"/>
      <c r="CR75" s="889"/>
      <c r="CS75" s="889"/>
      <c r="CT75" s="889"/>
      <c r="CU75" s="889"/>
      <c r="CV75" s="889"/>
      <c r="CW75" s="889"/>
      <c r="CX75" s="889"/>
      <c r="CY75" s="889"/>
      <c r="CZ75" s="889"/>
      <c r="DA75" s="889"/>
      <c r="DB75" s="889"/>
      <c r="DC75" s="889"/>
      <c r="DD75" s="889"/>
      <c r="DE75" s="889"/>
      <c r="DF75" s="889"/>
      <c r="DG75" s="889"/>
      <c r="DH75" s="889"/>
      <c r="DI75" s="889"/>
      <c r="DJ75" s="889"/>
      <c r="DK75" s="889"/>
      <c r="DL75" s="889"/>
      <c r="DM75" s="889"/>
      <c r="DN75" s="889"/>
      <c r="DO75" s="889"/>
      <c r="DP75" s="889"/>
      <c r="DQ75" s="889"/>
      <c r="DR75" s="889"/>
      <c r="DS75" s="889"/>
      <c r="DT75" s="889"/>
      <c r="DU75" s="889"/>
      <c r="DV75" s="889"/>
      <c r="DW75" s="889"/>
      <c r="DX75" s="889"/>
      <c r="DY75" s="889"/>
      <c r="DZ75" s="889"/>
      <c r="EA75" s="889"/>
      <c r="EB75" s="889"/>
      <c r="EC75" s="889"/>
      <c r="ED75" s="889"/>
      <c r="EE75" s="889"/>
      <c r="EF75" s="889"/>
      <c r="EG75" s="889"/>
      <c r="EH75" s="889"/>
      <c r="EI75" s="889"/>
      <c r="EJ75" s="889"/>
      <c r="EK75" s="889"/>
      <c r="EL75" s="889"/>
      <c r="EM75" s="889"/>
      <c r="EN75" s="889"/>
      <c r="EO75" s="889"/>
      <c r="EP75" s="889"/>
      <c r="EQ75" s="889"/>
      <c r="ER75" s="889"/>
      <c r="ES75" s="889"/>
      <c r="ET75" s="889"/>
      <c r="EU75" s="889"/>
      <c r="EV75" s="889"/>
      <c r="EW75" s="889"/>
      <c r="EX75" s="889"/>
      <c r="EY75" s="889"/>
      <c r="EZ75" s="889"/>
      <c r="FA75" s="889"/>
      <c r="FB75" s="889"/>
      <c r="FC75" s="889"/>
      <c r="FD75" s="889"/>
      <c r="FE75" s="889"/>
      <c r="FF75" s="889"/>
      <c r="FG75" s="889"/>
      <c r="FH75" s="889"/>
      <c r="FI75" s="889"/>
      <c r="FJ75" s="889"/>
      <c r="FK75" s="889"/>
      <c r="FL75" s="889"/>
      <c r="FM75" s="889"/>
      <c r="FN75" s="889"/>
      <c r="FO75" s="889"/>
      <c r="FP75" s="889"/>
      <c r="FQ75" s="889"/>
      <c r="FR75" s="889"/>
      <c r="FS75" s="889"/>
      <c r="FT75" s="889"/>
      <c r="FU75" s="889"/>
      <c r="FV75" s="889"/>
      <c r="FW75" s="889"/>
      <c r="FX75" s="889"/>
      <c r="FY75" s="889"/>
      <c r="FZ75" s="889"/>
      <c r="GA75" s="889"/>
      <c r="GB75" s="889"/>
      <c r="GC75" s="889"/>
      <c r="GD75" s="889"/>
      <c r="GE75" s="889"/>
      <c r="GF75" s="889"/>
      <c r="GG75" s="889"/>
      <c r="GH75" s="889"/>
      <c r="GI75" s="889"/>
      <c r="GJ75" s="889"/>
      <c r="GK75" s="889"/>
      <c r="GL75" s="889"/>
      <c r="GM75" s="889"/>
      <c r="GN75" s="889"/>
      <c r="GO75" s="889"/>
      <c r="GP75" s="889"/>
      <c r="GQ75" s="889"/>
      <c r="GR75" s="889"/>
      <c r="GS75" s="889"/>
      <c r="GT75" s="889"/>
      <c r="GU75" s="889"/>
      <c r="GV75" s="889"/>
      <c r="GW75" s="889"/>
      <c r="GX75" s="889"/>
      <c r="GY75" s="889"/>
      <c r="GZ75" s="889"/>
      <c r="HA75" s="889"/>
      <c r="HB75" s="889"/>
      <c r="HC75" s="889"/>
      <c r="HD75" s="889"/>
      <c r="HE75" s="889"/>
      <c r="HF75" s="889"/>
      <c r="HG75" s="889"/>
      <c r="HH75" s="889"/>
      <c r="HI75" s="889"/>
      <c r="HJ75" s="889"/>
      <c r="HK75" s="889"/>
      <c r="HL75" s="889"/>
      <c r="HM75" s="889"/>
      <c r="HN75" s="889"/>
      <c r="HO75" s="889"/>
      <c r="HP75" s="889"/>
      <c r="HQ75" s="889"/>
      <c r="HR75" s="889"/>
      <c r="HS75" s="889"/>
      <c r="HT75" s="889"/>
      <c r="HU75" s="889"/>
      <c r="HV75" s="889"/>
      <c r="HW75" s="889"/>
      <c r="HX75" s="889"/>
      <c r="HY75" s="889"/>
      <c r="HZ75" s="889"/>
      <c r="IA75" s="889"/>
      <c r="IB75" s="889"/>
      <c r="IC75" s="889"/>
      <c r="ID75" s="889"/>
      <c r="IE75" s="889"/>
      <c r="IF75" s="889"/>
      <c r="IG75" s="889"/>
      <c r="IH75" s="889"/>
      <c r="II75" s="889"/>
      <c r="IJ75" s="889"/>
      <c r="IK75" s="889"/>
      <c r="IL75" s="889"/>
      <c r="IM75" s="889"/>
      <c r="IN75" s="889"/>
      <c r="IO75" s="889"/>
      <c r="IP75" s="889"/>
      <c r="IQ75" s="889"/>
      <c r="IR75" s="889"/>
      <c r="IS75" s="889"/>
      <c r="IT75" s="889"/>
      <c r="IU75" s="889"/>
      <c r="IV75" s="889"/>
    </row>
    <row r="76" spans="1:256" ht="13" thickBot="1">
      <c r="A76" s="968" t="s">
        <v>801</v>
      </c>
      <c r="B76" s="969">
        <v>419.9</v>
      </c>
      <c r="C76" s="969">
        <v>517.70000000000005</v>
      </c>
      <c r="D76" s="970">
        <v>522</v>
      </c>
      <c r="E76" s="970">
        <v>585.70000000000005</v>
      </c>
      <c r="F76" s="970">
        <v>701.3</v>
      </c>
      <c r="G76" s="970">
        <v>635.5</v>
      </c>
      <c r="H76" s="970">
        <v>673.2</v>
      </c>
      <c r="I76" s="970">
        <v>881.4</v>
      </c>
      <c r="J76" s="970">
        <v>925.1</v>
      </c>
      <c r="K76" s="970">
        <v>869.3</v>
      </c>
      <c r="L76" s="971">
        <v>849.9</v>
      </c>
      <c r="M76" s="971">
        <v>876.5</v>
      </c>
      <c r="N76" s="970">
        <v>866.8</v>
      </c>
      <c r="O76" s="889"/>
      <c r="P76" s="889"/>
      <c r="Q76" s="889"/>
      <c r="R76" s="889"/>
      <c r="S76" s="889"/>
      <c r="T76" s="889"/>
      <c r="U76" s="889"/>
      <c r="V76" s="889"/>
      <c r="W76" s="889"/>
      <c r="X76" s="889"/>
      <c r="Y76" s="889"/>
      <c r="Z76" s="889"/>
      <c r="AA76" s="889"/>
      <c r="AB76" s="889"/>
      <c r="AC76" s="889"/>
      <c r="AD76" s="889"/>
      <c r="AE76" s="889"/>
      <c r="AF76" s="889"/>
      <c r="AG76" s="889"/>
      <c r="AH76" s="889"/>
      <c r="AI76" s="889"/>
      <c r="AJ76" s="889"/>
      <c r="AK76" s="889"/>
      <c r="AL76" s="889"/>
      <c r="AM76" s="889"/>
      <c r="AN76" s="889"/>
      <c r="AO76" s="889"/>
      <c r="AP76" s="889"/>
      <c r="AQ76" s="889"/>
      <c r="AR76" s="889"/>
      <c r="AS76" s="889"/>
      <c r="AT76" s="889"/>
      <c r="AU76" s="889"/>
      <c r="AV76" s="889"/>
      <c r="AW76" s="889"/>
      <c r="AX76" s="889"/>
      <c r="AY76" s="889"/>
      <c r="AZ76" s="889"/>
      <c r="BA76" s="889"/>
      <c r="BB76" s="889"/>
      <c r="BC76" s="889"/>
      <c r="BD76" s="889"/>
      <c r="BE76" s="889"/>
      <c r="BF76" s="889"/>
      <c r="BG76" s="889"/>
      <c r="BH76" s="889"/>
      <c r="BI76" s="889"/>
      <c r="BJ76" s="889"/>
      <c r="BK76" s="889"/>
      <c r="BL76" s="889"/>
      <c r="BM76" s="889"/>
      <c r="BN76" s="889"/>
      <c r="BO76" s="889"/>
      <c r="BP76" s="889"/>
      <c r="BQ76" s="889"/>
      <c r="BR76" s="889"/>
      <c r="BS76" s="889"/>
      <c r="BT76" s="889"/>
      <c r="BU76" s="889"/>
      <c r="BV76" s="889"/>
      <c r="BW76" s="889"/>
      <c r="BX76" s="889"/>
      <c r="BY76" s="889"/>
      <c r="BZ76" s="889"/>
      <c r="CA76" s="889"/>
      <c r="CB76" s="889"/>
      <c r="CC76" s="889"/>
      <c r="CD76" s="889"/>
      <c r="CE76" s="889"/>
      <c r="CF76" s="889"/>
      <c r="CG76" s="889"/>
      <c r="CH76" s="889"/>
      <c r="CI76" s="889"/>
      <c r="CJ76" s="889"/>
      <c r="CK76" s="889"/>
      <c r="CL76" s="889"/>
      <c r="CM76" s="889"/>
      <c r="CN76" s="889"/>
      <c r="CO76" s="889"/>
      <c r="CP76" s="889"/>
      <c r="CQ76" s="889"/>
      <c r="CR76" s="889"/>
      <c r="CS76" s="889"/>
      <c r="CT76" s="889"/>
      <c r="CU76" s="889"/>
      <c r="CV76" s="889"/>
      <c r="CW76" s="889"/>
      <c r="CX76" s="889"/>
      <c r="CY76" s="889"/>
      <c r="CZ76" s="889"/>
      <c r="DA76" s="889"/>
      <c r="DB76" s="889"/>
      <c r="DC76" s="889"/>
      <c r="DD76" s="889"/>
      <c r="DE76" s="889"/>
      <c r="DF76" s="889"/>
      <c r="DG76" s="889"/>
      <c r="DH76" s="889"/>
      <c r="DI76" s="889"/>
      <c r="DJ76" s="889"/>
      <c r="DK76" s="889"/>
      <c r="DL76" s="889"/>
      <c r="DM76" s="889"/>
      <c r="DN76" s="889"/>
      <c r="DO76" s="889"/>
      <c r="DP76" s="889"/>
      <c r="DQ76" s="889"/>
      <c r="DR76" s="889"/>
      <c r="DS76" s="889"/>
      <c r="DT76" s="889"/>
      <c r="DU76" s="889"/>
      <c r="DV76" s="889"/>
      <c r="DW76" s="889"/>
      <c r="DX76" s="889"/>
      <c r="DY76" s="889"/>
      <c r="DZ76" s="889"/>
      <c r="EA76" s="889"/>
      <c r="EB76" s="889"/>
      <c r="EC76" s="889"/>
      <c r="ED76" s="889"/>
      <c r="EE76" s="889"/>
      <c r="EF76" s="889"/>
      <c r="EG76" s="889"/>
      <c r="EH76" s="889"/>
      <c r="EI76" s="889"/>
      <c r="EJ76" s="889"/>
      <c r="EK76" s="889"/>
      <c r="EL76" s="889"/>
      <c r="EM76" s="889"/>
      <c r="EN76" s="889"/>
      <c r="EO76" s="889"/>
      <c r="EP76" s="889"/>
      <c r="EQ76" s="889"/>
      <c r="ER76" s="889"/>
      <c r="ES76" s="889"/>
      <c r="ET76" s="889"/>
      <c r="EU76" s="889"/>
      <c r="EV76" s="889"/>
      <c r="EW76" s="889"/>
      <c r="EX76" s="889"/>
      <c r="EY76" s="889"/>
      <c r="EZ76" s="889"/>
      <c r="FA76" s="889"/>
      <c r="FB76" s="889"/>
      <c r="FC76" s="889"/>
      <c r="FD76" s="889"/>
      <c r="FE76" s="889"/>
      <c r="FF76" s="889"/>
      <c r="FG76" s="889"/>
      <c r="FH76" s="889"/>
      <c r="FI76" s="889"/>
      <c r="FJ76" s="889"/>
      <c r="FK76" s="889"/>
      <c r="FL76" s="889"/>
      <c r="FM76" s="889"/>
      <c r="FN76" s="889"/>
      <c r="FO76" s="889"/>
      <c r="FP76" s="889"/>
      <c r="FQ76" s="889"/>
      <c r="FR76" s="889"/>
      <c r="FS76" s="889"/>
      <c r="FT76" s="889"/>
      <c r="FU76" s="889"/>
      <c r="FV76" s="889"/>
      <c r="FW76" s="889"/>
      <c r="FX76" s="889"/>
      <c r="FY76" s="889"/>
      <c r="FZ76" s="889"/>
      <c r="GA76" s="889"/>
      <c r="GB76" s="889"/>
      <c r="GC76" s="889"/>
      <c r="GD76" s="889"/>
      <c r="GE76" s="889"/>
      <c r="GF76" s="889"/>
      <c r="GG76" s="889"/>
      <c r="GH76" s="889"/>
      <c r="GI76" s="889"/>
      <c r="GJ76" s="889"/>
      <c r="GK76" s="889"/>
      <c r="GL76" s="889"/>
      <c r="GM76" s="889"/>
      <c r="GN76" s="889"/>
      <c r="GO76" s="889"/>
      <c r="GP76" s="889"/>
      <c r="GQ76" s="889"/>
      <c r="GR76" s="889"/>
      <c r="GS76" s="889"/>
      <c r="GT76" s="889"/>
      <c r="GU76" s="889"/>
      <c r="GV76" s="889"/>
      <c r="GW76" s="889"/>
      <c r="GX76" s="889"/>
      <c r="GY76" s="889"/>
      <c r="GZ76" s="889"/>
      <c r="HA76" s="889"/>
      <c r="HB76" s="889"/>
      <c r="HC76" s="889"/>
      <c r="HD76" s="889"/>
      <c r="HE76" s="889"/>
      <c r="HF76" s="889"/>
      <c r="HG76" s="889"/>
      <c r="HH76" s="889"/>
      <c r="HI76" s="889"/>
      <c r="HJ76" s="889"/>
      <c r="HK76" s="889"/>
      <c r="HL76" s="889"/>
      <c r="HM76" s="889"/>
      <c r="HN76" s="889"/>
      <c r="HO76" s="889"/>
      <c r="HP76" s="889"/>
      <c r="HQ76" s="889"/>
      <c r="HR76" s="889"/>
      <c r="HS76" s="889"/>
      <c r="HT76" s="889"/>
      <c r="HU76" s="889"/>
      <c r="HV76" s="889"/>
      <c r="HW76" s="889"/>
      <c r="HX76" s="889"/>
      <c r="HY76" s="889"/>
      <c r="HZ76" s="889"/>
      <c r="IA76" s="889"/>
      <c r="IB76" s="889"/>
      <c r="IC76" s="889"/>
      <c r="ID76" s="889"/>
      <c r="IE76" s="889"/>
      <c r="IF76" s="889"/>
      <c r="IG76" s="889"/>
      <c r="IH76" s="889"/>
      <c r="II76" s="889"/>
      <c r="IJ76" s="889"/>
      <c r="IK76" s="889"/>
      <c r="IL76" s="889"/>
      <c r="IM76" s="889"/>
      <c r="IN76" s="889"/>
      <c r="IO76" s="889"/>
      <c r="IP76" s="889"/>
      <c r="IQ76" s="889"/>
      <c r="IR76" s="889"/>
      <c r="IS76" s="889"/>
      <c r="IT76" s="889"/>
      <c r="IU76" s="889"/>
      <c r="IV76" s="889"/>
    </row>
    <row r="77" spans="1:256" ht="13" thickTop="1">
      <c r="A77" s="972" t="s">
        <v>827</v>
      </c>
      <c r="B77" s="973">
        <v>175.6</v>
      </c>
      <c r="C77" s="973">
        <v>227</v>
      </c>
      <c r="D77" s="974">
        <v>228.5</v>
      </c>
      <c r="E77" s="974">
        <v>266.8</v>
      </c>
      <c r="F77" s="974">
        <v>337</v>
      </c>
      <c r="G77" s="974">
        <v>296.3</v>
      </c>
      <c r="H77" s="974">
        <v>318.89999999999998</v>
      </c>
      <c r="I77" s="974">
        <v>410.5</v>
      </c>
      <c r="J77" s="974">
        <v>438.5</v>
      </c>
      <c r="K77" s="974">
        <v>408.3</v>
      </c>
      <c r="L77" s="975">
        <v>377.9</v>
      </c>
      <c r="M77" s="976">
        <v>386.3</v>
      </c>
      <c r="N77" s="974">
        <v>403.7</v>
      </c>
      <c r="O77" s="889"/>
      <c r="P77" s="889"/>
      <c r="Q77" s="889"/>
      <c r="R77" s="889"/>
      <c r="S77" s="889"/>
      <c r="T77" s="889"/>
      <c r="U77" s="889"/>
      <c r="V77" s="889"/>
      <c r="W77" s="889"/>
      <c r="X77" s="889"/>
      <c r="Y77" s="889"/>
      <c r="Z77" s="889"/>
      <c r="AA77" s="889"/>
      <c r="AB77" s="889"/>
      <c r="AC77" s="889"/>
      <c r="AD77" s="889"/>
      <c r="AE77" s="889"/>
      <c r="AF77" s="889"/>
      <c r="AG77" s="889"/>
      <c r="AH77" s="889"/>
      <c r="AI77" s="889"/>
      <c r="AJ77" s="889"/>
      <c r="AK77" s="889"/>
      <c r="AL77" s="889"/>
      <c r="AM77" s="889"/>
      <c r="AN77" s="889"/>
      <c r="AO77" s="889"/>
      <c r="AP77" s="889"/>
      <c r="AQ77" s="889"/>
      <c r="AR77" s="889"/>
      <c r="AS77" s="889"/>
      <c r="AT77" s="889"/>
      <c r="AU77" s="889"/>
      <c r="AV77" s="889"/>
      <c r="AW77" s="889"/>
      <c r="AX77" s="889"/>
      <c r="AY77" s="889"/>
      <c r="AZ77" s="889"/>
      <c r="BA77" s="889"/>
      <c r="BB77" s="889"/>
      <c r="BC77" s="889"/>
      <c r="BD77" s="889"/>
      <c r="BE77" s="889"/>
      <c r="BF77" s="889"/>
      <c r="BG77" s="889"/>
      <c r="BH77" s="889"/>
      <c r="BI77" s="889"/>
      <c r="BJ77" s="889"/>
      <c r="BK77" s="889"/>
      <c r="BL77" s="889"/>
      <c r="BM77" s="889"/>
      <c r="BN77" s="889"/>
      <c r="BO77" s="889"/>
      <c r="BP77" s="889"/>
      <c r="BQ77" s="889"/>
      <c r="BR77" s="889"/>
      <c r="BS77" s="889"/>
      <c r="BT77" s="889"/>
      <c r="BU77" s="889"/>
      <c r="BV77" s="889"/>
      <c r="BW77" s="889"/>
      <c r="BX77" s="889"/>
      <c r="BY77" s="889"/>
      <c r="BZ77" s="889"/>
      <c r="CA77" s="889"/>
      <c r="CB77" s="889"/>
      <c r="CC77" s="889"/>
      <c r="CD77" s="889"/>
      <c r="CE77" s="889"/>
      <c r="CF77" s="889"/>
      <c r="CG77" s="889"/>
      <c r="CH77" s="889"/>
      <c r="CI77" s="889"/>
      <c r="CJ77" s="889"/>
      <c r="CK77" s="889"/>
      <c r="CL77" s="889"/>
      <c r="CM77" s="889"/>
      <c r="CN77" s="889"/>
      <c r="CO77" s="889"/>
      <c r="CP77" s="889"/>
      <c r="CQ77" s="889"/>
      <c r="CR77" s="889"/>
      <c r="CS77" s="889"/>
      <c r="CT77" s="889"/>
      <c r="CU77" s="889"/>
      <c r="CV77" s="889"/>
      <c r="CW77" s="889"/>
      <c r="CX77" s="889"/>
      <c r="CY77" s="889"/>
      <c r="CZ77" s="889"/>
      <c r="DA77" s="889"/>
      <c r="DB77" s="889"/>
      <c r="DC77" s="889"/>
      <c r="DD77" s="889"/>
      <c r="DE77" s="889"/>
      <c r="DF77" s="889"/>
      <c r="DG77" s="889"/>
      <c r="DH77" s="889"/>
      <c r="DI77" s="889"/>
      <c r="DJ77" s="889"/>
      <c r="DK77" s="889"/>
      <c r="DL77" s="889"/>
      <c r="DM77" s="889"/>
      <c r="DN77" s="889"/>
      <c r="DO77" s="889"/>
      <c r="DP77" s="889"/>
      <c r="DQ77" s="889"/>
      <c r="DR77" s="889"/>
      <c r="DS77" s="889"/>
      <c r="DT77" s="889"/>
      <c r="DU77" s="889"/>
      <c r="DV77" s="889"/>
      <c r="DW77" s="889"/>
      <c r="DX77" s="889"/>
      <c r="DY77" s="889"/>
      <c r="DZ77" s="889"/>
      <c r="EA77" s="889"/>
      <c r="EB77" s="889"/>
      <c r="EC77" s="889"/>
      <c r="ED77" s="889"/>
      <c r="EE77" s="889"/>
      <c r="EF77" s="889"/>
      <c r="EG77" s="889"/>
      <c r="EH77" s="889"/>
      <c r="EI77" s="889"/>
      <c r="EJ77" s="889"/>
      <c r="EK77" s="889"/>
      <c r="EL77" s="889"/>
      <c r="EM77" s="889"/>
      <c r="EN77" s="889"/>
      <c r="EO77" s="889"/>
      <c r="EP77" s="889"/>
      <c r="EQ77" s="889"/>
      <c r="ER77" s="889"/>
      <c r="ES77" s="889"/>
      <c r="ET77" s="889"/>
      <c r="EU77" s="889"/>
      <c r="EV77" s="889"/>
      <c r="EW77" s="889"/>
      <c r="EX77" s="889"/>
      <c r="EY77" s="889"/>
      <c r="EZ77" s="889"/>
      <c r="FA77" s="889"/>
      <c r="FB77" s="889"/>
      <c r="FC77" s="889"/>
      <c r="FD77" s="889"/>
      <c r="FE77" s="889"/>
      <c r="FF77" s="889"/>
      <c r="FG77" s="889"/>
      <c r="FH77" s="889"/>
      <c r="FI77" s="889"/>
      <c r="FJ77" s="889"/>
      <c r="FK77" s="889"/>
      <c r="FL77" s="889"/>
      <c r="FM77" s="889"/>
      <c r="FN77" s="889"/>
      <c r="FO77" s="889"/>
      <c r="FP77" s="889"/>
      <c r="FQ77" s="889"/>
      <c r="FR77" s="889"/>
      <c r="FS77" s="889"/>
      <c r="FT77" s="889"/>
      <c r="FU77" s="889"/>
      <c r="FV77" s="889"/>
      <c r="FW77" s="889"/>
      <c r="FX77" s="889"/>
      <c r="FY77" s="889"/>
      <c r="FZ77" s="889"/>
      <c r="GA77" s="889"/>
      <c r="GB77" s="889"/>
      <c r="GC77" s="889"/>
      <c r="GD77" s="889"/>
      <c r="GE77" s="889"/>
      <c r="GF77" s="889"/>
      <c r="GG77" s="889"/>
      <c r="GH77" s="889"/>
      <c r="GI77" s="889"/>
      <c r="GJ77" s="889"/>
      <c r="GK77" s="889"/>
      <c r="GL77" s="889"/>
      <c r="GM77" s="889"/>
      <c r="GN77" s="889"/>
      <c r="GO77" s="889"/>
      <c r="GP77" s="889"/>
      <c r="GQ77" s="889"/>
      <c r="GR77" s="889"/>
      <c r="GS77" s="889"/>
      <c r="GT77" s="889"/>
      <c r="GU77" s="889"/>
      <c r="GV77" s="889"/>
      <c r="GW77" s="889"/>
      <c r="GX77" s="889"/>
      <c r="GY77" s="889"/>
      <c r="GZ77" s="889"/>
      <c r="HA77" s="889"/>
      <c r="HB77" s="889"/>
      <c r="HC77" s="889"/>
      <c r="HD77" s="889"/>
      <c r="HE77" s="889"/>
      <c r="HF77" s="889"/>
      <c r="HG77" s="889"/>
      <c r="HH77" s="889"/>
      <c r="HI77" s="889"/>
      <c r="HJ77" s="889"/>
      <c r="HK77" s="889"/>
      <c r="HL77" s="889"/>
      <c r="HM77" s="889"/>
      <c r="HN77" s="889"/>
      <c r="HO77" s="889"/>
      <c r="HP77" s="889"/>
      <c r="HQ77" s="889"/>
      <c r="HR77" s="889"/>
      <c r="HS77" s="889"/>
      <c r="HT77" s="889"/>
      <c r="HU77" s="889"/>
      <c r="HV77" s="889"/>
      <c r="HW77" s="889"/>
      <c r="HX77" s="889"/>
      <c r="HY77" s="889"/>
      <c r="HZ77" s="889"/>
      <c r="IA77" s="889"/>
      <c r="IB77" s="889"/>
      <c r="IC77" s="889"/>
      <c r="ID77" s="889"/>
      <c r="IE77" s="889"/>
      <c r="IF77" s="889"/>
      <c r="IG77" s="889"/>
      <c r="IH77" s="889"/>
      <c r="II77" s="889"/>
      <c r="IJ77" s="889"/>
      <c r="IK77" s="889"/>
      <c r="IL77" s="889"/>
      <c r="IM77" s="889"/>
      <c r="IN77" s="889"/>
      <c r="IO77" s="889"/>
      <c r="IP77" s="889"/>
      <c r="IQ77" s="889"/>
      <c r="IR77" s="889"/>
      <c r="IS77" s="889"/>
      <c r="IT77" s="889"/>
      <c r="IU77" s="889"/>
      <c r="IV77" s="889"/>
    </row>
    <row r="78" spans="1:256">
      <c r="A78" s="932" t="s">
        <v>828</v>
      </c>
      <c r="B78" s="913">
        <v>2042</v>
      </c>
      <c r="C78" s="913">
        <v>2640</v>
      </c>
      <c r="D78" s="914">
        <v>2658</v>
      </c>
      <c r="E78" s="914">
        <v>3103</v>
      </c>
      <c r="F78" s="914">
        <v>3920</v>
      </c>
      <c r="G78" s="914">
        <v>3445.7</v>
      </c>
      <c r="H78" s="914">
        <v>3708.4</v>
      </c>
      <c r="I78" s="914">
        <v>4773.6000000000004</v>
      </c>
      <c r="J78" s="914">
        <v>5100.2</v>
      </c>
      <c r="K78" s="914">
        <v>4749</v>
      </c>
      <c r="L78" s="915">
        <v>4394.6000000000004</v>
      </c>
      <c r="M78" s="925">
        <v>4492.3999999999996</v>
      </c>
      <c r="N78" s="914">
        <v>4695.1000000000004</v>
      </c>
      <c r="O78" s="889"/>
      <c r="P78" s="889"/>
      <c r="Q78" s="889"/>
      <c r="R78" s="889"/>
      <c r="S78" s="889"/>
      <c r="T78" s="889"/>
      <c r="U78" s="889"/>
      <c r="V78" s="889"/>
      <c r="W78" s="889"/>
      <c r="X78" s="889"/>
      <c r="Y78" s="889"/>
      <c r="Z78" s="889"/>
      <c r="AA78" s="889"/>
      <c r="AB78" s="889"/>
      <c r="AC78" s="889"/>
      <c r="AD78" s="889"/>
      <c r="AE78" s="889"/>
      <c r="AF78" s="889"/>
      <c r="AG78" s="889"/>
      <c r="AH78" s="889"/>
      <c r="AI78" s="889"/>
      <c r="AJ78" s="889"/>
      <c r="AK78" s="889"/>
      <c r="AL78" s="889"/>
      <c r="AM78" s="889"/>
      <c r="AN78" s="889"/>
      <c r="AO78" s="889"/>
      <c r="AP78" s="889"/>
      <c r="AQ78" s="889"/>
      <c r="AR78" s="889"/>
      <c r="AS78" s="889"/>
      <c r="AT78" s="889"/>
      <c r="AU78" s="889"/>
      <c r="AV78" s="889"/>
      <c r="AW78" s="889"/>
      <c r="AX78" s="889"/>
      <c r="AY78" s="889"/>
      <c r="AZ78" s="889"/>
      <c r="BA78" s="889"/>
      <c r="BB78" s="889"/>
      <c r="BC78" s="889"/>
      <c r="BD78" s="889"/>
      <c r="BE78" s="889"/>
      <c r="BF78" s="889"/>
      <c r="BG78" s="889"/>
      <c r="BH78" s="889"/>
      <c r="BI78" s="889"/>
      <c r="BJ78" s="889"/>
      <c r="BK78" s="889"/>
      <c r="BL78" s="889"/>
      <c r="BM78" s="889"/>
      <c r="BN78" s="889"/>
      <c r="BO78" s="889"/>
      <c r="BP78" s="889"/>
      <c r="BQ78" s="889"/>
      <c r="BR78" s="889"/>
      <c r="BS78" s="889"/>
      <c r="BT78" s="889"/>
      <c r="BU78" s="889"/>
      <c r="BV78" s="889"/>
      <c r="BW78" s="889"/>
      <c r="BX78" s="889"/>
      <c r="BY78" s="889"/>
      <c r="BZ78" s="889"/>
      <c r="CA78" s="889"/>
      <c r="CB78" s="889"/>
      <c r="CC78" s="889"/>
      <c r="CD78" s="889"/>
      <c r="CE78" s="889"/>
      <c r="CF78" s="889"/>
      <c r="CG78" s="889"/>
      <c r="CH78" s="889"/>
      <c r="CI78" s="889"/>
      <c r="CJ78" s="889"/>
      <c r="CK78" s="889"/>
      <c r="CL78" s="889"/>
      <c r="CM78" s="889"/>
      <c r="CN78" s="889"/>
      <c r="CO78" s="889"/>
      <c r="CP78" s="889"/>
      <c r="CQ78" s="889"/>
      <c r="CR78" s="889"/>
      <c r="CS78" s="889"/>
      <c r="CT78" s="889"/>
      <c r="CU78" s="889"/>
      <c r="CV78" s="889"/>
      <c r="CW78" s="889"/>
      <c r="CX78" s="889"/>
      <c r="CY78" s="889"/>
      <c r="CZ78" s="889"/>
      <c r="DA78" s="889"/>
      <c r="DB78" s="889"/>
      <c r="DC78" s="889"/>
      <c r="DD78" s="889"/>
      <c r="DE78" s="889"/>
      <c r="DF78" s="889"/>
      <c r="DG78" s="889"/>
      <c r="DH78" s="889"/>
      <c r="DI78" s="889"/>
      <c r="DJ78" s="889"/>
      <c r="DK78" s="889"/>
      <c r="DL78" s="889"/>
      <c r="DM78" s="889"/>
      <c r="DN78" s="889"/>
      <c r="DO78" s="889"/>
      <c r="DP78" s="889"/>
      <c r="DQ78" s="889"/>
      <c r="DR78" s="889"/>
      <c r="DS78" s="889"/>
      <c r="DT78" s="889"/>
      <c r="DU78" s="889"/>
      <c r="DV78" s="889"/>
      <c r="DW78" s="889"/>
      <c r="DX78" s="889"/>
      <c r="DY78" s="889"/>
      <c r="DZ78" s="889"/>
      <c r="EA78" s="889"/>
      <c r="EB78" s="889"/>
      <c r="EC78" s="889"/>
      <c r="ED78" s="889"/>
      <c r="EE78" s="889"/>
      <c r="EF78" s="889"/>
      <c r="EG78" s="889"/>
      <c r="EH78" s="889"/>
      <c r="EI78" s="889"/>
      <c r="EJ78" s="889"/>
      <c r="EK78" s="889"/>
      <c r="EL78" s="889"/>
      <c r="EM78" s="889"/>
      <c r="EN78" s="889"/>
      <c r="EO78" s="889"/>
      <c r="EP78" s="889"/>
      <c r="EQ78" s="889"/>
      <c r="ER78" s="889"/>
      <c r="ES78" s="889"/>
      <c r="ET78" s="889"/>
      <c r="EU78" s="889"/>
      <c r="EV78" s="889"/>
      <c r="EW78" s="889"/>
      <c r="EX78" s="889"/>
      <c r="EY78" s="889"/>
      <c r="EZ78" s="889"/>
      <c r="FA78" s="889"/>
      <c r="FB78" s="889"/>
      <c r="FC78" s="889"/>
      <c r="FD78" s="889"/>
      <c r="FE78" s="889"/>
      <c r="FF78" s="889"/>
      <c r="FG78" s="889"/>
      <c r="FH78" s="889"/>
      <c r="FI78" s="889"/>
      <c r="FJ78" s="889"/>
      <c r="FK78" s="889"/>
      <c r="FL78" s="889"/>
      <c r="FM78" s="889"/>
      <c r="FN78" s="889"/>
      <c r="FO78" s="889"/>
      <c r="FP78" s="889"/>
      <c r="FQ78" s="889"/>
      <c r="FR78" s="889"/>
      <c r="FS78" s="889"/>
      <c r="FT78" s="889"/>
      <c r="FU78" s="889"/>
      <c r="FV78" s="889"/>
      <c r="FW78" s="889"/>
      <c r="FX78" s="889"/>
      <c r="FY78" s="889"/>
      <c r="FZ78" s="889"/>
      <c r="GA78" s="889"/>
      <c r="GB78" s="889"/>
      <c r="GC78" s="889"/>
      <c r="GD78" s="889"/>
      <c r="GE78" s="889"/>
      <c r="GF78" s="889"/>
      <c r="GG78" s="889"/>
      <c r="GH78" s="889"/>
      <c r="GI78" s="889"/>
      <c r="GJ78" s="889"/>
      <c r="GK78" s="889"/>
      <c r="GL78" s="889"/>
      <c r="GM78" s="889"/>
      <c r="GN78" s="889"/>
      <c r="GO78" s="889"/>
      <c r="GP78" s="889"/>
      <c r="GQ78" s="889"/>
      <c r="GR78" s="889"/>
      <c r="GS78" s="889"/>
      <c r="GT78" s="889"/>
      <c r="GU78" s="889"/>
      <c r="GV78" s="889"/>
      <c r="GW78" s="889"/>
      <c r="GX78" s="889"/>
      <c r="GY78" s="889"/>
      <c r="GZ78" s="889"/>
      <c r="HA78" s="889"/>
      <c r="HB78" s="889"/>
      <c r="HC78" s="889"/>
      <c r="HD78" s="889"/>
      <c r="HE78" s="889"/>
      <c r="HF78" s="889"/>
      <c r="HG78" s="889"/>
      <c r="HH78" s="889"/>
      <c r="HI78" s="889"/>
      <c r="HJ78" s="889"/>
      <c r="HK78" s="889"/>
      <c r="HL78" s="889"/>
      <c r="HM78" s="889"/>
      <c r="HN78" s="889"/>
      <c r="HO78" s="889"/>
      <c r="HP78" s="889"/>
      <c r="HQ78" s="889"/>
      <c r="HR78" s="889"/>
      <c r="HS78" s="889"/>
      <c r="HT78" s="889"/>
      <c r="HU78" s="889"/>
      <c r="HV78" s="889"/>
      <c r="HW78" s="889"/>
      <c r="HX78" s="889"/>
      <c r="HY78" s="889"/>
      <c r="HZ78" s="889"/>
      <c r="IA78" s="889"/>
      <c r="IB78" s="889"/>
      <c r="IC78" s="889"/>
      <c r="ID78" s="889"/>
      <c r="IE78" s="889"/>
      <c r="IF78" s="889"/>
      <c r="IG78" s="889"/>
      <c r="IH78" s="889"/>
      <c r="II78" s="889"/>
      <c r="IJ78" s="889"/>
      <c r="IK78" s="889"/>
      <c r="IL78" s="889"/>
      <c r="IM78" s="889"/>
      <c r="IN78" s="889"/>
      <c r="IO78" s="889"/>
      <c r="IP78" s="889"/>
      <c r="IQ78" s="889"/>
      <c r="IR78" s="889"/>
      <c r="IS78" s="889"/>
      <c r="IT78" s="889"/>
      <c r="IU78" s="889"/>
      <c r="IV78" s="889"/>
    </row>
    <row r="79" spans="1:256">
      <c r="A79" s="977" t="s">
        <v>829</v>
      </c>
      <c r="B79" s="978">
        <v>162.30000000000001</v>
      </c>
      <c r="C79" s="978">
        <v>211.7</v>
      </c>
      <c r="D79" s="979">
        <v>211</v>
      </c>
      <c r="E79" s="979">
        <v>238.5</v>
      </c>
      <c r="F79" s="979">
        <v>258.2</v>
      </c>
      <c r="G79" s="979">
        <v>225.3</v>
      </c>
      <c r="H79" s="979">
        <v>209.6</v>
      </c>
      <c r="I79" s="979">
        <v>271.60000000000002</v>
      </c>
      <c r="J79" s="979">
        <v>314</v>
      </c>
      <c r="K79" s="979">
        <v>300.10000000000002</v>
      </c>
      <c r="L79" s="980">
        <v>279</v>
      </c>
      <c r="M79" s="980">
        <v>333.7</v>
      </c>
      <c r="N79" s="979">
        <v>296.60000000000002</v>
      </c>
      <c r="O79" s="889"/>
      <c r="P79" s="889"/>
      <c r="Q79" s="889"/>
      <c r="R79" s="889"/>
      <c r="S79" s="889"/>
      <c r="T79" s="889"/>
      <c r="U79" s="889"/>
      <c r="V79" s="889"/>
      <c r="W79" s="889"/>
      <c r="X79" s="889"/>
      <c r="Y79" s="889"/>
      <c r="Z79" s="889"/>
      <c r="AA79" s="889"/>
      <c r="AB79" s="889"/>
      <c r="AC79" s="889"/>
      <c r="AD79" s="889"/>
      <c r="AE79" s="889"/>
      <c r="AF79" s="889"/>
      <c r="AG79" s="889"/>
      <c r="AH79" s="889"/>
      <c r="AI79" s="889"/>
      <c r="AJ79" s="889"/>
      <c r="AK79" s="889"/>
      <c r="AL79" s="889"/>
      <c r="AM79" s="889"/>
      <c r="AN79" s="889"/>
      <c r="AO79" s="889"/>
      <c r="AP79" s="889"/>
      <c r="AQ79" s="889"/>
      <c r="AR79" s="889"/>
      <c r="AS79" s="889"/>
      <c r="AT79" s="889"/>
      <c r="AU79" s="889"/>
      <c r="AV79" s="889"/>
      <c r="AW79" s="889"/>
      <c r="AX79" s="889"/>
      <c r="AY79" s="889"/>
      <c r="AZ79" s="889"/>
      <c r="BA79" s="889"/>
      <c r="BB79" s="889"/>
      <c r="BC79" s="889"/>
      <c r="BD79" s="889"/>
      <c r="BE79" s="889"/>
      <c r="BF79" s="889"/>
      <c r="BG79" s="889"/>
      <c r="BH79" s="889"/>
      <c r="BI79" s="889"/>
      <c r="BJ79" s="889"/>
      <c r="BK79" s="889"/>
      <c r="BL79" s="889"/>
      <c r="BM79" s="889"/>
      <c r="BN79" s="889"/>
      <c r="BO79" s="889"/>
      <c r="BP79" s="889"/>
      <c r="BQ79" s="889"/>
      <c r="BR79" s="889"/>
      <c r="BS79" s="889"/>
      <c r="BT79" s="889"/>
      <c r="BU79" s="889"/>
      <c r="BV79" s="889"/>
      <c r="BW79" s="889"/>
      <c r="BX79" s="889"/>
      <c r="BY79" s="889"/>
      <c r="BZ79" s="889"/>
      <c r="CA79" s="889"/>
      <c r="CB79" s="889"/>
      <c r="CC79" s="889"/>
      <c r="CD79" s="889"/>
      <c r="CE79" s="889"/>
      <c r="CF79" s="889"/>
      <c r="CG79" s="889"/>
      <c r="CH79" s="889"/>
      <c r="CI79" s="889"/>
      <c r="CJ79" s="889"/>
      <c r="CK79" s="889"/>
      <c r="CL79" s="889"/>
      <c r="CM79" s="889"/>
      <c r="CN79" s="889"/>
      <c r="CO79" s="889"/>
      <c r="CP79" s="889"/>
      <c r="CQ79" s="889"/>
      <c r="CR79" s="889"/>
      <c r="CS79" s="889"/>
      <c r="CT79" s="889"/>
      <c r="CU79" s="889"/>
      <c r="CV79" s="889"/>
      <c r="CW79" s="889"/>
      <c r="CX79" s="889"/>
      <c r="CY79" s="889"/>
      <c r="CZ79" s="889"/>
      <c r="DA79" s="889"/>
      <c r="DB79" s="889"/>
      <c r="DC79" s="889"/>
      <c r="DD79" s="889"/>
      <c r="DE79" s="889"/>
      <c r="DF79" s="889"/>
      <c r="DG79" s="889"/>
      <c r="DH79" s="889"/>
      <c r="DI79" s="889"/>
      <c r="DJ79" s="889"/>
      <c r="DK79" s="889"/>
      <c r="DL79" s="889"/>
      <c r="DM79" s="889"/>
      <c r="DN79" s="889"/>
      <c r="DO79" s="889"/>
      <c r="DP79" s="889"/>
      <c r="DQ79" s="889"/>
      <c r="DR79" s="889"/>
      <c r="DS79" s="889"/>
      <c r="DT79" s="889"/>
      <c r="DU79" s="889"/>
      <c r="DV79" s="889"/>
      <c r="DW79" s="889"/>
      <c r="DX79" s="889"/>
      <c r="DY79" s="889"/>
      <c r="DZ79" s="889"/>
      <c r="EA79" s="889"/>
      <c r="EB79" s="889"/>
      <c r="EC79" s="889"/>
      <c r="ED79" s="889"/>
      <c r="EE79" s="889"/>
      <c r="EF79" s="889"/>
      <c r="EG79" s="889"/>
      <c r="EH79" s="889"/>
      <c r="EI79" s="889"/>
      <c r="EJ79" s="889"/>
      <c r="EK79" s="889"/>
      <c r="EL79" s="889"/>
      <c r="EM79" s="889"/>
      <c r="EN79" s="889"/>
      <c r="EO79" s="889"/>
      <c r="EP79" s="889"/>
      <c r="EQ79" s="889"/>
      <c r="ER79" s="889"/>
      <c r="ES79" s="889"/>
      <c r="ET79" s="889"/>
      <c r="EU79" s="889"/>
      <c r="EV79" s="889"/>
      <c r="EW79" s="889"/>
      <c r="EX79" s="889"/>
      <c r="EY79" s="889"/>
      <c r="EZ79" s="889"/>
      <c r="FA79" s="889"/>
      <c r="FB79" s="889"/>
      <c r="FC79" s="889"/>
      <c r="FD79" s="889"/>
      <c r="FE79" s="889"/>
      <c r="FF79" s="889"/>
      <c r="FG79" s="889"/>
      <c r="FH79" s="889"/>
      <c r="FI79" s="889"/>
      <c r="FJ79" s="889"/>
      <c r="FK79" s="889"/>
      <c r="FL79" s="889"/>
      <c r="FM79" s="889"/>
      <c r="FN79" s="889"/>
      <c r="FO79" s="889"/>
      <c r="FP79" s="889"/>
      <c r="FQ79" s="889"/>
      <c r="FR79" s="889"/>
      <c r="FS79" s="889"/>
      <c r="FT79" s="889"/>
      <c r="FU79" s="889"/>
      <c r="FV79" s="889"/>
      <c r="FW79" s="889"/>
      <c r="FX79" s="889"/>
      <c r="FY79" s="889"/>
      <c r="FZ79" s="889"/>
      <c r="GA79" s="889"/>
      <c r="GB79" s="889"/>
      <c r="GC79" s="889"/>
      <c r="GD79" s="889"/>
      <c r="GE79" s="889"/>
      <c r="GF79" s="889"/>
      <c r="GG79" s="889"/>
      <c r="GH79" s="889"/>
      <c r="GI79" s="889"/>
      <c r="GJ79" s="889"/>
      <c r="GK79" s="889"/>
      <c r="GL79" s="889"/>
      <c r="GM79" s="889"/>
      <c r="GN79" s="889"/>
      <c r="GO79" s="889"/>
      <c r="GP79" s="889"/>
      <c r="GQ79" s="889"/>
      <c r="GR79" s="889"/>
      <c r="GS79" s="889"/>
      <c r="GT79" s="889"/>
      <c r="GU79" s="889"/>
      <c r="GV79" s="889"/>
      <c r="GW79" s="889"/>
      <c r="GX79" s="889"/>
      <c r="GY79" s="889"/>
      <c r="GZ79" s="889"/>
      <c r="HA79" s="889"/>
      <c r="HB79" s="889"/>
      <c r="HC79" s="889"/>
      <c r="HD79" s="889"/>
      <c r="HE79" s="889"/>
      <c r="HF79" s="889"/>
      <c r="HG79" s="889"/>
      <c r="HH79" s="889"/>
      <c r="HI79" s="889"/>
      <c r="HJ79" s="889"/>
      <c r="HK79" s="889"/>
      <c r="HL79" s="889"/>
      <c r="HM79" s="889"/>
      <c r="HN79" s="889"/>
      <c r="HO79" s="889"/>
      <c r="HP79" s="889"/>
      <c r="HQ79" s="889"/>
      <c r="HR79" s="889"/>
      <c r="HS79" s="889"/>
      <c r="HT79" s="889"/>
      <c r="HU79" s="889"/>
      <c r="HV79" s="889"/>
      <c r="HW79" s="889"/>
      <c r="HX79" s="889"/>
      <c r="HY79" s="889"/>
      <c r="HZ79" s="889"/>
      <c r="IA79" s="889"/>
      <c r="IB79" s="889"/>
      <c r="IC79" s="889"/>
      <c r="ID79" s="889"/>
      <c r="IE79" s="889"/>
      <c r="IF79" s="889"/>
      <c r="IG79" s="889"/>
      <c r="IH79" s="889"/>
      <c r="II79" s="889"/>
      <c r="IJ79" s="889"/>
      <c r="IK79" s="889"/>
      <c r="IL79" s="889"/>
      <c r="IM79" s="889"/>
      <c r="IN79" s="889"/>
      <c r="IO79" s="889"/>
      <c r="IP79" s="889"/>
      <c r="IQ79" s="889"/>
      <c r="IR79" s="889"/>
      <c r="IS79" s="889"/>
      <c r="IT79" s="889"/>
      <c r="IU79" s="889"/>
      <c r="IV79" s="889"/>
    </row>
    <row r="80" spans="1:256" ht="13" thickBot="1">
      <c r="A80" s="917" t="s">
        <v>830</v>
      </c>
      <c r="B80" s="918">
        <v>1888</v>
      </c>
      <c r="C80" s="918">
        <v>2462</v>
      </c>
      <c r="D80" s="919">
        <v>2454</v>
      </c>
      <c r="E80" s="919">
        <v>2774</v>
      </c>
      <c r="F80" s="919">
        <v>3002</v>
      </c>
      <c r="G80" s="919">
        <v>2619.4</v>
      </c>
      <c r="H80" s="919">
        <v>2437.1999999999998</v>
      </c>
      <c r="I80" s="919">
        <v>3159.1</v>
      </c>
      <c r="J80" s="919">
        <v>3652.3</v>
      </c>
      <c r="K80" s="919">
        <v>3490.1</v>
      </c>
      <c r="L80" s="920">
        <v>3244.8</v>
      </c>
      <c r="M80" s="920">
        <v>3880.7</v>
      </c>
      <c r="N80" s="919">
        <v>3449.6</v>
      </c>
      <c r="O80" s="889"/>
      <c r="P80" s="889"/>
      <c r="Q80" s="889"/>
      <c r="R80" s="889"/>
      <c r="S80" s="889"/>
      <c r="T80" s="889"/>
      <c r="U80" s="889"/>
      <c r="V80" s="889"/>
      <c r="W80" s="889"/>
      <c r="X80" s="889"/>
      <c r="Y80" s="889"/>
      <c r="Z80" s="889"/>
      <c r="AA80" s="889"/>
      <c r="AB80" s="889"/>
      <c r="AC80" s="889"/>
      <c r="AD80" s="889"/>
      <c r="AE80" s="889"/>
      <c r="AF80" s="889"/>
      <c r="AG80" s="889"/>
      <c r="AH80" s="889"/>
      <c r="AI80" s="889"/>
      <c r="AJ80" s="889"/>
      <c r="AK80" s="889"/>
      <c r="AL80" s="889"/>
      <c r="AM80" s="889"/>
      <c r="AN80" s="889"/>
      <c r="AO80" s="889"/>
      <c r="AP80" s="889"/>
      <c r="AQ80" s="889"/>
      <c r="AR80" s="889"/>
      <c r="AS80" s="889"/>
      <c r="AT80" s="889"/>
      <c r="AU80" s="889"/>
      <c r="AV80" s="889"/>
      <c r="AW80" s="889"/>
      <c r="AX80" s="889"/>
      <c r="AY80" s="889"/>
      <c r="AZ80" s="889"/>
      <c r="BA80" s="889"/>
      <c r="BB80" s="889"/>
      <c r="BC80" s="889"/>
      <c r="BD80" s="889"/>
      <c r="BE80" s="889"/>
      <c r="BF80" s="889"/>
      <c r="BG80" s="889"/>
      <c r="BH80" s="889"/>
      <c r="BI80" s="889"/>
      <c r="BJ80" s="889"/>
      <c r="BK80" s="889"/>
      <c r="BL80" s="889"/>
      <c r="BM80" s="889"/>
      <c r="BN80" s="889"/>
      <c r="BO80" s="889"/>
      <c r="BP80" s="889"/>
      <c r="BQ80" s="889"/>
      <c r="BR80" s="889"/>
      <c r="BS80" s="889"/>
      <c r="BT80" s="889"/>
      <c r="BU80" s="889"/>
      <c r="BV80" s="889"/>
      <c r="BW80" s="889"/>
      <c r="BX80" s="889"/>
      <c r="BY80" s="889"/>
      <c r="BZ80" s="889"/>
      <c r="CA80" s="889"/>
      <c r="CB80" s="889"/>
      <c r="CC80" s="889"/>
      <c r="CD80" s="889"/>
      <c r="CE80" s="889"/>
      <c r="CF80" s="889"/>
      <c r="CG80" s="889"/>
      <c r="CH80" s="889"/>
      <c r="CI80" s="889"/>
      <c r="CJ80" s="889"/>
      <c r="CK80" s="889"/>
      <c r="CL80" s="889"/>
      <c r="CM80" s="889"/>
      <c r="CN80" s="889"/>
      <c r="CO80" s="889"/>
      <c r="CP80" s="889"/>
      <c r="CQ80" s="889"/>
      <c r="CR80" s="889"/>
      <c r="CS80" s="889"/>
      <c r="CT80" s="889"/>
      <c r="CU80" s="889"/>
      <c r="CV80" s="889"/>
      <c r="CW80" s="889"/>
      <c r="CX80" s="889"/>
      <c r="CY80" s="889"/>
      <c r="CZ80" s="889"/>
      <c r="DA80" s="889"/>
      <c r="DB80" s="889"/>
      <c r="DC80" s="889"/>
      <c r="DD80" s="889"/>
      <c r="DE80" s="889"/>
      <c r="DF80" s="889"/>
      <c r="DG80" s="889"/>
      <c r="DH80" s="889"/>
      <c r="DI80" s="889"/>
      <c r="DJ80" s="889"/>
      <c r="DK80" s="889"/>
      <c r="DL80" s="889"/>
      <c r="DM80" s="889"/>
      <c r="DN80" s="889"/>
      <c r="DO80" s="889"/>
      <c r="DP80" s="889"/>
      <c r="DQ80" s="889"/>
      <c r="DR80" s="889"/>
      <c r="DS80" s="889"/>
      <c r="DT80" s="889"/>
      <c r="DU80" s="889"/>
      <c r="DV80" s="889"/>
      <c r="DW80" s="889"/>
      <c r="DX80" s="889"/>
      <c r="DY80" s="889"/>
      <c r="DZ80" s="889"/>
      <c r="EA80" s="889"/>
      <c r="EB80" s="889"/>
      <c r="EC80" s="889"/>
      <c r="ED80" s="889"/>
      <c r="EE80" s="889"/>
      <c r="EF80" s="889"/>
      <c r="EG80" s="889"/>
      <c r="EH80" s="889"/>
      <c r="EI80" s="889"/>
      <c r="EJ80" s="889"/>
      <c r="EK80" s="889"/>
      <c r="EL80" s="889"/>
      <c r="EM80" s="889"/>
      <c r="EN80" s="889"/>
      <c r="EO80" s="889"/>
      <c r="EP80" s="889"/>
      <c r="EQ80" s="889"/>
      <c r="ER80" s="889"/>
      <c r="ES80" s="889"/>
      <c r="ET80" s="889"/>
      <c r="EU80" s="889"/>
      <c r="EV80" s="889"/>
      <c r="EW80" s="889"/>
      <c r="EX80" s="889"/>
      <c r="EY80" s="889"/>
      <c r="EZ80" s="889"/>
      <c r="FA80" s="889"/>
      <c r="FB80" s="889"/>
      <c r="FC80" s="889"/>
      <c r="FD80" s="889"/>
      <c r="FE80" s="889"/>
      <c r="FF80" s="889"/>
      <c r="FG80" s="889"/>
      <c r="FH80" s="889"/>
      <c r="FI80" s="889"/>
      <c r="FJ80" s="889"/>
      <c r="FK80" s="889"/>
      <c r="FL80" s="889"/>
      <c r="FM80" s="889"/>
      <c r="FN80" s="889"/>
      <c r="FO80" s="889"/>
      <c r="FP80" s="889"/>
      <c r="FQ80" s="889"/>
      <c r="FR80" s="889"/>
      <c r="FS80" s="889"/>
      <c r="FT80" s="889"/>
      <c r="FU80" s="889"/>
      <c r="FV80" s="889"/>
      <c r="FW80" s="889"/>
      <c r="FX80" s="889"/>
      <c r="FY80" s="889"/>
      <c r="FZ80" s="889"/>
      <c r="GA80" s="889"/>
      <c r="GB80" s="889"/>
      <c r="GC80" s="889"/>
      <c r="GD80" s="889"/>
      <c r="GE80" s="889"/>
      <c r="GF80" s="889"/>
      <c r="GG80" s="889"/>
      <c r="GH80" s="889"/>
      <c r="GI80" s="889"/>
      <c r="GJ80" s="889"/>
      <c r="GK80" s="889"/>
      <c r="GL80" s="889"/>
      <c r="GM80" s="889"/>
      <c r="GN80" s="889"/>
      <c r="GO80" s="889"/>
      <c r="GP80" s="889"/>
      <c r="GQ80" s="889"/>
      <c r="GR80" s="889"/>
      <c r="GS80" s="889"/>
      <c r="GT80" s="889"/>
      <c r="GU80" s="889"/>
      <c r="GV80" s="889"/>
      <c r="GW80" s="889"/>
      <c r="GX80" s="889"/>
      <c r="GY80" s="889"/>
      <c r="GZ80" s="889"/>
      <c r="HA80" s="889"/>
      <c r="HB80" s="889"/>
      <c r="HC80" s="889"/>
      <c r="HD80" s="889"/>
      <c r="HE80" s="889"/>
      <c r="HF80" s="889"/>
      <c r="HG80" s="889"/>
      <c r="HH80" s="889"/>
      <c r="HI80" s="889"/>
      <c r="HJ80" s="889"/>
      <c r="HK80" s="889"/>
      <c r="HL80" s="889"/>
      <c r="HM80" s="889"/>
      <c r="HN80" s="889"/>
      <c r="HO80" s="889"/>
      <c r="HP80" s="889"/>
      <c r="HQ80" s="889"/>
      <c r="HR80" s="889"/>
      <c r="HS80" s="889"/>
      <c r="HT80" s="889"/>
      <c r="HU80" s="889"/>
      <c r="HV80" s="889"/>
      <c r="HW80" s="889"/>
      <c r="HX80" s="889"/>
      <c r="HY80" s="889"/>
      <c r="HZ80" s="889"/>
      <c r="IA80" s="889"/>
      <c r="IB80" s="889"/>
      <c r="IC80" s="889"/>
      <c r="ID80" s="889"/>
      <c r="IE80" s="889"/>
      <c r="IF80" s="889"/>
      <c r="IG80" s="889"/>
      <c r="IH80" s="889"/>
      <c r="II80" s="889"/>
      <c r="IJ80" s="889"/>
      <c r="IK80" s="889"/>
      <c r="IL80" s="889"/>
      <c r="IM80" s="889"/>
      <c r="IN80" s="889"/>
      <c r="IO80" s="889"/>
      <c r="IP80" s="889"/>
      <c r="IQ80" s="889"/>
      <c r="IR80" s="889"/>
      <c r="IS80" s="889"/>
      <c r="IT80" s="889"/>
      <c r="IU80" s="889"/>
      <c r="IV80" s="889"/>
    </row>
    <row r="81" spans="1:256" ht="11.25" customHeight="1" thickTop="1">
      <c r="A81" s="890" t="s">
        <v>165</v>
      </c>
      <c r="B81" s="962"/>
      <c r="C81" s="962"/>
      <c r="D81" s="981"/>
      <c r="E81" s="981"/>
      <c r="F81" s="981"/>
      <c r="G81" s="981"/>
      <c r="H81" s="981"/>
      <c r="I81" s="981"/>
      <c r="J81" s="981"/>
      <c r="K81" s="981"/>
      <c r="L81" s="981"/>
      <c r="M81" s="981"/>
      <c r="N81" s="981"/>
      <c r="O81" s="889"/>
      <c r="P81" s="889"/>
      <c r="Q81" s="889"/>
      <c r="R81" s="889"/>
      <c r="S81" s="889"/>
      <c r="T81" s="889"/>
      <c r="U81" s="889"/>
      <c r="V81" s="889"/>
      <c r="W81" s="889"/>
      <c r="X81" s="889"/>
      <c r="Y81" s="889"/>
      <c r="Z81" s="889"/>
      <c r="AA81" s="889"/>
      <c r="AB81" s="889"/>
      <c r="AC81" s="889"/>
      <c r="AD81" s="889"/>
      <c r="AE81" s="889"/>
      <c r="AF81" s="889"/>
      <c r="AG81" s="889"/>
      <c r="AH81" s="889"/>
      <c r="AI81" s="889"/>
      <c r="AJ81" s="889"/>
      <c r="AK81" s="889"/>
      <c r="AL81" s="889"/>
      <c r="AM81" s="889"/>
      <c r="AN81" s="889"/>
      <c r="AO81" s="889"/>
      <c r="AP81" s="889"/>
      <c r="AQ81" s="889"/>
      <c r="AR81" s="889"/>
      <c r="AS81" s="889"/>
      <c r="AT81" s="889"/>
      <c r="AU81" s="889"/>
      <c r="AV81" s="889"/>
      <c r="AW81" s="889"/>
      <c r="AX81" s="889"/>
      <c r="AY81" s="889"/>
      <c r="AZ81" s="889"/>
      <c r="BA81" s="889"/>
      <c r="BB81" s="889"/>
      <c r="BC81" s="889"/>
      <c r="BD81" s="889"/>
      <c r="BE81" s="889"/>
      <c r="BF81" s="889"/>
      <c r="BG81" s="889"/>
      <c r="BH81" s="889"/>
      <c r="BI81" s="889"/>
      <c r="BJ81" s="889"/>
      <c r="BK81" s="889"/>
      <c r="BL81" s="889"/>
      <c r="BM81" s="889"/>
      <c r="BN81" s="889"/>
      <c r="BO81" s="889"/>
      <c r="BP81" s="889"/>
      <c r="BQ81" s="889"/>
      <c r="BR81" s="889"/>
      <c r="BS81" s="889"/>
      <c r="BT81" s="889"/>
      <c r="BU81" s="889"/>
      <c r="BV81" s="889"/>
      <c r="BW81" s="889"/>
      <c r="BX81" s="889"/>
      <c r="BY81" s="889"/>
      <c r="BZ81" s="889"/>
      <c r="CA81" s="889"/>
      <c r="CB81" s="889"/>
      <c r="CC81" s="889"/>
      <c r="CD81" s="889"/>
      <c r="CE81" s="889"/>
      <c r="CF81" s="889"/>
      <c r="CG81" s="889"/>
      <c r="CH81" s="889"/>
      <c r="CI81" s="889"/>
      <c r="CJ81" s="889"/>
      <c r="CK81" s="889"/>
      <c r="CL81" s="889"/>
      <c r="CM81" s="889"/>
      <c r="CN81" s="889"/>
      <c r="CO81" s="889"/>
      <c r="CP81" s="889"/>
      <c r="CQ81" s="889"/>
      <c r="CR81" s="889"/>
      <c r="CS81" s="889"/>
      <c r="CT81" s="889"/>
      <c r="CU81" s="889"/>
      <c r="CV81" s="889"/>
      <c r="CW81" s="889"/>
      <c r="CX81" s="889"/>
      <c r="CY81" s="889"/>
      <c r="CZ81" s="889"/>
      <c r="DA81" s="889"/>
      <c r="DB81" s="889"/>
      <c r="DC81" s="889"/>
      <c r="DD81" s="889"/>
      <c r="DE81" s="889"/>
      <c r="DF81" s="889"/>
      <c r="DG81" s="889"/>
      <c r="DH81" s="889"/>
      <c r="DI81" s="889"/>
      <c r="DJ81" s="889"/>
      <c r="DK81" s="889"/>
      <c r="DL81" s="889"/>
      <c r="DM81" s="889"/>
      <c r="DN81" s="889"/>
      <c r="DO81" s="889"/>
      <c r="DP81" s="889"/>
      <c r="DQ81" s="889"/>
      <c r="DR81" s="889"/>
      <c r="DS81" s="889"/>
      <c r="DT81" s="889"/>
      <c r="DU81" s="889"/>
      <c r="DV81" s="889"/>
      <c r="DW81" s="889"/>
      <c r="DX81" s="889"/>
      <c r="DY81" s="889"/>
      <c r="DZ81" s="889"/>
      <c r="EA81" s="889"/>
      <c r="EB81" s="889"/>
      <c r="EC81" s="889"/>
      <c r="ED81" s="889"/>
      <c r="EE81" s="889"/>
      <c r="EF81" s="889"/>
      <c r="EG81" s="889"/>
      <c r="EH81" s="889"/>
      <c r="EI81" s="889"/>
      <c r="EJ81" s="889"/>
      <c r="EK81" s="889"/>
      <c r="EL81" s="889"/>
      <c r="EM81" s="889"/>
      <c r="EN81" s="889"/>
      <c r="EO81" s="889"/>
      <c r="EP81" s="889"/>
      <c r="EQ81" s="889"/>
      <c r="ER81" s="889"/>
      <c r="ES81" s="889"/>
      <c r="ET81" s="889"/>
      <c r="EU81" s="889"/>
      <c r="EV81" s="889"/>
      <c r="EW81" s="889"/>
      <c r="EX81" s="889"/>
      <c r="EY81" s="889"/>
      <c r="EZ81" s="889"/>
      <c r="FA81" s="889"/>
      <c r="FB81" s="889"/>
      <c r="FC81" s="889"/>
      <c r="FD81" s="889"/>
      <c r="FE81" s="889"/>
      <c r="FF81" s="889"/>
      <c r="FG81" s="889"/>
      <c r="FH81" s="889"/>
      <c r="FI81" s="889"/>
      <c r="FJ81" s="889"/>
      <c r="FK81" s="889"/>
      <c r="FL81" s="889"/>
      <c r="FM81" s="889"/>
      <c r="FN81" s="889"/>
      <c r="FO81" s="889"/>
      <c r="FP81" s="889"/>
      <c r="FQ81" s="889"/>
      <c r="FR81" s="889"/>
      <c r="FS81" s="889"/>
      <c r="FT81" s="889"/>
      <c r="FU81" s="889"/>
      <c r="FV81" s="889"/>
      <c r="FW81" s="889"/>
      <c r="FX81" s="889"/>
      <c r="FY81" s="889"/>
      <c r="FZ81" s="889"/>
      <c r="GA81" s="889"/>
      <c r="GB81" s="889"/>
      <c r="GC81" s="889"/>
      <c r="GD81" s="889"/>
      <c r="GE81" s="889"/>
      <c r="GF81" s="889"/>
      <c r="GG81" s="889"/>
      <c r="GH81" s="889"/>
      <c r="GI81" s="889"/>
      <c r="GJ81" s="889"/>
      <c r="GK81" s="889"/>
      <c r="GL81" s="889"/>
      <c r="GM81" s="889"/>
      <c r="GN81" s="889"/>
      <c r="GO81" s="889"/>
      <c r="GP81" s="889"/>
      <c r="GQ81" s="889"/>
      <c r="GR81" s="889"/>
      <c r="GS81" s="889"/>
      <c r="GT81" s="889"/>
      <c r="GU81" s="889"/>
      <c r="GV81" s="889"/>
      <c r="GW81" s="889"/>
      <c r="GX81" s="889"/>
      <c r="GY81" s="889"/>
      <c r="GZ81" s="889"/>
      <c r="HA81" s="889"/>
      <c r="HB81" s="889"/>
      <c r="HC81" s="889"/>
      <c r="HD81" s="889"/>
      <c r="HE81" s="889"/>
      <c r="HF81" s="889"/>
      <c r="HG81" s="889"/>
      <c r="HH81" s="889"/>
      <c r="HI81" s="889"/>
      <c r="HJ81" s="889"/>
      <c r="HK81" s="889"/>
      <c r="HL81" s="889"/>
      <c r="HM81" s="889"/>
      <c r="HN81" s="889"/>
      <c r="HO81" s="889"/>
      <c r="HP81" s="889"/>
      <c r="HQ81" s="889"/>
      <c r="HR81" s="889"/>
      <c r="HS81" s="889"/>
      <c r="HT81" s="889"/>
      <c r="HU81" s="889"/>
      <c r="HV81" s="889"/>
      <c r="HW81" s="889"/>
      <c r="HX81" s="889"/>
      <c r="HY81" s="889"/>
      <c r="HZ81" s="889"/>
      <c r="IA81" s="889"/>
      <c r="IB81" s="889"/>
      <c r="IC81" s="889"/>
      <c r="ID81" s="889"/>
      <c r="IE81" s="889"/>
      <c r="IF81" s="889"/>
      <c r="IG81" s="889"/>
      <c r="IH81" s="889"/>
      <c r="II81" s="889"/>
      <c r="IJ81" s="889"/>
      <c r="IK81" s="889"/>
      <c r="IL81" s="889"/>
      <c r="IM81" s="889"/>
      <c r="IN81" s="889"/>
      <c r="IO81" s="889"/>
      <c r="IP81" s="889"/>
      <c r="IQ81" s="889"/>
      <c r="IR81" s="889"/>
      <c r="IS81" s="889"/>
      <c r="IT81" s="889"/>
      <c r="IU81" s="889"/>
      <c r="IV81" s="889"/>
    </row>
    <row r="82" spans="1:256" ht="10.5" customHeight="1">
      <c r="A82" s="875" t="s">
        <v>457</v>
      </c>
      <c r="B82" s="899">
        <v>0</v>
      </c>
      <c r="C82" s="899">
        <v>0</v>
      </c>
      <c r="D82" s="963">
        <v>22.3</v>
      </c>
      <c r="E82" s="963">
        <v>21.8</v>
      </c>
      <c r="F82" s="963">
        <v>23.6</v>
      </c>
      <c r="G82" s="963">
        <v>19.100000000000001</v>
      </c>
      <c r="H82" s="963">
        <v>13.6</v>
      </c>
      <c r="I82" s="963">
        <v>0</v>
      </c>
      <c r="J82" s="981">
        <v>0</v>
      </c>
      <c r="K82" s="963">
        <v>0</v>
      </c>
      <c r="L82" s="964">
        <v>0</v>
      </c>
      <c r="M82" s="964">
        <v>0</v>
      </c>
      <c r="N82" s="964">
        <v>0</v>
      </c>
      <c r="O82" s="889"/>
      <c r="P82" s="889"/>
      <c r="Q82" s="889"/>
      <c r="R82" s="889"/>
      <c r="S82" s="889"/>
      <c r="T82" s="889"/>
      <c r="U82" s="889"/>
      <c r="V82" s="889"/>
      <c r="W82" s="889"/>
      <c r="X82" s="889"/>
      <c r="Y82" s="889"/>
      <c r="Z82" s="889"/>
      <c r="AA82" s="889"/>
      <c r="AB82" s="889"/>
      <c r="AC82" s="889"/>
      <c r="AD82" s="889"/>
      <c r="AE82" s="889"/>
      <c r="AF82" s="889"/>
      <c r="AG82" s="889"/>
      <c r="AH82" s="889"/>
      <c r="AI82" s="889"/>
      <c r="AJ82" s="889"/>
      <c r="AK82" s="889"/>
      <c r="AL82" s="889"/>
      <c r="AM82" s="889"/>
      <c r="AN82" s="889"/>
      <c r="AO82" s="889"/>
      <c r="AP82" s="889"/>
      <c r="AQ82" s="889"/>
      <c r="AR82" s="889"/>
      <c r="AS82" s="889"/>
      <c r="AT82" s="889"/>
      <c r="AU82" s="889"/>
      <c r="AV82" s="889"/>
      <c r="AW82" s="889"/>
      <c r="AX82" s="889"/>
      <c r="AY82" s="889"/>
      <c r="AZ82" s="889"/>
      <c r="BA82" s="889"/>
      <c r="BB82" s="889"/>
      <c r="BC82" s="889"/>
      <c r="BD82" s="889"/>
      <c r="BE82" s="889"/>
      <c r="BF82" s="889"/>
      <c r="BG82" s="889"/>
      <c r="BH82" s="889"/>
      <c r="BI82" s="889"/>
      <c r="BJ82" s="889"/>
      <c r="BK82" s="889"/>
      <c r="BL82" s="889"/>
      <c r="BM82" s="889"/>
      <c r="BN82" s="889"/>
      <c r="BO82" s="889"/>
      <c r="BP82" s="889"/>
      <c r="BQ82" s="889"/>
      <c r="BR82" s="889"/>
      <c r="BS82" s="889"/>
      <c r="BT82" s="889"/>
      <c r="BU82" s="889"/>
      <c r="BV82" s="889"/>
      <c r="BW82" s="889"/>
      <c r="BX82" s="889"/>
      <c r="BY82" s="889"/>
      <c r="BZ82" s="889"/>
      <c r="CA82" s="889"/>
      <c r="CB82" s="889"/>
      <c r="CC82" s="889"/>
      <c r="CD82" s="889"/>
      <c r="CE82" s="889"/>
      <c r="CF82" s="889"/>
      <c r="CG82" s="889"/>
      <c r="CH82" s="889"/>
      <c r="CI82" s="889"/>
      <c r="CJ82" s="889"/>
      <c r="CK82" s="889"/>
      <c r="CL82" s="889"/>
      <c r="CM82" s="889"/>
      <c r="CN82" s="889"/>
      <c r="CO82" s="889"/>
      <c r="CP82" s="889"/>
      <c r="CQ82" s="889"/>
      <c r="CR82" s="889"/>
      <c r="CS82" s="889"/>
      <c r="CT82" s="889"/>
      <c r="CU82" s="889"/>
      <c r="CV82" s="889"/>
      <c r="CW82" s="889"/>
      <c r="CX82" s="889"/>
      <c r="CY82" s="889"/>
      <c r="CZ82" s="889"/>
      <c r="DA82" s="889"/>
      <c r="DB82" s="889"/>
      <c r="DC82" s="889"/>
      <c r="DD82" s="889"/>
      <c r="DE82" s="889"/>
      <c r="DF82" s="889"/>
      <c r="DG82" s="889"/>
      <c r="DH82" s="889"/>
      <c r="DI82" s="889"/>
      <c r="DJ82" s="889"/>
      <c r="DK82" s="889"/>
      <c r="DL82" s="889"/>
      <c r="DM82" s="889"/>
      <c r="DN82" s="889"/>
      <c r="DO82" s="889"/>
      <c r="DP82" s="889"/>
      <c r="DQ82" s="889"/>
      <c r="DR82" s="889"/>
      <c r="DS82" s="889"/>
      <c r="DT82" s="889"/>
      <c r="DU82" s="889"/>
      <c r="DV82" s="889"/>
      <c r="DW82" s="889"/>
      <c r="DX82" s="889"/>
      <c r="DY82" s="889"/>
      <c r="DZ82" s="889"/>
      <c r="EA82" s="889"/>
      <c r="EB82" s="889"/>
      <c r="EC82" s="889"/>
      <c r="ED82" s="889"/>
      <c r="EE82" s="889"/>
      <c r="EF82" s="889"/>
      <c r="EG82" s="889"/>
      <c r="EH82" s="889"/>
      <c r="EI82" s="889"/>
      <c r="EJ82" s="889"/>
      <c r="EK82" s="889"/>
      <c r="EL82" s="889"/>
      <c r="EM82" s="889"/>
      <c r="EN82" s="889"/>
      <c r="EO82" s="889"/>
      <c r="EP82" s="889"/>
      <c r="EQ82" s="889"/>
      <c r="ER82" s="889"/>
      <c r="ES82" s="889"/>
      <c r="ET82" s="889"/>
      <c r="EU82" s="889"/>
      <c r="EV82" s="889"/>
      <c r="EW82" s="889"/>
      <c r="EX82" s="889"/>
      <c r="EY82" s="889"/>
      <c r="EZ82" s="889"/>
      <c r="FA82" s="889"/>
      <c r="FB82" s="889"/>
      <c r="FC82" s="889"/>
      <c r="FD82" s="889"/>
      <c r="FE82" s="889"/>
      <c r="FF82" s="889"/>
      <c r="FG82" s="889"/>
      <c r="FH82" s="889"/>
      <c r="FI82" s="889"/>
      <c r="FJ82" s="889"/>
      <c r="FK82" s="889"/>
      <c r="FL82" s="889"/>
      <c r="FM82" s="889"/>
      <c r="FN82" s="889"/>
      <c r="FO82" s="889"/>
      <c r="FP82" s="889"/>
      <c r="FQ82" s="889"/>
      <c r="FR82" s="889"/>
      <c r="FS82" s="889"/>
      <c r="FT82" s="889"/>
      <c r="FU82" s="889"/>
      <c r="FV82" s="889"/>
      <c r="FW82" s="889"/>
      <c r="FX82" s="889"/>
      <c r="FY82" s="889"/>
      <c r="FZ82" s="889"/>
      <c r="GA82" s="889"/>
      <c r="GB82" s="889"/>
      <c r="GC82" s="889"/>
      <c r="GD82" s="889"/>
      <c r="GE82" s="889"/>
      <c r="GF82" s="889"/>
      <c r="GG82" s="889"/>
      <c r="GH82" s="889"/>
      <c r="GI82" s="889"/>
      <c r="GJ82" s="889"/>
      <c r="GK82" s="889"/>
      <c r="GL82" s="889"/>
      <c r="GM82" s="889"/>
      <c r="GN82" s="889"/>
      <c r="GO82" s="889"/>
      <c r="GP82" s="889"/>
      <c r="GQ82" s="889"/>
      <c r="GR82" s="889"/>
      <c r="GS82" s="889"/>
      <c r="GT82" s="889"/>
      <c r="GU82" s="889"/>
      <c r="GV82" s="889"/>
      <c r="GW82" s="889"/>
      <c r="GX82" s="889"/>
      <c r="GY82" s="889"/>
      <c r="GZ82" s="889"/>
      <c r="HA82" s="889"/>
      <c r="HB82" s="889"/>
      <c r="HC82" s="889"/>
      <c r="HD82" s="889"/>
      <c r="HE82" s="889"/>
      <c r="HF82" s="889"/>
      <c r="HG82" s="889"/>
      <c r="HH82" s="889"/>
      <c r="HI82" s="889"/>
      <c r="HJ82" s="889"/>
      <c r="HK82" s="889"/>
      <c r="HL82" s="889"/>
      <c r="HM82" s="889"/>
      <c r="HN82" s="889"/>
      <c r="HO82" s="889"/>
      <c r="HP82" s="889"/>
      <c r="HQ82" s="889"/>
      <c r="HR82" s="889"/>
      <c r="HS82" s="889"/>
      <c r="HT82" s="889"/>
      <c r="HU82" s="889"/>
      <c r="HV82" s="889"/>
      <c r="HW82" s="889"/>
      <c r="HX82" s="889"/>
      <c r="HY82" s="889"/>
      <c r="HZ82" s="889"/>
      <c r="IA82" s="889"/>
      <c r="IB82" s="889"/>
      <c r="IC82" s="889"/>
      <c r="ID82" s="889"/>
      <c r="IE82" s="889"/>
      <c r="IF82" s="889"/>
      <c r="IG82" s="889"/>
      <c r="IH82" s="889"/>
      <c r="II82" s="889"/>
      <c r="IJ82" s="889"/>
      <c r="IK82" s="889"/>
      <c r="IL82" s="889"/>
      <c r="IM82" s="889"/>
      <c r="IN82" s="889"/>
      <c r="IO82" s="889"/>
      <c r="IP82" s="889"/>
      <c r="IQ82" s="889"/>
      <c r="IR82" s="889"/>
      <c r="IS82" s="889"/>
      <c r="IT82" s="889"/>
      <c r="IU82" s="889"/>
      <c r="IV82" s="889"/>
    </row>
    <row r="83" spans="1:256" ht="10.5" customHeight="1">
      <c r="A83" s="875" t="s">
        <v>797</v>
      </c>
      <c r="B83" s="962">
        <v>7</v>
      </c>
      <c r="C83" s="962">
        <v>7</v>
      </c>
      <c r="D83" s="963">
        <v>7</v>
      </c>
      <c r="E83" s="963">
        <v>7</v>
      </c>
      <c r="F83" s="963">
        <v>5.2</v>
      </c>
      <c r="G83" s="963">
        <v>5.2</v>
      </c>
      <c r="H83" s="963">
        <v>5.2</v>
      </c>
      <c r="I83" s="963">
        <v>7</v>
      </c>
      <c r="J83" s="963">
        <v>24.1</v>
      </c>
      <c r="K83" s="963">
        <v>28</v>
      </c>
      <c r="L83" s="964">
        <v>25.8</v>
      </c>
      <c r="M83" s="964">
        <v>24.4</v>
      </c>
      <c r="N83" s="963">
        <v>26.1</v>
      </c>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89"/>
      <c r="AM83" s="889"/>
      <c r="AN83" s="889"/>
      <c r="AO83" s="889"/>
      <c r="AP83" s="889"/>
      <c r="AQ83" s="889"/>
      <c r="AR83" s="889"/>
      <c r="AS83" s="889"/>
      <c r="AT83" s="889"/>
      <c r="AU83" s="889"/>
      <c r="AV83" s="889"/>
      <c r="AW83" s="889"/>
      <c r="AX83" s="889"/>
      <c r="AY83" s="889"/>
      <c r="AZ83" s="889"/>
      <c r="BA83" s="889"/>
      <c r="BB83" s="889"/>
      <c r="BC83" s="889"/>
      <c r="BD83" s="889"/>
      <c r="BE83" s="889"/>
      <c r="BF83" s="889"/>
      <c r="BG83" s="889"/>
      <c r="BH83" s="889"/>
      <c r="BI83" s="889"/>
      <c r="BJ83" s="889"/>
      <c r="BK83" s="889"/>
      <c r="BL83" s="889"/>
      <c r="BM83" s="889"/>
      <c r="BN83" s="889"/>
      <c r="BO83" s="889"/>
      <c r="BP83" s="889"/>
      <c r="BQ83" s="889"/>
      <c r="BR83" s="889"/>
      <c r="BS83" s="889"/>
      <c r="BT83" s="889"/>
      <c r="BU83" s="889"/>
      <c r="BV83" s="889"/>
      <c r="BW83" s="889"/>
      <c r="BX83" s="889"/>
      <c r="BY83" s="889"/>
      <c r="BZ83" s="889"/>
      <c r="CA83" s="889"/>
      <c r="CB83" s="889"/>
      <c r="CC83" s="889"/>
      <c r="CD83" s="889"/>
      <c r="CE83" s="889"/>
      <c r="CF83" s="889"/>
      <c r="CG83" s="889"/>
      <c r="CH83" s="889"/>
      <c r="CI83" s="889"/>
      <c r="CJ83" s="889"/>
      <c r="CK83" s="889"/>
      <c r="CL83" s="889"/>
      <c r="CM83" s="889"/>
      <c r="CN83" s="889"/>
      <c r="CO83" s="889"/>
      <c r="CP83" s="889"/>
      <c r="CQ83" s="889"/>
      <c r="CR83" s="889"/>
      <c r="CS83" s="889"/>
      <c r="CT83" s="889"/>
      <c r="CU83" s="889"/>
      <c r="CV83" s="889"/>
      <c r="CW83" s="889"/>
      <c r="CX83" s="889"/>
      <c r="CY83" s="889"/>
      <c r="CZ83" s="889"/>
      <c r="DA83" s="889"/>
      <c r="DB83" s="889"/>
      <c r="DC83" s="889"/>
      <c r="DD83" s="889"/>
      <c r="DE83" s="889"/>
      <c r="DF83" s="889"/>
      <c r="DG83" s="889"/>
      <c r="DH83" s="889"/>
      <c r="DI83" s="889"/>
      <c r="DJ83" s="889"/>
      <c r="DK83" s="889"/>
      <c r="DL83" s="889"/>
      <c r="DM83" s="889"/>
      <c r="DN83" s="889"/>
      <c r="DO83" s="889"/>
      <c r="DP83" s="889"/>
      <c r="DQ83" s="889"/>
      <c r="DR83" s="889"/>
      <c r="DS83" s="889"/>
      <c r="DT83" s="889"/>
      <c r="DU83" s="889"/>
      <c r="DV83" s="889"/>
      <c r="DW83" s="889"/>
      <c r="DX83" s="889"/>
      <c r="DY83" s="889"/>
      <c r="DZ83" s="889"/>
      <c r="EA83" s="889"/>
      <c r="EB83" s="889"/>
      <c r="EC83" s="889"/>
      <c r="ED83" s="889"/>
      <c r="EE83" s="889"/>
      <c r="EF83" s="889"/>
      <c r="EG83" s="889"/>
      <c r="EH83" s="889"/>
      <c r="EI83" s="889"/>
      <c r="EJ83" s="889"/>
      <c r="EK83" s="889"/>
      <c r="EL83" s="889"/>
      <c r="EM83" s="889"/>
      <c r="EN83" s="889"/>
      <c r="EO83" s="889"/>
      <c r="EP83" s="889"/>
      <c r="EQ83" s="889"/>
      <c r="ER83" s="889"/>
      <c r="ES83" s="889"/>
      <c r="ET83" s="889"/>
      <c r="EU83" s="889"/>
      <c r="EV83" s="889"/>
      <c r="EW83" s="889"/>
      <c r="EX83" s="889"/>
      <c r="EY83" s="889"/>
      <c r="EZ83" s="889"/>
      <c r="FA83" s="889"/>
      <c r="FB83" s="889"/>
      <c r="FC83" s="889"/>
      <c r="FD83" s="889"/>
      <c r="FE83" s="889"/>
      <c r="FF83" s="889"/>
      <c r="FG83" s="889"/>
      <c r="FH83" s="889"/>
      <c r="FI83" s="889"/>
      <c r="FJ83" s="889"/>
      <c r="FK83" s="889"/>
      <c r="FL83" s="889"/>
      <c r="FM83" s="889"/>
      <c r="FN83" s="889"/>
      <c r="FO83" s="889"/>
      <c r="FP83" s="889"/>
      <c r="FQ83" s="889"/>
      <c r="FR83" s="889"/>
      <c r="FS83" s="889"/>
      <c r="FT83" s="889"/>
      <c r="FU83" s="889"/>
      <c r="FV83" s="889"/>
      <c r="FW83" s="889"/>
      <c r="FX83" s="889"/>
      <c r="FY83" s="889"/>
      <c r="FZ83" s="889"/>
      <c r="GA83" s="889"/>
      <c r="GB83" s="889"/>
      <c r="GC83" s="889"/>
      <c r="GD83" s="889"/>
      <c r="GE83" s="889"/>
      <c r="GF83" s="889"/>
      <c r="GG83" s="889"/>
      <c r="GH83" s="889"/>
      <c r="GI83" s="889"/>
      <c r="GJ83" s="889"/>
      <c r="GK83" s="889"/>
      <c r="GL83" s="889"/>
      <c r="GM83" s="889"/>
      <c r="GN83" s="889"/>
      <c r="GO83" s="889"/>
      <c r="GP83" s="889"/>
      <c r="GQ83" s="889"/>
      <c r="GR83" s="889"/>
      <c r="GS83" s="889"/>
      <c r="GT83" s="889"/>
      <c r="GU83" s="889"/>
      <c r="GV83" s="889"/>
      <c r="GW83" s="889"/>
      <c r="GX83" s="889"/>
      <c r="GY83" s="889"/>
      <c r="GZ83" s="889"/>
      <c r="HA83" s="889"/>
      <c r="HB83" s="889"/>
      <c r="HC83" s="889"/>
      <c r="HD83" s="889"/>
      <c r="HE83" s="889"/>
      <c r="HF83" s="889"/>
      <c r="HG83" s="889"/>
      <c r="HH83" s="889"/>
      <c r="HI83" s="889"/>
      <c r="HJ83" s="889"/>
      <c r="HK83" s="889"/>
      <c r="HL83" s="889"/>
      <c r="HM83" s="889"/>
      <c r="HN83" s="889"/>
      <c r="HO83" s="889"/>
      <c r="HP83" s="889"/>
      <c r="HQ83" s="889"/>
      <c r="HR83" s="889"/>
      <c r="HS83" s="889"/>
      <c r="HT83" s="889"/>
      <c r="HU83" s="889"/>
      <c r="HV83" s="889"/>
      <c r="HW83" s="889"/>
      <c r="HX83" s="889"/>
      <c r="HY83" s="889"/>
      <c r="HZ83" s="889"/>
      <c r="IA83" s="889"/>
      <c r="IB83" s="889"/>
      <c r="IC83" s="889"/>
      <c r="ID83" s="889"/>
      <c r="IE83" s="889"/>
      <c r="IF83" s="889"/>
      <c r="IG83" s="889"/>
      <c r="IH83" s="889"/>
      <c r="II83" s="889"/>
      <c r="IJ83" s="889"/>
      <c r="IK83" s="889"/>
      <c r="IL83" s="889"/>
      <c r="IM83" s="889"/>
      <c r="IN83" s="889"/>
      <c r="IO83" s="889"/>
      <c r="IP83" s="889"/>
      <c r="IQ83" s="889"/>
      <c r="IR83" s="889"/>
      <c r="IS83" s="889"/>
      <c r="IT83" s="889"/>
      <c r="IU83" s="889"/>
      <c r="IV83" s="889"/>
    </row>
    <row r="84" spans="1:256" ht="10.5" customHeight="1">
      <c r="A84" s="875" t="s">
        <v>798</v>
      </c>
      <c r="B84" s="962">
        <v>51.7</v>
      </c>
      <c r="C84" s="962">
        <v>56.8</v>
      </c>
      <c r="D84" s="963">
        <v>93.9</v>
      </c>
      <c r="E84" s="963">
        <v>91.3</v>
      </c>
      <c r="F84" s="963">
        <v>144.19999999999999</v>
      </c>
      <c r="G84" s="963">
        <v>112.1</v>
      </c>
      <c r="H84" s="963">
        <v>153.1</v>
      </c>
      <c r="I84" s="963">
        <v>201.1</v>
      </c>
      <c r="J84" s="963">
        <v>180.3</v>
      </c>
      <c r="K84" s="963">
        <v>84.4</v>
      </c>
      <c r="L84" s="965">
        <v>109.9</v>
      </c>
      <c r="M84" s="965">
        <v>146.69999999999999</v>
      </c>
      <c r="N84" s="963">
        <v>156.19999999999999</v>
      </c>
      <c r="O84" s="889"/>
      <c r="P84" s="889"/>
      <c r="Q84" s="889"/>
      <c r="R84" s="889"/>
      <c r="S84" s="889"/>
      <c r="T84" s="889"/>
      <c r="U84" s="889"/>
      <c r="V84" s="889"/>
      <c r="W84" s="889"/>
      <c r="X84" s="889"/>
      <c r="Y84" s="889"/>
      <c r="Z84" s="889"/>
      <c r="AA84" s="889"/>
      <c r="AB84" s="889"/>
      <c r="AC84" s="889"/>
      <c r="AD84" s="889"/>
      <c r="AE84" s="889"/>
      <c r="AF84" s="889"/>
      <c r="AG84" s="889"/>
      <c r="AH84" s="889"/>
      <c r="AI84" s="889"/>
      <c r="AJ84" s="889"/>
      <c r="AK84" s="889"/>
      <c r="AL84" s="889"/>
      <c r="AM84" s="889"/>
      <c r="AN84" s="889"/>
      <c r="AO84" s="889"/>
      <c r="AP84" s="889"/>
      <c r="AQ84" s="889"/>
      <c r="AR84" s="889"/>
      <c r="AS84" s="889"/>
      <c r="AT84" s="889"/>
      <c r="AU84" s="889"/>
      <c r="AV84" s="889"/>
      <c r="AW84" s="889"/>
      <c r="AX84" s="889"/>
      <c r="AY84" s="889"/>
      <c r="AZ84" s="889"/>
      <c r="BA84" s="889"/>
      <c r="BB84" s="889"/>
      <c r="BC84" s="889"/>
      <c r="BD84" s="889"/>
      <c r="BE84" s="889"/>
      <c r="BF84" s="889"/>
      <c r="BG84" s="889"/>
      <c r="BH84" s="889"/>
      <c r="BI84" s="889"/>
      <c r="BJ84" s="889"/>
      <c r="BK84" s="889"/>
      <c r="BL84" s="889"/>
      <c r="BM84" s="889"/>
      <c r="BN84" s="889"/>
      <c r="BO84" s="889"/>
      <c r="BP84" s="889"/>
      <c r="BQ84" s="889"/>
      <c r="BR84" s="889"/>
      <c r="BS84" s="889"/>
      <c r="BT84" s="889"/>
      <c r="BU84" s="889"/>
      <c r="BV84" s="889"/>
      <c r="BW84" s="889"/>
      <c r="BX84" s="889"/>
      <c r="BY84" s="889"/>
      <c r="BZ84" s="889"/>
      <c r="CA84" s="889"/>
      <c r="CB84" s="889"/>
      <c r="CC84" s="889"/>
      <c r="CD84" s="889"/>
      <c r="CE84" s="889"/>
      <c r="CF84" s="889"/>
      <c r="CG84" s="889"/>
      <c r="CH84" s="889"/>
      <c r="CI84" s="889"/>
      <c r="CJ84" s="889"/>
      <c r="CK84" s="889"/>
      <c r="CL84" s="889"/>
      <c r="CM84" s="889"/>
      <c r="CN84" s="889"/>
      <c r="CO84" s="889"/>
      <c r="CP84" s="889"/>
      <c r="CQ84" s="889"/>
      <c r="CR84" s="889"/>
      <c r="CS84" s="889"/>
      <c r="CT84" s="889"/>
      <c r="CU84" s="889"/>
      <c r="CV84" s="889"/>
      <c r="CW84" s="889"/>
      <c r="CX84" s="889"/>
      <c r="CY84" s="889"/>
      <c r="CZ84" s="889"/>
      <c r="DA84" s="889"/>
      <c r="DB84" s="889"/>
      <c r="DC84" s="889"/>
      <c r="DD84" s="889"/>
      <c r="DE84" s="889"/>
      <c r="DF84" s="889"/>
      <c r="DG84" s="889"/>
      <c r="DH84" s="889"/>
      <c r="DI84" s="889"/>
      <c r="DJ84" s="889"/>
      <c r="DK84" s="889"/>
      <c r="DL84" s="889"/>
      <c r="DM84" s="889"/>
      <c r="DN84" s="889"/>
      <c r="DO84" s="889"/>
      <c r="DP84" s="889"/>
      <c r="DQ84" s="889"/>
      <c r="DR84" s="889"/>
      <c r="DS84" s="889"/>
      <c r="DT84" s="889"/>
      <c r="DU84" s="889"/>
      <c r="DV84" s="889"/>
      <c r="DW84" s="889"/>
      <c r="DX84" s="889"/>
      <c r="DY84" s="889"/>
      <c r="DZ84" s="889"/>
      <c r="EA84" s="889"/>
      <c r="EB84" s="889"/>
      <c r="EC84" s="889"/>
      <c r="ED84" s="889"/>
      <c r="EE84" s="889"/>
      <c r="EF84" s="889"/>
      <c r="EG84" s="889"/>
      <c r="EH84" s="889"/>
      <c r="EI84" s="889"/>
      <c r="EJ84" s="889"/>
      <c r="EK84" s="889"/>
      <c r="EL84" s="889"/>
      <c r="EM84" s="889"/>
      <c r="EN84" s="889"/>
      <c r="EO84" s="889"/>
      <c r="EP84" s="889"/>
      <c r="EQ84" s="889"/>
      <c r="ER84" s="889"/>
      <c r="ES84" s="889"/>
      <c r="ET84" s="889"/>
      <c r="EU84" s="889"/>
      <c r="EV84" s="889"/>
      <c r="EW84" s="889"/>
      <c r="EX84" s="889"/>
      <c r="EY84" s="889"/>
      <c r="EZ84" s="889"/>
      <c r="FA84" s="889"/>
      <c r="FB84" s="889"/>
      <c r="FC84" s="889"/>
      <c r="FD84" s="889"/>
      <c r="FE84" s="889"/>
      <c r="FF84" s="889"/>
      <c r="FG84" s="889"/>
      <c r="FH84" s="889"/>
      <c r="FI84" s="889"/>
      <c r="FJ84" s="889"/>
      <c r="FK84" s="889"/>
      <c r="FL84" s="889"/>
      <c r="FM84" s="889"/>
      <c r="FN84" s="889"/>
      <c r="FO84" s="889"/>
      <c r="FP84" s="889"/>
      <c r="FQ84" s="889"/>
      <c r="FR84" s="889"/>
      <c r="FS84" s="889"/>
      <c r="FT84" s="889"/>
      <c r="FU84" s="889"/>
      <c r="FV84" s="889"/>
      <c r="FW84" s="889"/>
      <c r="FX84" s="889"/>
      <c r="FY84" s="889"/>
      <c r="FZ84" s="889"/>
      <c r="GA84" s="889"/>
      <c r="GB84" s="889"/>
      <c r="GC84" s="889"/>
      <c r="GD84" s="889"/>
      <c r="GE84" s="889"/>
      <c r="GF84" s="889"/>
      <c r="GG84" s="889"/>
      <c r="GH84" s="889"/>
      <c r="GI84" s="889"/>
      <c r="GJ84" s="889"/>
      <c r="GK84" s="889"/>
      <c r="GL84" s="889"/>
      <c r="GM84" s="889"/>
      <c r="GN84" s="889"/>
      <c r="GO84" s="889"/>
      <c r="GP84" s="889"/>
      <c r="GQ84" s="889"/>
      <c r="GR84" s="889"/>
      <c r="GS84" s="889"/>
      <c r="GT84" s="889"/>
      <c r="GU84" s="889"/>
      <c r="GV84" s="889"/>
      <c r="GW84" s="889"/>
      <c r="GX84" s="889"/>
      <c r="GY84" s="889"/>
      <c r="GZ84" s="889"/>
      <c r="HA84" s="889"/>
      <c r="HB84" s="889"/>
      <c r="HC84" s="889"/>
      <c r="HD84" s="889"/>
      <c r="HE84" s="889"/>
      <c r="HF84" s="889"/>
      <c r="HG84" s="889"/>
      <c r="HH84" s="889"/>
      <c r="HI84" s="889"/>
      <c r="HJ84" s="889"/>
      <c r="HK84" s="889"/>
      <c r="HL84" s="889"/>
      <c r="HM84" s="889"/>
      <c r="HN84" s="889"/>
      <c r="HO84" s="889"/>
      <c r="HP84" s="889"/>
      <c r="HQ84" s="889"/>
      <c r="HR84" s="889"/>
      <c r="HS84" s="889"/>
      <c r="HT84" s="889"/>
      <c r="HU84" s="889"/>
      <c r="HV84" s="889"/>
      <c r="HW84" s="889"/>
      <c r="HX84" s="889"/>
      <c r="HY84" s="889"/>
      <c r="HZ84" s="889"/>
      <c r="IA84" s="889"/>
      <c r="IB84" s="889"/>
      <c r="IC84" s="889"/>
      <c r="ID84" s="889"/>
      <c r="IE84" s="889"/>
      <c r="IF84" s="889"/>
      <c r="IG84" s="889"/>
      <c r="IH84" s="889"/>
      <c r="II84" s="889"/>
      <c r="IJ84" s="889"/>
      <c r="IK84" s="889"/>
      <c r="IL84" s="889"/>
      <c r="IM84" s="889"/>
      <c r="IN84" s="889"/>
      <c r="IO84" s="889"/>
      <c r="IP84" s="889"/>
      <c r="IQ84" s="889"/>
      <c r="IR84" s="889"/>
      <c r="IS84" s="889"/>
      <c r="IT84" s="889"/>
      <c r="IU84" s="889"/>
      <c r="IV84" s="889"/>
    </row>
    <row r="85" spans="1:256" ht="10.5" customHeight="1">
      <c r="A85" s="875" t="s">
        <v>799</v>
      </c>
      <c r="B85" s="962">
        <v>5.9</v>
      </c>
      <c r="C85" s="962">
        <v>6.2</v>
      </c>
      <c r="D85" s="963">
        <v>6.4</v>
      </c>
      <c r="E85" s="963">
        <v>5.7</v>
      </c>
      <c r="F85" s="963">
        <v>5.2</v>
      </c>
      <c r="G85" s="963">
        <v>5</v>
      </c>
      <c r="H85" s="963">
        <v>4.9000000000000004</v>
      </c>
      <c r="I85" s="963">
        <v>4.3</v>
      </c>
      <c r="J85" s="963">
        <v>5.8</v>
      </c>
      <c r="K85" s="963">
        <v>4.9000000000000004</v>
      </c>
      <c r="L85" s="965">
        <v>3.2</v>
      </c>
      <c r="M85" s="965">
        <v>4.0999999999999996</v>
      </c>
      <c r="N85" s="963">
        <v>3.9</v>
      </c>
      <c r="O85" s="889"/>
      <c r="P85" s="889"/>
      <c r="Q85" s="889"/>
      <c r="R85" s="889"/>
      <c r="S85" s="889"/>
      <c r="T85" s="889"/>
      <c r="U85" s="889"/>
      <c r="V85" s="889"/>
      <c r="W85" s="889"/>
      <c r="X85" s="889"/>
      <c r="Y85" s="889"/>
      <c r="Z85" s="889"/>
      <c r="AA85" s="889"/>
      <c r="AB85" s="889"/>
      <c r="AC85" s="889"/>
      <c r="AD85" s="889"/>
      <c r="AE85" s="889"/>
      <c r="AF85" s="889"/>
      <c r="AG85" s="889"/>
      <c r="AH85" s="889"/>
      <c r="AI85" s="889"/>
      <c r="AJ85" s="889"/>
      <c r="AK85" s="889"/>
      <c r="AL85" s="889"/>
      <c r="AM85" s="889"/>
      <c r="AN85" s="889"/>
      <c r="AO85" s="889"/>
      <c r="AP85" s="889"/>
      <c r="AQ85" s="889"/>
      <c r="AR85" s="889"/>
      <c r="AS85" s="889"/>
      <c r="AT85" s="889"/>
      <c r="AU85" s="889"/>
      <c r="AV85" s="889"/>
      <c r="AW85" s="889"/>
      <c r="AX85" s="889"/>
      <c r="AY85" s="889"/>
      <c r="AZ85" s="889"/>
      <c r="BA85" s="889"/>
      <c r="BB85" s="889"/>
      <c r="BC85" s="889"/>
      <c r="BD85" s="889"/>
      <c r="BE85" s="889"/>
      <c r="BF85" s="889"/>
      <c r="BG85" s="889"/>
      <c r="BH85" s="889"/>
      <c r="BI85" s="889"/>
      <c r="BJ85" s="889"/>
      <c r="BK85" s="889"/>
      <c r="BL85" s="889"/>
      <c r="BM85" s="889"/>
      <c r="BN85" s="889"/>
      <c r="BO85" s="889"/>
      <c r="BP85" s="889"/>
      <c r="BQ85" s="889"/>
      <c r="BR85" s="889"/>
      <c r="BS85" s="889"/>
      <c r="BT85" s="889"/>
      <c r="BU85" s="889"/>
      <c r="BV85" s="889"/>
      <c r="BW85" s="889"/>
      <c r="BX85" s="889"/>
      <c r="BY85" s="889"/>
      <c r="BZ85" s="889"/>
      <c r="CA85" s="889"/>
      <c r="CB85" s="889"/>
      <c r="CC85" s="889"/>
      <c r="CD85" s="889"/>
      <c r="CE85" s="889"/>
      <c r="CF85" s="889"/>
      <c r="CG85" s="889"/>
      <c r="CH85" s="889"/>
      <c r="CI85" s="889"/>
      <c r="CJ85" s="889"/>
      <c r="CK85" s="889"/>
      <c r="CL85" s="889"/>
      <c r="CM85" s="889"/>
      <c r="CN85" s="889"/>
      <c r="CO85" s="889"/>
      <c r="CP85" s="889"/>
      <c r="CQ85" s="889"/>
      <c r="CR85" s="889"/>
      <c r="CS85" s="889"/>
      <c r="CT85" s="889"/>
      <c r="CU85" s="889"/>
      <c r="CV85" s="889"/>
      <c r="CW85" s="889"/>
      <c r="CX85" s="889"/>
      <c r="CY85" s="889"/>
      <c r="CZ85" s="889"/>
      <c r="DA85" s="889"/>
      <c r="DB85" s="889"/>
      <c r="DC85" s="889"/>
      <c r="DD85" s="889"/>
      <c r="DE85" s="889"/>
      <c r="DF85" s="889"/>
      <c r="DG85" s="889"/>
      <c r="DH85" s="889"/>
      <c r="DI85" s="889"/>
      <c r="DJ85" s="889"/>
      <c r="DK85" s="889"/>
      <c r="DL85" s="889"/>
      <c r="DM85" s="889"/>
      <c r="DN85" s="889"/>
      <c r="DO85" s="889"/>
      <c r="DP85" s="889"/>
      <c r="DQ85" s="889"/>
      <c r="DR85" s="889"/>
      <c r="DS85" s="889"/>
      <c r="DT85" s="889"/>
      <c r="DU85" s="889"/>
      <c r="DV85" s="889"/>
      <c r="DW85" s="889"/>
      <c r="DX85" s="889"/>
      <c r="DY85" s="889"/>
      <c r="DZ85" s="889"/>
      <c r="EA85" s="889"/>
      <c r="EB85" s="889"/>
      <c r="EC85" s="889"/>
      <c r="ED85" s="889"/>
      <c r="EE85" s="889"/>
      <c r="EF85" s="889"/>
      <c r="EG85" s="889"/>
      <c r="EH85" s="889"/>
      <c r="EI85" s="889"/>
      <c r="EJ85" s="889"/>
      <c r="EK85" s="889"/>
      <c r="EL85" s="889"/>
      <c r="EM85" s="889"/>
      <c r="EN85" s="889"/>
      <c r="EO85" s="889"/>
      <c r="EP85" s="889"/>
      <c r="EQ85" s="889"/>
      <c r="ER85" s="889"/>
      <c r="ES85" s="889"/>
      <c r="ET85" s="889"/>
      <c r="EU85" s="889"/>
      <c r="EV85" s="889"/>
      <c r="EW85" s="889"/>
      <c r="EX85" s="889"/>
      <c r="EY85" s="889"/>
      <c r="EZ85" s="889"/>
      <c r="FA85" s="889"/>
      <c r="FB85" s="889"/>
      <c r="FC85" s="889"/>
      <c r="FD85" s="889"/>
      <c r="FE85" s="889"/>
      <c r="FF85" s="889"/>
      <c r="FG85" s="889"/>
      <c r="FH85" s="889"/>
      <c r="FI85" s="889"/>
      <c r="FJ85" s="889"/>
      <c r="FK85" s="889"/>
      <c r="FL85" s="889"/>
      <c r="FM85" s="889"/>
      <c r="FN85" s="889"/>
      <c r="FO85" s="889"/>
      <c r="FP85" s="889"/>
      <c r="FQ85" s="889"/>
      <c r="FR85" s="889"/>
      <c r="FS85" s="889"/>
      <c r="FT85" s="889"/>
      <c r="FU85" s="889"/>
      <c r="FV85" s="889"/>
      <c r="FW85" s="889"/>
      <c r="FX85" s="889"/>
      <c r="FY85" s="889"/>
      <c r="FZ85" s="889"/>
      <c r="GA85" s="889"/>
      <c r="GB85" s="889"/>
      <c r="GC85" s="889"/>
      <c r="GD85" s="889"/>
      <c r="GE85" s="889"/>
      <c r="GF85" s="889"/>
      <c r="GG85" s="889"/>
      <c r="GH85" s="889"/>
      <c r="GI85" s="889"/>
      <c r="GJ85" s="889"/>
      <c r="GK85" s="889"/>
      <c r="GL85" s="889"/>
      <c r="GM85" s="889"/>
      <c r="GN85" s="889"/>
      <c r="GO85" s="889"/>
      <c r="GP85" s="889"/>
      <c r="GQ85" s="889"/>
      <c r="GR85" s="889"/>
      <c r="GS85" s="889"/>
      <c r="GT85" s="889"/>
      <c r="GU85" s="889"/>
      <c r="GV85" s="889"/>
      <c r="GW85" s="889"/>
      <c r="GX85" s="889"/>
      <c r="GY85" s="889"/>
      <c r="GZ85" s="889"/>
      <c r="HA85" s="889"/>
      <c r="HB85" s="889"/>
      <c r="HC85" s="889"/>
      <c r="HD85" s="889"/>
      <c r="HE85" s="889"/>
      <c r="HF85" s="889"/>
      <c r="HG85" s="889"/>
      <c r="HH85" s="889"/>
      <c r="HI85" s="889"/>
      <c r="HJ85" s="889"/>
      <c r="HK85" s="889"/>
      <c r="HL85" s="889"/>
      <c r="HM85" s="889"/>
      <c r="HN85" s="889"/>
      <c r="HO85" s="889"/>
      <c r="HP85" s="889"/>
      <c r="HQ85" s="889"/>
      <c r="HR85" s="889"/>
      <c r="HS85" s="889"/>
      <c r="HT85" s="889"/>
      <c r="HU85" s="889"/>
      <c r="HV85" s="889"/>
      <c r="HW85" s="889"/>
      <c r="HX85" s="889"/>
      <c r="HY85" s="889"/>
      <c r="HZ85" s="889"/>
      <c r="IA85" s="889"/>
      <c r="IB85" s="889"/>
      <c r="IC85" s="889"/>
      <c r="ID85" s="889"/>
      <c r="IE85" s="889"/>
      <c r="IF85" s="889"/>
      <c r="IG85" s="889"/>
      <c r="IH85" s="889"/>
      <c r="II85" s="889"/>
      <c r="IJ85" s="889"/>
      <c r="IK85" s="889"/>
      <c r="IL85" s="889"/>
      <c r="IM85" s="889"/>
      <c r="IN85" s="889"/>
      <c r="IO85" s="889"/>
      <c r="IP85" s="889"/>
      <c r="IQ85" s="889"/>
      <c r="IR85" s="889"/>
      <c r="IS85" s="889"/>
      <c r="IT85" s="889"/>
      <c r="IU85" s="889"/>
      <c r="IV85" s="889"/>
    </row>
    <row r="86" spans="1:256" ht="10.5" customHeight="1">
      <c r="A86" s="924" t="s">
        <v>800</v>
      </c>
      <c r="B86" s="982">
        <v>367</v>
      </c>
      <c r="C86" s="982">
        <v>435</v>
      </c>
      <c r="D86" s="983">
        <v>515</v>
      </c>
      <c r="E86" s="983">
        <v>693</v>
      </c>
      <c r="F86" s="983">
        <v>838</v>
      </c>
      <c r="G86" s="983">
        <f>941.2+4.3</f>
        <v>945.5</v>
      </c>
      <c r="H86" s="983">
        <f>999.1+7.3</f>
        <v>1006.4</v>
      </c>
      <c r="I86" s="983">
        <v>1187</v>
      </c>
      <c r="J86" s="983">
        <v>1446.4</v>
      </c>
      <c r="K86" s="983">
        <v>1555.6</v>
      </c>
      <c r="L86" s="984">
        <v>1600.5</v>
      </c>
      <c r="M86" s="984">
        <v>1705.8</v>
      </c>
      <c r="N86" s="983">
        <v>1745.4</v>
      </c>
      <c r="O86" s="889"/>
      <c r="P86" s="889"/>
      <c r="Q86" s="889"/>
      <c r="R86" s="889"/>
      <c r="S86" s="889"/>
      <c r="T86" s="889"/>
      <c r="U86" s="889"/>
      <c r="V86" s="889"/>
      <c r="W86" s="889"/>
      <c r="X86" s="889"/>
      <c r="Y86" s="889"/>
      <c r="Z86" s="889"/>
      <c r="AA86" s="889"/>
      <c r="AB86" s="889"/>
      <c r="AC86" s="889"/>
      <c r="AD86" s="889"/>
      <c r="AE86" s="889"/>
      <c r="AF86" s="889"/>
      <c r="AG86" s="889"/>
      <c r="AH86" s="889"/>
      <c r="AI86" s="889"/>
      <c r="AJ86" s="889"/>
      <c r="AK86" s="889"/>
      <c r="AL86" s="889"/>
      <c r="AM86" s="889"/>
      <c r="AN86" s="889"/>
      <c r="AO86" s="889"/>
      <c r="AP86" s="889"/>
      <c r="AQ86" s="889"/>
      <c r="AR86" s="889"/>
      <c r="AS86" s="889"/>
      <c r="AT86" s="889"/>
      <c r="AU86" s="889"/>
      <c r="AV86" s="889"/>
      <c r="AW86" s="889"/>
      <c r="AX86" s="889"/>
      <c r="AY86" s="889"/>
      <c r="AZ86" s="889"/>
      <c r="BA86" s="889"/>
      <c r="BB86" s="889"/>
      <c r="BC86" s="889"/>
      <c r="BD86" s="889"/>
      <c r="BE86" s="889"/>
      <c r="BF86" s="889"/>
      <c r="BG86" s="889"/>
      <c r="BH86" s="889"/>
      <c r="BI86" s="889"/>
      <c r="BJ86" s="889"/>
      <c r="BK86" s="889"/>
      <c r="BL86" s="889"/>
      <c r="BM86" s="889"/>
      <c r="BN86" s="889"/>
      <c r="BO86" s="889"/>
      <c r="BP86" s="889"/>
      <c r="BQ86" s="889"/>
      <c r="BR86" s="889"/>
      <c r="BS86" s="889"/>
      <c r="BT86" s="889"/>
      <c r="BU86" s="889"/>
      <c r="BV86" s="889"/>
      <c r="BW86" s="889"/>
      <c r="BX86" s="889"/>
      <c r="BY86" s="889"/>
      <c r="BZ86" s="889"/>
      <c r="CA86" s="889"/>
      <c r="CB86" s="889"/>
      <c r="CC86" s="889"/>
      <c r="CD86" s="889"/>
      <c r="CE86" s="889"/>
      <c r="CF86" s="889"/>
      <c r="CG86" s="889"/>
      <c r="CH86" s="889"/>
      <c r="CI86" s="889"/>
      <c r="CJ86" s="889"/>
      <c r="CK86" s="889"/>
      <c r="CL86" s="889"/>
      <c r="CM86" s="889"/>
      <c r="CN86" s="889"/>
      <c r="CO86" s="889"/>
      <c r="CP86" s="889"/>
      <c r="CQ86" s="889"/>
      <c r="CR86" s="889"/>
      <c r="CS86" s="889"/>
      <c r="CT86" s="889"/>
      <c r="CU86" s="889"/>
      <c r="CV86" s="889"/>
      <c r="CW86" s="889"/>
      <c r="CX86" s="889"/>
      <c r="CY86" s="889"/>
      <c r="CZ86" s="889"/>
      <c r="DA86" s="889"/>
      <c r="DB86" s="889"/>
      <c r="DC86" s="889"/>
      <c r="DD86" s="889"/>
      <c r="DE86" s="889"/>
      <c r="DF86" s="889"/>
      <c r="DG86" s="889"/>
      <c r="DH86" s="889"/>
      <c r="DI86" s="889"/>
      <c r="DJ86" s="889"/>
      <c r="DK86" s="889"/>
      <c r="DL86" s="889"/>
      <c r="DM86" s="889"/>
      <c r="DN86" s="889"/>
      <c r="DO86" s="889"/>
      <c r="DP86" s="889"/>
      <c r="DQ86" s="889"/>
      <c r="DR86" s="889"/>
      <c r="DS86" s="889"/>
      <c r="DT86" s="889"/>
      <c r="DU86" s="889"/>
      <c r="DV86" s="889"/>
      <c r="DW86" s="889"/>
      <c r="DX86" s="889"/>
      <c r="DY86" s="889"/>
      <c r="DZ86" s="889"/>
      <c r="EA86" s="889"/>
      <c r="EB86" s="889"/>
      <c r="EC86" s="889"/>
      <c r="ED86" s="889"/>
      <c r="EE86" s="889"/>
      <c r="EF86" s="889"/>
      <c r="EG86" s="889"/>
      <c r="EH86" s="889"/>
      <c r="EI86" s="889"/>
      <c r="EJ86" s="889"/>
      <c r="EK86" s="889"/>
      <c r="EL86" s="889"/>
      <c r="EM86" s="889"/>
      <c r="EN86" s="889"/>
      <c r="EO86" s="889"/>
      <c r="EP86" s="889"/>
      <c r="EQ86" s="889"/>
      <c r="ER86" s="889"/>
      <c r="ES86" s="889"/>
      <c r="ET86" s="889"/>
      <c r="EU86" s="889"/>
      <c r="EV86" s="889"/>
      <c r="EW86" s="889"/>
      <c r="EX86" s="889"/>
      <c r="EY86" s="889"/>
      <c r="EZ86" s="889"/>
      <c r="FA86" s="889"/>
      <c r="FB86" s="889"/>
      <c r="FC86" s="889"/>
      <c r="FD86" s="889"/>
      <c r="FE86" s="889"/>
      <c r="FF86" s="889"/>
      <c r="FG86" s="889"/>
      <c r="FH86" s="889"/>
      <c r="FI86" s="889"/>
      <c r="FJ86" s="889"/>
      <c r="FK86" s="889"/>
      <c r="FL86" s="889"/>
      <c r="FM86" s="889"/>
      <c r="FN86" s="889"/>
      <c r="FO86" s="889"/>
      <c r="FP86" s="889"/>
      <c r="FQ86" s="889"/>
      <c r="FR86" s="889"/>
      <c r="FS86" s="889"/>
      <c r="FT86" s="889"/>
      <c r="FU86" s="889"/>
      <c r="FV86" s="889"/>
      <c r="FW86" s="889"/>
      <c r="FX86" s="889"/>
      <c r="FY86" s="889"/>
      <c r="FZ86" s="889"/>
      <c r="GA86" s="889"/>
      <c r="GB86" s="889"/>
      <c r="GC86" s="889"/>
      <c r="GD86" s="889"/>
      <c r="GE86" s="889"/>
      <c r="GF86" s="889"/>
      <c r="GG86" s="889"/>
      <c r="GH86" s="889"/>
      <c r="GI86" s="889"/>
      <c r="GJ86" s="889"/>
      <c r="GK86" s="889"/>
      <c r="GL86" s="889"/>
      <c r="GM86" s="889"/>
      <c r="GN86" s="889"/>
      <c r="GO86" s="889"/>
      <c r="GP86" s="889"/>
      <c r="GQ86" s="889"/>
      <c r="GR86" s="889"/>
      <c r="GS86" s="889"/>
      <c r="GT86" s="889"/>
      <c r="GU86" s="889"/>
      <c r="GV86" s="889"/>
      <c r="GW86" s="889"/>
      <c r="GX86" s="889"/>
      <c r="GY86" s="889"/>
      <c r="GZ86" s="889"/>
      <c r="HA86" s="889"/>
      <c r="HB86" s="889"/>
      <c r="HC86" s="889"/>
      <c r="HD86" s="889"/>
      <c r="HE86" s="889"/>
      <c r="HF86" s="889"/>
      <c r="HG86" s="889"/>
      <c r="HH86" s="889"/>
      <c r="HI86" s="889"/>
      <c r="HJ86" s="889"/>
      <c r="HK86" s="889"/>
      <c r="HL86" s="889"/>
      <c r="HM86" s="889"/>
      <c r="HN86" s="889"/>
      <c r="HO86" s="889"/>
      <c r="HP86" s="889"/>
      <c r="HQ86" s="889"/>
      <c r="HR86" s="889"/>
      <c r="HS86" s="889"/>
      <c r="HT86" s="889"/>
      <c r="HU86" s="889"/>
      <c r="HV86" s="889"/>
      <c r="HW86" s="889"/>
      <c r="HX86" s="889"/>
      <c r="HY86" s="889"/>
      <c r="HZ86" s="889"/>
      <c r="IA86" s="889"/>
      <c r="IB86" s="889"/>
      <c r="IC86" s="889"/>
      <c r="ID86" s="889"/>
      <c r="IE86" s="889"/>
      <c r="IF86" s="889"/>
      <c r="IG86" s="889"/>
      <c r="IH86" s="889"/>
      <c r="II86" s="889"/>
      <c r="IJ86" s="889"/>
      <c r="IK86" s="889"/>
      <c r="IL86" s="889"/>
      <c r="IM86" s="889"/>
      <c r="IN86" s="889"/>
      <c r="IO86" s="889"/>
      <c r="IP86" s="889"/>
      <c r="IQ86" s="889"/>
      <c r="IR86" s="889"/>
      <c r="IS86" s="889"/>
      <c r="IT86" s="889"/>
      <c r="IU86" s="889"/>
      <c r="IV86" s="889"/>
    </row>
    <row r="87" spans="1:256" ht="13" thickBot="1">
      <c r="A87" s="968" t="s">
        <v>812</v>
      </c>
      <c r="B87" s="969">
        <v>431.5</v>
      </c>
      <c r="C87" s="969">
        <v>505.1</v>
      </c>
      <c r="D87" s="970">
        <v>644.6</v>
      </c>
      <c r="E87" s="970">
        <v>818.8</v>
      </c>
      <c r="F87" s="970">
        <v>1016.2</v>
      </c>
      <c r="G87" s="970">
        <v>1086.9000000000001</v>
      </c>
      <c r="H87" s="970">
        <v>1183.2</v>
      </c>
      <c r="I87" s="970">
        <v>1399.3</v>
      </c>
      <c r="J87" s="970">
        <v>1656.6</v>
      </c>
      <c r="K87" s="970">
        <v>1672.9</v>
      </c>
      <c r="L87" s="971">
        <v>1739.4</v>
      </c>
      <c r="M87" s="971">
        <v>1881</v>
      </c>
      <c r="N87" s="970">
        <v>1931.7</v>
      </c>
      <c r="O87" s="889"/>
      <c r="P87" s="889"/>
      <c r="Q87" s="889"/>
      <c r="R87" s="889"/>
      <c r="S87" s="889"/>
      <c r="T87" s="889"/>
      <c r="U87" s="889"/>
      <c r="V87" s="889"/>
      <c r="W87" s="889"/>
      <c r="X87" s="889"/>
      <c r="Y87" s="889"/>
      <c r="Z87" s="889"/>
      <c r="AA87" s="889"/>
      <c r="AB87" s="889"/>
      <c r="AC87" s="889"/>
      <c r="AD87" s="889"/>
      <c r="AE87" s="889"/>
      <c r="AF87" s="889"/>
      <c r="AG87" s="889"/>
      <c r="AH87" s="889"/>
      <c r="AI87" s="889"/>
      <c r="AJ87" s="889"/>
      <c r="AK87" s="889"/>
      <c r="AL87" s="889"/>
      <c r="AM87" s="889"/>
      <c r="AN87" s="889"/>
      <c r="AO87" s="889"/>
      <c r="AP87" s="889"/>
      <c r="AQ87" s="889"/>
      <c r="AR87" s="889"/>
      <c r="AS87" s="889"/>
      <c r="AT87" s="889"/>
      <c r="AU87" s="889"/>
      <c r="AV87" s="889"/>
      <c r="AW87" s="889"/>
      <c r="AX87" s="889"/>
      <c r="AY87" s="889"/>
      <c r="AZ87" s="889"/>
      <c r="BA87" s="889"/>
      <c r="BB87" s="889"/>
      <c r="BC87" s="889"/>
      <c r="BD87" s="889"/>
      <c r="BE87" s="889"/>
      <c r="BF87" s="889"/>
      <c r="BG87" s="889"/>
      <c r="BH87" s="889"/>
      <c r="BI87" s="889"/>
      <c r="BJ87" s="889"/>
      <c r="BK87" s="889"/>
      <c r="BL87" s="889"/>
      <c r="BM87" s="889"/>
      <c r="BN87" s="889"/>
      <c r="BO87" s="889"/>
      <c r="BP87" s="889"/>
      <c r="BQ87" s="889"/>
      <c r="BR87" s="889"/>
      <c r="BS87" s="889"/>
      <c r="BT87" s="889"/>
      <c r="BU87" s="889"/>
      <c r="BV87" s="889"/>
      <c r="BW87" s="889"/>
      <c r="BX87" s="889"/>
      <c r="BY87" s="889"/>
      <c r="BZ87" s="889"/>
      <c r="CA87" s="889"/>
      <c r="CB87" s="889"/>
      <c r="CC87" s="889"/>
      <c r="CD87" s="889"/>
      <c r="CE87" s="889"/>
      <c r="CF87" s="889"/>
      <c r="CG87" s="889"/>
      <c r="CH87" s="889"/>
      <c r="CI87" s="889"/>
      <c r="CJ87" s="889"/>
      <c r="CK87" s="889"/>
      <c r="CL87" s="889"/>
      <c r="CM87" s="889"/>
      <c r="CN87" s="889"/>
      <c r="CO87" s="889"/>
      <c r="CP87" s="889"/>
      <c r="CQ87" s="889"/>
      <c r="CR87" s="889"/>
      <c r="CS87" s="889"/>
      <c r="CT87" s="889"/>
      <c r="CU87" s="889"/>
      <c r="CV87" s="889"/>
      <c r="CW87" s="889"/>
      <c r="CX87" s="889"/>
      <c r="CY87" s="889"/>
      <c r="CZ87" s="889"/>
      <c r="DA87" s="889"/>
      <c r="DB87" s="889"/>
      <c r="DC87" s="889"/>
      <c r="DD87" s="889"/>
      <c r="DE87" s="889"/>
      <c r="DF87" s="889"/>
      <c r="DG87" s="889"/>
      <c r="DH87" s="889"/>
      <c r="DI87" s="889"/>
      <c r="DJ87" s="889"/>
      <c r="DK87" s="889"/>
      <c r="DL87" s="889"/>
      <c r="DM87" s="889"/>
      <c r="DN87" s="889"/>
      <c r="DO87" s="889"/>
      <c r="DP87" s="889"/>
      <c r="DQ87" s="889"/>
      <c r="DR87" s="889"/>
      <c r="DS87" s="889"/>
      <c r="DT87" s="889"/>
      <c r="DU87" s="889"/>
      <c r="DV87" s="889"/>
      <c r="DW87" s="889"/>
      <c r="DX87" s="889"/>
      <c r="DY87" s="889"/>
      <c r="DZ87" s="889"/>
      <c r="EA87" s="889"/>
      <c r="EB87" s="889"/>
      <c r="EC87" s="889"/>
      <c r="ED87" s="889"/>
      <c r="EE87" s="889"/>
      <c r="EF87" s="889"/>
      <c r="EG87" s="889"/>
      <c r="EH87" s="889"/>
      <c r="EI87" s="889"/>
      <c r="EJ87" s="889"/>
      <c r="EK87" s="889"/>
      <c r="EL87" s="889"/>
      <c r="EM87" s="889"/>
      <c r="EN87" s="889"/>
      <c r="EO87" s="889"/>
      <c r="EP87" s="889"/>
      <c r="EQ87" s="889"/>
      <c r="ER87" s="889"/>
      <c r="ES87" s="889"/>
      <c r="ET87" s="889"/>
      <c r="EU87" s="889"/>
      <c r="EV87" s="889"/>
      <c r="EW87" s="889"/>
      <c r="EX87" s="889"/>
      <c r="EY87" s="889"/>
      <c r="EZ87" s="889"/>
      <c r="FA87" s="889"/>
      <c r="FB87" s="889"/>
      <c r="FC87" s="889"/>
      <c r="FD87" s="889"/>
      <c r="FE87" s="889"/>
      <c r="FF87" s="889"/>
      <c r="FG87" s="889"/>
      <c r="FH87" s="889"/>
      <c r="FI87" s="889"/>
      <c r="FJ87" s="889"/>
      <c r="FK87" s="889"/>
      <c r="FL87" s="889"/>
      <c r="FM87" s="889"/>
      <c r="FN87" s="889"/>
      <c r="FO87" s="889"/>
      <c r="FP87" s="889"/>
      <c r="FQ87" s="889"/>
      <c r="FR87" s="889"/>
      <c r="FS87" s="889"/>
      <c r="FT87" s="889"/>
      <c r="FU87" s="889"/>
      <c r="FV87" s="889"/>
      <c r="FW87" s="889"/>
      <c r="FX87" s="889"/>
      <c r="FY87" s="889"/>
      <c r="FZ87" s="889"/>
      <c r="GA87" s="889"/>
      <c r="GB87" s="889"/>
      <c r="GC87" s="889"/>
      <c r="GD87" s="889"/>
      <c r="GE87" s="889"/>
      <c r="GF87" s="889"/>
      <c r="GG87" s="889"/>
      <c r="GH87" s="889"/>
      <c r="GI87" s="889"/>
      <c r="GJ87" s="889"/>
      <c r="GK87" s="889"/>
      <c r="GL87" s="889"/>
      <c r="GM87" s="889"/>
      <c r="GN87" s="889"/>
      <c r="GO87" s="889"/>
      <c r="GP87" s="889"/>
      <c r="GQ87" s="889"/>
      <c r="GR87" s="889"/>
      <c r="GS87" s="889"/>
      <c r="GT87" s="889"/>
      <c r="GU87" s="889"/>
      <c r="GV87" s="889"/>
      <c r="GW87" s="889"/>
      <c r="GX87" s="889"/>
      <c r="GY87" s="889"/>
      <c r="GZ87" s="889"/>
      <c r="HA87" s="889"/>
      <c r="HB87" s="889"/>
      <c r="HC87" s="889"/>
      <c r="HD87" s="889"/>
      <c r="HE87" s="889"/>
      <c r="HF87" s="889"/>
      <c r="HG87" s="889"/>
      <c r="HH87" s="889"/>
      <c r="HI87" s="889"/>
      <c r="HJ87" s="889"/>
      <c r="HK87" s="889"/>
      <c r="HL87" s="889"/>
      <c r="HM87" s="889"/>
      <c r="HN87" s="889"/>
      <c r="HO87" s="889"/>
      <c r="HP87" s="889"/>
      <c r="HQ87" s="889"/>
      <c r="HR87" s="889"/>
      <c r="HS87" s="889"/>
      <c r="HT87" s="889"/>
      <c r="HU87" s="889"/>
      <c r="HV87" s="889"/>
      <c r="HW87" s="889"/>
      <c r="HX87" s="889"/>
      <c r="HY87" s="889"/>
      <c r="HZ87" s="889"/>
      <c r="IA87" s="889"/>
      <c r="IB87" s="889"/>
      <c r="IC87" s="889"/>
      <c r="ID87" s="889"/>
      <c r="IE87" s="889"/>
      <c r="IF87" s="889"/>
      <c r="IG87" s="889"/>
      <c r="IH87" s="889"/>
      <c r="II87" s="889"/>
      <c r="IJ87" s="889"/>
      <c r="IK87" s="889"/>
      <c r="IL87" s="889"/>
      <c r="IM87" s="889"/>
      <c r="IN87" s="889"/>
      <c r="IO87" s="889"/>
      <c r="IP87" s="889"/>
      <c r="IQ87" s="889"/>
      <c r="IR87" s="889"/>
      <c r="IS87" s="889"/>
      <c r="IT87" s="889"/>
      <c r="IU87" s="889"/>
      <c r="IV87" s="889"/>
    </row>
    <row r="88" spans="1:256" ht="13" thickTop="1">
      <c r="A88" s="931" t="s">
        <v>831</v>
      </c>
      <c r="B88" s="985">
        <v>70</v>
      </c>
      <c r="C88" s="985">
        <v>83.5</v>
      </c>
      <c r="D88" s="986">
        <v>100.2</v>
      </c>
      <c r="E88" s="986">
        <v>102.3</v>
      </c>
      <c r="F88" s="986">
        <v>131.30000000000001</v>
      </c>
      <c r="G88" s="986">
        <v>95.9</v>
      </c>
      <c r="H88" s="986">
        <v>127.6</v>
      </c>
      <c r="I88" s="986">
        <v>147.4</v>
      </c>
      <c r="J88" s="986">
        <v>138.80000000000001</v>
      </c>
      <c r="K88" s="986">
        <v>93.3</v>
      </c>
      <c r="L88" s="987">
        <v>106.6</v>
      </c>
      <c r="M88" s="987">
        <v>133.69999999999999</v>
      </c>
      <c r="N88" s="986">
        <v>122.5</v>
      </c>
      <c r="O88" s="889"/>
      <c r="P88" s="889"/>
      <c r="Q88" s="889"/>
      <c r="R88" s="889"/>
      <c r="S88" s="889"/>
      <c r="T88" s="889"/>
      <c r="U88" s="889"/>
      <c r="V88" s="889"/>
      <c r="W88" s="889"/>
      <c r="X88" s="889"/>
      <c r="Y88" s="889"/>
      <c r="Z88" s="889"/>
      <c r="AA88" s="889"/>
      <c r="AB88" s="889"/>
      <c r="AC88" s="889"/>
      <c r="AD88" s="889"/>
      <c r="AE88" s="889"/>
      <c r="AF88" s="889"/>
      <c r="AG88" s="889"/>
      <c r="AH88" s="889"/>
      <c r="AI88" s="889"/>
      <c r="AJ88" s="889"/>
      <c r="AK88" s="889"/>
      <c r="AL88" s="889"/>
      <c r="AM88" s="889"/>
      <c r="AN88" s="889"/>
      <c r="AO88" s="889"/>
      <c r="AP88" s="889"/>
      <c r="AQ88" s="889"/>
      <c r="AR88" s="889"/>
      <c r="AS88" s="889"/>
      <c r="AT88" s="889"/>
      <c r="AU88" s="889"/>
      <c r="AV88" s="889"/>
      <c r="AW88" s="889"/>
      <c r="AX88" s="889"/>
      <c r="AY88" s="889"/>
      <c r="AZ88" s="889"/>
      <c r="BA88" s="889"/>
      <c r="BB88" s="889"/>
      <c r="BC88" s="889"/>
      <c r="BD88" s="889"/>
      <c r="BE88" s="889"/>
      <c r="BF88" s="889"/>
      <c r="BG88" s="889"/>
      <c r="BH88" s="889"/>
      <c r="BI88" s="889"/>
      <c r="BJ88" s="889"/>
      <c r="BK88" s="889"/>
      <c r="BL88" s="889"/>
      <c r="BM88" s="889"/>
      <c r="BN88" s="889"/>
      <c r="BO88" s="889"/>
      <c r="BP88" s="889"/>
      <c r="BQ88" s="889"/>
      <c r="BR88" s="889"/>
      <c r="BS88" s="889"/>
      <c r="BT88" s="889"/>
      <c r="BU88" s="889"/>
      <c r="BV88" s="889"/>
      <c r="BW88" s="889"/>
      <c r="BX88" s="889"/>
      <c r="BY88" s="889"/>
      <c r="BZ88" s="889"/>
      <c r="CA88" s="889"/>
      <c r="CB88" s="889"/>
      <c r="CC88" s="889"/>
      <c r="CD88" s="889"/>
      <c r="CE88" s="889"/>
      <c r="CF88" s="889"/>
      <c r="CG88" s="889"/>
      <c r="CH88" s="889"/>
      <c r="CI88" s="889"/>
      <c r="CJ88" s="889"/>
      <c r="CK88" s="889"/>
      <c r="CL88" s="889"/>
      <c r="CM88" s="889"/>
      <c r="CN88" s="889"/>
      <c r="CO88" s="889"/>
      <c r="CP88" s="889"/>
      <c r="CQ88" s="889"/>
      <c r="CR88" s="889"/>
      <c r="CS88" s="889"/>
      <c r="CT88" s="889"/>
      <c r="CU88" s="889"/>
      <c r="CV88" s="889"/>
      <c r="CW88" s="889"/>
      <c r="CX88" s="889"/>
      <c r="CY88" s="889"/>
      <c r="CZ88" s="889"/>
      <c r="DA88" s="889"/>
      <c r="DB88" s="889"/>
      <c r="DC88" s="889"/>
      <c r="DD88" s="889"/>
      <c r="DE88" s="889"/>
      <c r="DF88" s="889"/>
      <c r="DG88" s="889"/>
      <c r="DH88" s="889"/>
      <c r="DI88" s="889"/>
      <c r="DJ88" s="889"/>
      <c r="DK88" s="889"/>
      <c r="DL88" s="889"/>
      <c r="DM88" s="889"/>
      <c r="DN88" s="889"/>
      <c r="DO88" s="889"/>
      <c r="DP88" s="889"/>
      <c r="DQ88" s="889"/>
      <c r="DR88" s="889"/>
      <c r="DS88" s="889"/>
      <c r="DT88" s="889"/>
      <c r="DU88" s="889"/>
      <c r="DV88" s="889"/>
      <c r="DW88" s="889"/>
      <c r="DX88" s="889"/>
      <c r="DY88" s="889"/>
      <c r="DZ88" s="889"/>
      <c r="EA88" s="889"/>
      <c r="EB88" s="889"/>
      <c r="EC88" s="889"/>
      <c r="ED88" s="889"/>
      <c r="EE88" s="889"/>
      <c r="EF88" s="889"/>
      <c r="EG88" s="889"/>
      <c r="EH88" s="889"/>
      <c r="EI88" s="889"/>
      <c r="EJ88" s="889"/>
      <c r="EK88" s="889"/>
      <c r="EL88" s="889"/>
      <c r="EM88" s="889"/>
      <c r="EN88" s="889"/>
      <c r="EO88" s="889"/>
      <c r="EP88" s="889"/>
      <c r="EQ88" s="889"/>
      <c r="ER88" s="889"/>
      <c r="ES88" s="889"/>
      <c r="ET88" s="889"/>
      <c r="EU88" s="889"/>
      <c r="EV88" s="889"/>
      <c r="EW88" s="889"/>
      <c r="EX88" s="889"/>
      <c r="EY88" s="889"/>
      <c r="EZ88" s="889"/>
      <c r="FA88" s="889"/>
      <c r="FB88" s="889"/>
      <c r="FC88" s="889"/>
      <c r="FD88" s="889"/>
      <c r="FE88" s="889"/>
      <c r="FF88" s="889"/>
      <c r="FG88" s="889"/>
      <c r="FH88" s="889"/>
      <c r="FI88" s="889"/>
      <c r="FJ88" s="889"/>
      <c r="FK88" s="889"/>
      <c r="FL88" s="889"/>
      <c r="FM88" s="889"/>
      <c r="FN88" s="889"/>
      <c r="FO88" s="889"/>
      <c r="FP88" s="889"/>
      <c r="FQ88" s="889"/>
      <c r="FR88" s="889"/>
      <c r="FS88" s="889"/>
      <c r="FT88" s="889"/>
      <c r="FU88" s="889"/>
      <c r="FV88" s="889"/>
      <c r="FW88" s="889"/>
      <c r="FX88" s="889"/>
      <c r="FY88" s="889"/>
      <c r="FZ88" s="889"/>
      <c r="GA88" s="889"/>
      <c r="GB88" s="889"/>
      <c r="GC88" s="889"/>
      <c r="GD88" s="889"/>
      <c r="GE88" s="889"/>
      <c r="GF88" s="889"/>
      <c r="GG88" s="889"/>
      <c r="GH88" s="889"/>
      <c r="GI88" s="889"/>
      <c r="GJ88" s="889"/>
      <c r="GK88" s="889"/>
      <c r="GL88" s="889"/>
      <c r="GM88" s="889"/>
      <c r="GN88" s="889"/>
      <c r="GO88" s="889"/>
      <c r="GP88" s="889"/>
      <c r="GQ88" s="889"/>
      <c r="GR88" s="889"/>
      <c r="GS88" s="889"/>
      <c r="GT88" s="889"/>
      <c r="GU88" s="889"/>
      <c r="GV88" s="889"/>
      <c r="GW88" s="889"/>
      <c r="GX88" s="889"/>
      <c r="GY88" s="889"/>
      <c r="GZ88" s="889"/>
      <c r="HA88" s="889"/>
      <c r="HB88" s="889"/>
      <c r="HC88" s="889"/>
      <c r="HD88" s="889"/>
      <c r="HE88" s="889"/>
      <c r="HF88" s="889"/>
      <c r="HG88" s="889"/>
      <c r="HH88" s="889"/>
      <c r="HI88" s="889"/>
      <c r="HJ88" s="889"/>
      <c r="HK88" s="889"/>
      <c r="HL88" s="889"/>
      <c r="HM88" s="889"/>
      <c r="HN88" s="889"/>
      <c r="HO88" s="889"/>
      <c r="HP88" s="889"/>
      <c r="HQ88" s="889"/>
      <c r="HR88" s="889"/>
      <c r="HS88" s="889"/>
      <c r="HT88" s="889"/>
      <c r="HU88" s="889"/>
      <c r="HV88" s="889"/>
      <c r="HW88" s="889"/>
      <c r="HX88" s="889"/>
      <c r="HY88" s="889"/>
      <c r="HZ88" s="889"/>
      <c r="IA88" s="889"/>
      <c r="IB88" s="889"/>
      <c r="IC88" s="889"/>
      <c r="ID88" s="889"/>
      <c r="IE88" s="889"/>
      <c r="IF88" s="889"/>
      <c r="IG88" s="889"/>
      <c r="IH88" s="889"/>
      <c r="II88" s="889"/>
      <c r="IJ88" s="889"/>
      <c r="IK88" s="889"/>
      <c r="IL88" s="889"/>
      <c r="IM88" s="889"/>
      <c r="IN88" s="889"/>
      <c r="IO88" s="889"/>
      <c r="IP88" s="889"/>
      <c r="IQ88" s="889"/>
      <c r="IR88" s="889"/>
      <c r="IS88" s="889"/>
      <c r="IT88" s="889"/>
      <c r="IU88" s="889"/>
      <c r="IV88" s="889"/>
    </row>
    <row r="89" spans="1:256">
      <c r="A89" s="932" t="s">
        <v>832</v>
      </c>
      <c r="B89" s="913">
        <v>814</v>
      </c>
      <c r="C89" s="913">
        <v>971</v>
      </c>
      <c r="D89" s="914">
        <v>1165</v>
      </c>
      <c r="E89" s="914">
        <v>1189</v>
      </c>
      <c r="F89" s="914">
        <v>1528</v>
      </c>
      <c r="G89" s="914">
        <v>1114.9000000000001</v>
      </c>
      <c r="H89" s="914">
        <v>1484.4</v>
      </c>
      <c r="I89" s="914">
        <v>1714</v>
      </c>
      <c r="J89" s="914">
        <v>1614.1</v>
      </c>
      <c r="K89" s="914">
        <v>1084.9000000000001</v>
      </c>
      <c r="L89" s="925">
        <v>1239.5999999999999</v>
      </c>
      <c r="M89" s="925">
        <v>1555.4</v>
      </c>
      <c r="N89" s="914">
        <v>1424.7</v>
      </c>
      <c r="O89" s="889"/>
      <c r="P89" s="889"/>
      <c r="Q89" s="889"/>
      <c r="R89" s="889"/>
      <c r="S89" s="889"/>
      <c r="T89" s="889"/>
      <c r="U89" s="889"/>
      <c r="V89" s="889"/>
      <c r="W89" s="889"/>
      <c r="X89" s="889"/>
      <c r="Y89" s="889"/>
      <c r="Z89" s="889"/>
      <c r="AA89" s="889"/>
      <c r="AB89" s="889"/>
      <c r="AC89" s="889"/>
      <c r="AD89" s="889"/>
      <c r="AE89" s="889"/>
      <c r="AF89" s="889"/>
      <c r="AG89" s="889"/>
      <c r="AH89" s="889"/>
      <c r="AI89" s="889"/>
      <c r="AJ89" s="889"/>
      <c r="AK89" s="889"/>
      <c r="AL89" s="889"/>
      <c r="AM89" s="889"/>
      <c r="AN89" s="889"/>
      <c r="AO89" s="889"/>
      <c r="AP89" s="889"/>
      <c r="AQ89" s="889"/>
      <c r="AR89" s="889"/>
      <c r="AS89" s="889"/>
      <c r="AT89" s="889"/>
      <c r="AU89" s="889"/>
      <c r="AV89" s="889"/>
      <c r="AW89" s="889"/>
      <c r="AX89" s="889"/>
      <c r="AY89" s="889"/>
      <c r="AZ89" s="889"/>
      <c r="BA89" s="889"/>
      <c r="BB89" s="889"/>
      <c r="BC89" s="889"/>
      <c r="BD89" s="889"/>
      <c r="BE89" s="889"/>
      <c r="BF89" s="889"/>
      <c r="BG89" s="889"/>
      <c r="BH89" s="889"/>
      <c r="BI89" s="889"/>
      <c r="BJ89" s="889"/>
      <c r="BK89" s="889"/>
      <c r="BL89" s="889"/>
      <c r="BM89" s="889"/>
      <c r="BN89" s="889"/>
      <c r="BO89" s="889"/>
      <c r="BP89" s="889"/>
      <c r="BQ89" s="889"/>
      <c r="BR89" s="889"/>
      <c r="BS89" s="889"/>
      <c r="BT89" s="889"/>
      <c r="BU89" s="889"/>
      <c r="BV89" s="889"/>
      <c r="BW89" s="889"/>
      <c r="BX89" s="889"/>
      <c r="BY89" s="889"/>
      <c r="BZ89" s="889"/>
      <c r="CA89" s="889"/>
      <c r="CB89" s="889"/>
      <c r="CC89" s="889"/>
      <c r="CD89" s="889"/>
      <c r="CE89" s="889"/>
      <c r="CF89" s="889"/>
      <c r="CG89" s="889"/>
      <c r="CH89" s="889"/>
      <c r="CI89" s="889"/>
      <c r="CJ89" s="889"/>
      <c r="CK89" s="889"/>
      <c r="CL89" s="889"/>
      <c r="CM89" s="889"/>
      <c r="CN89" s="889"/>
      <c r="CO89" s="889"/>
      <c r="CP89" s="889"/>
      <c r="CQ89" s="889"/>
      <c r="CR89" s="889"/>
      <c r="CS89" s="889"/>
      <c r="CT89" s="889"/>
      <c r="CU89" s="889"/>
      <c r="CV89" s="889"/>
      <c r="CW89" s="889"/>
      <c r="CX89" s="889"/>
      <c r="CY89" s="889"/>
      <c r="CZ89" s="889"/>
      <c r="DA89" s="889"/>
      <c r="DB89" s="889"/>
      <c r="DC89" s="889"/>
      <c r="DD89" s="889"/>
      <c r="DE89" s="889"/>
      <c r="DF89" s="889"/>
      <c r="DG89" s="889"/>
      <c r="DH89" s="889"/>
      <c r="DI89" s="889"/>
      <c r="DJ89" s="889"/>
      <c r="DK89" s="889"/>
      <c r="DL89" s="889"/>
      <c r="DM89" s="889"/>
      <c r="DN89" s="889"/>
      <c r="DO89" s="889"/>
      <c r="DP89" s="889"/>
      <c r="DQ89" s="889"/>
      <c r="DR89" s="889"/>
      <c r="DS89" s="889"/>
      <c r="DT89" s="889"/>
      <c r="DU89" s="889"/>
      <c r="DV89" s="889"/>
      <c r="DW89" s="889"/>
      <c r="DX89" s="889"/>
      <c r="DY89" s="889"/>
      <c r="DZ89" s="889"/>
      <c r="EA89" s="889"/>
      <c r="EB89" s="889"/>
      <c r="EC89" s="889"/>
      <c r="ED89" s="889"/>
      <c r="EE89" s="889"/>
      <c r="EF89" s="889"/>
      <c r="EG89" s="889"/>
      <c r="EH89" s="889"/>
      <c r="EI89" s="889"/>
      <c r="EJ89" s="889"/>
      <c r="EK89" s="889"/>
      <c r="EL89" s="889"/>
      <c r="EM89" s="889"/>
      <c r="EN89" s="889"/>
      <c r="EO89" s="889"/>
      <c r="EP89" s="889"/>
      <c r="EQ89" s="889"/>
      <c r="ER89" s="889"/>
      <c r="ES89" s="889"/>
      <c r="ET89" s="889"/>
      <c r="EU89" s="889"/>
      <c r="EV89" s="889"/>
      <c r="EW89" s="889"/>
      <c r="EX89" s="889"/>
      <c r="EY89" s="889"/>
      <c r="EZ89" s="889"/>
      <c r="FA89" s="889"/>
      <c r="FB89" s="889"/>
      <c r="FC89" s="889"/>
      <c r="FD89" s="889"/>
      <c r="FE89" s="889"/>
      <c r="FF89" s="889"/>
      <c r="FG89" s="889"/>
      <c r="FH89" s="889"/>
      <c r="FI89" s="889"/>
      <c r="FJ89" s="889"/>
      <c r="FK89" s="889"/>
      <c r="FL89" s="889"/>
      <c r="FM89" s="889"/>
      <c r="FN89" s="889"/>
      <c r="FO89" s="889"/>
      <c r="FP89" s="889"/>
      <c r="FQ89" s="889"/>
      <c r="FR89" s="889"/>
      <c r="FS89" s="889"/>
      <c r="FT89" s="889"/>
      <c r="FU89" s="889"/>
      <c r="FV89" s="889"/>
      <c r="FW89" s="889"/>
      <c r="FX89" s="889"/>
      <c r="FY89" s="889"/>
      <c r="FZ89" s="889"/>
      <c r="GA89" s="889"/>
      <c r="GB89" s="889"/>
      <c r="GC89" s="889"/>
      <c r="GD89" s="889"/>
      <c r="GE89" s="889"/>
      <c r="GF89" s="889"/>
      <c r="GG89" s="889"/>
      <c r="GH89" s="889"/>
      <c r="GI89" s="889"/>
      <c r="GJ89" s="889"/>
      <c r="GK89" s="889"/>
      <c r="GL89" s="889"/>
      <c r="GM89" s="889"/>
      <c r="GN89" s="889"/>
      <c r="GO89" s="889"/>
      <c r="GP89" s="889"/>
      <c r="GQ89" s="889"/>
      <c r="GR89" s="889"/>
      <c r="GS89" s="889"/>
      <c r="GT89" s="889"/>
      <c r="GU89" s="889"/>
      <c r="GV89" s="889"/>
      <c r="GW89" s="889"/>
      <c r="GX89" s="889"/>
      <c r="GY89" s="889"/>
      <c r="GZ89" s="889"/>
      <c r="HA89" s="889"/>
      <c r="HB89" s="889"/>
      <c r="HC89" s="889"/>
      <c r="HD89" s="889"/>
      <c r="HE89" s="889"/>
      <c r="HF89" s="889"/>
      <c r="HG89" s="889"/>
      <c r="HH89" s="889"/>
      <c r="HI89" s="889"/>
      <c r="HJ89" s="889"/>
      <c r="HK89" s="889"/>
      <c r="HL89" s="889"/>
      <c r="HM89" s="889"/>
      <c r="HN89" s="889"/>
      <c r="HO89" s="889"/>
      <c r="HP89" s="889"/>
      <c r="HQ89" s="889"/>
      <c r="HR89" s="889"/>
      <c r="HS89" s="889"/>
      <c r="HT89" s="889"/>
      <c r="HU89" s="889"/>
      <c r="HV89" s="889"/>
      <c r="HW89" s="889"/>
      <c r="HX89" s="889"/>
      <c r="HY89" s="889"/>
      <c r="HZ89" s="889"/>
      <c r="IA89" s="889"/>
      <c r="IB89" s="889"/>
      <c r="IC89" s="889"/>
      <c r="ID89" s="889"/>
      <c r="IE89" s="889"/>
      <c r="IF89" s="889"/>
      <c r="IG89" s="889"/>
      <c r="IH89" s="889"/>
      <c r="II89" s="889"/>
      <c r="IJ89" s="889"/>
      <c r="IK89" s="889"/>
      <c r="IL89" s="889"/>
      <c r="IM89" s="889"/>
      <c r="IN89" s="889"/>
      <c r="IO89" s="889"/>
      <c r="IP89" s="889"/>
      <c r="IQ89" s="889"/>
      <c r="IR89" s="889"/>
      <c r="IS89" s="889"/>
      <c r="IT89" s="889"/>
      <c r="IU89" s="889"/>
      <c r="IV89" s="889"/>
    </row>
    <row r="90" spans="1:256">
      <c r="A90" s="977" t="s">
        <v>833</v>
      </c>
      <c r="B90" s="988">
        <v>38.299999999999997</v>
      </c>
      <c r="C90" s="988">
        <v>46.6</v>
      </c>
      <c r="D90" s="989">
        <v>67</v>
      </c>
      <c r="E90" s="989">
        <v>66.7</v>
      </c>
      <c r="F90" s="989">
        <v>93.7</v>
      </c>
      <c r="G90" s="989">
        <v>52.3</v>
      </c>
      <c r="H90" s="989">
        <v>79.5</v>
      </c>
      <c r="I90" s="989">
        <v>93.1</v>
      </c>
      <c r="J90" s="989">
        <v>82.7</v>
      </c>
      <c r="K90" s="989">
        <v>73.099999999999994</v>
      </c>
      <c r="L90" s="990">
        <v>92.4</v>
      </c>
      <c r="M90" s="990">
        <v>46.9</v>
      </c>
      <c r="N90" s="989">
        <v>55.8</v>
      </c>
      <c r="O90" s="889"/>
      <c r="P90" s="889"/>
      <c r="Q90" s="889"/>
      <c r="R90" s="889"/>
      <c r="S90" s="889"/>
      <c r="T90" s="889"/>
      <c r="U90" s="889"/>
      <c r="V90" s="889"/>
      <c r="W90" s="889"/>
      <c r="X90" s="889"/>
      <c r="Y90" s="889"/>
      <c r="Z90" s="889"/>
      <c r="AA90" s="889"/>
      <c r="AB90" s="889"/>
      <c r="AC90" s="889"/>
      <c r="AD90" s="889"/>
      <c r="AE90" s="889"/>
      <c r="AF90" s="889"/>
      <c r="AG90" s="889"/>
      <c r="AH90" s="889"/>
      <c r="AI90" s="889"/>
      <c r="AJ90" s="889"/>
      <c r="AK90" s="889"/>
      <c r="AL90" s="889"/>
      <c r="AM90" s="889"/>
      <c r="AN90" s="889"/>
      <c r="AO90" s="889"/>
      <c r="AP90" s="889"/>
      <c r="AQ90" s="889"/>
      <c r="AR90" s="889"/>
      <c r="AS90" s="889"/>
      <c r="AT90" s="889"/>
      <c r="AU90" s="889"/>
      <c r="AV90" s="889"/>
      <c r="AW90" s="889"/>
      <c r="AX90" s="889"/>
      <c r="AY90" s="889"/>
      <c r="AZ90" s="889"/>
      <c r="BA90" s="889"/>
      <c r="BB90" s="889"/>
      <c r="BC90" s="889"/>
      <c r="BD90" s="889"/>
      <c r="BE90" s="889"/>
      <c r="BF90" s="889"/>
      <c r="BG90" s="889"/>
      <c r="BH90" s="889"/>
      <c r="BI90" s="889"/>
      <c r="BJ90" s="889"/>
      <c r="BK90" s="889"/>
      <c r="BL90" s="889"/>
      <c r="BM90" s="889"/>
      <c r="BN90" s="889"/>
      <c r="BO90" s="889"/>
      <c r="BP90" s="889"/>
      <c r="BQ90" s="889"/>
      <c r="BR90" s="889"/>
      <c r="BS90" s="889"/>
      <c r="BT90" s="889"/>
      <c r="BU90" s="889"/>
      <c r="BV90" s="889"/>
      <c r="BW90" s="889"/>
      <c r="BX90" s="889"/>
      <c r="BY90" s="889"/>
      <c r="BZ90" s="889"/>
      <c r="CA90" s="889"/>
      <c r="CB90" s="889"/>
      <c r="CC90" s="889"/>
      <c r="CD90" s="889"/>
      <c r="CE90" s="889"/>
      <c r="CF90" s="889"/>
      <c r="CG90" s="889"/>
      <c r="CH90" s="889"/>
      <c r="CI90" s="889"/>
      <c r="CJ90" s="889"/>
      <c r="CK90" s="889"/>
      <c r="CL90" s="889"/>
      <c r="CM90" s="889"/>
      <c r="CN90" s="889"/>
      <c r="CO90" s="889"/>
      <c r="CP90" s="889"/>
      <c r="CQ90" s="889"/>
      <c r="CR90" s="889"/>
      <c r="CS90" s="889"/>
      <c r="CT90" s="889"/>
      <c r="CU90" s="889"/>
      <c r="CV90" s="889"/>
      <c r="CW90" s="889"/>
      <c r="CX90" s="889"/>
      <c r="CY90" s="889"/>
      <c r="CZ90" s="889"/>
      <c r="DA90" s="889"/>
      <c r="DB90" s="889"/>
      <c r="DC90" s="889"/>
      <c r="DD90" s="889"/>
      <c r="DE90" s="889"/>
      <c r="DF90" s="889"/>
      <c r="DG90" s="889"/>
      <c r="DH90" s="889"/>
      <c r="DI90" s="889"/>
      <c r="DJ90" s="889"/>
      <c r="DK90" s="889"/>
      <c r="DL90" s="889"/>
      <c r="DM90" s="889"/>
      <c r="DN90" s="889"/>
      <c r="DO90" s="889"/>
      <c r="DP90" s="889"/>
      <c r="DQ90" s="889"/>
      <c r="DR90" s="889"/>
      <c r="DS90" s="889"/>
      <c r="DT90" s="889"/>
      <c r="DU90" s="889"/>
      <c r="DV90" s="889"/>
      <c r="DW90" s="889"/>
      <c r="DX90" s="889"/>
      <c r="DY90" s="889"/>
      <c r="DZ90" s="889"/>
      <c r="EA90" s="889"/>
      <c r="EB90" s="889"/>
      <c r="EC90" s="889"/>
      <c r="ED90" s="889"/>
      <c r="EE90" s="889"/>
      <c r="EF90" s="889"/>
      <c r="EG90" s="889"/>
      <c r="EH90" s="889"/>
      <c r="EI90" s="889"/>
      <c r="EJ90" s="889"/>
      <c r="EK90" s="889"/>
      <c r="EL90" s="889"/>
      <c r="EM90" s="889"/>
      <c r="EN90" s="889"/>
      <c r="EO90" s="889"/>
      <c r="EP90" s="889"/>
      <c r="EQ90" s="889"/>
      <c r="ER90" s="889"/>
      <c r="ES90" s="889"/>
      <c r="ET90" s="889"/>
      <c r="EU90" s="889"/>
      <c r="EV90" s="889"/>
      <c r="EW90" s="889"/>
      <c r="EX90" s="889"/>
      <c r="EY90" s="889"/>
      <c r="EZ90" s="889"/>
      <c r="FA90" s="889"/>
      <c r="FB90" s="889"/>
      <c r="FC90" s="889"/>
      <c r="FD90" s="889"/>
      <c r="FE90" s="889"/>
      <c r="FF90" s="889"/>
      <c r="FG90" s="889"/>
      <c r="FH90" s="889"/>
      <c r="FI90" s="889"/>
      <c r="FJ90" s="889"/>
      <c r="FK90" s="889"/>
      <c r="FL90" s="889"/>
      <c r="FM90" s="889"/>
      <c r="FN90" s="889"/>
      <c r="FO90" s="889"/>
      <c r="FP90" s="889"/>
      <c r="FQ90" s="889"/>
      <c r="FR90" s="889"/>
      <c r="FS90" s="889"/>
      <c r="FT90" s="889"/>
      <c r="FU90" s="889"/>
      <c r="FV90" s="889"/>
      <c r="FW90" s="889"/>
      <c r="FX90" s="889"/>
      <c r="FY90" s="889"/>
      <c r="FZ90" s="889"/>
      <c r="GA90" s="889"/>
      <c r="GB90" s="889"/>
      <c r="GC90" s="889"/>
      <c r="GD90" s="889"/>
      <c r="GE90" s="889"/>
      <c r="GF90" s="889"/>
      <c r="GG90" s="889"/>
      <c r="GH90" s="889"/>
      <c r="GI90" s="889"/>
      <c r="GJ90" s="889"/>
      <c r="GK90" s="889"/>
      <c r="GL90" s="889"/>
      <c r="GM90" s="889"/>
      <c r="GN90" s="889"/>
      <c r="GO90" s="889"/>
      <c r="GP90" s="889"/>
      <c r="GQ90" s="889"/>
      <c r="GR90" s="889"/>
      <c r="GS90" s="889"/>
      <c r="GT90" s="889"/>
      <c r="GU90" s="889"/>
      <c r="GV90" s="889"/>
      <c r="GW90" s="889"/>
      <c r="GX90" s="889"/>
      <c r="GY90" s="889"/>
      <c r="GZ90" s="889"/>
      <c r="HA90" s="889"/>
      <c r="HB90" s="889"/>
      <c r="HC90" s="889"/>
      <c r="HD90" s="889"/>
      <c r="HE90" s="889"/>
      <c r="HF90" s="889"/>
      <c r="HG90" s="889"/>
      <c r="HH90" s="889"/>
      <c r="HI90" s="889"/>
      <c r="HJ90" s="889"/>
      <c r="HK90" s="889"/>
      <c r="HL90" s="889"/>
      <c r="HM90" s="889"/>
      <c r="HN90" s="889"/>
      <c r="HO90" s="889"/>
      <c r="HP90" s="889"/>
      <c r="HQ90" s="889"/>
      <c r="HR90" s="889"/>
      <c r="HS90" s="889"/>
      <c r="HT90" s="889"/>
      <c r="HU90" s="889"/>
      <c r="HV90" s="889"/>
      <c r="HW90" s="889"/>
      <c r="HX90" s="889"/>
      <c r="HY90" s="889"/>
      <c r="HZ90" s="889"/>
      <c r="IA90" s="889"/>
      <c r="IB90" s="889"/>
      <c r="IC90" s="889"/>
      <c r="ID90" s="889"/>
      <c r="IE90" s="889"/>
      <c r="IF90" s="889"/>
      <c r="IG90" s="889"/>
      <c r="IH90" s="889"/>
      <c r="II90" s="889"/>
      <c r="IJ90" s="889"/>
      <c r="IK90" s="889"/>
      <c r="IL90" s="889"/>
      <c r="IM90" s="889"/>
      <c r="IN90" s="889"/>
      <c r="IO90" s="889"/>
      <c r="IP90" s="889"/>
      <c r="IQ90" s="889"/>
      <c r="IR90" s="889"/>
      <c r="IS90" s="889"/>
      <c r="IT90" s="889"/>
      <c r="IU90" s="889"/>
      <c r="IV90" s="889"/>
    </row>
    <row r="91" spans="1:256" ht="13.5" customHeight="1" thickBot="1">
      <c r="A91" s="968" t="s">
        <v>834</v>
      </c>
      <c r="B91" s="918">
        <v>446</v>
      </c>
      <c r="C91" s="918">
        <v>542</v>
      </c>
      <c r="D91" s="919">
        <v>779</v>
      </c>
      <c r="E91" s="919">
        <v>776</v>
      </c>
      <c r="F91" s="919">
        <v>1090</v>
      </c>
      <c r="G91" s="919">
        <v>608.6</v>
      </c>
      <c r="H91" s="919">
        <v>925.1</v>
      </c>
      <c r="I91" s="919">
        <v>1083</v>
      </c>
      <c r="J91" s="919">
        <v>961.5</v>
      </c>
      <c r="K91" s="919">
        <v>850.5</v>
      </c>
      <c r="L91" s="920">
        <v>1074.9000000000001</v>
      </c>
      <c r="M91" s="920">
        <v>545.9</v>
      </c>
      <c r="N91" s="919">
        <v>649.20000000000005</v>
      </c>
      <c r="O91" s="889"/>
      <c r="P91" s="889"/>
      <c r="Q91" s="889"/>
      <c r="R91" s="889"/>
      <c r="S91" s="889"/>
      <c r="T91" s="889"/>
      <c r="U91" s="889"/>
      <c r="V91" s="889"/>
      <c r="W91" s="889"/>
      <c r="X91" s="889"/>
      <c r="Y91" s="889"/>
      <c r="Z91" s="889"/>
      <c r="AA91" s="889"/>
      <c r="AB91" s="889"/>
      <c r="AC91" s="889"/>
      <c r="AD91" s="889"/>
      <c r="AE91" s="889"/>
      <c r="AF91" s="889"/>
      <c r="AG91" s="889"/>
      <c r="AH91" s="889"/>
      <c r="AI91" s="889"/>
      <c r="AJ91" s="889"/>
      <c r="AK91" s="889"/>
      <c r="AL91" s="889"/>
      <c r="AM91" s="889"/>
      <c r="AN91" s="889"/>
      <c r="AO91" s="889"/>
      <c r="AP91" s="889"/>
      <c r="AQ91" s="889"/>
      <c r="AR91" s="889"/>
      <c r="AS91" s="889"/>
      <c r="AT91" s="889"/>
      <c r="AU91" s="889"/>
      <c r="AV91" s="889"/>
      <c r="AW91" s="889"/>
      <c r="AX91" s="889"/>
      <c r="AY91" s="889"/>
      <c r="AZ91" s="889"/>
      <c r="BA91" s="889"/>
      <c r="BB91" s="889"/>
      <c r="BC91" s="889"/>
      <c r="BD91" s="889"/>
      <c r="BE91" s="889"/>
      <c r="BF91" s="889"/>
      <c r="BG91" s="889"/>
      <c r="BH91" s="889"/>
      <c r="BI91" s="889"/>
      <c r="BJ91" s="889"/>
      <c r="BK91" s="889"/>
      <c r="BL91" s="889"/>
      <c r="BM91" s="889"/>
      <c r="BN91" s="889"/>
      <c r="BO91" s="889"/>
      <c r="BP91" s="889"/>
      <c r="BQ91" s="889"/>
      <c r="BR91" s="889"/>
      <c r="BS91" s="889"/>
      <c r="BT91" s="889"/>
      <c r="BU91" s="889"/>
      <c r="BV91" s="889"/>
      <c r="BW91" s="889"/>
      <c r="BX91" s="889"/>
      <c r="BY91" s="889"/>
      <c r="BZ91" s="889"/>
      <c r="CA91" s="889"/>
      <c r="CB91" s="889"/>
      <c r="CC91" s="889"/>
      <c r="CD91" s="889"/>
      <c r="CE91" s="889"/>
      <c r="CF91" s="889"/>
      <c r="CG91" s="889"/>
      <c r="CH91" s="889"/>
      <c r="CI91" s="889"/>
      <c r="CJ91" s="889"/>
      <c r="CK91" s="889"/>
      <c r="CL91" s="889"/>
      <c r="CM91" s="889"/>
      <c r="CN91" s="889"/>
      <c r="CO91" s="889"/>
      <c r="CP91" s="889"/>
      <c r="CQ91" s="889"/>
      <c r="CR91" s="889"/>
      <c r="CS91" s="889"/>
      <c r="CT91" s="889"/>
      <c r="CU91" s="889"/>
      <c r="CV91" s="889"/>
      <c r="CW91" s="889"/>
      <c r="CX91" s="889"/>
      <c r="CY91" s="889"/>
      <c r="CZ91" s="889"/>
      <c r="DA91" s="889"/>
      <c r="DB91" s="889"/>
      <c r="DC91" s="889"/>
      <c r="DD91" s="889"/>
      <c r="DE91" s="889"/>
      <c r="DF91" s="889"/>
      <c r="DG91" s="889"/>
      <c r="DH91" s="889"/>
      <c r="DI91" s="889"/>
      <c r="DJ91" s="889"/>
      <c r="DK91" s="889"/>
      <c r="DL91" s="889"/>
      <c r="DM91" s="889"/>
      <c r="DN91" s="889"/>
      <c r="DO91" s="889"/>
      <c r="DP91" s="889"/>
      <c r="DQ91" s="889"/>
      <c r="DR91" s="889"/>
      <c r="DS91" s="889"/>
      <c r="DT91" s="889"/>
      <c r="DU91" s="889"/>
      <c r="DV91" s="889"/>
      <c r="DW91" s="889"/>
      <c r="DX91" s="889"/>
      <c r="DY91" s="889"/>
      <c r="DZ91" s="889"/>
      <c r="EA91" s="889"/>
      <c r="EB91" s="889"/>
      <c r="EC91" s="889"/>
      <c r="ED91" s="889"/>
      <c r="EE91" s="889"/>
      <c r="EF91" s="889"/>
      <c r="EG91" s="889"/>
      <c r="EH91" s="889"/>
      <c r="EI91" s="889"/>
      <c r="EJ91" s="889"/>
      <c r="EK91" s="889"/>
      <c r="EL91" s="889"/>
      <c r="EM91" s="889"/>
      <c r="EN91" s="889"/>
      <c r="EO91" s="889"/>
      <c r="EP91" s="889"/>
      <c r="EQ91" s="889"/>
      <c r="ER91" s="889"/>
      <c r="ES91" s="889"/>
      <c r="ET91" s="889"/>
      <c r="EU91" s="889"/>
      <c r="EV91" s="889"/>
      <c r="EW91" s="889"/>
      <c r="EX91" s="889"/>
      <c r="EY91" s="889"/>
      <c r="EZ91" s="889"/>
      <c r="FA91" s="889"/>
      <c r="FB91" s="889"/>
      <c r="FC91" s="889"/>
      <c r="FD91" s="889"/>
      <c r="FE91" s="889"/>
      <c r="FF91" s="889"/>
      <c r="FG91" s="889"/>
      <c r="FH91" s="889"/>
      <c r="FI91" s="889"/>
      <c r="FJ91" s="889"/>
      <c r="FK91" s="889"/>
      <c r="FL91" s="889"/>
      <c r="FM91" s="889"/>
      <c r="FN91" s="889"/>
      <c r="FO91" s="889"/>
      <c r="FP91" s="889"/>
      <c r="FQ91" s="889"/>
      <c r="FR91" s="889"/>
      <c r="FS91" s="889"/>
      <c r="FT91" s="889"/>
      <c r="FU91" s="889"/>
      <c r="FV91" s="889"/>
      <c r="FW91" s="889"/>
      <c r="FX91" s="889"/>
      <c r="FY91" s="889"/>
      <c r="FZ91" s="889"/>
      <c r="GA91" s="889"/>
      <c r="GB91" s="889"/>
      <c r="GC91" s="889"/>
      <c r="GD91" s="889"/>
      <c r="GE91" s="889"/>
      <c r="GF91" s="889"/>
      <c r="GG91" s="889"/>
      <c r="GH91" s="889"/>
      <c r="GI91" s="889"/>
      <c r="GJ91" s="889"/>
      <c r="GK91" s="889"/>
      <c r="GL91" s="889"/>
      <c r="GM91" s="889"/>
      <c r="GN91" s="889"/>
      <c r="GO91" s="889"/>
      <c r="GP91" s="889"/>
      <c r="GQ91" s="889"/>
      <c r="GR91" s="889"/>
      <c r="GS91" s="889"/>
      <c r="GT91" s="889"/>
      <c r="GU91" s="889"/>
      <c r="GV91" s="889"/>
      <c r="GW91" s="889"/>
      <c r="GX91" s="889"/>
      <c r="GY91" s="889"/>
      <c r="GZ91" s="889"/>
      <c r="HA91" s="889"/>
      <c r="HB91" s="889"/>
      <c r="HC91" s="889"/>
      <c r="HD91" s="889"/>
      <c r="HE91" s="889"/>
      <c r="HF91" s="889"/>
      <c r="HG91" s="889"/>
      <c r="HH91" s="889"/>
      <c r="HI91" s="889"/>
      <c r="HJ91" s="889"/>
      <c r="HK91" s="889"/>
      <c r="HL91" s="889"/>
      <c r="HM91" s="889"/>
      <c r="HN91" s="889"/>
      <c r="HO91" s="889"/>
      <c r="HP91" s="889"/>
      <c r="HQ91" s="889"/>
      <c r="HR91" s="889"/>
      <c r="HS91" s="889"/>
      <c r="HT91" s="889"/>
      <c r="HU91" s="889"/>
      <c r="HV91" s="889"/>
      <c r="HW91" s="889"/>
      <c r="HX91" s="889"/>
      <c r="HY91" s="889"/>
      <c r="HZ91" s="889"/>
      <c r="IA91" s="889"/>
      <c r="IB91" s="889"/>
      <c r="IC91" s="889"/>
      <c r="ID91" s="889"/>
      <c r="IE91" s="889"/>
      <c r="IF91" s="889"/>
      <c r="IG91" s="889"/>
      <c r="IH91" s="889"/>
      <c r="II91" s="889"/>
      <c r="IJ91" s="889"/>
      <c r="IK91" s="889"/>
      <c r="IL91" s="889"/>
      <c r="IM91" s="889"/>
      <c r="IN91" s="889"/>
      <c r="IO91" s="889"/>
      <c r="IP91" s="889"/>
      <c r="IQ91" s="889"/>
      <c r="IR91" s="889"/>
      <c r="IS91" s="889"/>
      <c r="IT91" s="889"/>
      <c r="IU91" s="889"/>
      <c r="IV91" s="889"/>
    </row>
    <row r="92" spans="1:256" s="897" customFormat="1" ht="12" customHeight="1" thickTop="1">
      <c r="A92" s="991" t="s">
        <v>132</v>
      </c>
      <c r="B92" s="962"/>
      <c r="C92" s="962"/>
      <c r="D92" s="981"/>
      <c r="E92" s="981"/>
      <c r="F92" s="992"/>
      <c r="G92" s="992"/>
      <c r="H92" s="992"/>
      <c r="I92" s="992"/>
      <c r="J92" s="992"/>
      <c r="K92" s="992"/>
      <c r="L92" s="992"/>
      <c r="M92" s="992"/>
      <c r="N92" s="992"/>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6"/>
      <c r="AM92" s="896"/>
      <c r="AN92" s="896"/>
      <c r="AO92" s="896"/>
      <c r="AP92" s="896"/>
      <c r="AQ92" s="896"/>
      <c r="AR92" s="896"/>
      <c r="AS92" s="896"/>
      <c r="AT92" s="896"/>
      <c r="AU92" s="896"/>
      <c r="AV92" s="896"/>
      <c r="AW92" s="896"/>
      <c r="AX92" s="896"/>
      <c r="AY92" s="896"/>
      <c r="AZ92" s="896"/>
      <c r="BA92" s="896"/>
      <c r="BB92" s="896"/>
      <c r="BC92" s="896"/>
      <c r="BD92" s="896"/>
      <c r="BE92" s="896"/>
      <c r="BF92" s="896"/>
      <c r="BG92" s="896"/>
      <c r="BH92" s="896"/>
      <c r="BI92" s="896"/>
      <c r="BJ92" s="896"/>
      <c r="BK92" s="896"/>
      <c r="BL92" s="896"/>
      <c r="BM92" s="896"/>
      <c r="BN92" s="896"/>
      <c r="BO92" s="896"/>
      <c r="BP92" s="896"/>
      <c r="BQ92" s="896"/>
      <c r="BR92" s="896"/>
      <c r="BS92" s="896"/>
      <c r="BT92" s="896"/>
      <c r="BU92" s="896"/>
      <c r="BV92" s="896"/>
      <c r="BW92" s="896"/>
      <c r="BX92" s="896"/>
      <c r="BY92" s="896"/>
      <c r="BZ92" s="896"/>
      <c r="CA92" s="896"/>
      <c r="CB92" s="896"/>
      <c r="CC92" s="896"/>
      <c r="CD92" s="896"/>
      <c r="CE92" s="896"/>
      <c r="CF92" s="896"/>
      <c r="CG92" s="896"/>
      <c r="CH92" s="896"/>
      <c r="CI92" s="896"/>
      <c r="CJ92" s="896"/>
      <c r="CK92" s="896"/>
      <c r="CL92" s="896"/>
      <c r="CM92" s="896"/>
      <c r="CN92" s="896"/>
      <c r="CO92" s="896"/>
      <c r="CP92" s="896"/>
      <c r="CQ92" s="896"/>
      <c r="CR92" s="896"/>
      <c r="CS92" s="896"/>
      <c r="CT92" s="896"/>
      <c r="CU92" s="896"/>
      <c r="CV92" s="896"/>
      <c r="CW92" s="896"/>
      <c r="CX92" s="896"/>
      <c r="CY92" s="896"/>
      <c r="CZ92" s="896"/>
      <c r="DA92" s="896"/>
      <c r="DB92" s="896"/>
      <c r="DC92" s="896"/>
      <c r="DD92" s="896"/>
      <c r="DE92" s="896"/>
      <c r="DF92" s="896"/>
      <c r="DG92" s="896"/>
      <c r="DH92" s="896"/>
      <c r="DI92" s="896"/>
      <c r="DJ92" s="896"/>
      <c r="DK92" s="896"/>
      <c r="DL92" s="896"/>
      <c r="DM92" s="896"/>
      <c r="DN92" s="896"/>
      <c r="DO92" s="896"/>
      <c r="DP92" s="896"/>
      <c r="DQ92" s="896"/>
      <c r="DR92" s="896"/>
      <c r="DS92" s="896"/>
      <c r="DT92" s="896"/>
      <c r="DU92" s="896"/>
      <c r="DV92" s="896"/>
      <c r="DW92" s="896"/>
      <c r="DX92" s="896"/>
      <c r="DY92" s="896"/>
      <c r="DZ92" s="896"/>
      <c r="EA92" s="896"/>
      <c r="EB92" s="896"/>
      <c r="EC92" s="896"/>
      <c r="ED92" s="896"/>
      <c r="EE92" s="896"/>
      <c r="EF92" s="896"/>
      <c r="EG92" s="896"/>
      <c r="EH92" s="896"/>
      <c r="EI92" s="896"/>
      <c r="EJ92" s="896"/>
      <c r="EK92" s="896"/>
      <c r="EL92" s="896"/>
      <c r="EM92" s="896"/>
      <c r="EN92" s="896"/>
      <c r="EO92" s="896"/>
      <c r="EP92" s="896"/>
      <c r="EQ92" s="896"/>
      <c r="ER92" s="896"/>
      <c r="ES92" s="896"/>
      <c r="ET92" s="896"/>
      <c r="EU92" s="896"/>
      <c r="EV92" s="896"/>
      <c r="EW92" s="896"/>
      <c r="EX92" s="896"/>
      <c r="EY92" s="896"/>
      <c r="EZ92" s="896"/>
      <c r="FA92" s="896"/>
      <c r="FB92" s="896"/>
      <c r="FC92" s="896"/>
      <c r="FD92" s="896"/>
      <c r="FE92" s="896"/>
      <c r="FF92" s="896"/>
      <c r="FG92" s="896"/>
      <c r="FH92" s="896"/>
      <c r="FI92" s="896"/>
      <c r="FJ92" s="896"/>
      <c r="FK92" s="896"/>
      <c r="FL92" s="896"/>
      <c r="FM92" s="896"/>
      <c r="FN92" s="896"/>
      <c r="FO92" s="896"/>
      <c r="FP92" s="896"/>
      <c r="FQ92" s="896"/>
      <c r="FR92" s="896"/>
      <c r="FS92" s="896"/>
      <c r="FT92" s="896"/>
      <c r="FU92" s="896"/>
      <c r="FV92" s="896"/>
      <c r="FW92" s="896"/>
      <c r="FX92" s="896"/>
      <c r="FY92" s="896"/>
      <c r="FZ92" s="896"/>
      <c r="GA92" s="896"/>
      <c r="GB92" s="896"/>
      <c r="GC92" s="896"/>
      <c r="GD92" s="896"/>
      <c r="GE92" s="896"/>
      <c r="GF92" s="896"/>
      <c r="GG92" s="896"/>
      <c r="GH92" s="896"/>
      <c r="GI92" s="896"/>
      <c r="GJ92" s="896"/>
      <c r="GK92" s="896"/>
      <c r="GL92" s="896"/>
      <c r="GM92" s="896"/>
      <c r="GN92" s="896"/>
      <c r="GO92" s="896"/>
      <c r="GP92" s="896"/>
      <c r="GQ92" s="896"/>
      <c r="GR92" s="896"/>
      <c r="GS92" s="896"/>
      <c r="GT92" s="896"/>
      <c r="GU92" s="896"/>
      <c r="GV92" s="896"/>
      <c r="GW92" s="896"/>
      <c r="GX92" s="896"/>
      <c r="GY92" s="896"/>
      <c r="GZ92" s="896"/>
      <c r="HA92" s="896"/>
      <c r="HB92" s="896"/>
      <c r="HC92" s="896"/>
      <c r="HD92" s="896"/>
      <c r="HE92" s="896"/>
      <c r="HF92" s="896"/>
      <c r="HG92" s="896"/>
      <c r="HH92" s="896"/>
      <c r="HI92" s="896"/>
      <c r="HJ92" s="896"/>
      <c r="HK92" s="896"/>
      <c r="HL92" s="896"/>
      <c r="HM92" s="896"/>
      <c r="HN92" s="896"/>
      <c r="HO92" s="896"/>
      <c r="HP92" s="896"/>
      <c r="HQ92" s="896"/>
      <c r="HR92" s="896"/>
      <c r="HS92" s="896"/>
      <c r="HT92" s="896"/>
      <c r="HU92" s="896"/>
      <c r="HV92" s="896"/>
      <c r="HW92" s="896"/>
      <c r="HX92" s="896"/>
      <c r="HY92" s="896"/>
      <c r="HZ92" s="896"/>
      <c r="IA92" s="896"/>
      <c r="IB92" s="896"/>
      <c r="IC92" s="896"/>
      <c r="ID92" s="896"/>
      <c r="IE92" s="896"/>
      <c r="IF92" s="896"/>
      <c r="IG92" s="896"/>
      <c r="IH92" s="896"/>
      <c r="II92" s="896"/>
      <c r="IJ92" s="896"/>
      <c r="IK92" s="896"/>
      <c r="IL92" s="896"/>
      <c r="IM92" s="896"/>
      <c r="IN92" s="896"/>
      <c r="IO92" s="896"/>
      <c r="IP92" s="896"/>
      <c r="IQ92" s="896"/>
      <c r="IR92" s="896"/>
      <c r="IS92" s="896"/>
      <c r="IT92" s="896"/>
      <c r="IU92" s="896"/>
      <c r="IV92" s="896"/>
    </row>
    <row r="93" spans="1:256" ht="10.5" customHeight="1">
      <c r="A93" s="875" t="s">
        <v>457</v>
      </c>
      <c r="B93" s="962">
        <v>1226.3</v>
      </c>
      <c r="C93" s="962">
        <v>1192.5</v>
      </c>
      <c r="D93" s="963">
        <v>1185</v>
      </c>
      <c r="E93" s="963">
        <v>971.9</v>
      </c>
      <c r="F93" s="963">
        <v>877</v>
      </c>
      <c r="G93" s="963">
        <v>1008.4</v>
      </c>
      <c r="H93" s="963">
        <v>968.6</v>
      </c>
      <c r="I93" s="963">
        <v>976.9</v>
      </c>
      <c r="J93" s="963">
        <v>913.5</v>
      </c>
      <c r="K93" s="963">
        <v>911.3</v>
      </c>
      <c r="L93" s="965">
        <v>939.9</v>
      </c>
      <c r="M93" s="965">
        <v>923.1</v>
      </c>
      <c r="N93" s="963">
        <v>943.5</v>
      </c>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89"/>
      <c r="AM93" s="889"/>
      <c r="AN93" s="889"/>
      <c r="AO93" s="889"/>
      <c r="AP93" s="889"/>
      <c r="AQ93" s="889"/>
      <c r="AR93" s="889"/>
      <c r="AS93" s="889"/>
      <c r="AT93" s="889"/>
      <c r="AU93" s="889"/>
      <c r="AV93" s="889"/>
      <c r="AW93" s="889"/>
      <c r="AX93" s="889"/>
      <c r="AY93" s="889"/>
      <c r="AZ93" s="889"/>
      <c r="BA93" s="889"/>
      <c r="BB93" s="889"/>
      <c r="BC93" s="889"/>
      <c r="BD93" s="889"/>
      <c r="BE93" s="889"/>
      <c r="BF93" s="889"/>
      <c r="BG93" s="889"/>
      <c r="BH93" s="889"/>
      <c r="BI93" s="889"/>
      <c r="BJ93" s="889"/>
      <c r="BK93" s="889"/>
      <c r="BL93" s="889"/>
      <c r="BM93" s="889"/>
      <c r="BN93" s="889"/>
      <c r="BO93" s="889"/>
      <c r="BP93" s="889"/>
      <c r="BQ93" s="889"/>
      <c r="BR93" s="889"/>
      <c r="BS93" s="889"/>
      <c r="BT93" s="889"/>
      <c r="BU93" s="889"/>
      <c r="BV93" s="889"/>
      <c r="BW93" s="889"/>
      <c r="BX93" s="889"/>
      <c r="BY93" s="889"/>
      <c r="BZ93" s="889"/>
      <c r="CA93" s="889"/>
      <c r="CB93" s="889"/>
      <c r="CC93" s="889"/>
      <c r="CD93" s="889"/>
      <c r="CE93" s="889"/>
      <c r="CF93" s="889"/>
      <c r="CG93" s="889"/>
      <c r="CH93" s="889"/>
      <c r="CI93" s="889"/>
      <c r="CJ93" s="889"/>
      <c r="CK93" s="889"/>
      <c r="CL93" s="889"/>
      <c r="CM93" s="889"/>
      <c r="CN93" s="889"/>
      <c r="CO93" s="889"/>
      <c r="CP93" s="889"/>
      <c r="CQ93" s="889"/>
      <c r="CR93" s="889"/>
      <c r="CS93" s="889"/>
      <c r="CT93" s="889"/>
      <c r="CU93" s="889"/>
      <c r="CV93" s="889"/>
      <c r="CW93" s="889"/>
      <c r="CX93" s="889"/>
      <c r="CY93" s="889"/>
      <c r="CZ93" s="889"/>
      <c r="DA93" s="889"/>
      <c r="DB93" s="889"/>
      <c r="DC93" s="889"/>
      <c r="DD93" s="889"/>
      <c r="DE93" s="889"/>
      <c r="DF93" s="889"/>
      <c r="DG93" s="889"/>
      <c r="DH93" s="889"/>
      <c r="DI93" s="889"/>
      <c r="DJ93" s="889"/>
      <c r="DK93" s="889"/>
      <c r="DL93" s="889"/>
      <c r="DM93" s="889"/>
      <c r="DN93" s="889"/>
      <c r="DO93" s="889"/>
      <c r="DP93" s="889"/>
      <c r="DQ93" s="889"/>
      <c r="DR93" s="889"/>
      <c r="DS93" s="889"/>
      <c r="DT93" s="889"/>
      <c r="DU93" s="889"/>
      <c r="DV93" s="889"/>
      <c r="DW93" s="889"/>
      <c r="DX93" s="889"/>
      <c r="DY93" s="889"/>
      <c r="DZ93" s="889"/>
      <c r="EA93" s="889"/>
      <c r="EB93" s="889"/>
      <c r="EC93" s="889"/>
      <c r="ED93" s="889"/>
      <c r="EE93" s="889"/>
      <c r="EF93" s="889"/>
      <c r="EG93" s="889"/>
      <c r="EH93" s="889"/>
      <c r="EI93" s="889"/>
      <c r="EJ93" s="889"/>
      <c r="EK93" s="889"/>
      <c r="EL93" s="889"/>
      <c r="EM93" s="889"/>
      <c r="EN93" s="889"/>
      <c r="EO93" s="889"/>
      <c r="EP93" s="889"/>
      <c r="EQ93" s="889"/>
      <c r="ER93" s="889"/>
      <c r="ES93" s="889"/>
      <c r="ET93" s="889"/>
      <c r="EU93" s="889"/>
      <c r="EV93" s="889"/>
      <c r="EW93" s="889"/>
      <c r="EX93" s="889"/>
      <c r="EY93" s="889"/>
      <c r="EZ93" s="889"/>
      <c r="FA93" s="889"/>
      <c r="FB93" s="889"/>
      <c r="FC93" s="889"/>
      <c r="FD93" s="889"/>
      <c r="FE93" s="889"/>
      <c r="FF93" s="889"/>
      <c r="FG93" s="889"/>
      <c r="FH93" s="889"/>
      <c r="FI93" s="889"/>
      <c r="FJ93" s="889"/>
      <c r="FK93" s="889"/>
      <c r="FL93" s="889"/>
      <c r="FM93" s="889"/>
      <c r="FN93" s="889"/>
      <c r="FO93" s="889"/>
      <c r="FP93" s="889"/>
      <c r="FQ93" s="889"/>
      <c r="FR93" s="889"/>
      <c r="FS93" s="889"/>
      <c r="FT93" s="889"/>
      <c r="FU93" s="889"/>
      <c r="FV93" s="889"/>
      <c r="FW93" s="889"/>
      <c r="FX93" s="889"/>
      <c r="FY93" s="889"/>
      <c r="FZ93" s="889"/>
      <c r="GA93" s="889"/>
      <c r="GB93" s="889"/>
      <c r="GC93" s="889"/>
      <c r="GD93" s="889"/>
      <c r="GE93" s="889"/>
      <c r="GF93" s="889"/>
      <c r="GG93" s="889"/>
      <c r="GH93" s="889"/>
      <c r="GI93" s="889"/>
      <c r="GJ93" s="889"/>
      <c r="GK93" s="889"/>
      <c r="GL93" s="889"/>
      <c r="GM93" s="889"/>
      <c r="GN93" s="889"/>
      <c r="GO93" s="889"/>
      <c r="GP93" s="889"/>
      <c r="GQ93" s="889"/>
      <c r="GR93" s="889"/>
      <c r="GS93" s="889"/>
      <c r="GT93" s="889"/>
      <c r="GU93" s="889"/>
      <c r="GV93" s="889"/>
      <c r="GW93" s="889"/>
      <c r="GX93" s="889"/>
      <c r="GY93" s="889"/>
      <c r="GZ93" s="889"/>
      <c r="HA93" s="889"/>
      <c r="HB93" s="889"/>
      <c r="HC93" s="889"/>
      <c r="HD93" s="889"/>
      <c r="HE93" s="889"/>
      <c r="HF93" s="889"/>
      <c r="HG93" s="889"/>
      <c r="HH93" s="889"/>
      <c r="HI93" s="889"/>
      <c r="HJ93" s="889"/>
      <c r="HK93" s="889"/>
      <c r="HL93" s="889"/>
      <c r="HM93" s="889"/>
      <c r="HN93" s="889"/>
      <c r="HO93" s="889"/>
      <c r="HP93" s="889"/>
      <c r="HQ93" s="889"/>
      <c r="HR93" s="889"/>
      <c r="HS93" s="889"/>
      <c r="HT93" s="889"/>
      <c r="HU93" s="889"/>
      <c r="HV93" s="889"/>
      <c r="HW93" s="889"/>
      <c r="HX93" s="889"/>
      <c r="HY93" s="889"/>
      <c r="HZ93" s="889"/>
      <c r="IA93" s="889"/>
      <c r="IB93" s="889"/>
      <c r="IC93" s="889"/>
      <c r="ID93" s="889"/>
      <c r="IE93" s="889"/>
      <c r="IF93" s="889"/>
      <c r="IG93" s="889"/>
      <c r="IH93" s="889"/>
      <c r="II93" s="889"/>
      <c r="IJ93" s="889"/>
      <c r="IK93" s="889"/>
      <c r="IL93" s="889"/>
      <c r="IM93" s="889"/>
      <c r="IN93" s="889"/>
      <c r="IO93" s="889"/>
      <c r="IP93" s="889"/>
      <c r="IQ93" s="889"/>
      <c r="IR93" s="889"/>
      <c r="IS93" s="889"/>
      <c r="IT93" s="889"/>
      <c r="IU93" s="889"/>
      <c r="IV93" s="889"/>
    </row>
    <row r="94" spans="1:256" ht="10.5" customHeight="1">
      <c r="A94" s="875" t="s">
        <v>796</v>
      </c>
      <c r="B94" s="962">
        <v>731.9</v>
      </c>
      <c r="C94" s="962">
        <v>731.9</v>
      </c>
      <c r="D94" s="963">
        <v>731.9</v>
      </c>
      <c r="E94" s="963">
        <v>728.7</v>
      </c>
      <c r="F94" s="963">
        <v>728.2</v>
      </c>
      <c r="G94" s="963">
        <v>481</v>
      </c>
      <c r="H94" s="963">
        <v>466.2</v>
      </c>
      <c r="I94" s="963">
        <v>774.1</v>
      </c>
      <c r="J94" s="963">
        <v>790.3</v>
      </c>
      <c r="K94" s="963">
        <v>800.6</v>
      </c>
      <c r="L94" s="964">
        <v>779.9</v>
      </c>
      <c r="M94" s="965">
        <v>767.2</v>
      </c>
      <c r="N94" s="963">
        <v>663.9</v>
      </c>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89"/>
      <c r="AM94" s="889"/>
      <c r="AN94" s="889"/>
      <c r="AO94" s="889"/>
      <c r="AP94" s="889"/>
      <c r="AQ94" s="889"/>
      <c r="AR94" s="889"/>
      <c r="AS94" s="889"/>
      <c r="AT94" s="889"/>
      <c r="AU94" s="889"/>
      <c r="AV94" s="889"/>
      <c r="AW94" s="889"/>
      <c r="AX94" s="889"/>
      <c r="AY94" s="889"/>
      <c r="AZ94" s="889"/>
      <c r="BA94" s="889"/>
      <c r="BB94" s="889"/>
      <c r="BC94" s="889"/>
      <c r="BD94" s="889"/>
      <c r="BE94" s="889"/>
      <c r="BF94" s="889"/>
      <c r="BG94" s="889"/>
      <c r="BH94" s="889"/>
      <c r="BI94" s="889"/>
      <c r="BJ94" s="889"/>
      <c r="BK94" s="889"/>
      <c r="BL94" s="889"/>
      <c r="BM94" s="889"/>
      <c r="BN94" s="889"/>
      <c r="BO94" s="889"/>
      <c r="BP94" s="889"/>
      <c r="BQ94" s="889"/>
      <c r="BR94" s="889"/>
      <c r="BS94" s="889"/>
      <c r="BT94" s="889"/>
      <c r="BU94" s="889"/>
      <c r="BV94" s="889"/>
      <c r="BW94" s="889"/>
      <c r="BX94" s="889"/>
      <c r="BY94" s="889"/>
      <c r="BZ94" s="889"/>
      <c r="CA94" s="889"/>
      <c r="CB94" s="889"/>
      <c r="CC94" s="889"/>
      <c r="CD94" s="889"/>
      <c r="CE94" s="889"/>
      <c r="CF94" s="889"/>
      <c r="CG94" s="889"/>
      <c r="CH94" s="889"/>
      <c r="CI94" s="889"/>
      <c r="CJ94" s="889"/>
      <c r="CK94" s="889"/>
      <c r="CL94" s="889"/>
      <c r="CM94" s="889"/>
      <c r="CN94" s="889"/>
      <c r="CO94" s="889"/>
      <c r="CP94" s="889"/>
      <c r="CQ94" s="889"/>
      <c r="CR94" s="889"/>
      <c r="CS94" s="889"/>
      <c r="CT94" s="889"/>
      <c r="CU94" s="889"/>
      <c r="CV94" s="889"/>
      <c r="CW94" s="889"/>
      <c r="CX94" s="889"/>
      <c r="CY94" s="889"/>
      <c r="CZ94" s="889"/>
      <c r="DA94" s="889"/>
      <c r="DB94" s="889"/>
      <c r="DC94" s="889"/>
      <c r="DD94" s="889"/>
      <c r="DE94" s="889"/>
      <c r="DF94" s="889"/>
      <c r="DG94" s="889"/>
      <c r="DH94" s="889"/>
      <c r="DI94" s="889"/>
      <c r="DJ94" s="889"/>
      <c r="DK94" s="889"/>
      <c r="DL94" s="889"/>
      <c r="DM94" s="889"/>
      <c r="DN94" s="889"/>
      <c r="DO94" s="889"/>
      <c r="DP94" s="889"/>
      <c r="DQ94" s="889"/>
      <c r="DR94" s="889"/>
      <c r="DS94" s="889"/>
      <c r="DT94" s="889"/>
      <c r="DU94" s="889"/>
      <c r="DV94" s="889"/>
      <c r="DW94" s="889"/>
      <c r="DX94" s="889"/>
      <c r="DY94" s="889"/>
      <c r="DZ94" s="889"/>
      <c r="EA94" s="889"/>
      <c r="EB94" s="889"/>
      <c r="EC94" s="889"/>
      <c r="ED94" s="889"/>
      <c r="EE94" s="889"/>
      <c r="EF94" s="889"/>
      <c r="EG94" s="889"/>
      <c r="EH94" s="889"/>
      <c r="EI94" s="889"/>
      <c r="EJ94" s="889"/>
      <c r="EK94" s="889"/>
      <c r="EL94" s="889"/>
      <c r="EM94" s="889"/>
      <c r="EN94" s="889"/>
      <c r="EO94" s="889"/>
      <c r="EP94" s="889"/>
      <c r="EQ94" s="889"/>
      <c r="ER94" s="889"/>
      <c r="ES94" s="889"/>
      <c r="ET94" s="889"/>
      <c r="EU94" s="889"/>
      <c r="EV94" s="889"/>
      <c r="EW94" s="889"/>
      <c r="EX94" s="889"/>
      <c r="EY94" s="889"/>
      <c r="EZ94" s="889"/>
      <c r="FA94" s="889"/>
      <c r="FB94" s="889"/>
      <c r="FC94" s="889"/>
      <c r="FD94" s="889"/>
      <c r="FE94" s="889"/>
      <c r="FF94" s="889"/>
      <c r="FG94" s="889"/>
      <c r="FH94" s="889"/>
      <c r="FI94" s="889"/>
      <c r="FJ94" s="889"/>
      <c r="FK94" s="889"/>
      <c r="FL94" s="889"/>
      <c r="FM94" s="889"/>
      <c r="FN94" s="889"/>
      <c r="FO94" s="889"/>
      <c r="FP94" s="889"/>
      <c r="FQ94" s="889"/>
      <c r="FR94" s="889"/>
      <c r="FS94" s="889"/>
      <c r="FT94" s="889"/>
      <c r="FU94" s="889"/>
      <c r="FV94" s="889"/>
      <c r="FW94" s="889"/>
      <c r="FX94" s="889"/>
      <c r="FY94" s="889"/>
      <c r="FZ94" s="889"/>
      <c r="GA94" s="889"/>
      <c r="GB94" s="889"/>
      <c r="GC94" s="889"/>
      <c r="GD94" s="889"/>
      <c r="GE94" s="889"/>
      <c r="GF94" s="889"/>
      <c r="GG94" s="889"/>
      <c r="GH94" s="889"/>
      <c r="GI94" s="889"/>
      <c r="GJ94" s="889"/>
      <c r="GK94" s="889"/>
      <c r="GL94" s="889"/>
      <c r="GM94" s="889"/>
      <c r="GN94" s="889"/>
      <c r="GO94" s="889"/>
      <c r="GP94" s="889"/>
      <c r="GQ94" s="889"/>
      <c r="GR94" s="889"/>
      <c r="GS94" s="889"/>
      <c r="GT94" s="889"/>
      <c r="GU94" s="889"/>
      <c r="GV94" s="889"/>
      <c r="GW94" s="889"/>
      <c r="GX94" s="889"/>
      <c r="GY94" s="889"/>
      <c r="GZ94" s="889"/>
      <c r="HA94" s="889"/>
      <c r="HB94" s="889"/>
      <c r="HC94" s="889"/>
      <c r="HD94" s="889"/>
      <c r="HE94" s="889"/>
      <c r="HF94" s="889"/>
      <c r="HG94" s="889"/>
      <c r="HH94" s="889"/>
      <c r="HI94" s="889"/>
      <c r="HJ94" s="889"/>
      <c r="HK94" s="889"/>
      <c r="HL94" s="889"/>
      <c r="HM94" s="889"/>
      <c r="HN94" s="889"/>
      <c r="HO94" s="889"/>
      <c r="HP94" s="889"/>
      <c r="HQ94" s="889"/>
      <c r="HR94" s="889"/>
      <c r="HS94" s="889"/>
      <c r="HT94" s="889"/>
      <c r="HU94" s="889"/>
      <c r="HV94" s="889"/>
      <c r="HW94" s="889"/>
      <c r="HX94" s="889"/>
      <c r="HY94" s="889"/>
      <c r="HZ94" s="889"/>
      <c r="IA94" s="889"/>
      <c r="IB94" s="889"/>
      <c r="IC94" s="889"/>
      <c r="ID94" s="889"/>
      <c r="IE94" s="889"/>
      <c r="IF94" s="889"/>
      <c r="IG94" s="889"/>
      <c r="IH94" s="889"/>
      <c r="II94" s="889"/>
      <c r="IJ94" s="889"/>
      <c r="IK94" s="889"/>
      <c r="IL94" s="889"/>
      <c r="IM94" s="889"/>
      <c r="IN94" s="889"/>
      <c r="IO94" s="889"/>
      <c r="IP94" s="889"/>
      <c r="IQ94" s="889"/>
      <c r="IR94" s="889"/>
      <c r="IS94" s="889"/>
      <c r="IT94" s="889"/>
      <c r="IU94" s="889"/>
      <c r="IV94" s="889"/>
    </row>
    <row r="95" spans="1:256" ht="10.5" customHeight="1">
      <c r="A95" s="875" t="s">
        <v>797</v>
      </c>
      <c r="B95" s="962">
        <v>168.8</v>
      </c>
      <c r="C95" s="962">
        <v>168.8</v>
      </c>
      <c r="D95" s="963">
        <v>168.8</v>
      </c>
      <c r="E95" s="963">
        <v>171.9</v>
      </c>
      <c r="F95" s="963">
        <v>170.8</v>
      </c>
      <c r="G95" s="963">
        <v>129.5</v>
      </c>
      <c r="H95" s="963">
        <v>127.8</v>
      </c>
      <c r="I95" s="963">
        <v>142.80000000000001</v>
      </c>
      <c r="J95" s="963">
        <v>131.19999999999999</v>
      </c>
      <c r="K95" s="963">
        <v>189.7</v>
      </c>
      <c r="L95" s="964">
        <v>187</v>
      </c>
      <c r="M95" s="965">
        <v>193.7</v>
      </c>
      <c r="N95" s="963">
        <v>194.5</v>
      </c>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89"/>
      <c r="AM95" s="889"/>
      <c r="AN95" s="889"/>
      <c r="AO95" s="889"/>
      <c r="AP95" s="889"/>
      <c r="AQ95" s="889"/>
      <c r="AR95" s="889"/>
      <c r="AS95" s="889"/>
      <c r="AT95" s="889"/>
      <c r="AU95" s="889"/>
      <c r="AV95" s="889"/>
      <c r="AW95" s="889"/>
      <c r="AX95" s="889"/>
      <c r="AY95" s="889"/>
      <c r="AZ95" s="889"/>
      <c r="BA95" s="889"/>
      <c r="BB95" s="889"/>
      <c r="BC95" s="889"/>
      <c r="BD95" s="889"/>
      <c r="BE95" s="889"/>
      <c r="BF95" s="889"/>
      <c r="BG95" s="889"/>
      <c r="BH95" s="889"/>
      <c r="BI95" s="889"/>
      <c r="BJ95" s="889"/>
      <c r="BK95" s="889"/>
      <c r="BL95" s="889"/>
      <c r="BM95" s="889"/>
      <c r="BN95" s="889"/>
      <c r="BO95" s="889"/>
      <c r="BP95" s="889"/>
      <c r="BQ95" s="889"/>
      <c r="BR95" s="889"/>
      <c r="BS95" s="889"/>
      <c r="BT95" s="889"/>
      <c r="BU95" s="889"/>
      <c r="BV95" s="889"/>
      <c r="BW95" s="889"/>
      <c r="BX95" s="889"/>
      <c r="BY95" s="889"/>
      <c r="BZ95" s="889"/>
      <c r="CA95" s="889"/>
      <c r="CB95" s="889"/>
      <c r="CC95" s="889"/>
      <c r="CD95" s="889"/>
      <c r="CE95" s="889"/>
      <c r="CF95" s="889"/>
      <c r="CG95" s="889"/>
      <c r="CH95" s="889"/>
      <c r="CI95" s="889"/>
      <c r="CJ95" s="889"/>
      <c r="CK95" s="889"/>
      <c r="CL95" s="889"/>
      <c r="CM95" s="889"/>
      <c r="CN95" s="889"/>
      <c r="CO95" s="889"/>
      <c r="CP95" s="889"/>
      <c r="CQ95" s="889"/>
      <c r="CR95" s="889"/>
      <c r="CS95" s="889"/>
      <c r="CT95" s="889"/>
      <c r="CU95" s="889"/>
      <c r="CV95" s="889"/>
      <c r="CW95" s="889"/>
      <c r="CX95" s="889"/>
      <c r="CY95" s="889"/>
      <c r="CZ95" s="889"/>
      <c r="DA95" s="889"/>
      <c r="DB95" s="889"/>
      <c r="DC95" s="889"/>
      <c r="DD95" s="889"/>
      <c r="DE95" s="889"/>
      <c r="DF95" s="889"/>
      <c r="DG95" s="889"/>
      <c r="DH95" s="889"/>
      <c r="DI95" s="889"/>
      <c r="DJ95" s="889"/>
      <c r="DK95" s="889"/>
      <c r="DL95" s="889"/>
      <c r="DM95" s="889"/>
      <c r="DN95" s="889"/>
      <c r="DO95" s="889"/>
      <c r="DP95" s="889"/>
      <c r="DQ95" s="889"/>
      <c r="DR95" s="889"/>
      <c r="DS95" s="889"/>
      <c r="DT95" s="889"/>
      <c r="DU95" s="889"/>
      <c r="DV95" s="889"/>
      <c r="DW95" s="889"/>
      <c r="DX95" s="889"/>
      <c r="DY95" s="889"/>
      <c r="DZ95" s="889"/>
      <c r="EA95" s="889"/>
      <c r="EB95" s="889"/>
      <c r="EC95" s="889"/>
      <c r="ED95" s="889"/>
      <c r="EE95" s="889"/>
      <c r="EF95" s="889"/>
      <c r="EG95" s="889"/>
      <c r="EH95" s="889"/>
      <c r="EI95" s="889"/>
      <c r="EJ95" s="889"/>
      <c r="EK95" s="889"/>
      <c r="EL95" s="889"/>
      <c r="EM95" s="889"/>
      <c r="EN95" s="889"/>
      <c r="EO95" s="889"/>
      <c r="EP95" s="889"/>
      <c r="EQ95" s="889"/>
      <c r="ER95" s="889"/>
      <c r="ES95" s="889"/>
      <c r="ET95" s="889"/>
      <c r="EU95" s="889"/>
      <c r="EV95" s="889"/>
      <c r="EW95" s="889"/>
      <c r="EX95" s="889"/>
      <c r="EY95" s="889"/>
      <c r="EZ95" s="889"/>
      <c r="FA95" s="889"/>
      <c r="FB95" s="889"/>
      <c r="FC95" s="889"/>
      <c r="FD95" s="889"/>
      <c r="FE95" s="889"/>
      <c r="FF95" s="889"/>
      <c r="FG95" s="889"/>
      <c r="FH95" s="889"/>
      <c r="FI95" s="889"/>
      <c r="FJ95" s="889"/>
      <c r="FK95" s="889"/>
      <c r="FL95" s="889"/>
      <c r="FM95" s="889"/>
      <c r="FN95" s="889"/>
      <c r="FO95" s="889"/>
      <c r="FP95" s="889"/>
      <c r="FQ95" s="889"/>
      <c r="FR95" s="889"/>
      <c r="FS95" s="889"/>
      <c r="FT95" s="889"/>
      <c r="FU95" s="889"/>
      <c r="FV95" s="889"/>
      <c r="FW95" s="889"/>
      <c r="FX95" s="889"/>
      <c r="FY95" s="889"/>
      <c r="FZ95" s="889"/>
      <c r="GA95" s="889"/>
      <c r="GB95" s="889"/>
      <c r="GC95" s="889"/>
      <c r="GD95" s="889"/>
      <c r="GE95" s="889"/>
      <c r="GF95" s="889"/>
      <c r="GG95" s="889"/>
      <c r="GH95" s="889"/>
      <c r="GI95" s="889"/>
      <c r="GJ95" s="889"/>
      <c r="GK95" s="889"/>
      <c r="GL95" s="889"/>
      <c r="GM95" s="889"/>
      <c r="GN95" s="889"/>
      <c r="GO95" s="889"/>
      <c r="GP95" s="889"/>
      <c r="GQ95" s="889"/>
      <c r="GR95" s="889"/>
      <c r="GS95" s="889"/>
      <c r="GT95" s="889"/>
      <c r="GU95" s="889"/>
      <c r="GV95" s="889"/>
      <c r="GW95" s="889"/>
      <c r="GX95" s="889"/>
      <c r="GY95" s="889"/>
      <c r="GZ95" s="889"/>
      <c r="HA95" s="889"/>
      <c r="HB95" s="889"/>
      <c r="HC95" s="889"/>
      <c r="HD95" s="889"/>
      <c r="HE95" s="889"/>
      <c r="HF95" s="889"/>
      <c r="HG95" s="889"/>
      <c r="HH95" s="889"/>
      <c r="HI95" s="889"/>
      <c r="HJ95" s="889"/>
      <c r="HK95" s="889"/>
      <c r="HL95" s="889"/>
      <c r="HM95" s="889"/>
      <c r="HN95" s="889"/>
      <c r="HO95" s="889"/>
      <c r="HP95" s="889"/>
      <c r="HQ95" s="889"/>
      <c r="HR95" s="889"/>
      <c r="HS95" s="889"/>
      <c r="HT95" s="889"/>
      <c r="HU95" s="889"/>
      <c r="HV95" s="889"/>
      <c r="HW95" s="889"/>
      <c r="HX95" s="889"/>
      <c r="HY95" s="889"/>
      <c r="HZ95" s="889"/>
      <c r="IA95" s="889"/>
      <c r="IB95" s="889"/>
      <c r="IC95" s="889"/>
      <c r="ID95" s="889"/>
      <c r="IE95" s="889"/>
      <c r="IF95" s="889"/>
      <c r="IG95" s="889"/>
      <c r="IH95" s="889"/>
      <c r="II95" s="889"/>
      <c r="IJ95" s="889"/>
      <c r="IK95" s="889"/>
      <c r="IL95" s="889"/>
      <c r="IM95" s="889"/>
      <c r="IN95" s="889"/>
      <c r="IO95" s="889"/>
      <c r="IP95" s="889"/>
      <c r="IQ95" s="889"/>
      <c r="IR95" s="889"/>
      <c r="IS95" s="889"/>
      <c r="IT95" s="889"/>
      <c r="IU95" s="889"/>
      <c r="IV95" s="889"/>
    </row>
    <row r="96" spans="1:256" ht="10.5" customHeight="1">
      <c r="A96" s="875" t="s">
        <v>835</v>
      </c>
      <c r="B96" s="962">
        <v>1402.9</v>
      </c>
      <c r="C96" s="962">
        <v>1642.7</v>
      </c>
      <c r="D96" s="963">
        <v>1807</v>
      </c>
      <c r="E96" s="963">
        <v>1901.7</v>
      </c>
      <c r="F96" s="963">
        <v>2408.6</v>
      </c>
      <c r="G96" s="963">
        <v>1937.8</v>
      </c>
      <c r="H96" s="963">
        <v>2209.1</v>
      </c>
      <c r="I96" s="963">
        <v>2457.8000000000002</v>
      </c>
      <c r="J96" s="963">
        <v>2359.1999999999998</v>
      </c>
      <c r="K96" s="963">
        <v>2263.4</v>
      </c>
      <c r="L96" s="965">
        <v>2015.6</v>
      </c>
      <c r="M96" s="965">
        <v>2182.6</v>
      </c>
      <c r="N96" s="963">
        <v>2256.5</v>
      </c>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89"/>
      <c r="AM96" s="889"/>
      <c r="AN96" s="889"/>
      <c r="AO96" s="889"/>
      <c r="AP96" s="889"/>
      <c r="AQ96" s="889"/>
      <c r="AR96" s="889"/>
      <c r="AS96" s="889"/>
      <c r="AT96" s="889"/>
      <c r="AU96" s="889"/>
      <c r="AV96" s="889"/>
      <c r="AW96" s="889"/>
      <c r="AX96" s="889"/>
      <c r="AY96" s="889"/>
      <c r="AZ96" s="889"/>
      <c r="BA96" s="889"/>
      <c r="BB96" s="889"/>
      <c r="BC96" s="889"/>
      <c r="BD96" s="889"/>
      <c r="BE96" s="889"/>
      <c r="BF96" s="889"/>
      <c r="BG96" s="889"/>
      <c r="BH96" s="889"/>
      <c r="BI96" s="889"/>
      <c r="BJ96" s="889"/>
      <c r="BK96" s="889"/>
      <c r="BL96" s="889"/>
      <c r="BM96" s="889"/>
      <c r="BN96" s="889"/>
      <c r="BO96" s="889"/>
      <c r="BP96" s="889"/>
      <c r="BQ96" s="889"/>
      <c r="BR96" s="889"/>
      <c r="BS96" s="889"/>
      <c r="BT96" s="889"/>
      <c r="BU96" s="889"/>
      <c r="BV96" s="889"/>
      <c r="BW96" s="889"/>
      <c r="BX96" s="889"/>
      <c r="BY96" s="889"/>
      <c r="BZ96" s="889"/>
      <c r="CA96" s="889"/>
      <c r="CB96" s="889"/>
      <c r="CC96" s="889"/>
      <c r="CD96" s="889"/>
      <c r="CE96" s="889"/>
      <c r="CF96" s="889"/>
      <c r="CG96" s="889"/>
      <c r="CH96" s="889"/>
      <c r="CI96" s="889"/>
      <c r="CJ96" s="889"/>
      <c r="CK96" s="889"/>
      <c r="CL96" s="889"/>
      <c r="CM96" s="889"/>
      <c r="CN96" s="889"/>
      <c r="CO96" s="889"/>
      <c r="CP96" s="889"/>
      <c r="CQ96" s="889"/>
      <c r="CR96" s="889"/>
      <c r="CS96" s="889"/>
      <c r="CT96" s="889"/>
      <c r="CU96" s="889"/>
      <c r="CV96" s="889"/>
      <c r="CW96" s="889"/>
      <c r="CX96" s="889"/>
      <c r="CY96" s="889"/>
      <c r="CZ96" s="889"/>
      <c r="DA96" s="889"/>
      <c r="DB96" s="889"/>
      <c r="DC96" s="889"/>
      <c r="DD96" s="889"/>
      <c r="DE96" s="889"/>
      <c r="DF96" s="889"/>
      <c r="DG96" s="889"/>
      <c r="DH96" s="889"/>
      <c r="DI96" s="889"/>
      <c r="DJ96" s="889"/>
      <c r="DK96" s="889"/>
      <c r="DL96" s="889"/>
      <c r="DM96" s="889"/>
      <c r="DN96" s="889"/>
      <c r="DO96" s="889"/>
      <c r="DP96" s="889"/>
      <c r="DQ96" s="889"/>
      <c r="DR96" s="889"/>
      <c r="DS96" s="889"/>
      <c r="DT96" s="889"/>
      <c r="DU96" s="889"/>
      <c r="DV96" s="889"/>
      <c r="DW96" s="889"/>
      <c r="DX96" s="889"/>
      <c r="DY96" s="889"/>
      <c r="DZ96" s="889"/>
      <c r="EA96" s="889"/>
      <c r="EB96" s="889"/>
      <c r="EC96" s="889"/>
      <c r="ED96" s="889"/>
      <c r="EE96" s="889"/>
      <c r="EF96" s="889"/>
      <c r="EG96" s="889"/>
      <c r="EH96" s="889"/>
      <c r="EI96" s="889"/>
      <c r="EJ96" s="889"/>
      <c r="EK96" s="889"/>
      <c r="EL96" s="889"/>
      <c r="EM96" s="889"/>
      <c r="EN96" s="889"/>
      <c r="EO96" s="889"/>
      <c r="EP96" s="889"/>
      <c r="EQ96" s="889"/>
      <c r="ER96" s="889"/>
      <c r="ES96" s="889"/>
      <c r="ET96" s="889"/>
      <c r="EU96" s="889"/>
      <c r="EV96" s="889"/>
      <c r="EW96" s="889"/>
      <c r="EX96" s="889"/>
      <c r="EY96" s="889"/>
      <c r="EZ96" s="889"/>
      <c r="FA96" s="889"/>
      <c r="FB96" s="889"/>
      <c r="FC96" s="889"/>
      <c r="FD96" s="889"/>
      <c r="FE96" s="889"/>
      <c r="FF96" s="889"/>
      <c r="FG96" s="889"/>
      <c r="FH96" s="889"/>
      <c r="FI96" s="889"/>
      <c r="FJ96" s="889"/>
      <c r="FK96" s="889"/>
      <c r="FL96" s="889"/>
      <c r="FM96" s="889"/>
      <c r="FN96" s="889"/>
      <c r="FO96" s="889"/>
      <c r="FP96" s="889"/>
      <c r="FQ96" s="889"/>
      <c r="FR96" s="889"/>
      <c r="FS96" s="889"/>
      <c r="FT96" s="889"/>
      <c r="FU96" s="889"/>
      <c r="FV96" s="889"/>
      <c r="FW96" s="889"/>
      <c r="FX96" s="889"/>
      <c r="FY96" s="889"/>
      <c r="FZ96" s="889"/>
      <c r="GA96" s="889"/>
      <c r="GB96" s="889"/>
      <c r="GC96" s="889"/>
      <c r="GD96" s="889"/>
      <c r="GE96" s="889"/>
      <c r="GF96" s="889"/>
      <c r="GG96" s="889"/>
      <c r="GH96" s="889"/>
      <c r="GI96" s="889"/>
      <c r="GJ96" s="889"/>
      <c r="GK96" s="889"/>
      <c r="GL96" s="889"/>
      <c r="GM96" s="889"/>
      <c r="GN96" s="889"/>
      <c r="GO96" s="889"/>
      <c r="GP96" s="889"/>
      <c r="GQ96" s="889"/>
      <c r="GR96" s="889"/>
      <c r="GS96" s="889"/>
      <c r="GT96" s="889"/>
      <c r="GU96" s="889"/>
      <c r="GV96" s="889"/>
      <c r="GW96" s="889"/>
      <c r="GX96" s="889"/>
      <c r="GY96" s="889"/>
      <c r="GZ96" s="889"/>
      <c r="HA96" s="889"/>
      <c r="HB96" s="889"/>
      <c r="HC96" s="889"/>
      <c r="HD96" s="889"/>
      <c r="HE96" s="889"/>
      <c r="HF96" s="889"/>
      <c r="HG96" s="889"/>
      <c r="HH96" s="889"/>
      <c r="HI96" s="889"/>
      <c r="HJ96" s="889"/>
      <c r="HK96" s="889"/>
      <c r="HL96" s="889"/>
      <c r="HM96" s="889"/>
      <c r="HN96" s="889"/>
      <c r="HO96" s="889"/>
      <c r="HP96" s="889"/>
      <c r="HQ96" s="889"/>
      <c r="HR96" s="889"/>
      <c r="HS96" s="889"/>
      <c r="HT96" s="889"/>
      <c r="HU96" s="889"/>
      <c r="HV96" s="889"/>
      <c r="HW96" s="889"/>
      <c r="HX96" s="889"/>
      <c r="HY96" s="889"/>
      <c r="HZ96" s="889"/>
      <c r="IA96" s="889"/>
      <c r="IB96" s="889"/>
      <c r="IC96" s="889"/>
      <c r="ID96" s="889"/>
      <c r="IE96" s="889"/>
      <c r="IF96" s="889"/>
      <c r="IG96" s="889"/>
      <c r="IH96" s="889"/>
      <c r="II96" s="889"/>
      <c r="IJ96" s="889"/>
      <c r="IK96" s="889"/>
      <c r="IL96" s="889"/>
      <c r="IM96" s="889"/>
      <c r="IN96" s="889"/>
      <c r="IO96" s="889"/>
      <c r="IP96" s="889"/>
      <c r="IQ96" s="889"/>
      <c r="IR96" s="889"/>
      <c r="IS96" s="889"/>
      <c r="IT96" s="889"/>
      <c r="IU96" s="889"/>
      <c r="IV96" s="889"/>
    </row>
    <row r="97" spans="1:256" ht="10.5" customHeight="1">
      <c r="A97" s="875" t="s">
        <v>799</v>
      </c>
      <c r="B97" s="962">
        <v>239.6</v>
      </c>
      <c r="C97" s="962">
        <v>212</v>
      </c>
      <c r="D97" s="963">
        <v>267.7</v>
      </c>
      <c r="E97" s="963">
        <v>229.4</v>
      </c>
      <c r="F97" s="963">
        <v>123.2</v>
      </c>
      <c r="G97" s="963">
        <v>102</v>
      </c>
      <c r="H97" s="963">
        <v>71.900000000000006</v>
      </c>
      <c r="I97" s="963">
        <v>43.5</v>
      </c>
      <c r="J97" s="963">
        <v>111.3</v>
      </c>
      <c r="K97" s="963">
        <v>69.400000000000006</v>
      </c>
      <c r="L97" s="965">
        <v>59</v>
      </c>
      <c r="M97" s="965">
        <v>58</v>
      </c>
      <c r="N97" s="963">
        <v>69.2</v>
      </c>
      <c r="O97" s="889"/>
      <c r="P97" s="889"/>
      <c r="Q97" s="889"/>
      <c r="R97" s="889"/>
      <c r="S97" s="889"/>
      <c r="T97" s="889"/>
      <c r="U97" s="889"/>
      <c r="V97" s="889"/>
      <c r="W97" s="889"/>
      <c r="X97" s="889"/>
      <c r="Y97" s="889"/>
      <c r="Z97" s="889"/>
      <c r="AA97" s="889"/>
      <c r="AB97" s="889"/>
      <c r="AC97" s="889"/>
      <c r="AD97" s="889"/>
      <c r="AE97" s="889"/>
      <c r="AF97" s="889"/>
      <c r="AG97" s="889"/>
      <c r="AH97" s="889"/>
      <c r="AI97" s="889"/>
      <c r="AJ97" s="889"/>
      <c r="AK97" s="889"/>
      <c r="AL97" s="889"/>
      <c r="AM97" s="889"/>
      <c r="AN97" s="889"/>
      <c r="AO97" s="889"/>
      <c r="AP97" s="889"/>
      <c r="AQ97" s="889"/>
      <c r="AR97" s="889"/>
      <c r="AS97" s="889"/>
      <c r="AT97" s="889"/>
      <c r="AU97" s="889"/>
      <c r="AV97" s="889"/>
      <c r="AW97" s="889"/>
      <c r="AX97" s="889"/>
      <c r="AY97" s="889"/>
      <c r="AZ97" s="889"/>
      <c r="BA97" s="889"/>
      <c r="BB97" s="889"/>
      <c r="BC97" s="889"/>
      <c r="BD97" s="889"/>
      <c r="BE97" s="889"/>
      <c r="BF97" s="889"/>
      <c r="BG97" s="889"/>
      <c r="BH97" s="889"/>
      <c r="BI97" s="889"/>
      <c r="BJ97" s="889"/>
      <c r="BK97" s="889"/>
      <c r="BL97" s="889"/>
      <c r="BM97" s="889"/>
      <c r="BN97" s="889"/>
      <c r="BO97" s="889"/>
      <c r="BP97" s="889"/>
      <c r="BQ97" s="889"/>
      <c r="BR97" s="889"/>
      <c r="BS97" s="889"/>
      <c r="BT97" s="889"/>
      <c r="BU97" s="889"/>
      <c r="BV97" s="889"/>
      <c r="BW97" s="889"/>
      <c r="BX97" s="889"/>
      <c r="BY97" s="889"/>
      <c r="BZ97" s="889"/>
      <c r="CA97" s="889"/>
      <c r="CB97" s="889"/>
      <c r="CC97" s="889"/>
      <c r="CD97" s="889"/>
      <c r="CE97" s="889"/>
      <c r="CF97" s="889"/>
      <c r="CG97" s="889"/>
      <c r="CH97" s="889"/>
      <c r="CI97" s="889"/>
      <c r="CJ97" s="889"/>
      <c r="CK97" s="889"/>
      <c r="CL97" s="889"/>
      <c r="CM97" s="889"/>
      <c r="CN97" s="889"/>
      <c r="CO97" s="889"/>
      <c r="CP97" s="889"/>
      <c r="CQ97" s="889"/>
      <c r="CR97" s="889"/>
      <c r="CS97" s="889"/>
      <c r="CT97" s="889"/>
      <c r="CU97" s="889"/>
      <c r="CV97" s="889"/>
      <c r="CW97" s="889"/>
      <c r="CX97" s="889"/>
      <c r="CY97" s="889"/>
      <c r="CZ97" s="889"/>
      <c r="DA97" s="889"/>
      <c r="DB97" s="889"/>
      <c r="DC97" s="889"/>
      <c r="DD97" s="889"/>
      <c r="DE97" s="889"/>
      <c r="DF97" s="889"/>
      <c r="DG97" s="889"/>
      <c r="DH97" s="889"/>
      <c r="DI97" s="889"/>
      <c r="DJ97" s="889"/>
      <c r="DK97" s="889"/>
      <c r="DL97" s="889"/>
      <c r="DM97" s="889"/>
      <c r="DN97" s="889"/>
      <c r="DO97" s="889"/>
      <c r="DP97" s="889"/>
      <c r="DQ97" s="889"/>
      <c r="DR97" s="889"/>
      <c r="DS97" s="889"/>
      <c r="DT97" s="889"/>
      <c r="DU97" s="889"/>
      <c r="DV97" s="889"/>
      <c r="DW97" s="889"/>
      <c r="DX97" s="889"/>
      <c r="DY97" s="889"/>
      <c r="DZ97" s="889"/>
      <c r="EA97" s="889"/>
      <c r="EB97" s="889"/>
      <c r="EC97" s="889"/>
      <c r="ED97" s="889"/>
      <c r="EE97" s="889"/>
      <c r="EF97" s="889"/>
      <c r="EG97" s="889"/>
      <c r="EH97" s="889"/>
      <c r="EI97" s="889"/>
      <c r="EJ97" s="889"/>
      <c r="EK97" s="889"/>
      <c r="EL97" s="889"/>
      <c r="EM97" s="889"/>
      <c r="EN97" s="889"/>
      <c r="EO97" s="889"/>
      <c r="EP97" s="889"/>
      <c r="EQ97" s="889"/>
      <c r="ER97" s="889"/>
      <c r="ES97" s="889"/>
      <c r="ET97" s="889"/>
      <c r="EU97" s="889"/>
      <c r="EV97" s="889"/>
      <c r="EW97" s="889"/>
      <c r="EX97" s="889"/>
      <c r="EY97" s="889"/>
      <c r="EZ97" s="889"/>
      <c r="FA97" s="889"/>
      <c r="FB97" s="889"/>
      <c r="FC97" s="889"/>
      <c r="FD97" s="889"/>
      <c r="FE97" s="889"/>
      <c r="FF97" s="889"/>
      <c r="FG97" s="889"/>
      <c r="FH97" s="889"/>
      <c r="FI97" s="889"/>
      <c r="FJ97" s="889"/>
      <c r="FK97" s="889"/>
      <c r="FL97" s="889"/>
      <c r="FM97" s="889"/>
      <c r="FN97" s="889"/>
      <c r="FO97" s="889"/>
      <c r="FP97" s="889"/>
      <c r="FQ97" s="889"/>
      <c r="FR97" s="889"/>
      <c r="FS97" s="889"/>
      <c r="FT97" s="889"/>
      <c r="FU97" s="889"/>
      <c r="FV97" s="889"/>
      <c r="FW97" s="889"/>
      <c r="FX97" s="889"/>
      <c r="FY97" s="889"/>
      <c r="FZ97" s="889"/>
      <c r="GA97" s="889"/>
      <c r="GB97" s="889"/>
      <c r="GC97" s="889"/>
      <c r="GD97" s="889"/>
      <c r="GE97" s="889"/>
      <c r="GF97" s="889"/>
      <c r="GG97" s="889"/>
      <c r="GH97" s="889"/>
      <c r="GI97" s="889"/>
      <c r="GJ97" s="889"/>
      <c r="GK97" s="889"/>
      <c r="GL97" s="889"/>
      <c r="GM97" s="889"/>
      <c r="GN97" s="889"/>
      <c r="GO97" s="889"/>
      <c r="GP97" s="889"/>
      <c r="GQ97" s="889"/>
      <c r="GR97" s="889"/>
      <c r="GS97" s="889"/>
      <c r="GT97" s="889"/>
      <c r="GU97" s="889"/>
      <c r="GV97" s="889"/>
      <c r="GW97" s="889"/>
      <c r="GX97" s="889"/>
      <c r="GY97" s="889"/>
      <c r="GZ97" s="889"/>
      <c r="HA97" s="889"/>
      <c r="HB97" s="889"/>
      <c r="HC97" s="889"/>
      <c r="HD97" s="889"/>
      <c r="HE97" s="889"/>
      <c r="HF97" s="889"/>
      <c r="HG97" s="889"/>
      <c r="HH97" s="889"/>
      <c r="HI97" s="889"/>
      <c r="HJ97" s="889"/>
      <c r="HK97" s="889"/>
      <c r="HL97" s="889"/>
      <c r="HM97" s="889"/>
      <c r="HN97" s="889"/>
      <c r="HO97" s="889"/>
      <c r="HP97" s="889"/>
      <c r="HQ97" s="889"/>
      <c r="HR97" s="889"/>
      <c r="HS97" s="889"/>
      <c r="HT97" s="889"/>
      <c r="HU97" s="889"/>
      <c r="HV97" s="889"/>
      <c r="HW97" s="889"/>
      <c r="HX97" s="889"/>
      <c r="HY97" s="889"/>
      <c r="HZ97" s="889"/>
      <c r="IA97" s="889"/>
      <c r="IB97" s="889"/>
      <c r="IC97" s="889"/>
      <c r="ID97" s="889"/>
      <c r="IE97" s="889"/>
      <c r="IF97" s="889"/>
      <c r="IG97" s="889"/>
      <c r="IH97" s="889"/>
      <c r="II97" s="889"/>
      <c r="IJ97" s="889"/>
      <c r="IK97" s="889"/>
      <c r="IL97" s="889"/>
      <c r="IM97" s="889"/>
      <c r="IN97" s="889"/>
      <c r="IO97" s="889"/>
      <c r="IP97" s="889"/>
      <c r="IQ97" s="889"/>
      <c r="IR97" s="889"/>
      <c r="IS97" s="889"/>
      <c r="IT97" s="889"/>
      <c r="IU97" s="889"/>
      <c r="IV97" s="889"/>
    </row>
    <row r="98" spans="1:256" ht="10.5" customHeight="1">
      <c r="A98" s="924" t="s">
        <v>811</v>
      </c>
      <c r="B98" s="982">
        <v>782.6</v>
      </c>
      <c r="C98" s="982">
        <v>870.6</v>
      </c>
      <c r="D98" s="983">
        <v>953.8</v>
      </c>
      <c r="E98" s="983">
        <v>1129.4000000000001</v>
      </c>
      <c r="F98" s="983">
        <v>1256.5</v>
      </c>
      <c r="G98" s="983">
        <f>1264.9+1.3+4.3</f>
        <v>1270.5</v>
      </c>
      <c r="H98" s="983">
        <f>1357.3+7.3+0.5</f>
        <v>1365.1</v>
      </c>
      <c r="I98" s="983">
        <v>1586.9</v>
      </c>
      <c r="J98" s="983">
        <f>1631.7+31.1</f>
        <v>1662.8</v>
      </c>
      <c r="K98" s="983">
        <v>1770.1</v>
      </c>
      <c r="L98" s="984">
        <v>1809.8</v>
      </c>
      <c r="M98" s="984">
        <v>1850</v>
      </c>
      <c r="N98" s="983">
        <v>1886.8</v>
      </c>
      <c r="O98" s="889"/>
      <c r="P98" s="889"/>
      <c r="Q98" s="889"/>
      <c r="R98" s="889"/>
      <c r="S98" s="889"/>
      <c r="T98" s="889"/>
      <c r="U98" s="889"/>
      <c r="V98" s="889"/>
      <c r="W98" s="889"/>
      <c r="X98" s="889"/>
      <c r="Y98" s="889"/>
      <c r="Z98" s="889"/>
      <c r="AA98" s="889"/>
      <c r="AB98" s="889"/>
      <c r="AC98" s="889"/>
      <c r="AD98" s="889"/>
      <c r="AE98" s="889"/>
      <c r="AF98" s="889"/>
      <c r="AG98" s="889"/>
      <c r="AH98" s="889"/>
      <c r="AI98" s="889"/>
      <c r="AJ98" s="889"/>
      <c r="AK98" s="889"/>
      <c r="AL98" s="889"/>
      <c r="AM98" s="889"/>
      <c r="AN98" s="889"/>
      <c r="AO98" s="889"/>
      <c r="AP98" s="889"/>
      <c r="AQ98" s="889"/>
      <c r="AR98" s="889"/>
      <c r="AS98" s="889"/>
      <c r="AT98" s="889"/>
      <c r="AU98" s="889"/>
      <c r="AV98" s="889"/>
      <c r="AW98" s="889"/>
      <c r="AX98" s="889"/>
      <c r="AY98" s="889"/>
      <c r="AZ98" s="889"/>
      <c r="BA98" s="889"/>
      <c r="BB98" s="889"/>
      <c r="BC98" s="889"/>
      <c r="BD98" s="889"/>
      <c r="BE98" s="889"/>
      <c r="BF98" s="889"/>
      <c r="BG98" s="889"/>
      <c r="BH98" s="889"/>
      <c r="BI98" s="889"/>
      <c r="BJ98" s="889"/>
      <c r="BK98" s="889"/>
      <c r="BL98" s="889"/>
      <c r="BM98" s="889"/>
      <c r="BN98" s="889"/>
      <c r="BO98" s="889"/>
      <c r="BP98" s="889"/>
      <c r="BQ98" s="889"/>
      <c r="BR98" s="889"/>
      <c r="BS98" s="889"/>
      <c r="BT98" s="889"/>
      <c r="BU98" s="889"/>
      <c r="BV98" s="889"/>
      <c r="BW98" s="889"/>
      <c r="BX98" s="889"/>
      <c r="BY98" s="889"/>
      <c r="BZ98" s="889"/>
      <c r="CA98" s="889"/>
      <c r="CB98" s="889"/>
      <c r="CC98" s="889"/>
      <c r="CD98" s="889"/>
      <c r="CE98" s="889"/>
      <c r="CF98" s="889"/>
      <c r="CG98" s="889"/>
      <c r="CH98" s="889"/>
      <c r="CI98" s="889"/>
      <c r="CJ98" s="889"/>
      <c r="CK98" s="889"/>
      <c r="CL98" s="889"/>
      <c r="CM98" s="889"/>
      <c r="CN98" s="889"/>
      <c r="CO98" s="889"/>
      <c r="CP98" s="889"/>
      <c r="CQ98" s="889"/>
      <c r="CR98" s="889"/>
      <c r="CS98" s="889"/>
      <c r="CT98" s="889"/>
      <c r="CU98" s="889"/>
      <c r="CV98" s="889"/>
      <c r="CW98" s="889"/>
      <c r="CX98" s="889"/>
      <c r="CY98" s="889"/>
      <c r="CZ98" s="889"/>
      <c r="DA98" s="889"/>
      <c r="DB98" s="889"/>
      <c r="DC98" s="889"/>
      <c r="DD98" s="889"/>
      <c r="DE98" s="889"/>
      <c r="DF98" s="889"/>
      <c r="DG98" s="889"/>
      <c r="DH98" s="889"/>
      <c r="DI98" s="889"/>
      <c r="DJ98" s="889"/>
      <c r="DK98" s="889"/>
      <c r="DL98" s="889"/>
      <c r="DM98" s="889"/>
      <c r="DN98" s="889"/>
      <c r="DO98" s="889"/>
      <c r="DP98" s="889"/>
      <c r="DQ98" s="889"/>
      <c r="DR98" s="889"/>
      <c r="DS98" s="889"/>
      <c r="DT98" s="889"/>
      <c r="DU98" s="889"/>
      <c r="DV98" s="889"/>
      <c r="DW98" s="889"/>
      <c r="DX98" s="889"/>
      <c r="DY98" s="889"/>
      <c r="DZ98" s="889"/>
      <c r="EA98" s="889"/>
      <c r="EB98" s="889"/>
      <c r="EC98" s="889"/>
      <c r="ED98" s="889"/>
      <c r="EE98" s="889"/>
      <c r="EF98" s="889"/>
      <c r="EG98" s="889"/>
      <c r="EH98" s="889"/>
      <c r="EI98" s="889"/>
      <c r="EJ98" s="889"/>
      <c r="EK98" s="889"/>
      <c r="EL98" s="889"/>
      <c r="EM98" s="889"/>
      <c r="EN98" s="889"/>
      <c r="EO98" s="889"/>
      <c r="EP98" s="889"/>
      <c r="EQ98" s="889"/>
      <c r="ER98" s="889"/>
      <c r="ES98" s="889"/>
      <c r="ET98" s="889"/>
      <c r="EU98" s="889"/>
      <c r="EV98" s="889"/>
      <c r="EW98" s="889"/>
      <c r="EX98" s="889"/>
      <c r="EY98" s="889"/>
      <c r="EZ98" s="889"/>
      <c r="FA98" s="889"/>
      <c r="FB98" s="889"/>
      <c r="FC98" s="889"/>
      <c r="FD98" s="889"/>
      <c r="FE98" s="889"/>
      <c r="FF98" s="889"/>
      <c r="FG98" s="889"/>
      <c r="FH98" s="889"/>
      <c r="FI98" s="889"/>
      <c r="FJ98" s="889"/>
      <c r="FK98" s="889"/>
      <c r="FL98" s="889"/>
      <c r="FM98" s="889"/>
      <c r="FN98" s="889"/>
      <c r="FO98" s="889"/>
      <c r="FP98" s="889"/>
      <c r="FQ98" s="889"/>
      <c r="FR98" s="889"/>
      <c r="FS98" s="889"/>
      <c r="FT98" s="889"/>
      <c r="FU98" s="889"/>
      <c r="FV98" s="889"/>
      <c r="FW98" s="889"/>
      <c r="FX98" s="889"/>
      <c r="FY98" s="889"/>
      <c r="FZ98" s="889"/>
      <c r="GA98" s="889"/>
      <c r="GB98" s="889"/>
      <c r="GC98" s="889"/>
      <c r="GD98" s="889"/>
      <c r="GE98" s="889"/>
      <c r="GF98" s="889"/>
      <c r="GG98" s="889"/>
      <c r="GH98" s="889"/>
      <c r="GI98" s="889"/>
      <c r="GJ98" s="889"/>
      <c r="GK98" s="889"/>
      <c r="GL98" s="889"/>
      <c r="GM98" s="889"/>
      <c r="GN98" s="889"/>
      <c r="GO98" s="889"/>
      <c r="GP98" s="889"/>
      <c r="GQ98" s="889"/>
      <c r="GR98" s="889"/>
      <c r="GS98" s="889"/>
      <c r="GT98" s="889"/>
      <c r="GU98" s="889"/>
      <c r="GV98" s="889"/>
      <c r="GW98" s="889"/>
      <c r="GX98" s="889"/>
      <c r="GY98" s="889"/>
      <c r="GZ98" s="889"/>
      <c r="HA98" s="889"/>
      <c r="HB98" s="889"/>
      <c r="HC98" s="889"/>
      <c r="HD98" s="889"/>
      <c r="HE98" s="889"/>
      <c r="HF98" s="889"/>
      <c r="HG98" s="889"/>
      <c r="HH98" s="889"/>
      <c r="HI98" s="889"/>
      <c r="HJ98" s="889"/>
      <c r="HK98" s="889"/>
      <c r="HL98" s="889"/>
      <c r="HM98" s="889"/>
      <c r="HN98" s="889"/>
      <c r="HO98" s="889"/>
      <c r="HP98" s="889"/>
      <c r="HQ98" s="889"/>
      <c r="HR98" s="889"/>
      <c r="HS98" s="889"/>
      <c r="HT98" s="889"/>
      <c r="HU98" s="889"/>
      <c r="HV98" s="889"/>
      <c r="HW98" s="889"/>
      <c r="HX98" s="889"/>
      <c r="HY98" s="889"/>
      <c r="HZ98" s="889"/>
      <c r="IA98" s="889"/>
      <c r="IB98" s="889"/>
      <c r="IC98" s="889"/>
      <c r="ID98" s="889"/>
      <c r="IE98" s="889"/>
      <c r="IF98" s="889"/>
      <c r="IG98" s="889"/>
      <c r="IH98" s="889"/>
      <c r="II98" s="889"/>
      <c r="IJ98" s="889"/>
      <c r="IK98" s="889"/>
      <c r="IL98" s="889"/>
      <c r="IM98" s="889"/>
      <c r="IN98" s="889"/>
      <c r="IO98" s="889"/>
      <c r="IP98" s="889"/>
      <c r="IQ98" s="889"/>
      <c r="IR98" s="889"/>
      <c r="IS98" s="889"/>
      <c r="IT98" s="889"/>
      <c r="IU98" s="889"/>
      <c r="IV98" s="889"/>
    </row>
    <row r="99" spans="1:256" ht="13" thickBot="1">
      <c r="A99" s="968" t="s">
        <v>812</v>
      </c>
      <c r="B99" s="969">
        <v>4552</v>
      </c>
      <c r="C99" s="969">
        <v>4818.5</v>
      </c>
      <c r="D99" s="970">
        <v>5114</v>
      </c>
      <c r="E99" s="970">
        <v>5133</v>
      </c>
      <c r="F99" s="970">
        <v>5564.4</v>
      </c>
      <c r="G99" s="970">
        <v>4929.3</v>
      </c>
      <c r="H99" s="970">
        <v>5208.6000000000004</v>
      </c>
      <c r="I99" s="970">
        <v>5981.7</v>
      </c>
      <c r="J99" s="970">
        <v>5968.2</v>
      </c>
      <c r="K99" s="970">
        <v>6005.2</v>
      </c>
      <c r="L99" s="971">
        <v>5791.1</v>
      </c>
      <c r="M99" s="971">
        <v>5974.7</v>
      </c>
      <c r="N99" s="970">
        <v>6014.4</v>
      </c>
      <c r="O99" s="889"/>
      <c r="P99" s="889"/>
      <c r="Q99" s="889"/>
      <c r="R99" s="889"/>
      <c r="S99" s="889"/>
      <c r="T99" s="889"/>
      <c r="U99" s="889"/>
      <c r="V99" s="889"/>
      <c r="W99" s="889"/>
      <c r="X99" s="889"/>
      <c r="Y99" s="889"/>
      <c r="Z99" s="889"/>
      <c r="AA99" s="889"/>
      <c r="AB99" s="889"/>
      <c r="AC99" s="889"/>
      <c r="AD99" s="889"/>
      <c r="AE99" s="889"/>
      <c r="AF99" s="889"/>
      <c r="AG99" s="889"/>
      <c r="AH99" s="889"/>
      <c r="AI99" s="889"/>
      <c r="AJ99" s="889"/>
      <c r="AK99" s="889"/>
      <c r="AL99" s="889"/>
      <c r="AM99" s="889"/>
      <c r="AN99" s="889"/>
      <c r="AO99" s="889"/>
      <c r="AP99" s="889"/>
      <c r="AQ99" s="889"/>
      <c r="AR99" s="889"/>
      <c r="AS99" s="889"/>
      <c r="AT99" s="889"/>
      <c r="AU99" s="889"/>
      <c r="AV99" s="889"/>
      <c r="AW99" s="889"/>
      <c r="AX99" s="889"/>
      <c r="AY99" s="889"/>
      <c r="AZ99" s="889"/>
      <c r="BA99" s="889"/>
      <c r="BB99" s="889"/>
      <c r="BC99" s="889"/>
      <c r="BD99" s="889"/>
      <c r="BE99" s="889"/>
      <c r="BF99" s="889"/>
      <c r="BG99" s="889"/>
      <c r="BH99" s="889"/>
      <c r="BI99" s="889"/>
      <c r="BJ99" s="889"/>
      <c r="BK99" s="889"/>
      <c r="BL99" s="889"/>
      <c r="BM99" s="889"/>
      <c r="BN99" s="889"/>
      <c r="BO99" s="889"/>
      <c r="BP99" s="889"/>
      <c r="BQ99" s="889"/>
      <c r="BR99" s="889"/>
      <c r="BS99" s="889"/>
      <c r="BT99" s="889"/>
      <c r="BU99" s="889"/>
      <c r="BV99" s="889"/>
      <c r="BW99" s="889"/>
      <c r="BX99" s="889"/>
      <c r="BY99" s="889"/>
      <c r="BZ99" s="889"/>
      <c r="CA99" s="889"/>
      <c r="CB99" s="889"/>
      <c r="CC99" s="889"/>
      <c r="CD99" s="889"/>
      <c r="CE99" s="889"/>
      <c r="CF99" s="889"/>
      <c r="CG99" s="889"/>
      <c r="CH99" s="889"/>
      <c r="CI99" s="889"/>
      <c r="CJ99" s="889"/>
      <c r="CK99" s="889"/>
      <c r="CL99" s="889"/>
      <c r="CM99" s="889"/>
      <c r="CN99" s="889"/>
      <c r="CO99" s="889"/>
      <c r="CP99" s="889"/>
      <c r="CQ99" s="889"/>
      <c r="CR99" s="889"/>
      <c r="CS99" s="889"/>
      <c r="CT99" s="889"/>
      <c r="CU99" s="889"/>
      <c r="CV99" s="889"/>
      <c r="CW99" s="889"/>
      <c r="CX99" s="889"/>
      <c r="CY99" s="889"/>
      <c r="CZ99" s="889"/>
      <c r="DA99" s="889"/>
      <c r="DB99" s="889"/>
      <c r="DC99" s="889"/>
      <c r="DD99" s="889"/>
      <c r="DE99" s="889"/>
      <c r="DF99" s="889"/>
      <c r="DG99" s="889"/>
      <c r="DH99" s="889"/>
      <c r="DI99" s="889"/>
      <c r="DJ99" s="889"/>
      <c r="DK99" s="889"/>
      <c r="DL99" s="889"/>
      <c r="DM99" s="889"/>
      <c r="DN99" s="889"/>
      <c r="DO99" s="889"/>
      <c r="DP99" s="889"/>
      <c r="DQ99" s="889"/>
      <c r="DR99" s="889"/>
      <c r="DS99" s="889"/>
      <c r="DT99" s="889"/>
      <c r="DU99" s="889"/>
      <c r="DV99" s="889"/>
      <c r="DW99" s="889"/>
      <c r="DX99" s="889"/>
      <c r="DY99" s="889"/>
      <c r="DZ99" s="889"/>
      <c r="EA99" s="889"/>
      <c r="EB99" s="889"/>
      <c r="EC99" s="889"/>
      <c r="ED99" s="889"/>
      <c r="EE99" s="889"/>
      <c r="EF99" s="889"/>
      <c r="EG99" s="889"/>
      <c r="EH99" s="889"/>
      <c r="EI99" s="889"/>
      <c r="EJ99" s="889"/>
      <c r="EK99" s="889"/>
      <c r="EL99" s="889"/>
      <c r="EM99" s="889"/>
      <c r="EN99" s="889"/>
      <c r="EO99" s="889"/>
      <c r="EP99" s="889"/>
      <c r="EQ99" s="889"/>
      <c r="ER99" s="889"/>
      <c r="ES99" s="889"/>
      <c r="ET99" s="889"/>
      <c r="EU99" s="889"/>
      <c r="EV99" s="889"/>
      <c r="EW99" s="889"/>
      <c r="EX99" s="889"/>
      <c r="EY99" s="889"/>
      <c r="EZ99" s="889"/>
      <c r="FA99" s="889"/>
      <c r="FB99" s="889"/>
      <c r="FC99" s="889"/>
      <c r="FD99" s="889"/>
      <c r="FE99" s="889"/>
      <c r="FF99" s="889"/>
      <c r="FG99" s="889"/>
      <c r="FH99" s="889"/>
      <c r="FI99" s="889"/>
      <c r="FJ99" s="889"/>
      <c r="FK99" s="889"/>
      <c r="FL99" s="889"/>
      <c r="FM99" s="889"/>
      <c r="FN99" s="889"/>
      <c r="FO99" s="889"/>
      <c r="FP99" s="889"/>
      <c r="FQ99" s="889"/>
      <c r="FR99" s="889"/>
      <c r="FS99" s="889"/>
      <c r="FT99" s="889"/>
      <c r="FU99" s="889"/>
      <c r="FV99" s="889"/>
      <c r="FW99" s="889"/>
      <c r="FX99" s="889"/>
      <c r="FY99" s="889"/>
      <c r="FZ99" s="889"/>
      <c r="GA99" s="889"/>
      <c r="GB99" s="889"/>
      <c r="GC99" s="889"/>
      <c r="GD99" s="889"/>
      <c r="GE99" s="889"/>
      <c r="GF99" s="889"/>
      <c r="GG99" s="889"/>
      <c r="GH99" s="889"/>
      <c r="GI99" s="889"/>
      <c r="GJ99" s="889"/>
      <c r="GK99" s="889"/>
      <c r="GL99" s="889"/>
      <c r="GM99" s="889"/>
      <c r="GN99" s="889"/>
      <c r="GO99" s="889"/>
      <c r="GP99" s="889"/>
      <c r="GQ99" s="889"/>
      <c r="GR99" s="889"/>
      <c r="GS99" s="889"/>
      <c r="GT99" s="889"/>
      <c r="GU99" s="889"/>
      <c r="GV99" s="889"/>
      <c r="GW99" s="889"/>
      <c r="GX99" s="889"/>
      <c r="GY99" s="889"/>
      <c r="GZ99" s="889"/>
      <c r="HA99" s="889"/>
      <c r="HB99" s="889"/>
      <c r="HC99" s="889"/>
      <c r="HD99" s="889"/>
      <c r="HE99" s="889"/>
      <c r="HF99" s="889"/>
      <c r="HG99" s="889"/>
      <c r="HH99" s="889"/>
      <c r="HI99" s="889"/>
      <c r="HJ99" s="889"/>
      <c r="HK99" s="889"/>
      <c r="HL99" s="889"/>
      <c r="HM99" s="889"/>
      <c r="HN99" s="889"/>
      <c r="HO99" s="889"/>
      <c r="HP99" s="889"/>
      <c r="HQ99" s="889"/>
      <c r="HR99" s="889"/>
      <c r="HS99" s="889"/>
      <c r="HT99" s="889"/>
      <c r="HU99" s="889"/>
      <c r="HV99" s="889"/>
      <c r="HW99" s="889"/>
      <c r="HX99" s="889"/>
      <c r="HY99" s="889"/>
      <c r="HZ99" s="889"/>
      <c r="IA99" s="889"/>
      <c r="IB99" s="889"/>
      <c r="IC99" s="889"/>
      <c r="ID99" s="889"/>
      <c r="IE99" s="889"/>
      <c r="IF99" s="889"/>
      <c r="IG99" s="889"/>
      <c r="IH99" s="889"/>
      <c r="II99" s="889"/>
      <c r="IJ99" s="889"/>
      <c r="IK99" s="889"/>
      <c r="IL99" s="889"/>
      <c r="IM99" s="889"/>
      <c r="IN99" s="889"/>
      <c r="IO99" s="889"/>
      <c r="IP99" s="889"/>
      <c r="IQ99" s="889"/>
      <c r="IR99" s="889"/>
      <c r="IS99" s="889"/>
      <c r="IT99" s="889"/>
      <c r="IU99" s="889"/>
      <c r="IV99" s="889"/>
    </row>
    <row r="100" spans="1:256" ht="13" thickTop="1">
      <c r="A100" s="972" t="s">
        <v>836</v>
      </c>
      <c r="B100" s="973">
        <v>1461.9</v>
      </c>
      <c r="C100" s="973">
        <v>1577</v>
      </c>
      <c r="D100" s="974">
        <v>1666.6</v>
      </c>
      <c r="E100" s="974">
        <v>1814.4</v>
      </c>
      <c r="F100" s="974">
        <v>2115.6</v>
      </c>
      <c r="G100" s="974">
        <v>1856.1</v>
      </c>
      <c r="H100" s="974">
        <v>1814.6</v>
      </c>
      <c r="I100" s="974">
        <v>2036.6</v>
      </c>
      <c r="J100" s="974">
        <v>1990.2</v>
      </c>
      <c r="K100" s="974">
        <v>2064.4</v>
      </c>
      <c r="L100" s="976">
        <v>2017.6</v>
      </c>
      <c r="M100" s="976">
        <v>2015.5</v>
      </c>
      <c r="N100" s="974">
        <v>2044.5</v>
      </c>
      <c r="O100" s="889"/>
      <c r="P100" s="889"/>
      <c r="Q100" s="889"/>
      <c r="R100" s="889"/>
      <c r="S100" s="889"/>
      <c r="T100" s="889"/>
      <c r="U100" s="889"/>
      <c r="V100" s="889"/>
      <c r="W100" s="889"/>
      <c r="X100" s="889"/>
      <c r="Y100" s="889"/>
      <c r="Z100" s="889"/>
      <c r="AA100" s="889"/>
      <c r="AB100" s="889"/>
      <c r="AC100" s="889"/>
      <c r="AD100" s="889"/>
      <c r="AE100" s="889"/>
      <c r="AF100" s="889"/>
      <c r="AG100" s="889"/>
      <c r="AH100" s="889"/>
      <c r="AI100" s="889"/>
      <c r="AJ100" s="889"/>
      <c r="AK100" s="889"/>
      <c r="AL100" s="889"/>
      <c r="AM100" s="889"/>
      <c r="AN100" s="889"/>
      <c r="AO100" s="889"/>
      <c r="AP100" s="889"/>
      <c r="AQ100" s="889"/>
      <c r="AR100" s="889"/>
      <c r="AS100" s="889"/>
      <c r="AT100" s="889"/>
      <c r="AU100" s="889"/>
      <c r="AV100" s="889"/>
      <c r="AW100" s="889"/>
      <c r="AX100" s="889"/>
      <c r="AY100" s="889"/>
      <c r="AZ100" s="889"/>
      <c r="BA100" s="889"/>
      <c r="BB100" s="889"/>
      <c r="BC100" s="889"/>
      <c r="BD100" s="889"/>
      <c r="BE100" s="889"/>
      <c r="BF100" s="889"/>
      <c r="BG100" s="889"/>
      <c r="BH100" s="889"/>
      <c r="BI100" s="889"/>
      <c r="BJ100" s="889"/>
      <c r="BK100" s="889"/>
      <c r="BL100" s="889"/>
      <c r="BM100" s="889"/>
      <c r="BN100" s="889"/>
      <c r="BO100" s="889"/>
      <c r="BP100" s="889"/>
      <c r="BQ100" s="889"/>
      <c r="BR100" s="889"/>
      <c r="BS100" s="889"/>
      <c r="BT100" s="889"/>
      <c r="BU100" s="889"/>
      <c r="BV100" s="889"/>
      <c r="BW100" s="889"/>
      <c r="BX100" s="889"/>
      <c r="BY100" s="889"/>
      <c r="BZ100" s="889"/>
      <c r="CA100" s="889"/>
      <c r="CB100" s="889"/>
      <c r="CC100" s="889"/>
      <c r="CD100" s="889"/>
      <c r="CE100" s="889"/>
      <c r="CF100" s="889"/>
      <c r="CG100" s="889"/>
      <c r="CH100" s="889"/>
      <c r="CI100" s="889"/>
      <c r="CJ100" s="889"/>
      <c r="CK100" s="889"/>
      <c r="CL100" s="889"/>
      <c r="CM100" s="889"/>
      <c r="CN100" s="889"/>
      <c r="CO100" s="889"/>
      <c r="CP100" s="889"/>
      <c r="CQ100" s="889"/>
      <c r="CR100" s="889"/>
      <c r="CS100" s="889"/>
      <c r="CT100" s="889"/>
      <c r="CU100" s="889"/>
      <c r="CV100" s="889"/>
      <c r="CW100" s="889"/>
      <c r="CX100" s="889"/>
      <c r="CY100" s="889"/>
      <c r="CZ100" s="889"/>
      <c r="DA100" s="889"/>
      <c r="DB100" s="889"/>
      <c r="DC100" s="889"/>
      <c r="DD100" s="889"/>
      <c r="DE100" s="889"/>
      <c r="DF100" s="889"/>
      <c r="DG100" s="889"/>
      <c r="DH100" s="889"/>
      <c r="DI100" s="889"/>
      <c r="DJ100" s="889"/>
      <c r="DK100" s="889"/>
      <c r="DL100" s="889"/>
      <c r="DM100" s="889"/>
      <c r="DN100" s="889"/>
      <c r="DO100" s="889"/>
      <c r="DP100" s="889"/>
      <c r="DQ100" s="889"/>
      <c r="DR100" s="889"/>
      <c r="DS100" s="889"/>
      <c r="DT100" s="889"/>
      <c r="DU100" s="889"/>
      <c r="DV100" s="889"/>
      <c r="DW100" s="889"/>
      <c r="DX100" s="889"/>
      <c r="DY100" s="889"/>
      <c r="DZ100" s="889"/>
      <c r="EA100" s="889"/>
      <c r="EB100" s="889"/>
      <c r="EC100" s="889"/>
      <c r="ED100" s="889"/>
      <c r="EE100" s="889"/>
      <c r="EF100" s="889"/>
      <c r="EG100" s="889"/>
      <c r="EH100" s="889"/>
      <c r="EI100" s="889"/>
      <c r="EJ100" s="889"/>
      <c r="EK100" s="889"/>
      <c r="EL100" s="889"/>
      <c r="EM100" s="889"/>
      <c r="EN100" s="889"/>
      <c r="EO100" s="889"/>
      <c r="EP100" s="889"/>
      <c r="EQ100" s="889"/>
      <c r="ER100" s="889"/>
      <c r="ES100" s="889"/>
      <c r="ET100" s="889"/>
      <c r="EU100" s="889"/>
      <c r="EV100" s="889"/>
      <c r="EW100" s="889"/>
      <c r="EX100" s="889"/>
      <c r="EY100" s="889"/>
      <c r="EZ100" s="889"/>
      <c r="FA100" s="889"/>
      <c r="FB100" s="889"/>
      <c r="FC100" s="889"/>
      <c r="FD100" s="889"/>
      <c r="FE100" s="889"/>
      <c r="FF100" s="889"/>
      <c r="FG100" s="889"/>
      <c r="FH100" s="889"/>
      <c r="FI100" s="889"/>
      <c r="FJ100" s="889"/>
      <c r="FK100" s="889"/>
      <c r="FL100" s="889"/>
      <c r="FM100" s="889"/>
      <c r="FN100" s="889"/>
      <c r="FO100" s="889"/>
      <c r="FP100" s="889"/>
      <c r="FQ100" s="889"/>
      <c r="FR100" s="889"/>
      <c r="FS100" s="889"/>
      <c r="FT100" s="889"/>
      <c r="FU100" s="889"/>
      <c r="FV100" s="889"/>
      <c r="FW100" s="889"/>
      <c r="FX100" s="889"/>
      <c r="FY100" s="889"/>
      <c r="FZ100" s="889"/>
      <c r="GA100" s="889"/>
      <c r="GB100" s="889"/>
      <c r="GC100" s="889"/>
      <c r="GD100" s="889"/>
      <c r="GE100" s="889"/>
      <c r="GF100" s="889"/>
      <c r="GG100" s="889"/>
      <c r="GH100" s="889"/>
      <c r="GI100" s="889"/>
      <c r="GJ100" s="889"/>
      <c r="GK100" s="889"/>
      <c r="GL100" s="889"/>
      <c r="GM100" s="889"/>
      <c r="GN100" s="889"/>
      <c r="GO100" s="889"/>
      <c r="GP100" s="889"/>
      <c r="GQ100" s="889"/>
      <c r="GR100" s="889"/>
      <c r="GS100" s="889"/>
      <c r="GT100" s="889"/>
      <c r="GU100" s="889"/>
      <c r="GV100" s="889"/>
      <c r="GW100" s="889"/>
      <c r="GX100" s="889"/>
      <c r="GY100" s="889"/>
      <c r="GZ100" s="889"/>
      <c r="HA100" s="889"/>
      <c r="HB100" s="889"/>
      <c r="HC100" s="889"/>
      <c r="HD100" s="889"/>
      <c r="HE100" s="889"/>
      <c r="HF100" s="889"/>
      <c r="HG100" s="889"/>
      <c r="HH100" s="889"/>
      <c r="HI100" s="889"/>
      <c r="HJ100" s="889"/>
      <c r="HK100" s="889"/>
      <c r="HL100" s="889"/>
      <c r="HM100" s="889"/>
      <c r="HN100" s="889"/>
      <c r="HO100" s="889"/>
      <c r="HP100" s="889"/>
      <c r="HQ100" s="889"/>
      <c r="HR100" s="889"/>
      <c r="HS100" s="889"/>
      <c r="HT100" s="889"/>
      <c r="HU100" s="889"/>
      <c r="HV100" s="889"/>
      <c r="HW100" s="889"/>
      <c r="HX100" s="889"/>
      <c r="HY100" s="889"/>
      <c r="HZ100" s="889"/>
      <c r="IA100" s="889"/>
      <c r="IB100" s="889"/>
      <c r="IC100" s="889"/>
      <c r="ID100" s="889"/>
      <c r="IE100" s="889"/>
      <c r="IF100" s="889"/>
      <c r="IG100" s="889"/>
      <c r="IH100" s="889"/>
      <c r="II100" s="889"/>
      <c r="IJ100" s="889"/>
      <c r="IK100" s="889"/>
      <c r="IL100" s="889"/>
      <c r="IM100" s="889"/>
      <c r="IN100" s="889"/>
      <c r="IO100" s="889"/>
      <c r="IP100" s="889"/>
      <c r="IQ100" s="889"/>
      <c r="IR100" s="889"/>
      <c r="IS100" s="889"/>
      <c r="IT100" s="889"/>
      <c r="IU100" s="889"/>
      <c r="IV100" s="889"/>
    </row>
    <row r="101" spans="1:256">
      <c r="A101" s="932" t="s">
        <v>837</v>
      </c>
      <c r="B101" s="913">
        <v>17002</v>
      </c>
      <c r="C101" s="913">
        <v>18340</v>
      </c>
      <c r="D101" s="914">
        <v>19382</v>
      </c>
      <c r="E101" s="914">
        <v>21102</v>
      </c>
      <c r="F101" s="914">
        <v>24604</v>
      </c>
      <c r="G101" s="914">
        <v>21585.9</v>
      </c>
      <c r="H101" s="914">
        <v>21103.5</v>
      </c>
      <c r="I101" s="914">
        <v>23685.200000000001</v>
      </c>
      <c r="J101" s="914">
        <v>23146.5</v>
      </c>
      <c r="K101" s="914">
        <v>24008.799999999999</v>
      </c>
      <c r="L101" s="925">
        <v>23464.6</v>
      </c>
      <c r="M101" s="925">
        <v>23440.7</v>
      </c>
      <c r="N101" s="914">
        <v>23777.599999999999</v>
      </c>
      <c r="O101" s="889"/>
      <c r="P101" s="889"/>
      <c r="Q101" s="889"/>
      <c r="R101" s="889"/>
      <c r="S101" s="889"/>
      <c r="T101" s="889"/>
      <c r="U101" s="889"/>
      <c r="V101" s="889"/>
      <c r="W101" s="889"/>
      <c r="X101" s="889"/>
      <c r="Y101" s="889"/>
      <c r="Z101" s="889"/>
      <c r="AA101" s="889"/>
      <c r="AB101" s="889"/>
      <c r="AC101" s="889"/>
      <c r="AD101" s="889"/>
      <c r="AE101" s="889"/>
      <c r="AF101" s="889"/>
      <c r="AG101" s="889"/>
      <c r="AH101" s="889"/>
      <c r="AI101" s="889"/>
      <c r="AJ101" s="889"/>
      <c r="AK101" s="889"/>
      <c r="AL101" s="889"/>
      <c r="AM101" s="889"/>
      <c r="AN101" s="889"/>
      <c r="AO101" s="889"/>
      <c r="AP101" s="889"/>
      <c r="AQ101" s="889"/>
      <c r="AR101" s="889"/>
      <c r="AS101" s="889"/>
      <c r="AT101" s="889"/>
      <c r="AU101" s="889"/>
      <c r="AV101" s="889"/>
      <c r="AW101" s="889"/>
      <c r="AX101" s="889"/>
      <c r="AY101" s="889"/>
      <c r="AZ101" s="889"/>
      <c r="BA101" s="889"/>
      <c r="BB101" s="889"/>
      <c r="BC101" s="889"/>
      <c r="BD101" s="889"/>
      <c r="BE101" s="889"/>
      <c r="BF101" s="889"/>
      <c r="BG101" s="889"/>
      <c r="BH101" s="889"/>
      <c r="BI101" s="889"/>
      <c r="BJ101" s="889"/>
      <c r="BK101" s="889"/>
      <c r="BL101" s="889"/>
      <c r="BM101" s="889"/>
      <c r="BN101" s="889"/>
      <c r="BO101" s="889"/>
      <c r="BP101" s="889"/>
      <c r="BQ101" s="889"/>
      <c r="BR101" s="889"/>
      <c r="BS101" s="889"/>
      <c r="BT101" s="889"/>
      <c r="BU101" s="889"/>
      <c r="BV101" s="889"/>
      <c r="BW101" s="889"/>
      <c r="BX101" s="889"/>
      <c r="BY101" s="889"/>
      <c r="BZ101" s="889"/>
      <c r="CA101" s="889"/>
      <c r="CB101" s="889"/>
      <c r="CC101" s="889"/>
      <c r="CD101" s="889"/>
      <c r="CE101" s="889"/>
      <c r="CF101" s="889"/>
      <c r="CG101" s="889"/>
      <c r="CH101" s="889"/>
      <c r="CI101" s="889"/>
      <c r="CJ101" s="889"/>
      <c r="CK101" s="889"/>
      <c r="CL101" s="889"/>
      <c r="CM101" s="889"/>
      <c r="CN101" s="889"/>
      <c r="CO101" s="889"/>
      <c r="CP101" s="889"/>
      <c r="CQ101" s="889"/>
      <c r="CR101" s="889"/>
      <c r="CS101" s="889"/>
      <c r="CT101" s="889"/>
      <c r="CU101" s="889"/>
      <c r="CV101" s="889"/>
      <c r="CW101" s="889"/>
      <c r="CX101" s="889"/>
      <c r="CY101" s="889"/>
      <c r="CZ101" s="889"/>
      <c r="DA101" s="889"/>
      <c r="DB101" s="889"/>
      <c r="DC101" s="889"/>
      <c r="DD101" s="889"/>
      <c r="DE101" s="889"/>
      <c r="DF101" s="889"/>
      <c r="DG101" s="889"/>
      <c r="DH101" s="889"/>
      <c r="DI101" s="889"/>
      <c r="DJ101" s="889"/>
      <c r="DK101" s="889"/>
      <c r="DL101" s="889"/>
      <c r="DM101" s="889"/>
      <c r="DN101" s="889"/>
      <c r="DO101" s="889"/>
      <c r="DP101" s="889"/>
      <c r="DQ101" s="889"/>
      <c r="DR101" s="889"/>
      <c r="DS101" s="889"/>
      <c r="DT101" s="889"/>
      <c r="DU101" s="889"/>
      <c r="DV101" s="889"/>
      <c r="DW101" s="889"/>
      <c r="DX101" s="889"/>
      <c r="DY101" s="889"/>
      <c r="DZ101" s="889"/>
      <c r="EA101" s="889"/>
      <c r="EB101" s="889"/>
      <c r="EC101" s="889"/>
      <c r="ED101" s="889"/>
      <c r="EE101" s="889"/>
      <c r="EF101" s="889"/>
      <c r="EG101" s="889"/>
      <c r="EH101" s="889"/>
      <c r="EI101" s="889"/>
      <c r="EJ101" s="889"/>
      <c r="EK101" s="889"/>
      <c r="EL101" s="889"/>
      <c r="EM101" s="889"/>
      <c r="EN101" s="889"/>
      <c r="EO101" s="889"/>
      <c r="EP101" s="889"/>
      <c r="EQ101" s="889"/>
      <c r="ER101" s="889"/>
      <c r="ES101" s="889"/>
      <c r="ET101" s="889"/>
      <c r="EU101" s="889"/>
      <c r="EV101" s="889"/>
      <c r="EW101" s="889"/>
      <c r="EX101" s="889"/>
      <c r="EY101" s="889"/>
      <c r="EZ101" s="889"/>
      <c r="FA101" s="889"/>
      <c r="FB101" s="889"/>
      <c r="FC101" s="889"/>
      <c r="FD101" s="889"/>
      <c r="FE101" s="889"/>
      <c r="FF101" s="889"/>
      <c r="FG101" s="889"/>
      <c r="FH101" s="889"/>
      <c r="FI101" s="889"/>
      <c r="FJ101" s="889"/>
      <c r="FK101" s="889"/>
      <c r="FL101" s="889"/>
      <c r="FM101" s="889"/>
      <c r="FN101" s="889"/>
      <c r="FO101" s="889"/>
      <c r="FP101" s="889"/>
      <c r="FQ101" s="889"/>
      <c r="FR101" s="889"/>
      <c r="FS101" s="889"/>
      <c r="FT101" s="889"/>
      <c r="FU101" s="889"/>
      <c r="FV101" s="889"/>
      <c r="FW101" s="889"/>
      <c r="FX101" s="889"/>
      <c r="FY101" s="889"/>
      <c r="FZ101" s="889"/>
      <c r="GA101" s="889"/>
      <c r="GB101" s="889"/>
      <c r="GC101" s="889"/>
      <c r="GD101" s="889"/>
      <c r="GE101" s="889"/>
      <c r="GF101" s="889"/>
      <c r="GG101" s="889"/>
      <c r="GH101" s="889"/>
      <c r="GI101" s="889"/>
      <c r="GJ101" s="889"/>
      <c r="GK101" s="889"/>
      <c r="GL101" s="889"/>
      <c r="GM101" s="889"/>
      <c r="GN101" s="889"/>
      <c r="GO101" s="889"/>
      <c r="GP101" s="889"/>
      <c r="GQ101" s="889"/>
      <c r="GR101" s="889"/>
      <c r="GS101" s="889"/>
      <c r="GT101" s="889"/>
      <c r="GU101" s="889"/>
      <c r="GV101" s="889"/>
      <c r="GW101" s="889"/>
      <c r="GX101" s="889"/>
      <c r="GY101" s="889"/>
      <c r="GZ101" s="889"/>
      <c r="HA101" s="889"/>
      <c r="HB101" s="889"/>
      <c r="HC101" s="889"/>
      <c r="HD101" s="889"/>
      <c r="HE101" s="889"/>
      <c r="HF101" s="889"/>
      <c r="HG101" s="889"/>
      <c r="HH101" s="889"/>
      <c r="HI101" s="889"/>
      <c r="HJ101" s="889"/>
      <c r="HK101" s="889"/>
      <c r="HL101" s="889"/>
      <c r="HM101" s="889"/>
      <c r="HN101" s="889"/>
      <c r="HO101" s="889"/>
      <c r="HP101" s="889"/>
      <c r="HQ101" s="889"/>
      <c r="HR101" s="889"/>
      <c r="HS101" s="889"/>
      <c r="HT101" s="889"/>
      <c r="HU101" s="889"/>
      <c r="HV101" s="889"/>
      <c r="HW101" s="889"/>
      <c r="HX101" s="889"/>
      <c r="HY101" s="889"/>
      <c r="HZ101" s="889"/>
      <c r="IA101" s="889"/>
      <c r="IB101" s="889"/>
      <c r="IC101" s="889"/>
      <c r="ID101" s="889"/>
      <c r="IE101" s="889"/>
      <c r="IF101" s="889"/>
      <c r="IG101" s="889"/>
      <c r="IH101" s="889"/>
      <c r="II101" s="889"/>
      <c r="IJ101" s="889"/>
      <c r="IK101" s="889"/>
      <c r="IL101" s="889"/>
      <c r="IM101" s="889"/>
      <c r="IN101" s="889"/>
      <c r="IO101" s="889"/>
      <c r="IP101" s="889"/>
      <c r="IQ101" s="889"/>
      <c r="IR101" s="889"/>
      <c r="IS101" s="889"/>
      <c r="IT101" s="889"/>
      <c r="IU101" s="889"/>
      <c r="IV101" s="889"/>
    </row>
    <row r="102" spans="1:256">
      <c r="A102" s="977" t="s">
        <v>838</v>
      </c>
      <c r="B102" s="988">
        <v>1153.4000000000001</v>
      </c>
      <c r="C102" s="988">
        <v>1254.5</v>
      </c>
      <c r="D102" s="989">
        <v>1331.3</v>
      </c>
      <c r="E102" s="989">
        <v>1477.5</v>
      </c>
      <c r="F102" s="989">
        <v>1558.1</v>
      </c>
      <c r="G102" s="989">
        <v>1327.3</v>
      </c>
      <c r="H102" s="989">
        <v>1420.8</v>
      </c>
      <c r="I102" s="989">
        <v>1352.1</v>
      </c>
      <c r="J102" s="989">
        <v>1549</v>
      </c>
      <c r="K102" s="989">
        <v>1748.5</v>
      </c>
      <c r="L102" s="990">
        <v>1547</v>
      </c>
      <c r="M102" s="990">
        <v>1437.2</v>
      </c>
      <c r="N102" s="989">
        <v>1372.7</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89"/>
      <c r="AJ102" s="889"/>
      <c r="AK102" s="889"/>
      <c r="AL102" s="889"/>
      <c r="AM102" s="889"/>
      <c r="AN102" s="889"/>
      <c r="AO102" s="889"/>
      <c r="AP102" s="889"/>
      <c r="AQ102" s="889"/>
      <c r="AR102" s="889"/>
      <c r="AS102" s="889"/>
      <c r="AT102" s="889"/>
      <c r="AU102" s="889"/>
      <c r="AV102" s="889"/>
      <c r="AW102" s="889"/>
      <c r="AX102" s="889"/>
      <c r="AY102" s="889"/>
      <c r="AZ102" s="889"/>
      <c r="BA102" s="889"/>
      <c r="BB102" s="889"/>
      <c r="BC102" s="889"/>
      <c r="BD102" s="889"/>
      <c r="BE102" s="889"/>
      <c r="BF102" s="889"/>
      <c r="BG102" s="889"/>
      <c r="BH102" s="889"/>
      <c r="BI102" s="889"/>
      <c r="BJ102" s="889"/>
      <c r="BK102" s="889"/>
      <c r="BL102" s="889"/>
      <c r="BM102" s="889"/>
      <c r="BN102" s="889"/>
      <c r="BO102" s="889"/>
      <c r="BP102" s="889"/>
      <c r="BQ102" s="889"/>
      <c r="BR102" s="889"/>
      <c r="BS102" s="889"/>
      <c r="BT102" s="889"/>
      <c r="BU102" s="889"/>
      <c r="BV102" s="889"/>
      <c r="BW102" s="889"/>
      <c r="BX102" s="889"/>
      <c r="BY102" s="889"/>
      <c r="BZ102" s="889"/>
      <c r="CA102" s="889"/>
      <c r="CB102" s="889"/>
      <c r="CC102" s="889"/>
      <c r="CD102" s="889"/>
      <c r="CE102" s="889"/>
      <c r="CF102" s="889"/>
      <c r="CG102" s="889"/>
      <c r="CH102" s="889"/>
      <c r="CI102" s="889"/>
      <c r="CJ102" s="889"/>
      <c r="CK102" s="889"/>
      <c r="CL102" s="889"/>
      <c r="CM102" s="889"/>
      <c r="CN102" s="889"/>
      <c r="CO102" s="889"/>
      <c r="CP102" s="889"/>
      <c r="CQ102" s="889"/>
      <c r="CR102" s="889"/>
      <c r="CS102" s="889"/>
      <c r="CT102" s="889"/>
      <c r="CU102" s="889"/>
      <c r="CV102" s="889"/>
      <c r="CW102" s="889"/>
      <c r="CX102" s="889"/>
      <c r="CY102" s="889"/>
      <c r="CZ102" s="889"/>
      <c r="DA102" s="889"/>
      <c r="DB102" s="889"/>
      <c r="DC102" s="889"/>
      <c r="DD102" s="889"/>
      <c r="DE102" s="889"/>
      <c r="DF102" s="889"/>
      <c r="DG102" s="889"/>
      <c r="DH102" s="889"/>
      <c r="DI102" s="889"/>
      <c r="DJ102" s="889"/>
      <c r="DK102" s="889"/>
      <c r="DL102" s="889"/>
      <c r="DM102" s="889"/>
      <c r="DN102" s="889"/>
      <c r="DO102" s="889"/>
      <c r="DP102" s="889"/>
      <c r="DQ102" s="889"/>
      <c r="DR102" s="889"/>
      <c r="DS102" s="889"/>
      <c r="DT102" s="889"/>
      <c r="DU102" s="889"/>
      <c r="DV102" s="889"/>
      <c r="DW102" s="889"/>
      <c r="DX102" s="889"/>
      <c r="DY102" s="889"/>
      <c r="DZ102" s="889"/>
      <c r="EA102" s="889"/>
      <c r="EB102" s="889"/>
      <c r="EC102" s="889"/>
      <c r="ED102" s="889"/>
      <c r="EE102" s="889"/>
      <c r="EF102" s="889"/>
      <c r="EG102" s="889"/>
      <c r="EH102" s="889"/>
      <c r="EI102" s="889"/>
      <c r="EJ102" s="889"/>
      <c r="EK102" s="889"/>
      <c r="EL102" s="889"/>
      <c r="EM102" s="889"/>
      <c r="EN102" s="889"/>
      <c r="EO102" s="889"/>
      <c r="EP102" s="889"/>
      <c r="EQ102" s="889"/>
      <c r="ER102" s="889"/>
      <c r="ES102" s="889"/>
      <c r="ET102" s="889"/>
      <c r="EU102" s="889"/>
      <c r="EV102" s="889"/>
      <c r="EW102" s="889"/>
      <c r="EX102" s="889"/>
      <c r="EY102" s="889"/>
      <c r="EZ102" s="889"/>
      <c r="FA102" s="889"/>
      <c r="FB102" s="889"/>
      <c r="FC102" s="889"/>
      <c r="FD102" s="889"/>
      <c r="FE102" s="889"/>
      <c r="FF102" s="889"/>
      <c r="FG102" s="889"/>
      <c r="FH102" s="889"/>
      <c r="FI102" s="889"/>
      <c r="FJ102" s="889"/>
      <c r="FK102" s="889"/>
      <c r="FL102" s="889"/>
      <c r="FM102" s="889"/>
      <c r="FN102" s="889"/>
      <c r="FO102" s="889"/>
      <c r="FP102" s="889"/>
      <c r="FQ102" s="889"/>
      <c r="FR102" s="889"/>
      <c r="FS102" s="889"/>
      <c r="FT102" s="889"/>
      <c r="FU102" s="889"/>
      <c r="FV102" s="889"/>
      <c r="FW102" s="889"/>
      <c r="FX102" s="889"/>
      <c r="FY102" s="889"/>
      <c r="FZ102" s="889"/>
      <c r="GA102" s="889"/>
      <c r="GB102" s="889"/>
      <c r="GC102" s="889"/>
      <c r="GD102" s="889"/>
      <c r="GE102" s="889"/>
      <c r="GF102" s="889"/>
      <c r="GG102" s="889"/>
      <c r="GH102" s="889"/>
      <c r="GI102" s="889"/>
      <c r="GJ102" s="889"/>
      <c r="GK102" s="889"/>
      <c r="GL102" s="889"/>
      <c r="GM102" s="889"/>
      <c r="GN102" s="889"/>
      <c r="GO102" s="889"/>
      <c r="GP102" s="889"/>
      <c r="GQ102" s="889"/>
      <c r="GR102" s="889"/>
      <c r="GS102" s="889"/>
      <c r="GT102" s="889"/>
      <c r="GU102" s="889"/>
      <c r="GV102" s="889"/>
      <c r="GW102" s="889"/>
      <c r="GX102" s="889"/>
      <c r="GY102" s="889"/>
      <c r="GZ102" s="889"/>
      <c r="HA102" s="889"/>
      <c r="HB102" s="889"/>
      <c r="HC102" s="889"/>
      <c r="HD102" s="889"/>
      <c r="HE102" s="889"/>
      <c r="HF102" s="889"/>
      <c r="HG102" s="889"/>
      <c r="HH102" s="889"/>
      <c r="HI102" s="889"/>
      <c r="HJ102" s="889"/>
      <c r="HK102" s="889"/>
      <c r="HL102" s="889"/>
      <c r="HM102" s="889"/>
      <c r="HN102" s="889"/>
      <c r="HO102" s="889"/>
      <c r="HP102" s="889"/>
      <c r="HQ102" s="889"/>
      <c r="HR102" s="889"/>
      <c r="HS102" s="889"/>
      <c r="HT102" s="889"/>
      <c r="HU102" s="889"/>
      <c r="HV102" s="889"/>
      <c r="HW102" s="889"/>
      <c r="HX102" s="889"/>
      <c r="HY102" s="889"/>
      <c r="HZ102" s="889"/>
      <c r="IA102" s="889"/>
      <c r="IB102" s="889"/>
      <c r="IC102" s="889"/>
      <c r="ID102" s="889"/>
      <c r="IE102" s="889"/>
      <c r="IF102" s="889"/>
      <c r="IG102" s="889"/>
      <c r="IH102" s="889"/>
      <c r="II102" s="889"/>
      <c r="IJ102" s="889"/>
      <c r="IK102" s="889"/>
      <c r="IL102" s="889"/>
      <c r="IM102" s="889"/>
      <c r="IN102" s="889"/>
      <c r="IO102" s="889"/>
      <c r="IP102" s="889"/>
      <c r="IQ102" s="889"/>
      <c r="IR102" s="889"/>
      <c r="IS102" s="889"/>
      <c r="IT102" s="889"/>
      <c r="IU102" s="889"/>
      <c r="IV102" s="889"/>
    </row>
    <row r="103" spans="1:256" ht="13" thickBot="1">
      <c r="A103" s="993" t="s">
        <v>807</v>
      </c>
      <c r="B103" s="918">
        <v>13414</v>
      </c>
      <c r="C103" s="918">
        <v>14590</v>
      </c>
      <c r="D103" s="919">
        <v>15483</v>
      </c>
      <c r="E103" s="919">
        <v>17183</v>
      </c>
      <c r="F103" s="919">
        <v>18121</v>
      </c>
      <c r="G103" s="919">
        <v>15435.9</v>
      </c>
      <c r="H103" s="919">
        <v>16523.5</v>
      </c>
      <c r="I103" s="919">
        <v>15724.9</v>
      </c>
      <c r="J103" s="919">
        <v>18015.2</v>
      </c>
      <c r="K103" s="919">
        <v>20335.3</v>
      </c>
      <c r="L103" s="920">
        <v>17991.099999999999</v>
      </c>
      <c r="M103" s="920">
        <v>16714.400000000001</v>
      </c>
      <c r="N103" s="919">
        <v>15964.6</v>
      </c>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89"/>
      <c r="AJ103" s="889"/>
      <c r="AK103" s="889"/>
      <c r="AL103" s="889"/>
      <c r="AM103" s="889"/>
      <c r="AN103" s="889"/>
      <c r="AO103" s="889"/>
      <c r="AP103" s="889"/>
      <c r="AQ103" s="889"/>
      <c r="AR103" s="889"/>
      <c r="AS103" s="889"/>
      <c r="AT103" s="889"/>
      <c r="AU103" s="889"/>
      <c r="AV103" s="889"/>
      <c r="AW103" s="889"/>
      <c r="AX103" s="889"/>
      <c r="AY103" s="889"/>
      <c r="AZ103" s="889"/>
      <c r="BA103" s="889"/>
      <c r="BB103" s="889"/>
      <c r="BC103" s="889"/>
      <c r="BD103" s="889"/>
      <c r="BE103" s="889"/>
      <c r="BF103" s="889"/>
      <c r="BG103" s="889"/>
      <c r="BH103" s="889"/>
      <c r="BI103" s="889"/>
      <c r="BJ103" s="889"/>
      <c r="BK103" s="889"/>
      <c r="BL103" s="889"/>
      <c r="BM103" s="889"/>
      <c r="BN103" s="889"/>
      <c r="BO103" s="889"/>
      <c r="BP103" s="889"/>
      <c r="BQ103" s="889"/>
      <c r="BR103" s="889"/>
      <c r="BS103" s="889"/>
      <c r="BT103" s="889"/>
      <c r="BU103" s="889"/>
      <c r="BV103" s="889"/>
      <c r="BW103" s="889"/>
      <c r="BX103" s="889"/>
      <c r="BY103" s="889"/>
      <c r="BZ103" s="889"/>
      <c r="CA103" s="889"/>
      <c r="CB103" s="889"/>
      <c r="CC103" s="889"/>
      <c r="CD103" s="889"/>
      <c r="CE103" s="889"/>
      <c r="CF103" s="889"/>
      <c r="CG103" s="889"/>
      <c r="CH103" s="889"/>
      <c r="CI103" s="889"/>
      <c r="CJ103" s="889"/>
      <c r="CK103" s="889"/>
      <c r="CL103" s="889"/>
      <c r="CM103" s="889"/>
      <c r="CN103" s="889"/>
      <c r="CO103" s="889"/>
      <c r="CP103" s="889"/>
      <c r="CQ103" s="889"/>
      <c r="CR103" s="889"/>
      <c r="CS103" s="889"/>
      <c r="CT103" s="889"/>
      <c r="CU103" s="889"/>
      <c r="CV103" s="889"/>
      <c r="CW103" s="889"/>
      <c r="CX103" s="889"/>
      <c r="CY103" s="889"/>
      <c r="CZ103" s="889"/>
      <c r="DA103" s="889"/>
      <c r="DB103" s="889"/>
      <c r="DC103" s="889"/>
      <c r="DD103" s="889"/>
      <c r="DE103" s="889"/>
      <c r="DF103" s="889"/>
      <c r="DG103" s="889"/>
      <c r="DH103" s="889"/>
      <c r="DI103" s="889"/>
      <c r="DJ103" s="889"/>
      <c r="DK103" s="889"/>
      <c r="DL103" s="889"/>
      <c r="DM103" s="889"/>
      <c r="DN103" s="889"/>
      <c r="DO103" s="889"/>
      <c r="DP103" s="889"/>
      <c r="DQ103" s="889"/>
      <c r="DR103" s="889"/>
      <c r="DS103" s="889"/>
      <c r="DT103" s="889"/>
      <c r="DU103" s="889"/>
      <c r="DV103" s="889"/>
      <c r="DW103" s="889"/>
      <c r="DX103" s="889"/>
      <c r="DY103" s="889"/>
      <c r="DZ103" s="889"/>
      <c r="EA103" s="889"/>
      <c r="EB103" s="889"/>
      <c r="EC103" s="889"/>
      <c r="ED103" s="889"/>
      <c r="EE103" s="889"/>
      <c r="EF103" s="889"/>
      <c r="EG103" s="889"/>
      <c r="EH103" s="889"/>
      <c r="EI103" s="889"/>
      <c r="EJ103" s="889"/>
      <c r="EK103" s="889"/>
      <c r="EL103" s="889"/>
      <c r="EM103" s="889"/>
      <c r="EN103" s="889"/>
      <c r="EO103" s="889"/>
      <c r="EP103" s="889"/>
      <c r="EQ103" s="889"/>
      <c r="ER103" s="889"/>
      <c r="ES103" s="889"/>
      <c r="ET103" s="889"/>
      <c r="EU103" s="889"/>
      <c r="EV103" s="889"/>
      <c r="EW103" s="889"/>
      <c r="EX103" s="889"/>
      <c r="EY103" s="889"/>
      <c r="EZ103" s="889"/>
      <c r="FA103" s="889"/>
      <c r="FB103" s="889"/>
      <c r="FC103" s="889"/>
      <c r="FD103" s="889"/>
      <c r="FE103" s="889"/>
      <c r="FF103" s="889"/>
      <c r="FG103" s="889"/>
      <c r="FH103" s="889"/>
      <c r="FI103" s="889"/>
      <c r="FJ103" s="889"/>
      <c r="FK103" s="889"/>
      <c r="FL103" s="889"/>
      <c r="FM103" s="889"/>
      <c r="FN103" s="889"/>
      <c r="FO103" s="889"/>
      <c r="FP103" s="889"/>
      <c r="FQ103" s="889"/>
      <c r="FR103" s="889"/>
      <c r="FS103" s="889"/>
      <c r="FT103" s="889"/>
      <c r="FU103" s="889"/>
      <c r="FV103" s="889"/>
      <c r="FW103" s="889"/>
      <c r="FX103" s="889"/>
      <c r="FY103" s="889"/>
      <c r="FZ103" s="889"/>
      <c r="GA103" s="889"/>
      <c r="GB103" s="889"/>
      <c r="GC103" s="889"/>
      <c r="GD103" s="889"/>
      <c r="GE103" s="889"/>
      <c r="GF103" s="889"/>
      <c r="GG103" s="889"/>
      <c r="GH103" s="889"/>
      <c r="GI103" s="889"/>
      <c r="GJ103" s="889"/>
      <c r="GK103" s="889"/>
      <c r="GL103" s="889"/>
      <c r="GM103" s="889"/>
      <c r="GN103" s="889"/>
      <c r="GO103" s="889"/>
      <c r="GP103" s="889"/>
      <c r="GQ103" s="889"/>
      <c r="GR103" s="889"/>
      <c r="GS103" s="889"/>
      <c r="GT103" s="889"/>
      <c r="GU103" s="889"/>
      <c r="GV103" s="889"/>
      <c r="GW103" s="889"/>
      <c r="GX103" s="889"/>
      <c r="GY103" s="889"/>
      <c r="GZ103" s="889"/>
      <c r="HA103" s="889"/>
      <c r="HB103" s="889"/>
      <c r="HC103" s="889"/>
      <c r="HD103" s="889"/>
      <c r="HE103" s="889"/>
      <c r="HF103" s="889"/>
      <c r="HG103" s="889"/>
      <c r="HH103" s="889"/>
      <c r="HI103" s="889"/>
      <c r="HJ103" s="889"/>
      <c r="HK103" s="889"/>
      <c r="HL103" s="889"/>
      <c r="HM103" s="889"/>
      <c r="HN103" s="889"/>
      <c r="HO103" s="889"/>
      <c r="HP103" s="889"/>
      <c r="HQ103" s="889"/>
      <c r="HR103" s="889"/>
      <c r="HS103" s="889"/>
      <c r="HT103" s="889"/>
      <c r="HU103" s="889"/>
      <c r="HV103" s="889"/>
      <c r="HW103" s="889"/>
      <c r="HX103" s="889"/>
      <c r="HY103" s="889"/>
      <c r="HZ103" s="889"/>
      <c r="IA103" s="889"/>
      <c r="IB103" s="889"/>
      <c r="IC103" s="889"/>
      <c r="ID103" s="889"/>
      <c r="IE103" s="889"/>
      <c r="IF103" s="889"/>
      <c r="IG103" s="889"/>
      <c r="IH103" s="889"/>
      <c r="II103" s="889"/>
      <c r="IJ103" s="889"/>
      <c r="IK103" s="889"/>
      <c r="IL103" s="889"/>
      <c r="IM103" s="889"/>
      <c r="IN103" s="889"/>
      <c r="IO103" s="889"/>
      <c r="IP103" s="889"/>
      <c r="IQ103" s="889"/>
      <c r="IR103" s="889"/>
      <c r="IS103" s="889"/>
      <c r="IT103" s="889"/>
      <c r="IU103" s="889"/>
      <c r="IV103" s="889"/>
    </row>
    <row r="104" spans="1:256" ht="6.75" customHeight="1" thickTop="1">
      <c r="A104" s="949"/>
      <c r="B104" s="994"/>
      <c r="C104" s="994"/>
      <c r="D104" s="994"/>
      <c r="E104" s="994"/>
      <c r="F104" s="994"/>
      <c r="G104" s="949"/>
      <c r="H104" s="949"/>
      <c r="I104" s="995"/>
      <c r="J104" s="995"/>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89"/>
      <c r="AJ104" s="889"/>
      <c r="AK104" s="889"/>
      <c r="AL104" s="889"/>
      <c r="AM104" s="889"/>
      <c r="AN104" s="889"/>
      <c r="AO104" s="889"/>
      <c r="AP104" s="889"/>
      <c r="AQ104" s="889"/>
      <c r="AR104" s="889"/>
      <c r="AS104" s="889"/>
      <c r="AT104" s="889"/>
      <c r="AU104" s="889"/>
      <c r="AV104" s="889"/>
      <c r="AW104" s="889"/>
      <c r="AX104" s="889"/>
      <c r="AY104" s="889"/>
      <c r="AZ104" s="889"/>
      <c r="BA104" s="889"/>
      <c r="BB104" s="889"/>
      <c r="BC104" s="889"/>
      <c r="BD104" s="889"/>
      <c r="BE104" s="889"/>
      <c r="BF104" s="889"/>
      <c r="BG104" s="889"/>
      <c r="BH104" s="889"/>
      <c r="BI104" s="889"/>
      <c r="BJ104" s="889"/>
      <c r="BK104" s="889"/>
      <c r="BL104" s="889"/>
      <c r="BM104" s="889"/>
      <c r="BN104" s="889"/>
      <c r="BO104" s="889"/>
      <c r="BP104" s="889"/>
      <c r="BQ104" s="889"/>
      <c r="BR104" s="889"/>
      <c r="BS104" s="889"/>
      <c r="BT104" s="889"/>
      <c r="BU104" s="889"/>
      <c r="BV104" s="889"/>
      <c r="BW104" s="889"/>
      <c r="BX104" s="889"/>
      <c r="BY104" s="889"/>
      <c r="BZ104" s="889"/>
      <c r="CA104" s="889"/>
      <c r="CB104" s="889"/>
      <c r="CC104" s="889"/>
      <c r="CD104" s="889"/>
      <c r="CE104" s="889"/>
      <c r="CF104" s="889"/>
      <c r="CG104" s="889"/>
      <c r="CH104" s="889"/>
      <c r="CI104" s="889"/>
      <c r="CJ104" s="889"/>
      <c r="CK104" s="889"/>
      <c r="CL104" s="889"/>
      <c r="CM104" s="889"/>
      <c r="CN104" s="889"/>
      <c r="CO104" s="889"/>
      <c r="CP104" s="889"/>
      <c r="CQ104" s="889"/>
      <c r="CR104" s="889"/>
      <c r="CS104" s="889"/>
      <c r="CT104" s="889"/>
      <c r="CU104" s="889"/>
      <c r="CV104" s="889"/>
      <c r="CW104" s="889"/>
      <c r="CX104" s="889"/>
      <c r="CY104" s="889"/>
      <c r="CZ104" s="889"/>
      <c r="DA104" s="889"/>
      <c r="DB104" s="889"/>
      <c r="DC104" s="889"/>
      <c r="DD104" s="889"/>
      <c r="DE104" s="889"/>
      <c r="DF104" s="889"/>
      <c r="DG104" s="889"/>
      <c r="DH104" s="889"/>
      <c r="DI104" s="889"/>
      <c r="DJ104" s="889"/>
      <c r="DK104" s="889"/>
      <c r="DL104" s="889"/>
      <c r="DM104" s="889"/>
      <c r="DN104" s="889"/>
      <c r="DO104" s="889"/>
      <c r="DP104" s="889"/>
      <c r="DQ104" s="889"/>
      <c r="DR104" s="889"/>
      <c r="DS104" s="889"/>
      <c r="DT104" s="889"/>
      <c r="DU104" s="889"/>
      <c r="DV104" s="889"/>
      <c r="DW104" s="889"/>
      <c r="DX104" s="889"/>
      <c r="DY104" s="889"/>
      <c r="DZ104" s="889"/>
      <c r="EA104" s="889"/>
      <c r="EB104" s="889"/>
      <c r="EC104" s="889"/>
      <c r="ED104" s="889"/>
      <c r="EE104" s="889"/>
      <c r="EF104" s="889"/>
      <c r="EG104" s="889"/>
      <c r="EH104" s="889"/>
      <c r="EI104" s="889"/>
      <c r="EJ104" s="889"/>
      <c r="EK104" s="889"/>
      <c r="EL104" s="889"/>
      <c r="EM104" s="889"/>
      <c r="EN104" s="889"/>
      <c r="EO104" s="889"/>
      <c r="EP104" s="889"/>
      <c r="EQ104" s="889"/>
      <c r="ER104" s="889"/>
      <c r="ES104" s="889"/>
      <c r="ET104" s="889"/>
      <c r="EU104" s="889"/>
      <c r="EV104" s="889"/>
      <c r="EW104" s="889"/>
      <c r="EX104" s="889"/>
      <c r="EY104" s="889"/>
      <c r="EZ104" s="889"/>
      <c r="FA104" s="889"/>
      <c r="FB104" s="889"/>
      <c r="FC104" s="889"/>
      <c r="FD104" s="889"/>
      <c r="FE104" s="889"/>
      <c r="FF104" s="889"/>
      <c r="FG104" s="889"/>
      <c r="FH104" s="889"/>
      <c r="FI104" s="889"/>
      <c r="FJ104" s="889"/>
      <c r="FK104" s="889"/>
      <c r="FL104" s="889"/>
      <c r="FM104" s="889"/>
      <c r="FN104" s="889"/>
      <c r="FO104" s="889"/>
      <c r="FP104" s="889"/>
      <c r="FQ104" s="889"/>
      <c r="FR104" s="889"/>
      <c r="FS104" s="889"/>
      <c r="FT104" s="889"/>
      <c r="FU104" s="889"/>
      <c r="FV104" s="889"/>
      <c r="FW104" s="889"/>
      <c r="FX104" s="889"/>
      <c r="FY104" s="889"/>
      <c r="FZ104" s="889"/>
      <c r="GA104" s="889"/>
      <c r="GB104" s="889"/>
      <c r="GC104" s="889"/>
      <c r="GD104" s="889"/>
      <c r="GE104" s="889"/>
      <c r="GF104" s="889"/>
      <c r="GG104" s="889"/>
      <c r="GH104" s="889"/>
      <c r="GI104" s="889"/>
      <c r="GJ104" s="889"/>
      <c r="GK104" s="889"/>
      <c r="GL104" s="889"/>
      <c r="GM104" s="889"/>
      <c r="GN104" s="889"/>
      <c r="GO104" s="889"/>
      <c r="GP104" s="889"/>
      <c r="GQ104" s="889"/>
      <c r="GR104" s="889"/>
      <c r="GS104" s="889"/>
      <c r="GT104" s="889"/>
      <c r="GU104" s="889"/>
      <c r="GV104" s="889"/>
      <c r="GW104" s="889"/>
      <c r="GX104" s="889"/>
      <c r="GY104" s="889"/>
      <c r="GZ104" s="889"/>
      <c r="HA104" s="889"/>
      <c r="HB104" s="889"/>
      <c r="HC104" s="889"/>
      <c r="HD104" s="889"/>
      <c r="HE104" s="889"/>
      <c r="HF104" s="889"/>
      <c r="HG104" s="889"/>
      <c r="HH104" s="889"/>
      <c r="HI104" s="889"/>
      <c r="HJ104" s="889"/>
      <c r="HK104" s="889"/>
      <c r="HL104" s="889"/>
      <c r="HM104" s="889"/>
      <c r="HN104" s="889"/>
      <c r="HO104" s="889"/>
      <c r="HP104" s="889"/>
      <c r="HQ104" s="889"/>
      <c r="HR104" s="889"/>
      <c r="HS104" s="889"/>
      <c r="HT104" s="889"/>
      <c r="HU104" s="889"/>
      <c r="HV104" s="889"/>
      <c r="HW104" s="889"/>
      <c r="HX104" s="889"/>
      <c r="HY104" s="889"/>
      <c r="HZ104" s="889"/>
      <c r="IA104" s="889"/>
      <c r="IB104" s="889"/>
      <c r="IC104" s="889"/>
      <c r="ID104" s="889"/>
      <c r="IE104" s="889"/>
      <c r="IF104" s="889"/>
      <c r="IG104" s="889"/>
      <c r="IH104" s="889"/>
      <c r="II104" s="889"/>
      <c r="IJ104" s="889"/>
      <c r="IK104" s="889"/>
      <c r="IL104" s="889"/>
      <c r="IM104" s="889"/>
      <c r="IN104" s="889"/>
      <c r="IO104" s="889"/>
      <c r="IP104" s="889"/>
      <c r="IQ104" s="889"/>
      <c r="IR104" s="889"/>
      <c r="IS104" s="889"/>
      <c r="IT104" s="889"/>
      <c r="IU104" s="889"/>
      <c r="IV104" s="889"/>
    </row>
    <row r="105" spans="1:256" s="952" customFormat="1" ht="10.5" customHeight="1">
      <c r="A105" s="949" t="s">
        <v>839</v>
      </c>
      <c r="B105" s="875"/>
      <c r="C105" s="875"/>
      <c r="D105" s="875"/>
      <c r="E105" s="875"/>
      <c r="F105" s="875"/>
      <c r="G105" s="996"/>
      <c r="H105" s="996"/>
      <c r="I105" s="996"/>
      <c r="J105" s="996"/>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1"/>
      <c r="AM105" s="951"/>
      <c r="AN105" s="951"/>
      <c r="AO105" s="951"/>
      <c r="AP105" s="951"/>
      <c r="AQ105" s="951"/>
      <c r="AR105" s="951"/>
      <c r="AS105" s="951"/>
      <c r="AT105" s="951"/>
      <c r="AU105" s="951"/>
      <c r="AV105" s="951"/>
      <c r="AW105" s="951"/>
      <c r="AX105" s="951"/>
      <c r="AY105" s="951"/>
      <c r="AZ105" s="951"/>
      <c r="BA105" s="951"/>
      <c r="BB105" s="951"/>
      <c r="BC105" s="951"/>
      <c r="BD105" s="951"/>
      <c r="BE105" s="951"/>
      <c r="BF105" s="951"/>
      <c r="BG105" s="951"/>
      <c r="BH105" s="951"/>
      <c r="BI105" s="951"/>
      <c r="BJ105" s="951"/>
      <c r="BK105" s="951"/>
      <c r="BL105" s="951"/>
      <c r="BM105" s="951"/>
      <c r="BN105" s="951"/>
      <c r="BO105" s="951"/>
      <c r="BP105" s="951"/>
      <c r="BQ105" s="951"/>
      <c r="BR105" s="951"/>
      <c r="BS105" s="951"/>
      <c r="BT105" s="951"/>
      <c r="BU105" s="951"/>
      <c r="BV105" s="951"/>
      <c r="BW105" s="951"/>
      <c r="BX105" s="951"/>
      <c r="BY105" s="951"/>
      <c r="BZ105" s="951"/>
      <c r="CA105" s="951"/>
      <c r="CB105" s="951"/>
      <c r="CC105" s="951"/>
      <c r="CD105" s="951"/>
      <c r="CE105" s="951"/>
      <c r="CF105" s="951"/>
      <c r="CG105" s="951"/>
      <c r="CH105" s="951"/>
      <c r="CI105" s="951"/>
      <c r="CJ105" s="951"/>
      <c r="CK105" s="951"/>
      <c r="CL105" s="951"/>
      <c r="CM105" s="951"/>
      <c r="CN105" s="951"/>
      <c r="CO105" s="951"/>
      <c r="CP105" s="951"/>
      <c r="CQ105" s="951"/>
      <c r="CR105" s="951"/>
      <c r="CS105" s="951"/>
      <c r="CT105" s="951"/>
      <c r="CU105" s="951"/>
      <c r="CV105" s="951"/>
      <c r="CW105" s="951"/>
      <c r="CX105" s="951"/>
      <c r="CY105" s="951"/>
      <c r="CZ105" s="951"/>
      <c r="DA105" s="951"/>
      <c r="DB105" s="951"/>
      <c r="DC105" s="951"/>
      <c r="DD105" s="951"/>
      <c r="DE105" s="951"/>
      <c r="DF105" s="951"/>
      <c r="DG105" s="951"/>
      <c r="DH105" s="951"/>
      <c r="DI105" s="951"/>
      <c r="DJ105" s="951"/>
      <c r="DK105" s="951"/>
      <c r="DL105" s="951"/>
      <c r="DM105" s="951"/>
      <c r="DN105" s="951"/>
      <c r="DO105" s="951"/>
      <c r="DP105" s="951"/>
      <c r="DQ105" s="951"/>
      <c r="DR105" s="951"/>
      <c r="DS105" s="951"/>
      <c r="DT105" s="951"/>
      <c r="DU105" s="951"/>
      <c r="DV105" s="951"/>
      <c r="DW105" s="951"/>
      <c r="DX105" s="951"/>
      <c r="DY105" s="951"/>
      <c r="DZ105" s="951"/>
      <c r="EA105" s="951"/>
      <c r="EB105" s="951"/>
      <c r="EC105" s="951"/>
      <c r="ED105" s="951"/>
      <c r="EE105" s="951"/>
      <c r="EF105" s="951"/>
      <c r="EG105" s="951"/>
      <c r="EH105" s="951"/>
      <c r="EI105" s="951"/>
      <c r="EJ105" s="951"/>
      <c r="EK105" s="951"/>
      <c r="EL105" s="951"/>
      <c r="EM105" s="951"/>
      <c r="EN105" s="951"/>
      <c r="EO105" s="951"/>
      <c r="EP105" s="951"/>
      <c r="EQ105" s="951"/>
      <c r="ER105" s="951"/>
      <c r="ES105" s="951"/>
      <c r="ET105" s="951"/>
      <c r="EU105" s="951"/>
      <c r="EV105" s="951"/>
      <c r="EW105" s="951"/>
      <c r="EX105" s="951"/>
      <c r="EY105" s="951"/>
      <c r="EZ105" s="951"/>
      <c r="FA105" s="951"/>
      <c r="FB105" s="951"/>
      <c r="FC105" s="951"/>
      <c r="FD105" s="951"/>
      <c r="FE105" s="951"/>
      <c r="FF105" s="951"/>
      <c r="FG105" s="951"/>
      <c r="FH105" s="951"/>
      <c r="FI105" s="951"/>
      <c r="FJ105" s="951"/>
      <c r="FK105" s="951"/>
      <c r="FL105" s="951"/>
      <c r="FM105" s="951"/>
      <c r="FN105" s="951"/>
      <c r="FO105" s="951"/>
      <c r="FP105" s="951"/>
      <c r="FQ105" s="951"/>
      <c r="FR105" s="951"/>
      <c r="FS105" s="951"/>
      <c r="FT105" s="951"/>
      <c r="FU105" s="951"/>
      <c r="FV105" s="951"/>
      <c r="FW105" s="951"/>
      <c r="FX105" s="951"/>
      <c r="FY105" s="951"/>
      <c r="FZ105" s="951"/>
      <c r="GA105" s="951"/>
      <c r="GB105" s="951"/>
      <c r="GC105" s="951"/>
      <c r="GD105" s="951"/>
      <c r="GE105" s="951"/>
      <c r="GF105" s="951"/>
      <c r="GG105" s="951"/>
      <c r="GH105" s="951"/>
      <c r="GI105" s="951"/>
      <c r="GJ105" s="951"/>
      <c r="GK105" s="951"/>
      <c r="GL105" s="951"/>
      <c r="GM105" s="951"/>
      <c r="GN105" s="951"/>
      <c r="GO105" s="951"/>
      <c r="GP105" s="951"/>
      <c r="GQ105" s="951"/>
      <c r="GR105" s="951"/>
      <c r="GS105" s="951"/>
      <c r="GT105" s="951"/>
      <c r="GU105" s="951"/>
      <c r="GV105" s="951"/>
      <c r="GW105" s="951"/>
      <c r="GX105" s="951"/>
      <c r="GY105" s="951"/>
      <c r="GZ105" s="951"/>
      <c r="HA105" s="951"/>
      <c r="HB105" s="951"/>
      <c r="HC105" s="951"/>
      <c r="HD105" s="951"/>
      <c r="HE105" s="951"/>
      <c r="HF105" s="951"/>
      <c r="HG105" s="951"/>
      <c r="HH105" s="951"/>
      <c r="HI105" s="951"/>
      <c r="HJ105" s="951"/>
      <c r="HK105" s="951"/>
      <c r="HL105" s="951"/>
      <c r="HM105" s="951"/>
      <c r="HN105" s="951"/>
      <c r="HO105" s="951"/>
      <c r="HP105" s="951"/>
      <c r="HQ105" s="951"/>
      <c r="HR105" s="951"/>
      <c r="HS105" s="951"/>
      <c r="HT105" s="951"/>
      <c r="HU105" s="951"/>
      <c r="HV105" s="951"/>
      <c r="HW105" s="951"/>
      <c r="HX105" s="951"/>
      <c r="HY105" s="951"/>
      <c r="HZ105" s="951"/>
      <c r="IA105" s="951"/>
      <c r="IB105" s="951"/>
      <c r="IC105" s="951"/>
      <c r="ID105" s="951"/>
      <c r="IE105" s="951"/>
      <c r="IF105" s="951"/>
      <c r="IG105" s="951"/>
      <c r="IH105" s="951"/>
      <c r="II105" s="951"/>
      <c r="IJ105" s="951"/>
      <c r="IK105" s="951"/>
      <c r="IL105" s="951"/>
      <c r="IM105" s="951"/>
      <c r="IN105" s="951"/>
      <c r="IO105" s="951"/>
      <c r="IP105" s="951"/>
      <c r="IQ105" s="951"/>
      <c r="IR105" s="951"/>
      <c r="IS105" s="951"/>
      <c r="IT105" s="951"/>
      <c r="IU105" s="951"/>
      <c r="IV105" s="951"/>
    </row>
    <row r="106" spans="1:256" s="952" customFormat="1" ht="10.5" customHeight="1">
      <c r="A106" s="949" t="s">
        <v>840</v>
      </c>
      <c r="B106" s="875"/>
      <c r="C106" s="875"/>
      <c r="D106" s="875"/>
      <c r="E106" s="875"/>
      <c r="F106" s="875"/>
      <c r="G106" s="996"/>
      <c r="H106" s="996"/>
      <c r="I106" s="996"/>
      <c r="J106" s="996"/>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1"/>
      <c r="AM106" s="951"/>
      <c r="AN106" s="951"/>
      <c r="AO106" s="951"/>
      <c r="AP106" s="951"/>
      <c r="AQ106" s="951"/>
      <c r="AR106" s="951"/>
      <c r="AS106" s="951"/>
      <c r="AT106" s="951"/>
      <c r="AU106" s="951"/>
      <c r="AV106" s="951"/>
      <c r="AW106" s="951"/>
      <c r="AX106" s="951"/>
      <c r="AY106" s="951"/>
      <c r="AZ106" s="951"/>
      <c r="BA106" s="951"/>
      <c r="BB106" s="951"/>
      <c r="BC106" s="951"/>
      <c r="BD106" s="951"/>
      <c r="BE106" s="951"/>
      <c r="BF106" s="951"/>
      <c r="BG106" s="951"/>
      <c r="BH106" s="951"/>
      <c r="BI106" s="951"/>
      <c r="BJ106" s="951"/>
      <c r="BK106" s="951"/>
      <c r="BL106" s="951"/>
      <c r="BM106" s="951"/>
      <c r="BN106" s="951"/>
      <c r="BO106" s="951"/>
      <c r="BP106" s="951"/>
      <c r="BQ106" s="951"/>
      <c r="BR106" s="951"/>
      <c r="BS106" s="951"/>
      <c r="BT106" s="951"/>
      <c r="BU106" s="951"/>
      <c r="BV106" s="951"/>
      <c r="BW106" s="951"/>
      <c r="BX106" s="951"/>
      <c r="BY106" s="951"/>
      <c r="BZ106" s="951"/>
      <c r="CA106" s="951"/>
      <c r="CB106" s="951"/>
      <c r="CC106" s="951"/>
      <c r="CD106" s="951"/>
      <c r="CE106" s="951"/>
      <c r="CF106" s="951"/>
      <c r="CG106" s="951"/>
      <c r="CH106" s="951"/>
      <c r="CI106" s="951"/>
      <c r="CJ106" s="951"/>
      <c r="CK106" s="951"/>
      <c r="CL106" s="951"/>
      <c r="CM106" s="951"/>
      <c r="CN106" s="951"/>
      <c r="CO106" s="951"/>
      <c r="CP106" s="951"/>
      <c r="CQ106" s="951"/>
      <c r="CR106" s="951"/>
      <c r="CS106" s="951"/>
      <c r="CT106" s="951"/>
      <c r="CU106" s="951"/>
      <c r="CV106" s="951"/>
      <c r="CW106" s="951"/>
      <c r="CX106" s="951"/>
      <c r="CY106" s="951"/>
      <c r="CZ106" s="951"/>
      <c r="DA106" s="951"/>
      <c r="DB106" s="951"/>
      <c r="DC106" s="951"/>
      <c r="DD106" s="951"/>
      <c r="DE106" s="951"/>
      <c r="DF106" s="951"/>
      <c r="DG106" s="951"/>
      <c r="DH106" s="951"/>
      <c r="DI106" s="951"/>
      <c r="DJ106" s="951"/>
      <c r="DK106" s="951"/>
      <c r="DL106" s="951"/>
      <c r="DM106" s="951"/>
      <c r="DN106" s="951"/>
      <c r="DO106" s="951"/>
      <c r="DP106" s="951"/>
      <c r="DQ106" s="951"/>
      <c r="DR106" s="951"/>
      <c r="DS106" s="951"/>
      <c r="DT106" s="951"/>
      <c r="DU106" s="951"/>
      <c r="DV106" s="951"/>
      <c r="DW106" s="951"/>
      <c r="DX106" s="951"/>
      <c r="DY106" s="951"/>
      <c r="DZ106" s="951"/>
      <c r="EA106" s="951"/>
      <c r="EB106" s="951"/>
      <c r="EC106" s="951"/>
      <c r="ED106" s="951"/>
      <c r="EE106" s="951"/>
      <c r="EF106" s="951"/>
      <c r="EG106" s="951"/>
      <c r="EH106" s="951"/>
      <c r="EI106" s="951"/>
      <c r="EJ106" s="951"/>
      <c r="EK106" s="951"/>
      <c r="EL106" s="951"/>
      <c r="EM106" s="951"/>
      <c r="EN106" s="951"/>
      <c r="EO106" s="951"/>
      <c r="EP106" s="951"/>
      <c r="EQ106" s="951"/>
      <c r="ER106" s="951"/>
      <c r="ES106" s="951"/>
      <c r="ET106" s="951"/>
      <c r="EU106" s="951"/>
      <c r="EV106" s="951"/>
      <c r="EW106" s="951"/>
      <c r="EX106" s="951"/>
      <c r="EY106" s="951"/>
      <c r="EZ106" s="951"/>
      <c r="FA106" s="951"/>
      <c r="FB106" s="951"/>
      <c r="FC106" s="951"/>
      <c r="FD106" s="951"/>
      <c r="FE106" s="951"/>
      <c r="FF106" s="951"/>
      <c r="FG106" s="951"/>
      <c r="FH106" s="951"/>
      <c r="FI106" s="951"/>
      <c r="FJ106" s="951"/>
      <c r="FK106" s="951"/>
      <c r="FL106" s="951"/>
      <c r="FM106" s="951"/>
      <c r="FN106" s="951"/>
      <c r="FO106" s="951"/>
      <c r="FP106" s="951"/>
      <c r="FQ106" s="951"/>
      <c r="FR106" s="951"/>
      <c r="FS106" s="951"/>
      <c r="FT106" s="951"/>
      <c r="FU106" s="951"/>
      <c r="FV106" s="951"/>
      <c r="FW106" s="951"/>
      <c r="FX106" s="951"/>
      <c r="FY106" s="951"/>
      <c r="FZ106" s="951"/>
      <c r="GA106" s="951"/>
      <c r="GB106" s="951"/>
      <c r="GC106" s="951"/>
      <c r="GD106" s="951"/>
      <c r="GE106" s="951"/>
      <c r="GF106" s="951"/>
      <c r="GG106" s="951"/>
      <c r="GH106" s="951"/>
      <c r="GI106" s="951"/>
      <c r="GJ106" s="951"/>
      <c r="GK106" s="951"/>
      <c r="GL106" s="951"/>
      <c r="GM106" s="951"/>
      <c r="GN106" s="951"/>
      <c r="GO106" s="951"/>
      <c r="GP106" s="951"/>
      <c r="GQ106" s="951"/>
      <c r="GR106" s="951"/>
      <c r="GS106" s="951"/>
      <c r="GT106" s="951"/>
      <c r="GU106" s="951"/>
      <c r="GV106" s="951"/>
      <c r="GW106" s="951"/>
      <c r="GX106" s="951"/>
      <c r="GY106" s="951"/>
      <c r="GZ106" s="951"/>
      <c r="HA106" s="951"/>
      <c r="HB106" s="951"/>
      <c r="HC106" s="951"/>
      <c r="HD106" s="951"/>
      <c r="HE106" s="951"/>
      <c r="HF106" s="951"/>
      <c r="HG106" s="951"/>
      <c r="HH106" s="951"/>
      <c r="HI106" s="951"/>
      <c r="HJ106" s="951"/>
      <c r="HK106" s="951"/>
      <c r="HL106" s="951"/>
      <c r="HM106" s="951"/>
      <c r="HN106" s="951"/>
      <c r="HO106" s="951"/>
      <c r="HP106" s="951"/>
      <c r="HQ106" s="951"/>
      <c r="HR106" s="951"/>
      <c r="HS106" s="951"/>
      <c r="HT106" s="951"/>
      <c r="HU106" s="951"/>
      <c r="HV106" s="951"/>
      <c r="HW106" s="951"/>
      <c r="HX106" s="951"/>
      <c r="HY106" s="951"/>
      <c r="HZ106" s="951"/>
      <c r="IA106" s="951"/>
      <c r="IB106" s="951"/>
      <c r="IC106" s="951"/>
      <c r="ID106" s="951"/>
      <c r="IE106" s="951"/>
      <c r="IF106" s="951"/>
      <c r="IG106" s="951"/>
      <c r="IH106" s="951"/>
      <c r="II106" s="951"/>
      <c r="IJ106" s="951"/>
      <c r="IK106" s="951"/>
      <c r="IL106" s="951"/>
      <c r="IM106" s="951"/>
      <c r="IN106" s="951"/>
      <c r="IO106" s="951"/>
      <c r="IP106" s="951"/>
      <c r="IQ106" s="951"/>
      <c r="IR106" s="951"/>
      <c r="IS106" s="951"/>
      <c r="IT106" s="951"/>
      <c r="IU106" s="951"/>
      <c r="IV106" s="951"/>
    </row>
    <row r="107" spans="1:256" s="952" customFormat="1" ht="10.5" customHeight="1">
      <c r="A107" s="949" t="s">
        <v>841</v>
      </c>
      <c r="B107" s="875"/>
      <c r="C107" s="875"/>
      <c r="D107" s="875"/>
      <c r="E107" s="875"/>
      <c r="F107" s="875"/>
      <c r="G107" s="996"/>
      <c r="H107" s="996"/>
      <c r="I107" s="996"/>
      <c r="J107" s="996"/>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1"/>
      <c r="AM107" s="951"/>
      <c r="AN107" s="951"/>
      <c r="AO107" s="951"/>
      <c r="AP107" s="951"/>
      <c r="AQ107" s="951"/>
      <c r="AR107" s="951"/>
      <c r="AS107" s="951"/>
      <c r="AT107" s="951"/>
      <c r="AU107" s="951"/>
      <c r="AV107" s="951"/>
      <c r="AW107" s="951"/>
      <c r="AX107" s="951"/>
      <c r="AY107" s="951"/>
      <c r="AZ107" s="951"/>
      <c r="BA107" s="951"/>
      <c r="BB107" s="951"/>
      <c r="BC107" s="951"/>
      <c r="BD107" s="951"/>
      <c r="BE107" s="951"/>
      <c r="BF107" s="951"/>
      <c r="BG107" s="951"/>
      <c r="BH107" s="951"/>
      <c r="BI107" s="951"/>
      <c r="BJ107" s="951"/>
      <c r="BK107" s="951"/>
      <c r="BL107" s="951"/>
      <c r="BM107" s="951"/>
      <c r="BN107" s="951"/>
      <c r="BO107" s="951"/>
      <c r="BP107" s="951"/>
      <c r="BQ107" s="951"/>
      <c r="BR107" s="951"/>
      <c r="BS107" s="951"/>
      <c r="BT107" s="951"/>
      <c r="BU107" s="951"/>
      <c r="BV107" s="951"/>
      <c r="BW107" s="951"/>
      <c r="BX107" s="951"/>
      <c r="BY107" s="951"/>
      <c r="BZ107" s="951"/>
      <c r="CA107" s="951"/>
      <c r="CB107" s="951"/>
      <c r="CC107" s="951"/>
      <c r="CD107" s="951"/>
      <c r="CE107" s="951"/>
      <c r="CF107" s="951"/>
      <c r="CG107" s="951"/>
      <c r="CH107" s="951"/>
      <c r="CI107" s="951"/>
      <c r="CJ107" s="951"/>
      <c r="CK107" s="951"/>
      <c r="CL107" s="951"/>
      <c r="CM107" s="951"/>
      <c r="CN107" s="951"/>
      <c r="CO107" s="951"/>
      <c r="CP107" s="951"/>
      <c r="CQ107" s="951"/>
      <c r="CR107" s="951"/>
      <c r="CS107" s="951"/>
      <c r="CT107" s="951"/>
      <c r="CU107" s="951"/>
      <c r="CV107" s="951"/>
      <c r="CW107" s="951"/>
      <c r="CX107" s="951"/>
      <c r="CY107" s="951"/>
      <c r="CZ107" s="951"/>
      <c r="DA107" s="951"/>
      <c r="DB107" s="951"/>
      <c r="DC107" s="951"/>
      <c r="DD107" s="951"/>
      <c r="DE107" s="951"/>
      <c r="DF107" s="951"/>
      <c r="DG107" s="951"/>
      <c r="DH107" s="951"/>
      <c r="DI107" s="951"/>
      <c r="DJ107" s="951"/>
      <c r="DK107" s="951"/>
      <c r="DL107" s="951"/>
      <c r="DM107" s="951"/>
      <c r="DN107" s="951"/>
      <c r="DO107" s="951"/>
      <c r="DP107" s="951"/>
      <c r="DQ107" s="951"/>
      <c r="DR107" s="951"/>
      <c r="DS107" s="951"/>
      <c r="DT107" s="951"/>
      <c r="DU107" s="951"/>
      <c r="DV107" s="951"/>
      <c r="DW107" s="951"/>
      <c r="DX107" s="951"/>
      <c r="DY107" s="951"/>
      <c r="DZ107" s="951"/>
      <c r="EA107" s="951"/>
      <c r="EB107" s="951"/>
      <c r="EC107" s="951"/>
      <c r="ED107" s="951"/>
      <c r="EE107" s="951"/>
      <c r="EF107" s="951"/>
      <c r="EG107" s="951"/>
      <c r="EH107" s="951"/>
      <c r="EI107" s="951"/>
      <c r="EJ107" s="951"/>
      <c r="EK107" s="951"/>
      <c r="EL107" s="951"/>
      <c r="EM107" s="951"/>
      <c r="EN107" s="951"/>
      <c r="EO107" s="951"/>
      <c r="EP107" s="951"/>
      <c r="EQ107" s="951"/>
      <c r="ER107" s="951"/>
      <c r="ES107" s="951"/>
      <c r="ET107" s="951"/>
      <c r="EU107" s="951"/>
      <c r="EV107" s="951"/>
      <c r="EW107" s="951"/>
      <c r="EX107" s="951"/>
      <c r="EY107" s="951"/>
      <c r="EZ107" s="951"/>
      <c r="FA107" s="951"/>
      <c r="FB107" s="951"/>
      <c r="FC107" s="951"/>
      <c r="FD107" s="951"/>
      <c r="FE107" s="951"/>
      <c r="FF107" s="951"/>
      <c r="FG107" s="951"/>
      <c r="FH107" s="951"/>
      <c r="FI107" s="951"/>
      <c r="FJ107" s="951"/>
      <c r="FK107" s="951"/>
      <c r="FL107" s="951"/>
      <c r="FM107" s="951"/>
      <c r="FN107" s="951"/>
      <c r="FO107" s="951"/>
      <c r="FP107" s="951"/>
      <c r="FQ107" s="951"/>
      <c r="FR107" s="951"/>
      <c r="FS107" s="951"/>
      <c r="FT107" s="951"/>
      <c r="FU107" s="951"/>
      <c r="FV107" s="951"/>
      <c r="FW107" s="951"/>
      <c r="FX107" s="951"/>
      <c r="FY107" s="951"/>
      <c r="FZ107" s="951"/>
      <c r="GA107" s="951"/>
      <c r="GB107" s="951"/>
      <c r="GC107" s="951"/>
      <c r="GD107" s="951"/>
      <c r="GE107" s="951"/>
      <c r="GF107" s="951"/>
      <c r="GG107" s="951"/>
      <c r="GH107" s="951"/>
      <c r="GI107" s="951"/>
      <c r="GJ107" s="951"/>
      <c r="GK107" s="951"/>
      <c r="GL107" s="951"/>
      <c r="GM107" s="951"/>
      <c r="GN107" s="951"/>
      <c r="GO107" s="951"/>
      <c r="GP107" s="951"/>
      <c r="GQ107" s="951"/>
      <c r="GR107" s="951"/>
      <c r="GS107" s="951"/>
      <c r="GT107" s="951"/>
      <c r="GU107" s="951"/>
      <c r="GV107" s="951"/>
      <c r="GW107" s="951"/>
      <c r="GX107" s="951"/>
      <c r="GY107" s="951"/>
      <c r="GZ107" s="951"/>
      <c r="HA107" s="951"/>
      <c r="HB107" s="951"/>
      <c r="HC107" s="951"/>
      <c r="HD107" s="951"/>
      <c r="HE107" s="951"/>
      <c r="HF107" s="951"/>
      <c r="HG107" s="951"/>
      <c r="HH107" s="951"/>
      <c r="HI107" s="951"/>
      <c r="HJ107" s="951"/>
      <c r="HK107" s="951"/>
      <c r="HL107" s="951"/>
      <c r="HM107" s="951"/>
      <c r="HN107" s="951"/>
      <c r="HO107" s="951"/>
      <c r="HP107" s="951"/>
      <c r="HQ107" s="951"/>
      <c r="HR107" s="951"/>
      <c r="HS107" s="951"/>
      <c r="HT107" s="951"/>
      <c r="HU107" s="951"/>
      <c r="HV107" s="951"/>
      <c r="HW107" s="951"/>
      <c r="HX107" s="951"/>
      <c r="HY107" s="951"/>
      <c r="HZ107" s="951"/>
      <c r="IA107" s="951"/>
      <c r="IB107" s="951"/>
      <c r="IC107" s="951"/>
      <c r="ID107" s="951"/>
      <c r="IE107" s="951"/>
      <c r="IF107" s="951"/>
      <c r="IG107" s="951"/>
      <c r="IH107" s="951"/>
      <c r="II107" s="951"/>
      <c r="IJ107" s="951"/>
      <c r="IK107" s="951"/>
      <c r="IL107" s="951"/>
      <c r="IM107" s="951"/>
      <c r="IN107" s="951"/>
      <c r="IO107" s="951"/>
      <c r="IP107" s="951"/>
      <c r="IQ107" s="951"/>
      <c r="IR107" s="951"/>
      <c r="IS107" s="951"/>
      <c r="IT107" s="951"/>
      <c r="IU107" s="951"/>
      <c r="IV107" s="951"/>
    </row>
    <row r="108" spans="1:256" s="952" customFormat="1" ht="10.5" customHeight="1">
      <c r="A108" s="949" t="s">
        <v>842</v>
      </c>
      <c r="B108" s="875"/>
      <c r="C108" s="875"/>
      <c r="D108" s="875"/>
      <c r="E108" s="875"/>
      <c r="F108" s="875"/>
      <c r="G108" s="996"/>
      <c r="H108" s="996"/>
      <c r="I108" s="996"/>
      <c r="J108" s="996"/>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1"/>
      <c r="AN108" s="951"/>
      <c r="AO108" s="951"/>
      <c r="AP108" s="951"/>
      <c r="AQ108" s="951"/>
      <c r="AR108" s="951"/>
      <c r="AS108" s="951"/>
      <c r="AT108" s="951"/>
      <c r="AU108" s="951"/>
      <c r="AV108" s="951"/>
      <c r="AW108" s="951"/>
      <c r="AX108" s="951"/>
      <c r="AY108" s="951"/>
      <c r="AZ108" s="951"/>
      <c r="BA108" s="951"/>
      <c r="BB108" s="951"/>
      <c r="BC108" s="951"/>
      <c r="BD108" s="951"/>
      <c r="BE108" s="951"/>
      <c r="BF108" s="951"/>
      <c r="BG108" s="951"/>
      <c r="BH108" s="951"/>
      <c r="BI108" s="951"/>
      <c r="BJ108" s="951"/>
      <c r="BK108" s="951"/>
      <c r="BL108" s="951"/>
      <c r="BM108" s="951"/>
      <c r="BN108" s="951"/>
      <c r="BO108" s="951"/>
      <c r="BP108" s="951"/>
      <c r="BQ108" s="951"/>
      <c r="BR108" s="951"/>
      <c r="BS108" s="951"/>
      <c r="BT108" s="951"/>
      <c r="BU108" s="951"/>
      <c r="BV108" s="951"/>
      <c r="BW108" s="951"/>
      <c r="BX108" s="951"/>
      <c r="BY108" s="951"/>
      <c r="BZ108" s="951"/>
      <c r="CA108" s="951"/>
      <c r="CB108" s="951"/>
      <c r="CC108" s="951"/>
      <c r="CD108" s="951"/>
      <c r="CE108" s="951"/>
      <c r="CF108" s="951"/>
      <c r="CG108" s="951"/>
      <c r="CH108" s="951"/>
      <c r="CI108" s="951"/>
      <c r="CJ108" s="951"/>
      <c r="CK108" s="951"/>
      <c r="CL108" s="951"/>
      <c r="CM108" s="951"/>
      <c r="CN108" s="951"/>
      <c r="CO108" s="951"/>
      <c r="CP108" s="951"/>
      <c r="CQ108" s="951"/>
      <c r="CR108" s="951"/>
      <c r="CS108" s="951"/>
      <c r="CT108" s="951"/>
      <c r="CU108" s="951"/>
      <c r="CV108" s="951"/>
      <c r="CW108" s="951"/>
      <c r="CX108" s="951"/>
      <c r="CY108" s="951"/>
      <c r="CZ108" s="951"/>
      <c r="DA108" s="951"/>
      <c r="DB108" s="951"/>
      <c r="DC108" s="951"/>
      <c r="DD108" s="951"/>
      <c r="DE108" s="951"/>
      <c r="DF108" s="951"/>
      <c r="DG108" s="951"/>
      <c r="DH108" s="951"/>
      <c r="DI108" s="951"/>
      <c r="DJ108" s="951"/>
      <c r="DK108" s="951"/>
      <c r="DL108" s="951"/>
      <c r="DM108" s="951"/>
      <c r="DN108" s="951"/>
      <c r="DO108" s="951"/>
      <c r="DP108" s="951"/>
      <c r="DQ108" s="951"/>
      <c r="DR108" s="951"/>
      <c r="DS108" s="951"/>
      <c r="DT108" s="951"/>
      <c r="DU108" s="951"/>
      <c r="DV108" s="951"/>
      <c r="DW108" s="951"/>
      <c r="DX108" s="951"/>
      <c r="DY108" s="951"/>
      <c r="DZ108" s="951"/>
      <c r="EA108" s="951"/>
      <c r="EB108" s="951"/>
      <c r="EC108" s="951"/>
      <c r="ED108" s="951"/>
      <c r="EE108" s="951"/>
      <c r="EF108" s="951"/>
      <c r="EG108" s="951"/>
      <c r="EH108" s="951"/>
      <c r="EI108" s="951"/>
      <c r="EJ108" s="951"/>
      <c r="EK108" s="951"/>
      <c r="EL108" s="951"/>
      <c r="EM108" s="951"/>
      <c r="EN108" s="951"/>
      <c r="EO108" s="951"/>
      <c r="EP108" s="951"/>
      <c r="EQ108" s="951"/>
      <c r="ER108" s="951"/>
      <c r="ES108" s="951"/>
      <c r="ET108" s="951"/>
      <c r="EU108" s="951"/>
      <c r="EV108" s="951"/>
      <c r="EW108" s="951"/>
      <c r="EX108" s="951"/>
      <c r="EY108" s="951"/>
      <c r="EZ108" s="951"/>
      <c r="FA108" s="951"/>
      <c r="FB108" s="951"/>
      <c r="FC108" s="951"/>
      <c r="FD108" s="951"/>
      <c r="FE108" s="951"/>
      <c r="FF108" s="951"/>
      <c r="FG108" s="951"/>
      <c r="FH108" s="951"/>
      <c r="FI108" s="951"/>
      <c r="FJ108" s="951"/>
      <c r="FK108" s="951"/>
      <c r="FL108" s="951"/>
      <c r="FM108" s="951"/>
      <c r="FN108" s="951"/>
      <c r="FO108" s="951"/>
      <c r="FP108" s="951"/>
      <c r="FQ108" s="951"/>
      <c r="FR108" s="951"/>
      <c r="FS108" s="951"/>
      <c r="FT108" s="951"/>
      <c r="FU108" s="951"/>
      <c r="FV108" s="951"/>
      <c r="FW108" s="951"/>
      <c r="FX108" s="951"/>
      <c r="FY108" s="951"/>
      <c r="FZ108" s="951"/>
      <c r="GA108" s="951"/>
      <c r="GB108" s="951"/>
      <c r="GC108" s="951"/>
      <c r="GD108" s="951"/>
      <c r="GE108" s="951"/>
      <c r="GF108" s="951"/>
      <c r="GG108" s="951"/>
      <c r="GH108" s="951"/>
      <c r="GI108" s="951"/>
      <c r="GJ108" s="951"/>
      <c r="GK108" s="951"/>
      <c r="GL108" s="951"/>
      <c r="GM108" s="951"/>
      <c r="GN108" s="951"/>
      <c r="GO108" s="951"/>
      <c r="GP108" s="951"/>
      <c r="GQ108" s="951"/>
      <c r="GR108" s="951"/>
      <c r="GS108" s="951"/>
      <c r="GT108" s="951"/>
      <c r="GU108" s="951"/>
      <c r="GV108" s="951"/>
      <c r="GW108" s="951"/>
      <c r="GX108" s="951"/>
      <c r="GY108" s="951"/>
      <c r="GZ108" s="951"/>
      <c r="HA108" s="951"/>
      <c r="HB108" s="951"/>
      <c r="HC108" s="951"/>
      <c r="HD108" s="951"/>
      <c r="HE108" s="951"/>
      <c r="HF108" s="951"/>
      <c r="HG108" s="951"/>
      <c r="HH108" s="951"/>
      <c r="HI108" s="951"/>
      <c r="HJ108" s="951"/>
      <c r="HK108" s="951"/>
      <c r="HL108" s="951"/>
      <c r="HM108" s="951"/>
      <c r="HN108" s="951"/>
      <c r="HO108" s="951"/>
      <c r="HP108" s="951"/>
      <c r="HQ108" s="951"/>
      <c r="HR108" s="951"/>
      <c r="HS108" s="951"/>
      <c r="HT108" s="951"/>
      <c r="HU108" s="951"/>
      <c r="HV108" s="951"/>
      <c r="HW108" s="951"/>
      <c r="HX108" s="951"/>
      <c r="HY108" s="951"/>
      <c r="HZ108" s="951"/>
      <c r="IA108" s="951"/>
      <c r="IB108" s="951"/>
      <c r="IC108" s="951"/>
      <c r="ID108" s="951"/>
      <c r="IE108" s="951"/>
      <c r="IF108" s="951"/>
      <c r="IG108" s="951"/>
      <c r="IH108" s="951"/>
      <c r="II108" s="951"/>
      <c r="IJ108" s="951"/>
      <c r="IK108" s="951"/>
      <c r="IL108" s="951"/>
      <c r="IM108" s="951"/>
      <c r="IN108" s="951"/>
      <c r="IO108" s="951"/>
      <c r="IP108" s="951"/>
      <c r="IQ108" s="951"/>
      <c r="IR108" s="951"/>
      <c r="IS108" s="951"/>
      <c r="IT108" s="951"/>
      <c r="IU108" s="951"/>
      <c r="IV108" s="951"/>
    </row>
    <row r="109" spans="1:256" s="952" customFormat="1" ht="10.5" customHeight="1">
      <c r="A109" s="949" t="s">
        <v>843</v>
      </c>
      <c r="B109" s="875"/>
      <c r="C109" s="875"/>
      <c r="D109" s="875"/>
      <c r="E109" s="875"/>
      <c r="F109" s="875"/>
      <c r="G109" s="996"/>
      <c r="H109" s="996"/>
      <c r="I109" s="996"/>
      <c r="J109" s="996"/>
      <c r="K109" s="951"/>
      <c r="L109" s="951"/>
      <c r="M109" s="951"/>
      <c r="N109" s="951"/>
      <c r="O109" s="951"/>
      <c r="P109" s="951"/>
      <c r="Q109" s="951"/>
      <c r="R109" s="951"/>
      <c r="S109" s="951"/>
      <c r="T109" s="951"/>
      <c r="U109" s="951"/>
      <c r="V109" s="951"/>
      <c r="W109" s="951"/>
      <c r="X109" s="951"/>
      <c r="Y109" s="951"/>
      <c r="Z109" s="951"/>
      <c r="AA109" s="951"/>
      <c r="AB109" s="951"/>
      <c r="AC109" s="951"/>
      <c r="AD109" s="951"/>
      <c r="AE109" s="951"/>
      <c r="AF109" s="951"/>
      <c r="AG109" s="951"/>
      <c r="AH109" s="951"/>
      <c r="AI109" s="951"/>
      <c r="AJ109" s="951"/>
      <c r="AK109" s="951"/>
      <c r="AL109" s="951"/>
      <c r="AM109" s="951"/>
      <c r="AN109" s="951"/>
      <c r="AO109" s="951"/>
      <c r="AP109" s="951"/>
      <c r="AQ109" s="951"/>
      <c r="AR109" s="951"/>
      <c r="AS109" s="951"/>
      <c r="AT109" s="951"/>
      <c r="AU109" s="951"/>
      <c r="AV109" s="951"/>
      <c r="AW109" s="951"/>
      <c r="AX109" s="951"/>
      <c r="AY109" s="951"/>
      <c r="AZ109" s="951"/>
      <c r="BA109" s="951"/>
      <c r="BB109" s="951"/>
      <c r="BC109" s="951"/>
      <c r="BD109" s="951"/>
      <c r="BE109" s="951"/>
      <c r="BF109" s="951"/>
      <c r="BG109" s="951"/>
      <c r="BH109" s="951"/>
      <c r="BI109" s="951"/>
      <c r="BJ109" s="951"/>
      <c r="BK109" s="951"/>
      <c r="BL109" s="951"/>
      <c r="BM109" s="951"/>
      <c r="BN109" s="951"/>
      <c r="BO109" s="951"/>
      <c r="BP109" s="951"/>
      <c r="BQ109" s="951"/>
      <c r="BR109" s="951"/>
      <c r="BS109" s="951"/>
      <c r="BT109" s="951"/>
      <c r="BU109" s="951"/>
      <c r="BV109" s="951"/>
      <c r="BW109" s="951"/>
      <c r="BX109" s="951"/>
      <c r="BY109" s="951"/>
      <c r="BZ109" s="951"/>
      <c r="CA109" s="951"/>
      <c r="CB109" s="951"/>
      <c r="CC109" s="951"/>
      <c r="CD109" s="951"/>
      <c r="CE109" s="951"/>
      <c r="CF109" s="951"/>
      <c r="CG109" s="951"/>
      <c r="CH109" s="951"/>
      <c r="CI109" s="951"/>
      <c r="CJ109" s="951"/>
      <c r="CK109" s="951"/>
      <c r="CL109" s="951"/>
      <c r="CM109" s="951"/>
      <c r="CN109" s="951"/>
      <c r="CO109" s="951"/>
      <c r="CP109" s="951"/>
      <c r="CQ109" s="951"/>
      <c r="CR109" s="951"/>
      <c r="CS109" s="951"/>
      <c r="CT109" s="951"/>
      <c r="CU109" s="951"/>
      <c r="CV109" s="951"/>
      <c r="CW109" s="951"/>
      <c r="CX109" s="951"/>
      <c r="CY109" s="951"/>
      <c r="CZ109" s="951"/>
      <c r="DA109" s="951"/>
      <c r="DB109" s="951"/>
      <c r="DC109" s="951"/>
      <c r="DD109" s="951"/>
      <c r="DE109" s="951"/>
      <c r="DF109" s="951"/>
      <c r="DG109" s="951"/>
      <c r="DH109" s="951"/>
      <c r="DI109" s="951"/>
      <c r="DJ109" s="951"/>
      <c r="DK109" s="951"/>
      <c r="DL109" s="951"/>
      <c r="DM109" s="951"/>
      <c r="DN109" s="951"/>
      <c r="DO109" s="951"/>
      <c r="DP109" s="951"/>
      <c r="DQ109" s="951"/>
      <c r="DR109" s="951"/>
      <c r="DS109" s="951"/>
      <c r="DT109" s="951"/>
      <c r="DU109" s="951"/>
      <c r="DV109" s="951"/>
      <c r="DW109" s="951"/>
      <c r="DX109" s="951"/>
      <c r="DY109" s="951"/>
      <c r="DZ109" s="951"/>
      <c r="EA109" s="951"/>
      <c r="EB109" s="951"/>
      <c r="EC109" s="951"/>
      <c r="ED109" s="951"/>
      <c r="EE109" s="951"/>
      <c r="EF109" s="951"/>
      <c r="EG109" s="951"/>
      <c r="EH109" s="951"/>
      <c r="EI109" s="951"/>
      <c r="EJ109" s="951"/>
      <c r="EK109" s="951"/>
      <c r="EL109" s="951"/>
      <c r="EM109" s="951"/>
      <c r="EN109" s="951"/>
      <c r="EO109" s="951"/>
      <c r="EP109" s="951"/>
      <c r="EQ109" s="951"/>
      <c r="ER109" s="951"/>
      <c r="ES109" s="951"/>
      <c r="ET109" s="951"/>
      <c r="EU109" s="951"/>
      <c r="EV109" s="951"/>
      <c r="EW109" s="951"/>
      <c r="EX109" s="951"/>
      <c r="EY109" s="951"/>
      <c r="EZ109" s="951"/>
      <c r="FA109" s="951"/>
      <c r="FB109" s="951"/>
      <c r="FC109" s="951"/>
      <c r="FD109" s="951"/>
      <c r="FE109" s="951"/>
      <c r="FF109" s="951"/>
      <c r="FG109" s="951"/>
      <c r="FH109" s="951"/>
      <c r="FI109" s="951"/>
      <c r="FJ109" s="951"/>
      <c r="FK109" s="951"/>
      <c r="FL109" s="951"/>
      <c r="FM109" s="951"/>
      <c r="FN109" s="951"/>
      <c r="FO109" s="951"/>
      <c r="FP109" s="951"/>
      <c r="FQ109" s="951"/>
      <c r="FR109" s="951"/>
      <c r="FS109" s="951"/>
      <c r="FT109" s="951"/>
      <c r="FU109" s="951"/>
      <c r="FV109" s="951"/>
      <c r="FW109" s="951"/>
      <c r="FX109" s="951"/>
      <c r="FY109" s="951"/>
      <c r="FZ109" s="951"/>
      <c r="GA109" s="951"/>
      <c r="GB109" s="951"/>
      <c r="GC109" s="951"/>
      <c r="GD109" s="951"/>
      <c r="GE109" s="951"/>
      <c r="GF109" s="951"/>
      <c r="GG109" s="951"/>
      <c r="GH109" s="951"/>
      <c r="GI109" s="951"/>
      <c r="GJ109" s="951"/>
      <c r="GK109" s="951"/>
      <c r="GL109" s="951"/>
      <c r="GM109" s="951"/>
      <c r="GN109" s="951"/>
      <c r="GO109" s="951"/>
      <c r="GP109" s="951"/>
      <c r="GQ109" s="951"/>
      <c r="GR109" s="951"/>
      <c r="GS109" s="951"/>
      <c r="GT109" s="951"/>
      <c r="GU109" s="951"/>
      <c r="GV109" s="951"/>
      <c r="GW109" s="951"/>
      <c r="GX109" s="951"/>
      <c r="GY109" s="951"/>
      <c r="GZ109" s="951"/>
      <c r="HA109" s="951"/>
      <c r="HB109" s="951"/>
      <c r="HC109" s="951"/>
      <c r="HD109" s="951"/>
      <c r="HE109" s="951"/>
      <c r="HF109" s="951"/>
      <c r="HG109" s="951"/>
      <c r="HH109" s="951"/>
      <c r="HI109" s="951"/>
      <c r="HJ109" s="951"/>
      <c r="HK109" s="951"/>
      <c r="HL109" s="951"/>
      <c r="HM109" s="951"/>
      <c r="HN109" s="951"/>
      <c r="HO109" s="951"/>
      <c r="HP109" s="951"/>
      <c r="HQ109" s="951"/>
      <c r="HR109" s="951"/>
      <c r="HS109" s="951"/>
      <c r="HT109" s="951"/>
      <c r="HU109" s="951"/>
      <c r="HV109" s="951"/>
      <c r="HW109" s="951"/>
      <c r="HX109" s="951"/>
      <c r="HY109" s="951"/>
      <c r="HZ109" s="951"/>
      <c r="IA109" s="951"/>
      <c r="IB109" s="951"/>
      <c r="IC109" s="951"/>
      <c r="ID109" s="951"/>
      <c r="IE109" s="951"/>
      <c r="IF109" s="951"/>
      <c r="IG109" s="951"/>
      <c r="IH109" s="951"/>
      <c r="II109" s="951"/>
      <c r="IJ109" s="951"/>
      <c r="IK109" s="951"/>
      <c r="IL109" s="951"/>
      <c r="IM109" s="951"/>
      <c r="IN109" s="951"/>
      <c r="IO109" s="951"/>
      <c r="IP109" s="951"/>
      <c r="IQ109" s="951"/>
      <c r="IR109" s="951"/>
      <c r="IS109" s="951"/>
      <c r="IT109" s="951"/>
      <c r="IU109" s="951"/>
      <c r="IV109" s="951"/>
    </row>
    <row r="110" spans="1:256">
      <c r="A110" s="949" t="s">
        <v>844</v>
      </c>
    </row>
    <row r="111" spans="1:256">
      <c r="A111" s="949" t="s">
        <v>845</v>
      </c>
    </row>
    <row r="112" spans="1:256" s="952" customFormat="1" ht="10.5" customHeight="1">
      <c r="A112" s="949" t="s">
        <v>846</v>
      </c>
      <c r="B112" s="875"/>
      <c r="C112" s="875"/>
      <c r="D112" s="875"/>
      <c r="E112" s="875"/>
      <c r="F112" s="875"/>
      <c r="G112" s="996"/>
      <c r="H112" s="996"/>
      <c r="I112" s="996"/>
      <c r="J112" s="996"/>
      <c r="K112" s="951"/>
      <c r="L112" s="951"/>
      <c r="M112" s="951"/>
      <c r="N112" s="951"/>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51"/>
      <c r="AM112" s="951"/>
      <c r="AN112" s="951"/>
      <c r="AO112" s="951"/>
      <c r="AP112" s="951"/>
      <c r="AQ112" s="951"/>
      <c r="AR112" s="951"/>
      <c r="AS112" s="951"/>
      <c r="AT112" s="951"/>
      <c r="AU112" s="951"/>
      <c r="AV112" s="951"/>
      <c r="AW112" s="951"/>
      <c r="AX112" s="951"/>
      <c r="AY112" s="951"/>
      <c r="AZ112" s="951"/>
      <c r="BA112" s="951"/>
      <c r="BB112" s="951"/>
      <c r="BC112" s="951"/>
      <c r="BD112" s="951"/>
      <c r="BE112" s="951"/>
      <c r="BF112" s="951"/>
      <c r="BG112" s="951"/>
      <c r="BH112" s="951"/>
      <c r="BI112" s="951"/>
      <c r="BJ112" s="951"/>
      <c r="BK112" s="951"/>
      <c r="BL112" s="951"/>
      <c r="BM112" s="951"/>
      <c r="BN112" s="951"/>
      <c r="BO112" s="951"/>
      <c r="BP112" s="951"/>
      <c r="BQ112" s="951"/>
      <c r="BR112" s="951"/>
      <c r="BS112" s="951"/>
      <c r="BT112" s="951"/>
      <c r="BU112" s="951"/>
      <c r="BV112" s="951"/>
      <c r="BW112" s="951"/>
      <c r="BX112" s="951"/>
      <c r="BY112" s="951"/>
      <c r="BZ112" s="951"/>
      <c r="CA112" s="951"/>
      <c r="CB112" s="951"/>
      <c r="CC112" s="951"/>
      <c r="CD112" s="951"/>
      <c r="CE112" s="951"/>
      <c r="CF112" s="951"/>
      <c r="CG112" s="951"/>
      <c r="CH112" s="951"/>
      <c r="CI112" s="951"/>
      <c r="CJ112" s="951"/>
      <c r="CK112" s="951"/>
      <c r="CL112" s="951"/>
      <c r="CM112" s="951"/>
      <c r="CN112" s="951"/>
      <c r="CO112" s="951"/>
      <c r="CP112" s="951"/>
      <c r="CQ112" s="951"/>
      <c r="CR112" s="951"/>
      <c r="CS112" s="951"/>
      <c r="CT112" s="951"/>
      <c r="CU112" s="951"/>
      <c r="CV112" s="951"/>
      <c r="CW112" s="951"/>
      <c r="CX112" s="951"/>
      <c r="CY112" s="951"/>
      <c r="CZ112" s="951"/>
      <c r="DA112" s="951"/>
      <c r="DB112" s="951"/>
      <c r="DC112" s="951"/>
      <c r="DD112" s="951"/>
      <c r="DE112" s="951"/>
      <c r="DF112" s="951"/>
      <c r="DG112" s="951"/>
      <c r="DH112" s="951"/>
      <c r="DI112" s="951"/>
      <c r="DJ112" s="951"/>
      <c r="DK112" s="951"/>
      <c r="DL112" s="951"/>
      <c r="DM112" s="951"/>
      <c r="DN112" s="951"/>
      <c r="DO112" s="951"/>
      <c r="DP112" s="951"/>
      <c r="DQ112" s="951"/>
      <c r="DR112" s="951"/>
      <c r="DS112" s="951"/>
      <c r="DT112" s="951"/>
      <c r="DU112" s="951"/>
      <c r="DV112" s="951"/>
      <c r="DW112" s="951"/>
      <c r="DX112" s="951"/>
      <c r="DY112" s="951"/>
      <c r="DZ112" s="951"/>
      <c r="EA112" s="951"/>
      <c r="EB112" s="951"/>
      <c r="EC112" s="951"/>
      <c r="ED112" s="951"/>
      <c r="EE112" s="951"/>
      <c r="EF112" s="951"/>
      <c r="EG112" s="951"/>
      <c r="EH112" s="951"/>
      <c r="EI112" s="951"/>
      <c r="EJ112" s="951"/>
      <c r="EK112" s="951"/>
      <c r="EL112" s="951"/>
      <c r="EM112" s="951"/>
      <c r="EN112" s="951"/>
      <c r="EO112" s="951"/>
      <c r="EP112" s="951"/>
      <c r="EQ112" s="951"/>
      <c r="ER112" s="951"/>
      <c r="ES112" s="951"/>
      <c r="ET112" s="951"/>
      <c r="EU112" s="951"/>
      <c r="EV112" s="951"/>
      <c r="EW112" s="951"/>
      <c r="EX112" s="951"/>
      <c r="EY112" s="951"/>
      <c r="EZ112" s="951"/>
      <c r="FA112" s="951"/>
      <c r="FB112" s="951"/>
      <c r="FC112" s="951"/>
      <c r="FD112" s="951"/>
      <c r="FE112" s="951"/>
      <c r="FF112" s="951"/>
      <c r="FG112" s="951"/>
      <c r="FH112" s="951"/>
      <c r="FI112" s="951"/>
      <c r="FJ112" s="951"/>
      <c r="FK112" s="951"/>
      <c r="FL112" s="951"/>
      <c r="FM112" s="951"/>
      <c r="FN112" s="951"/>
      <c r="FO112" s="951"/>
      <c r="FP112" s="951"/>
      <c r="FQ112" s="951"/>
      <c r="FR112" s="951"/>
      <c r="FS112" s="951"/>
      <c r="FT112" s="951"/>
      <c r="FU112" s="951"/>
      <c r="FV112" s="951"/>
      <c r="FW112" s="951"/>
      <c r="FX112" s="951"/>
      <c r="FY112" s="951"/>
      <c r="FZ112" s="951"/>
      <c r="GA112" s="951"/>
      <c r="GB112" s="951"/>
      <c r="GC112" s="951"/>
      <c r="GD112" s="951"/>
      <c r="GE112" s="951"/>
      <c r="GF112" s="951"/>
      <c r="GG112" s="951"/>
      <c r="GH112" s="951"/>
      <c r="GI112" s="951"/>
      <c r="GJ112" s="951"/>
      <c r="GK112" s="951"/>
      <c r="GL112" s="951"/>
      <c r="GM112" s="951"/>
      <c r="GN112" s="951"/>
      <c r="GO112" s="951"/>
      <c r="GP112" s="951"/>
      <c r="GQ112" s="951"/>
      <c r="GR112" s="951"/>
      <c r="GS112" s="951"/>
      <c r="GT112" s="951"/>
      <c r="GU112" s="951"/>
      <c r="GV112" s="951"/>
      <c r="GW112" s="951"/>
      <c r="GX112" s="951"/>
      <c r="GY112" s="951"/>
      <c r="GZ112" s="951"/>
      <c r="HA112" s="951"/>
      <c r="HB112" s="951"/>
      <c r="HC112" s="951"/>
      <c r="HD112" s="951"/>
      <c r="HE112" s="951"/>
      <c r="HF112" s="951"/>
      <c r="HG112" s="951"/>
      <c r="HH112" s="951"/>
      <c r="HI112" s="951"/>
      <c r="HJ112" s="951"/>
      <c r="HK112" s="951"/>
      <c r="HL112" s="951"/>
      <c r="HM112" s="951"/>
      <c r="HN112" s="951"/>
      <c r="HO112" s="951"/>
      <c r="HP112" s="951"/>
      <c r="HQ112" s="951"/>
      <c r="HR112" s="951"/>
      <c r="HS112" s="951"/>
      <c r="HT112" s="951"/>
      <c r="HU112" s="951"/>
      <c r="HV112" s="951"/>
      <c r="HW112" s="951"/>
      <c r="HX112" s="951"/>
      <c r="HY112" s="951"/>
      <c r="HZ112" s="951"/>
      <c r="IA112" s="951"/>
      <c r="IB112" s="951"/>
      <c r="IC112" s="951"/>
      <c r="ID112" s="951"/>
      <c r="IE112" s="951"/>
      <c r="IF112" s="951"/>
      <c r="IG112" s="951"/>
      <c r="IH112" s="951"/>
      <c r="II112" s="951"/>
      <c r="IJ112" s="951"/>
      <c r="IK112" s="951"/>
      <c r="IL112" s="951"/>
      <c r="IM112" s="951"/>
      <c r="IN112" s="951"/>
      <c r="IO112" s="951"/>
      <c r="IP112" s="951"/>
      <c r="IQ112" s="951"/>
      <c r="IR112" s="951"/>
      <c r="IS112" s="951"/>
      <c r="IT112" s="951"/>
      <c r="IU112" s="951"/>
      <c r="IV112" s="951"/>
    </row>
    <row r="113" spans="1:256" s="952" customFormat="1" ht="10.5" customHeight="1">
      <c r="A113" s="949" t="s">
        <v>847</v>
      </c>
      <c r="B113" s="875"/>
      <c r="C113" s="875"/>
      <c r="D113" s="875"/>
      <c r="E113" s="875"/>
      <c r="F113" s="875"/>
      <c r="G113" s="996"/>
      <c r="H113" s="996"/>
      <c r="I113" s="996"/>
      <c r="J113" s="996"/>
      <c r="K113" s="951"/>
      <c r="L113" s="951"/>
      <c r="M113" s="951"/>
      <c r="N113" s="951"/>
      <c r="O113" s="951"/>
      <c r="P113" s="951"/>
      <c r="Q113" s="951"/>
      <c r="R113" s="951"/>
      <c r="S113" s="951"/>
      <c r="T113" s="951"/>
      <c r="U113" s="951"/>
      <c r="V113" s="951"/>
      <c r="W113" s="951"/>
      <c r="X113" s="951"/>
      <c r="Y113" s="951"/>
      <c r="Z113" s="951"/>
      <c r="AA113" s="951"/>
      <c r="AB113" s="951"/>
      <c r="AC113" s="951"/>
      <c r="AD113" s="951"/>
      <c r="AE113" s="951"/>
      <c r="AF113" s="951"/>
      <c r="AG113" s="951"/>
      <c r="AH113" s="951"/>
      <c r="AI113" s="951"/>
      <c r="AJ113" s="951"/>
      <c r="AK113" s="951"/>
      <c r="AL113" s="951"/>
      <c r="AM113" s="951"/>
      <c r="AN113" s="951"/>
      <c r="AO113" s="951"/>
      <c r="AP113" s="951"/>
      <c r="AQ113" s="951"/>
      <c r="AR113" s="951"/>
      <c r="AS113" s="951"/>
      <c r="AT113" s="951"/>
      <c r="AU113" s="951"/>
      <c r="AV113" s="951"/>
      <c r="AW113" s="951"/>
      <c r="AX113" s="951"/>
      <c r="AY113" s="951"/>
      <c r="AZ113" s="951"/>
      <c r="BA113" s="951"/>
      <c r="BB113" s="951"/>
      <c r="BC113" s="951"/>
      <c r="BD113" s="951"/>
      <c r="BE113" s="951"/>
      <c r="BF113" s="951"/>
      <c r="BG113" s="951"/>
      <c r="BH113" s="951"/>
      <c r="BI113" s="951"/>
      <c r="BJ113" s="951"/>
      <c r="BK113" s="951"/>
      <c r="BL113" s="951"/>
      <c r="BM113" s="951"/>
      <c r="BN113" s="951"/>
      <c r="BO113" s="951"/>
      <c r="BP113" s="951"/>
      <c r="BQ113" s="951"/>
      <c r="BR113" s="951"/>
      <c r="BS113" s="951"/>
      <c r="BT113" s="951"/>
      <c r="BU113" s="951"/>
      <c r="BV113" s="951"/>
      <c r="BW113" s="951"/>
      <c r="BX113" s="951"/>
      <c r="BY113" s="951"/>
      <c r="BZ113" s="951"/>
      <c r="CA113" s="951"/>
      <c r="CB113" s="951"/>
      <c r="CC113" s="951"/>
      <c r="CD113" s="951"/>
      <c r="CE113" s="951"/>
      <c r="CF113" s="951"/>
      <c r="CG113" s="951"/>
      <c r="CH113" s="951"/>
      <c r="CI113" s="951"/>
      <c r="CJ113" s="951"/>
      <c r="CK113" s="951"/>
      <c r="CL113" s="951"/>
      <c r="CM113" s="951"/>
      <c r="CN113" s="951"/>
      <c r="CO113" s="951"/>
      <c r="CP113" s="951"/>
      <c r="CQ113" s="951"/>
      <c r="CR113" s="951"/>
      <c r="CS113" s="951"/>
      <c r="CT113" s="951"/>
      <c r="CU113" s="951"/>
      <c r="CV113" s="951"/>
      <c r="CW113" s="951"/>
      <c r="CX113" s="951"/>
      <c r="CY113" s="951"/>
      <c r="CZ113" s="951"/>
      <c r="DA113" s="951"/>
      <c r="DB113" s="951"/>
      <c r="DC113" s="951"/>
      <c r="DD113" s="951"/>
      <c r="DE113" s="951"/>
      <c r="DF113" s="951"/>
      <c r="DG113" s="951"/>
      <c r="DH113" s="951"/>
      <c r="DI113" s="951"/>
      <c r="DJ113" s="951"/>
      <c r="DK113" s="951"/>
      <c r="DL113" s="951"/>
      <c r="DM113" s="951"/>
      <c r="DN113" s="951"/>
      <c r="DO113" s="951"/>
      <c r="DP113" s="951"/>
      <c r="DQ113" s="951"/>
      <c r="DR113" s="951"/>
      <c r="DS113" s="951"/>
      <c r="DT113" s="951"/>
      <c r="DU113" s="951"/>
      <c r="DV113" s="951"/>
      <c r="DW113" s="951"/>
      <c r="DX113" s="951"/>
      <c r="DY113" s="951"/>
      <c r="DZ113" s="951"/>
      <c r="EA113" s="951"/>
      <c r="EB113" s="951"/>
      <c r="EC113" s="951"/>
      <c r="ED113" s="951"/>
      <c r="EE113" s="951"/>
      <c r="EF113" s="951"/>
      <c r="EG113" s="951"/>
      <c r="EH113" s="951"/>
      <c r="EI113" s="951"/>
      <c r="EJ113" s="951"/>
      <c r="EK113" s="951"/>
      <c r="EL113" s="951"/>
      <c r="EM113" s="951"/>
      <c r="EN113" s="951"/>
      <c r="EO113" s="951"/>
      <c r="EP113" s="951"/>
      <c r="EQ113" s="951"/>
      <c r="ER113" s="951"/>
      <c r="ES113" s="951"/>
      <c r="ET113" s="951"/>
      <c r="EU113" s="951"/>
      <c r="EV113" s="951"/>
      <c r="EW113" s="951"/>
      <c r="EX113" s="951"/>
      <c r="EY113" s="951"/>
      <c r="EZ113" s="951"/>
      <c r="FA113" s="951"/>
      <c r="FB113" s="951"/>
      <c r="FC113" s="951"/>
      <c r="FD113" s="951"/>
      <c r="FE113" s="951"/>
      <c r="FF113" s="951"/>
      <c r="FG113" s="951"/>
      <c r="FH113" s="951"/>
      <c r="FI113" s="951"/>
      <c r="FJ113" s="951"/>
      <c r="FK113" s="951"/>
      <c r="FL113" s="951"/>
      <c r="FM113" s="951"/>
      <c r="FN113" s="951"/>
      <c r="FO113" s="951"/>
      <c r="FP113" s="951"/>
      <c r="FQ113" s="951"/>
      <c r="FR113" s="951"/>
      <c r="FS113" s="951"/>
      <c r="FT113" s="951"/>
      <c r="FU113" s="951"/>
      <c r="FV113" s="951"/>
      <c r="FW113" s="951"/>
      <c r="FX113" s="951"/>
      <c r="FY113" s="951"/>
      <c r="FZ113" s="951"/>
      <c r="GA113" s="951"/>
      <c r="GB113" s="951"/>
      <c r="GC113" s="951"/>
      <c r="GD113" s="951"/>
      <c r="GE113" s="951"/>
      <c r="GF113" s="951"/>
      <c r="GG113" s="951"/>
      <c r="GH113" s="951"/>
      <c r="GI113" s="951"/>
      <c r="GJ113" s="951"/>
      <c r="GK113" s="951"/>
      <c r="GL113" s="951"/>
      <c r="GM113" s="951"/>
      <c r="GN113" s="951"/>
      <c r="GO113" s="951"/>
      <c r="GP113" s="951"/>
      <c r="GQ113" s="951"/>
      <c r="GR113" s="951"/>
      <c r="GS113" s="951"/>
      <c r="GT113" s="951"/>
      <c r="GU113" s="951"/>
      <c r="GV113" s="951"/>
      <c r="GW113" s="951"/>
      <c r="GX113" s="951"/>
      <c r="GY113" s="951"/>
      <c r="GZ113" s="951"/>
      <c r="HA113" s="951"/>
      <c r="HB113" s="951"/>
      <c r="HC113" s="951"/>
      <c r="HD113" s="951"/>
      <c r="HE113" s="951"/>
      <c r="HF113" s="951"/>
      <c r="HG113" s="951"/>
      <c r="HH113" s="951"/>
      <c r="HI113" s="951"/>
      <c r="HJ113" s="951"/>
      <c r="HK113" s="951"/>
      <c r="HL113" s="951"/>
      <c r="HM113" s="951"/>
      <c r="HN113" s="951"/>
      <c r="HO113" s="951"/>
      <c r="HP113" s="951"/>
      <c r="HQ113" s="951"/>
      <c r="HR113" s="951"/>
      <c r="HS113" s="951"/>
      <c r="HT113" s="951"/>
      <c r="HU113" s="951"/>
      <c r="HV113" s="951"/>
      <c r="HW113" s="951"/>
      <c r="HX113" s="951"/>
      <c r="HY113" s="951"/>
      <c r="HZ113" s="951"/>
      <c r="IA113" s="951"/>
      <c r="IB113" s="951"/>
      <c r="IC113" s="951"/>
      <c r="ID113" s="951"/>
      <c r="IE113" s="951"/>
      <c r="IF113" s="951"/>
      <c r="IG113" s="951"/>
      <c r="IH113" s="951"/>
      <c r="II113" s="951"/>
      <c r="IJ113" s="951"/>
      <c r="IK113" s="951"/>
      <c r="IL113" s="951"/>
      <c r="IM113" s="951"/>
      <c r="IN113" s="951"/>
      <c r="IO113" s="951"/>
      <c r="IP113" s="951"/>
      <c r="IQ113" s="951"/>
      <c r="IR113" s="951"/>
      <c r="IS113" s="951"/>
      <c r="IT113" s="951"/>
      <c r="IU113" s="951"/>
      <c r="IV113" s="951"/>
    </row>
    <row r="114" spans="1:256" s="952" customFormat="1" ht="10.5" customHeight="1">
      <c r="A114" s="949" t="s">
        <v>848</v>
      </c>
      <c r="B114" s="875"/>
      <c r="C114" s="875"/>
      <c r="D114" s="875"/>
      <c r="E114" s="875"/>
      <c r="F114" s="875"/>
      <c r="G114" s="996"/>
      <c r="H114" s="996"/>
      <c r="I114" s="996"/>
      <c r="J114" s="996"/>
      <c r="K114" s="951"/>
      <c r="L114" s="951"/>
      <c r="M114" s="951"/>
      <c r="N114" s="951"/>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51"/>
      <c r="AM114" s="951"/>
      <c r="AN114" s="951"/>
      <c r="AO114" s="951"/>
      <c r="AP114" s="951"/>
      <c r="AQ114" s="951"/>
      <c r="AR114" s="951"/>
      <c r="AS114" s="951"/>
      <c r="AT114" s="951"/>
      <c r="AU114" s="951"/>
      <c r="AV114" s="951"/>
      <c r="AW114" s="951"/>
      <c r="AX114" s="951"/>
      <c r="AY114" s="951"/>
      <c r="AZ114" s="951"/>
      <c r="BA114" s="951"/>
      <c r="BB114" s="951"/>
      <c r="BC114" s="951"/>
      <c r="BD114" s="951"/>
      <c r="BE114" s="951"/>
      <c r="BF114" s="951"/>
      <c r="BG114" s="951"/>
      <c r="BH114" s="951"/>
      <c r="BI114" s="951"/>
      <c r="BJ114" s="951"/>
      <c r="BK114" s="951"/>
      <c r="BL114" s="951"/>
      <c r="BM114" s="951"/>
      <c r="BN114" s="951"/>
      <c r="BO114" s="951"/>
      <c r="BP114" s="951"/>
      <c r="BQ114" s="951"/>
      <c r="BR114" s="951"/>
      <c r="BS114" s="951"/>
      <c r="BT114" s="951"/>
      <c r="BU114" s="951"/>
      <c r="BV114" s="951"/>
      <c r="BW114" s="951"/>
      <c r="BX114" s="951"/>
      <c r="BY114" s="951"/>
      <c r="BZ114" s="951"/>
      <c r="CA114" s="951"/>
      <c r="CB114" s="951"/>
      <c r="CC114" s="951"/>
      <c r="CD114" s="951"/>
      <c r="CE114" s="951"/>
      <c r="CF114" s="951"/>
      <c r="CG114" s="951"/>
      <c r="CH114" s="951"/>
      <c r="CI114" s="951"/>
      <c r="CJ114" s="951"/>
      <c r="CK114" s="951"/>
      <c r="CL114" s="951"/>
      <c r="CM114" s="951"/>
      <c r="CN114" s="951"/>
      <c r="CO114" s="951"/>
      <c r="CP114" s="951"/>
      <c r="CQ114" s="951"/>
      <c r="CR114" s="951"/>
      <c r="CS114" s="951"/>
      <c r="CT114" s="951"/>
      <c r="CU114" s="951"/>
      <c r="CV114" s="951"/>
      <c r="CW114" s="951"/>
      <c r="CX114" s="951"/>
      <c r="CY114" s="951"/>
      <c r="CZ114" s="951"/>
      <c r="DA114" s="951"/>
      <c r="DB114" s="951"/>
      <c r="DC114" s="951"/>
      <c r="DD114" s="951"/>
      <c r="DE114" s="951"/>
      <c r="DF114" s="951"/>
      <c r="DG114" s="951"/>
      <c r="DH114" s="951"/>
      <c r="DI114" s="951"/>
      <c r="DJ114" s="951"/>
      <c r="DK114" s="951"/>
      <c r="DL114" s="951"/>
      <c r="DM114" s="951"/>
      <c r="DN114" s="951"/>
      <c r="DO114" s="951"/>
      <c r="DP114" s="951"/>
      <c r="DQ114" s="951"/>
      <c r="DR114" s="951"/>
      <c r="DS114" s="951"/>
      <c r="DT114" s="951"/>
      <c r="DU114" s="951"/>
      <c r="DV114" s="951"/>
      <c r="DW114" s="951"/>
      <c r="DX114" s="951"/>
      <c r="DY114" s="951"/>
      <c r="DZ114" s="951"/>
      <c r="EA114" s="951"/>
      <c r="EB114" s="951"/>
      <c r="EC114" s="951"/>
      <c r="ED114" s="951"/>
      <c r="EE114" s="951"/>
      <c r="EF114" s="951"/>
      <c r="EG114" s="951"/>
      <c r="EH114" s="951"/>
      <c r="EI114" s="951"/>
      <c r="EJ114" s="951"/>
      <c r="EK114" s="951"/>
      <c r="EL114" s="951"/>
      <c r="EM114" s="951"/>
      <c r="EN114" s="951"/>
      <c r="EO114" s="951"/>
      <c r="EP114" s="951"/>
      <c r="EQ114" s="951"/>
      <c r="ER114" s="951"/>
      <c r="ES114" s="951"/>
      <c r="ET114" s="951"/>
      <c r="EU114" s="951"/>
      <c r="EV114" s="951"/>
      <c r="EW114" s="951"/>
      <c r="EX114" s="951"/>
      <c r="EY114" s="951"/>
      <c r="EZ114" s="951"/>
      <c r="FA114" s="951"/>
      <c r="FB114" s="951"/>
      <c r="FC114" s="951"/>
      <c r="FD114" s="951"/>
      <c r="FE114" s="951"/>
      <c r="FF114" s="951"/>
      <c r="FG114" s="951"/>
      <c r="FH114" s="951"/>
      <c r="FI114" s="951"/>
      <c r="FJ114" s="951"/>
      <c r="FK114" s="951"/>
      <c r="FL114" s="951"/>
      <c r="FM114" s="951"/>
      <c r="FN114" s="951"/>
      <c r="FO114" s="951"/>
      <c r="FP114" s="951"/>
      <c r="FQ114" s="951"/>
      <c r="FR114" s="951"/>
      <c r="FS114" s="951"/>
      <c r="FT114" s="951"/>
      <c r="FU114" s="951"/>
      <c r="FV114" s="951"/>
      <c r="FW114" s="951"/>
      <c r="FX114" s="951"/>
      <c r="FY114" s="951"/>
      <c r="FZ114" s="951"/>
      <c r="GA114" s="951"/>
      <c r="GB114" s="951"/>
      <c r="GC114" s="951"/>
      <c r="GD114" s="951"/>
      <c r="GE114" s="951"/>
      <c r="GF114" s="951"/>
      <c r="GG114" s="951"/>
      <c r="GH114" s="951"/>
      <c r="GI114" s="951"/>
      <c r="GJ114" s="951"/>
      <c r="GK114" s="951"/>
      <c r="GL114" s="951"/>
      <c r="GM114" s="951"/>
      <c r="GN114" s="951"/>
      <c r="GO114" s="951"/>
      <c r="GP114" s="951"/>
      <c r="GQ114" s="951"/>
      <c r="GR114" s="951"/>
      <c r="GS114" s="951"/>
      <c r="GT114" s="951"/>
      <c r="GU114" s="951"/>
      <c r="GV114" s="951"/>
      <c r="GW114" s="951"/>
      <c r="GX114" s="951"/>
      <c r="GY114" s="951"/>
      <c r="GZ114" s="951"/>
      <c r="HA114" s="951"/>
      <c r="HB114" s="951"/>
      <c r="HC114" s="951"/>
      <c r="HD114" s="951"/>
      <c r="HE114" s="951"/>
      <c r="HF114" s="951"/>
      <c r="HG114" s="951"/>
      <c r="HH114" s="951"/>
      <c r="HI114" s="951"/>
      <c r="HJ114" s="951"/>
      <c r="HK114" s="951"/>
      <c r="HL114" s="951"/>
      <c r="HM114" s="951"/>
      <c r="HN114" s="951"/>
      <c r="HO114" s="951"/>
      <c r="HP114" s="951"/>
      <c r="HQ114" s="951"/>
      <c r="HR114" s="951"/>
      <c r="HS114" s="951"/>
      <c r="HT114" s="951"/>
      <c r="HU114" s="951"/>
      <c r="HV114" s="951"/>
      <c r="HW114" s="951"/>
      <c r="HX114" s="951"/>
      <c r="HY114" s="951"/>
      <c r="HZ114" s="951"/>
      <c r="IA114" s="951"/>
      <c r="IB114" s="951"/>
      <c r="IC114" s="951"/>
      <c r="ID114" s="951"/>
      <c r="IE114" s="951"/>
      <c r="IF114" s="951"/>
      <c r="IG114" s="951"/>
      <c r="IH114" s="951"/>
      <c r="II114" s="951"/>
      <c r="IJ114" s="951"/>
      <c r="IK114" s="951"/>
      <c r="IL114" s="951"/>
      <c r="IM114" s="951"/>
      <c r="IN114" s="951"/>
      <c r="IO114" s="951"/>
      <c r="IP114" s="951"/>
      <c r="IQ114" s="951"/>
      <c r="IR114" s="951"/>
      <c r="IS114" s="951"/>
      <c r="IT114" s="951"/>
      <c r="IU114" s="951"/>
      <c r="IV114" s="951"/>
    </row>
    <row r="115" spans="1:256" s="952" customFormat="1" ht="10.5" customHeight="1">
      <c r="A115" s="949"/>
      <c r="B115" s="875"/>
      <c r="C115" s="875"/>
      <c r="D115" s="875"/>
      <c r="E115" s="875"/>
      <c r="F115" s="875"/>
      <c r="G115" s="996"/>
      <c r="H115" s="996"/>
      <c r="I115" s="996"/>
      <c r="J115" s="996"/>
      <c r="K115" s="951"/>
      <c r="L115" s="951"/>
      <c r="M115" s="951"/>
      <c r="N115" s="951"/>
      <c r="O115" s="951"/>
      <c r="P115" s="951"/>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51"/>
      <c r="AM115" s="951"/>
      <c r="AN115" s="951"/>
      <c r="AO115" s="951"/>
      <c r="AP115" s="951"/>
      <c r="AQ115" s="951"/>
      <c r="AR115" s="951"/>
      <c r="AS115" s="951"/>
      <c r="AT115" s="951"/>
      <c r="AU115" s="951"/>
      <c r="AV115" s="951"/>
      <c r="AW115" s="951"/>
      <c r="AX115" s="951"/>
      <c r="AY115" s="951"/>
      <c r="AZ115" s="951"/>
      <c r="BA115" s="951"/>
      <c r="BB115" s="951"/>
      <c r="BC115" s="951"/>
      <c r="BD115" s="951"/>
      <c r="BE115" s="951"/>
      <c r="BF115" s="951"/>
      <c r="BG115" s="951"/>
      <c r="BH115" s="951"/>
      <c r="BI115" s="951"/>
      <c r="BJ115" s="951"/>
      <c r="BK115" s="951"/>
      <c r="BL115" s="951"/>
      <c r="BM115" s="951"/>
      <c r="BN115" s="951"/>
      <c r="BO115" s="951"/>
      <c r="BP115" s="951"/>
      <c r="BQ115" s="951"/>
      <c r="BR115" s="951"/>
      <c r="BS115" s="951"/>
      <c r="BT115" s="951"/>
      <c r="BU115" s="951"/>
      <c r="BV115" s="951"/>
      <c r="BW115" s="951"/>
      <c r="BX115" s="951"/>
      <c r="BY115" s="951"/>
      <c r="BZ115" s="951"/>
      <c r="CA115" s="951"/>
      <c r="CB115" s="951"/>
      <c r="CC115" s="951"/>
      <c r="CD115" s="951"/>
      <c r="CE115" s="951"/>
      <c r="CF115" s="951"/>
      <c r="CG115" s="951"/>
      <c r="CH115" s="951"/>
      <c r="CI115" s="951"/>
      <c r="CJ115" s="951"/>
      <c r="CK115" s="951"/>
      <c r="CL115" s="951"/>
      <c r="CM115" s="951"/>
      <c r="CN115" s="951"/>
      <c r="CO115" s="951"/>
      <c r="CP115" s="951"/>
      <c r="CQ115" s="951"/>
      <c r="CR115" s="951"/>
      <c r="CS115" s="951"/>
      <c r="CT115" s="951"/>
      <c r="CU115" s="951"/>
      <c r="CV115" s="951"/>
      <c r="CW115" s="951"/>
      <c r="CX115" s="951"/>
      <c r="CY115" s="951"/>
      <c r="CZ115" s="951"/>
      <c r="DA115" s="951"/>
      <c r="DB115" s="951"/>
      <c r="DC115" s="951"/>
      <c r="DD115" s="951"/>
      <c r="DE115" s="951"/>
      <c r="DF115" s="951"/>
      <c r="DG115" s="951"/>
      <c r="DH115" s="951"/>
      <c r="DI115" s="951"/>
      <c r="DJ115" s="951"/>
      <c r="DK115" s="951"/>
      <c r="DL115" s="951"/>
      <c r="DM115" s="951"/>
      <c r="DN115" s="951"/>
      <c r="DO115" s="951"/>
      <c r="DP115" s="951"/>
      <c r="DQ115" s="951"/>
      <c r="DR115" s="951"/>
      <c r="DS115" s="951"/>
      <c r="DT115" s="951"/>
      <c r="DU115" s="951"/>
      <c r="DV115" s="951"/>
      <c r="DW115" s="951"/>
      <c r="DX115" s="951"/>
      <c r="DY115" s="951"/>
      <c r="DZ115" s="951"/>
      <c r="EA115" s="951"/>
      <c r="EB115" s="951"/>
      <c r="EC115" s="951"/>
      <c r="ED115" s="951"/>
      <c r="EE115" s="951"/>
      <c r="EF115" s="951"/>
      <c r="EG115" s="951"/>
      <c r="EH115" s="951"/>
      <c r="EI115" s="951"/>
      <c r="EJ115" s="951"/>
      <c r="EK115" s="951"/>
      <c r="EL115" s="951"/>
      <c r="EM115" s="951"/>
      <c r="EN115" s="951"/>
      <c r="EO115" s="951"/>
      <c r="EP115" s="951"/>
      <c r="EQ115" s="951"/>
      <c r="ER115" s="951"/>
      <c r="ES115" s="951"/>
      <c r="ET115" s="951"/>
      <c r="EU115" s="951"/>
      <c r="EV115" s="951"/>
      <c r="EW115" s="951"/>
      <c r="EX115" s="951"/>
      <c r="EY115" s="951"/>
      <c r="EZ115" s="951"/>
      <c r="FA115" s="951"/>
      <c r="FB115" s="951"/>
      <c r="FC115" s="951"/>
      <c r="FD115" s="951"/>
      <c r="FE115" s="951"/>
      <c r="FF115" s="951"/>
      <c r="FG115" s="951"/>
      <c r="FH115" s="951"/>
      <c r="FI115" s="951"/>
      <c r="FJ115" s="951"/>
      <c r="FK115" s="951"/>
      <c r="FL115" s="951"/>
      <c r="FM115" s="951"/>
      <c r="FN115" s="951"/>
      <c r="FO115" s="951"/>
      <c r="FP115" s="951"/>
      <c r="FQ115" s="951"/>
      <c r="FR115" s="951"/>
      <c r="FS115" s="951"/>
      <c r="FT115" s="951"/>
      <c r="FU115" s="951"/>
      <c r="FV115" s="951"/>
      <c r="FW115" s="951"/>
      <c r="FX115" s="951"/>
      <c r="FY115" s="951"/>
      <c r="FZ115" s="951"/>
      <c r="GA115" s="951"/>
      <c r="GB115" s="951"/>
      <c r="GC115" s="951"/>
      <c r="GD115" s="951"/>
      <c r="GE115" s="951"/>
      <c r="GF115" s="951"/>
      <c r="GG115" s="951"/>
      <c r="GH115" s="951"/>
      <c r="GI115" s="951"/>
      <c r="GJ115" s="951"/>
      <c r="GK115" s="951"/>
      <c r="GL115" s="951"/>
      <c r="GM115" s="951"/>
      <c r="GN115" s="951"/>
      <c r="GO115" s="951"/>
      <c r="GP115" s="951"/>
      <c r="GQ115" s="951"/>
      <c r="GR115" s="951"/>
      <c r="GS115" s="951"/>
      <c r="GT115" s="951"/>
      <c r="GU115" s="951"/>
      <c r="GV115" s="951"/>
      <c r="GW115" s="951"/>
      <c r="GX115" s="951"/>
      <c r="GY115" s="951"/>
      <c r="GZ115" s="951"/>
      <c r="HA115" s="951"/>
      <c r="HB115" s="951"/>
      <c r="HC115" s="951"/>
      <c r="HD115" s="951"/>
      <c r="HE115" s="951"/>
      <c r="HF115" s="951"/>
      <c r="HG115" s="951"/>
      <c r="HH115" s="951"/>
      <c r="HI115" s="951"/>
      <c r="HJ115" s="951"/>
      <c r="HK115" s="951"/>
      <c r="HL115" s="951"/>
      <c r="HM115" s="951"/>
      <c r="HN115" s="951"/>
      <c r="HO115" s="951"/>
      <c r="HP115" s="951"/>
      <c r="HQ115" s="951"/>
      <c r="HR115" s="951"/>
      <c r="HS115" s="951"/>
      <c r="HT115" s="951"/>
      <c r="HU115" s="951"/>
      <c r="HV115" s="951"/>
      <c r="HW115" s="951"/>
      <c r="HX115" s="951"/>
      <c r="HY115" s="951"/>
      <c r="HZ115" s="951"/>
      <c r="IA115" s="951"/>
      <c r="IB115" s="951"/>
      <c r="IC115" s="951"/>
      <c r="ID115" s="951"/>
      <c r="IE115" s="951"/>
      <c r="IF115" s="951"/>
      <c r="IG115" s="951"/>
      <c r="IH115" s="951"/>
      <c r="II115" s="951"/>
      <c r="IJ115" s="951"/>
      <c r="IK115" s="951"/>
      <c r="IL115" s="951"/>
      <c r="IM115" s="951"/>
      <c r="IN115" s="951"/>
      <c r="IO115" s="951"/>
      <c r="IP115" s="951"/>
      <c r="IQ115" s="951"/>
      <c r="IR115" s="951"/>
      <c r="IS115" s="951"/>
      <c r="IT115" s="951"/>
      <c r="IU115" s="951"/>
      <c r="IV115" s="951"/>
    </row>
    <row r="116" spans="1:256" ht="6" customHeight="1">
      <c r="A116" s="875"/>
      <c r="B116" s="875"/>
      <c r="C116" s="875"/>
      <c r="D116" s="875"/>
      <c r="E116" s="875"/>
      <c r="F116" s="875"/>
      <c r="G116" s="996"/>
      <c r="I116" s="873"/>
      <c r="J116" s="873"/>
      <c r="K116" s="889"/>
      <c r="L116" s="889"/>
      <c r="M116" s="889"/>
      <c r="N116" s="889"/>
      <c r="O116" s="889"/>
      <c r="P116" s="889"/>
      <c r="Q116" s="889"/>
      <c r="R116" s="889"/>
      <c r="S116" s="889"/>
      <c r="T116" s="889"/>
      <c r="U116" s="889"/>
      <c r="V116" s="889"/>
      <c r="W116" s="889"/>
      <c r="X116" s="889"/>
      <c r="Y116" s="889"/>
      <c r="Z116" s="889"/>
      <c r="AA116" s="889"/>
      <c r="AB116" s="889"/>
      <c r="AC116" s="889"/>
      <c r="AD116" s="889"/>
      <c r="AE116" s="889"/>
      <c r="AF116" s="889"/>
      <c r="AG116" s="889"/>
      <c r="AH116" s="889"/>
      <c r="AI116" s="889"/>
      <c r="AJ116" s="889"/>
      <c r="AK116" s="889"/>
      <c r="AL116" s="889"/>
      <c r="AM116" s="889"/>
      <c r="AN116" s="889"/>
      <c r="AO116" s="889"/>
      <c r="AP116" s="889"/>
      <c r="AQ116" s="889"/>
      <c r="AR116" s="889"/>
      <c r="AS116" s="889"/>
      <c r="AT116" s="889"/>
      <c r="AU116" s="889"/>
      <c r="AV116" s="889"/>
      <c r="AW116" s="889"/>
      <c r="AX116" s="889"/>
      <c r="AY116" s="889"/>
      <c r="AZ116" s="889"/>
      <c r="BA116" s="889"/>
      <c r="BB116" s="889"/>
      <c r="BC116" s="889"/>
      <c r="BD116" s="889"/>
      <c r="BE116" s="889"/>
      <c r="BF116" s="889"/>
      <c r="BG116" s="889"/>
      <c r="BH116" s="889"/>
      <c r="BI116" s="889"/>
      <c r="BJ116" s="889"/>
      <c r="BK116" s="889"/>
      <c r="BL116" s="889"/>
      <c r="BM116" s="889"/>
      <c r="BN116" s="889"/>
      <c r="BO116" s="889"/>
      <c r="BP116" s="889"/>
      <c r="BQ116" s="889"/>
      <c r="BR116" s="889"/>
      <c r="BS116" s="889"/>
      <c r="BT116" s="889"/>
      <c r="BU116" s="889"/>
      <c r="BV116" s="889"/>
      <c r="BW116" s="889"/>
      <c r="BX116" s="889"/>
      <c r="BY116" s="889"/>
      <c r="BZ116" s="889"/>
      <c r="CA116" s="889"/>
      <c r="CB116" s="889"/>
      <c r="CC116" s="889"/>
      <c r="CD116" s="889"/>
      <c r="CE116" s="889"/>
      <c r="CF116" s="889"/>
      <c r="CG116" s="889"/>
      <c r="CH116" s="889"/>
      <c r="CI116" s="889"/>
      <c r="CJ116" s="889"/>
      <c r="CK116" s="889"/>
      <c r="CL116" s="889"/>
      <c r="CM116" s="889"/>
      <c r="CN116" s="889"/>
      <c r="CO116" s="889"/>
      <c r="CP116" s="889"/>
      <c r="CQ116" s="889"/>
      <c r="CR116" s="889"/>
      <c r="CS116" s="889"/>
      <c r="CT116" s="889"/>
      <c r="CU116" s="889"/>
      <c r="CV116" s="889"/>
      <c r="CW116" s="889"/>
      <c r="CX116" s="889"/>
      <c r="CY116" s="889"/>
      <c r="CZ116" s="889"/>
      <c r="DA116" s="889"/>
      <c r="DB116" s="889"/>
      <c r="DC116" s="889"/>
      <c r="DD116" s="889"/>
      <c r="DE116" s="889"/>
      <c r="DF116" s="889"/>
      <c r="DG116" s="889"/>
      <c r="DH116" s="889"/>
      <c r="DI116" s="889"/>
      <c r="DJ116" s="889"/>
      <c r="DK116" s="889"/>
      <c r="DL116" s="889"/>
      <c r="DM116" s="889"/>
      <c r="DN116" s="889"/>
      <c r="DO116" s="889"/>
      <c r="DP116" s="889"/>
      <c r="DQ116" s="889"/>
      <c r="DR116" s="889"/>
      <c r="DS116" s="889"/>
      <c r="DT116" s="889"/>
      <c r="DU116" s="889"/>
      <c r="DV116" s="889"/>
      <c r="DW116" s="889"/>
      <c r="DX116" s="889"/>
      <c r="DY116" s="889"/>
      <c r="DZ116" s="889"/>
      <c r="EA116" s="889"/>
      <c r="EB116" s="889"/>
      <c r="EC116" s="889"/>
      <c r="ED116" s="889"/>
      <c r="EE116" s="889"/>
      <c r="EF116" s="889"/>
      <c r="EG116" s="889"/>
      <c r="EH116" s="889"/>
      <c r="EI116" s="889"/>
      <c r="EJ116" s="889"/>
      <c r="EK116" s="889"/>
      <c r="EL116" s="889"/>
      <c r="EM116" s="889"/>
      <c r="EN116" s="889"/>
      <c r="EO116" s="889"/>
      <c r="EP116" s="889"/>
      <c r="EQ116" s="889"/>
      <c r="ER116" s="889"/>
      <c r="ES116" s="889"/>
      <c r="ET116" s="889"/>
      <c r="EU116" s="889"/>
      <c r="EV116" s="889"/>
      <c r="EW116" s="889"/>
      <c r="EX116" s="889"/>
      <c r="EY116" s="889"/>
      <c r="EZ116" s="889"/>
      <c r="FA116" s="889"/>
      <c r="FB116" s="889"/>
      <c r="FC116" s="889"/>
      <c r="FD116" s="889"/>
      <c r="FE116" s="889"/>
      <c r="FF116" s="889"/>
      <c r="FG116" s="889"/>
      <c r="FH116" s="889"/>
      <c r="FI116" s="889"/>
      <c r="FJ116" s="889"/>
      <c r="FK116" s="889"/>
      <c r="FL116" s="889"/>
      <c r="FM116" s="889"/>
      <c r="FN116" s="889"/>
      <c r="FO116" s="889"/>
      <c r="FP116" s="889"/>
      <c r="FQ116" s="889"/>
      <c r="FR116" s="889"/>
      <c r="FS116" s="889"/>
      <c r="FT116" s="889"/>
      <c r="FU116" s="889"/>
      <c r="FV116" s="889"/>
      <c r="FW116" s="889"/>
      <c r="FX116" s="889"/>
      <c r="FY116" s="889"/>
      <c r="FZ116" s="889"/>
      <c r="GA116" s="889"/>
      <c r="GB116" s="889"/>
      <c r="GC116" s="889"/>
      <c r="GD116" s="889"/>
      <c r="GE116" s="889"/>
      <c r="GF116" s="889"/>
      <c r="GG116" s="889"/>
      <c r="GH116" s="889"/>
      <c r="GI116" s="889"/>
      <c r="GJ116" s="889"/>
      <c r="GK116" s="889"/>
      <c r="GL116" s="889"/>
      <c r="GM116" s="889"/>
      <c r="GN116" s="889"/>
      <c r="GO116" s="889"/>
      <c r="GP116" s="889"/>
      <c r="GQ116" s="889"/>
      <c r="GR116" s="889"/>
      <c r="GS116" s="889"/>
      <c r="GT116" s="889"/>
      <c r="GU116" s="889"/>
      <c r="GV116" s="889"/>
      <c r="GW116" s="889"/>
      <c r="GX116" s="889"/>
      <c r="GY116" s="889"/>
      <c r="GZ116" s="889"/>
      <c r="HA116" s="889"/>
      <c r="HB116" s="889"/>
      <c r="HC116" s="889"/>
      <c r="HD116" s="889"/>
      <c r="HE116" s="889"/>
      <c r="HF116" s="889"/>
      <c r="HG116" s="889"/>
      <c r="HH116" s="889"/>
      <c r="HI116" s="889"/>
      <c r="HJ116" s="889"/>
      <c r="HK116" s="889"/>
      <c r="HL116" s="889"/>
      <c r="HM116" s="889"/>
      <c r="HN116" s="889"/>
      <c r="HO116" s="889"/>
      <c r="HP116" s="889"/>
      <c r="HQ116" s="889"/>
      <c r="HR116" s="889"/>
      <c r="HS116" s="889"/>
      <c r="HT116" s="889"/>
      <c r="HU116" s="889"/>
      <c r="HV116" s="889"/>
      <c r="HW116" s="889"/>
      <c r="HX116" s="889"/>
      <c r="HY116" s="889"/>
      <c r="HZ116" s="889"/>
      <c r="IA116" s="889"/>
      <c r="IB116" s="889"/>
      <c r="IC116" s="889"/>
      <c r="ID116" s="889"/>
      <c r="IE116" s="889"/>
      <c r="IF116" s="889"/>
      <c r="IG116" s="889"/>
      <c r="IH116" s="889"/>
      <c r="II116" s="889"/>
      <c r="IJ116" s="889"/>
      <c r="IK116" s="889"/>
      <c r="IL116" s="889"/>
      <c r="IM116" s="889"/>
      <c r="IN116" s="889"/>
      <c r="IO116" s="889"/>
      <c r="IP116" s="889"/>
      <c r="IQ116" s="889"/>
      <c r="IR116" s="889"/>
      <c r="IS116" s="889"/>
      <c r="IT116" s="889"/>
      <c r="IU116" s="889"/>
      <c r="IV116" s="889"/>
    </row>
    <row r="117" spans="1:256" ht="10.5" customHeight="1">
      <c r="A117" s="875"/>
      <c r="B117" s="875"/>
      <c r="C117" s="875"/>
      <c r="D117" s="875"/>
      <c r="E117" s="875"/>
      <c r="F117" s="875"/>
      <c r="G117" s="996"/>
      <c r="K117" s="889"/>
      <c r="L117" s="997"/>
      <c r="M117" s="997" t="s">
        <v>124</v>
      </c>
      <c r="N117" s="997" t="s">
        <v>124</v>
      </c>
      <c r="O117" s="889"/>
      <c r="P117" s="889"/>
      <c r="Q117" s="889"/>
      <c r="R117" s="889"/>
      <c r="S117" s="889"/>
      <c r="T117" s="889"/>
      <c r="U117" s="889"/>
      <c r="V117" s="889"/>
      <c r="W117" s="889"/>
      <c r="X117" s="889"/>
      <c r="Y117" s="889"/>
      <c r="Z117" s="889"/>
      <c r="AA117" s="889"/>
      <c r="AB117" s="889"/>
      <c r="AC117" s="889"/>
      <c r="AD117" s="889"/>
      <c r="AE117" s="889"/>
      <c r="AF117" s="889"/>
      <c r="AG117" s="889"/>
      <c r="AH117" s="889"/>
      <c r="AI117" s="889"/>
      <c r="AJ117" s="889"/>
      <c r="AK117" s="889"/>
      <c r="AL117" s="889"/>
      <c r="AM117" s="889"/>
      <c r="AN117" s="889"/>
      <c r="AO117" s="889"/>
      <c r="AP117" s="889"/>
      <c r="AQ117" s="889"/>
      <c r="AR117" s="889"/>
      <c r="AS117" s="889"/>
      <c r="AT117" s="889"/>
      <c r="AU117" s="889"/>
      <c r="AV117" s="889"/>
      <c r="AW117" s="889"/>
      <c r="AX117" s="889"/>
      <c r="AY117" s="889"/>
      <c r="AZ117" s="889"/>
      <c r="BA117" s="889"/>
      <c r="BB117" s="889"/>
      <c r="BC117" s="889"/>
      <c r="BD117" s="889"/>
      <c r="BE117" s="889"/>
      <c r="BF117" s="889"/>
      <c r="BG117" s="889"/>
      <c r="BH117" s="889"/>
      <c r="BI117" s="889"/>
      <c r="BJ117" s="889"/>
      <c r="BK117" s="889"/>
      <c r="BL117" s="889"/>
      <c r="BM117" s="889"/>
      <c r="BN117" s="889"/>
      <c r="BO117" s="889"/>
      <c r="BP117" s="889"/>
      <c r="BQ117" s="889"/>
      <c r="BR117" s="889"/>
      <c r="BS117" s="889"/>
      <c r="BT117" s="889"/>
      <c r="BU117" s="889"/>
      <c r="BV117" s="889"/>
      <c r="BW117" s="889"/>
      <c r="BX117" s="889"/>
      <c r="BY117" s="889"/>
      <c r="BZ117" s="889"/>
      <c r="CA117" s="889"/>
      <c r="CB117" s="889"/>
      <c r="CC117" s="889"/>
      <c r="CD117" s="889"/>
      <c r="CE117" s="889"/>
      <c r="CF117" s="889"/>
      <c r="CG117" s="889"/>
      <c r="CH117" s="889"/>
      <c r="CI117" s="889"/>
      <c r="CJ117" s="889"/>
      <c r="CK117" s="889"/>
      <c r="CL117" s="889"/>
      <c r="CM117" s="889"/>
      <c r="CN117" s="889"/>
      <c r="CO117" s="889"/>
      <c r="CP117" s="889"/>
      <c r="CQ117" s="889"/>
      <c r="CR117" s="889"/>
      <c r="CS117" s="889"/>
      <c r="CT117" s="889"/>
      <c r="CU117" s="889"/>
      <c r="CV117" s="889"/>
      <c r="CW117" s="889"/>
      <c r="CX117" s="889"/>
      <c r="CY117" s="889"/>
      <c r="CZ117" s="889"/>
      <c r="DA117" s="889"/>
      <c r="DB117" s="889"/>
      <c r="DC117" s="889"/>
      <c r="DD117" s="889"/>
      <c r="DE117" s="889"/>
      <c r="DF117" s="889"/>
      <c r="DG117" s="889"/>
      <c r="DH117" s="889"/>
      <c r="DI117" s="889"/>
      <c r="DJ117" s="889"/>
      <c r="DK117" s="889"/>
      <c r="DL117" s="889"/>
      <c r="DM117" s="889"/>
      <c r="DN117" s="889"/>
      <c r="DO117" s="889"/>
      <c r="DP117" s="889"/>
      <c r="DQ117" s="889"/>
      <c r="DR117" s="889"/>
      <c r="DS117" s="889"/>
      <c r="DT117" s="889"/>
      <c r="DU117" s="889"/>
      <c r="DV117" s="889"/>
      <c r="DW117" s="889"/>
      <c r="DX117" s="889"/>
      <c r="DY117" s="889"/>
      <c r="DZ117" s="889"/>
      <c r="EA117" s="889"/>
      <c r="EB117" s="889"/>
      <c r="EC117" s="889"/>
      <c r="ED117" s="889"/>
      <c r="EE117" s="889"/>
      <c r="EF117" s="889"/>
      <c r="EG117" s="889"/>
      <c r="EH117" s="889"/>
      <c r="EI117" s="889"/>
      <c r="EJ117" s="889"/>
      <c r="EK117" s="889"/>
      <c r="EL117" s="889"/>
      <c r="EM117" s="889"/>
      <c r="EN117" s="889"/>
      <c r="EO117" s="889"/>
      <c r="EP117" s="889"/>
      <c r="EQ117" s="889"/>
      <c r="ER117" s="889"/>
      <c r="ES117" s="889"/>
      <c r="ET117" s="889"/>
      <c r="EU117" s="889"/>
      <c r="EV117" s="889"/>
      <c r="EW117" s="889"/>
      <c r="EX117" s="889"/>
      <c r="EY117" s="889"/>
      <c r="EZ117" s="889"/>
      <c r="FA117" s="889"/>
      <c r="FB117" s="889"/>
      <c r="FC117" s="889"/>
      <c r="FD117" s="889"/>
      <c r="FE117" s="889"/>
      <c r="FF117" s="889"/>
      <c r="FG117" s="889"/>
      <c r="FH117" s="889"/>
      <c r="FI117" s="889"/>
      <c r="FJ117" s="889"/>
      <c r="FK117" s="889"/>
      <c r="FL117" s="889"/>
      <c r="FM117" s="889"/>
      <c r="FN117" s="889"/>
      <c r="FO117" s="889"/>
      <c r="FP117" s="889"/>
      <c r="FQ117" s="889"/>
      <c r="FR117" s="889"/>
      <c r="FS117" s="889"/>
      <c r="FT117" s="889"/>
      <c r="FU117" s="889"/>
      <c r="FV117" s="889"/>
      <c r="FW117" s="889"/>
      <c r="FX117" s="889"/>
      <c r="FY117" s="889"/>
      <c r="FZ117" s="889"/>
      <c r="GA117" s="889"/>
      <c r="GB117" s="889"/>
      <c r="GC117" s="889"/>
      <c r="GD117" s="889"/>
      <c r="GE117" s="889"/>
      <c r="GF117" s="889"/>
      <c r="GG117" s="889"/>
      <c r="GH117" s="889"/>
      <c r="GI117" s="889"/>
      <c r="GJ117" s="889"/>
      <c r="GK117" s="889"/>
      <c r="GL117" s="889"/>
      <c r="GM117" s="889"/>
      <c r="GN117" s="889"/>
      <c r="GO117" s="889"/>
      <c r="GP117" s="889"/>
      <c r="GQ117" s="889"/>
      <c r="GR117" s="889"/>
      <c r="GS117" s="889"/>
      <c r="GT117" s="889"/>
      <c r="GU117" s="889"/>
      <c r="GV117" s="889"/>
      <c r="GW117" s="889"/>
      <c r="GX117" s="889"/>
      <c r="GY117" s="889"/>
      <c r="GZ117" s="889"/>
      <c r="HA117" s="889"/>
      <c r="HB117" s="889"/>
      <c r="HC117" s="889"/>
      <c r="HD117" s="889"/>
      <c r="HE117" s="889"/>
      <c r="HF117" s="889"/>
      <c r="HG117" s="889"/>
      <c r="HH117" s="889"/>
      <c r="HI117" s="889"/>
      <c r="HJ117" s="889"/>
      <c r="HK117" s="889"/>
      <c r="HL117" s="889"/>
      <c r="HM117" s="889"/>
      <c r="HN117" s="889"/>
      <c r="HO117" s="889"/>
      <c r="HP117" s="889"/>
      <c r="HQ117" s="889"/>
      <c r="HR117" s="889"/>
      <c r="HS117" s="889"/>
      <c r="HT117" s="889"/>
      <c r="HU117" s="889"/>
      <c r="HV117" s="889"/>
      <c r="HW117" s="889"/>
      <c r="HX117" s="889"/>
      <c r="HY117" s="889"/>
      <c r="HZ117" s="889"/>
      <c r="IA117" s="889"/>
      <c r="IB117" s="889"/>
      <c r="IC117" s="889"/>
      <c r="ID117" s="889"/>
      <c r="IE117" s="889"/>
      <c r="IF117" s="889"/>
      <c r="IG117" s="889"/>
      <c r="IH117" s="889"/>
      <c r="II117" s="889"/>
      <c r="IJ117" s="889"/>
      <c r="IK117" s="889"/>
      <c r="IL117" s="889"/>
      <c r="IM117" s="889"/>
      <c r="IN117" s="889"/>
      <c r="IO117" s="889"/>
      <c r="IP117" s="889"/>
      <c r="IQ117" s="889"/>
      <c r="IR117" s="889"/>
      <c r="IS117" s="889"/>
      <c r="IT117" s="889"/>
      <c r="IU117" s="889"/>
      <c r="IV117" s="889"/>
    </row>
    <row r="118" spans="1:256" ht="10.5" customHeight="1">
      <c r="A118" s="931" t="s">
        <v>849</v>
      </c>
      <c r="B118" s="931">
        <v>1996</v>
      </c>
      <c r="C118" s="931">
        <v>1997</v>
      </c>
      <c r="D118" s="931">
        <v>1998</v>
      </c>
      <c r="E118" s="931">
        <v>1999</v>
      </c>
      <c r="F118" s="931">
        <v>2000</v>
      </c>
      <c r="G118" s="977">
        <v>2001</v>
      </c>
      <c r="H118" s="931">
        <v>2002</v>
      </c>
      <c r="I118" s="977">
        <v>2003</v>
      </c>
      <c r="J118" s="977">
        <v>2004</v>
      </c>
      <c r="K118" s="977">
        <v>2005</v>
      </c>
      <c r="L118" s="977">
        <v>2006</v>
      </c>
      <c r="M118" s="977">
        <v>2007</v>
      </c>
      <c r="N118" s="977">
        <v>2008</v>
      </c>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89"/>
      <c r="AJ118" s="889"/>
      <c r="AK118" s="889"/>
      <c r="AL118" s="889"/>
      <c r="AM118" s="889"/>
      <c r="AN118" s="889"/>
      <c r="AO118" s="889"/>
      <c r="AP118" s="889"/>
      <c r="AQ118" s="889"/>
      <c r="AR118" s="889"/>
      <c r="AS118" s="889"/>
      <c r="AT118" s="889"/>
      <c r="AU118" s="889"/>
      <c r="AV118" s="889"/>
      <c r="AW118" s="889"/>
      <c r="AX118" s="889"/>
      <c r="AY118" s="889"/>
      <c r="AZ118" s="889"/>
      <c r="BA118" s="889"/>
      <c r="BB118" s="889"/>
      <c r="BC118" s="889"/>
      <c r="BD118" s="889"/>
      <c r="BE118" s="889"/>
      <c r="BF118" s="889"/>
      <c r="BG118" s="889"/>
      <c r="BH118" s="889"/>
      <c r="BI118" s="889"/>
      <c r="BJ118" s="889"/>
      <c r="BK118" s="889"/>
      <c r="BL118" s="889"/>
      <c r="BM118" s="889"/>
      <c r="BN118" s="889"/>
      <c r="BO118" s="889"/>
      <c r="BP118" s="889"/>
      <c r="BQ118" s="889"/>
      <c r="BR118" s="889"/>
      <c r="BS118" s="889"/>
      <c r="BT118" s="889"/>
      <c r="BU118" s="889"/>
      <c r="BV118" s="889"/>
      <c r="BW118" s="889"/>
      <c r="BX118" s="889"/>
      <c r="BY118" s="889"/>
      <c r="BZ118" s="889"/>
      <c r="CA118" s="889"/>
      <c r="CB118" s="889"/>
      <c r="CC118" s="889"/>
      <c r="CD118" s="889"/>
      <c r="CE118" s="889"/>
      <c r="CF118" s="889"/>
      <c r="CG118" s="889"/>
      <c r="CH118" s="889"/>
      <c r="CI118" s="889"/>
      <c r="CJ118" s="889"/>
      <c r="CK118" s="889"/>
      <c r="CL118" s="889"/>
      <c r="CM118" s="889"/>
      <c r="CN118" s="889"/>
      <c r="CO118" s="889"/>
      <c r="CP118" s="889"/>
      <c r="CQ118" s="889"/>
      <c r="CR118" s="889"/>
      <c r="CS118" s="889"/>
      <c r="CT118" s="889"/>
      <c r="CU118" s="889"/>
      <c r="CV118" s="889"/>
      <c r="CW118" s="889"/>
      <c r="CX118" s="889"/>
      <c r="CY118" s="889"/>
      <c r="CZ118" s="889"/>
      <c r="DA118" s="889"/>
      <c r="DB118" s="889"/>
      <c r="DC118" s="889"/>
      <c r="DD118" s="889"/>
      <c r="DE118" s="889"/>
      <c r="DF118" s="889"/>
      <c r="DG118" s="889"/>
      <c r="DH118" s="889"/>
      <c r="DI118" s="889"/>
      <c r="DJ118" s="889"/>
      <c r="DK118" s="889"/>
      <c r="DL118" s="889"/>
      <c r="DM118" s="889"/>
      <c r="DN118" s="889"/>
      <c r="DO118" s="889"/>
      <c r="DP118" s="889"/>
      <c r="DQ118" s="889"/>
      <c r="DR118" s="889"/>
      <c r="DS118" s="889"/>
      <c r="DT118" s="889"/>
      <c r="DU118" s="889"/>
      <c r="DV118" s="889"/>
      <c r="DW118" s="889"/>
      <c r="DX118" s="889"/>
      <c r="DY118" s="889"/>
      <c r="DZ118" s="889"/>
      <c r="EA118" s="889"/>
      <c r="EB118" s="889"/>
      <c r="EC118" s="889"/>
      <c r="ED118" s="889"/>
      <c r="EE118" s="889"/>
      <c r="EF118" s="889"/>
      <c r="EG118" s="889"/>
      <c r="EH118" s="889"/>
      <c r="EI118" s="889"/>
      <c r="EJ118" s="889"/>
      <c r="EK118" s="889"/>
      <c r="EL118" s="889"/>
      <c r="EM118" s="889"/>
      <c r="EN118" s="889"/>
      <c r="EO118" s="889"/>
      <c r="EP118" s="889"/>
      <c r="EQ118" s="889"/>
      <c r="ER118" s="889"/>
      <c r="ES118" s="889"/>
      <c r="ET118" s="889"/>
      <c r="EU118" s="889"/>
      <c r="EV118" s="889"/>
      <c r="EW118" s="889"/>
      <c r="EX118" s="889"/>
      <c r="EY118" s="889"/>
      <c r="EZ118" s="889"/>
      <c r="FA118" s="889"/>
      <c r="FB118" s="889"/>
      <c r="FC118" s="889"/>
      <c r="FD118" s="889"/>
      <c r="FE118" s="889"/>
      <c r="FF118" s="889"/>
      <c r="FG118" s="889"/>
      <c r="FH118" s="889"/>
      <c r="FI118" s="889"/>
      <c r="FJ118" s="889"/>
      <c r="FK118" s="889"/>
      <c r="FL118" s="889"/>
      <c r="FM118" s="889"/>
      <c r="FN118" s="889"/>
      <c r="FO118" s="889"/>
      <c r="FP118" s="889"/>
      <c r="FQ118" s="889"/>
      <c r="FR118" s="889"/>
      <c r="FS118" s="889"/>
      <c r="FT118" s="889"/>
      <c r="FU118" s="889"/>
      <c r="FV118" s="889"/>
      <c r="FW118" s="889"/>
      <c r="FX118" s="889"/>
      <c r="FY118" s="889"/>
      <c r="FZ118" s="889"/>
      <c r="GA118" s="889"/>
      <c r="GB118" s="889"/>
      <c r="GC118" s="889"/>
      <c r="GD118" s="889"/>
      <c r="GE118" s="889"/>
      <c r="GF118" s="889"/>
      <c r="GG118" s="889"/>
      <c r="GH118" s="889"/>
      <c r="GI118" s="889"/>
      <c r="GJ118" s="889"/>
      <c r="GK118" s="889"/>
      <c r="GL118" s="889"/>
      <c r="GM118" s="889"/>
      <c r="GN118" s="889"/>
      <c r="GO118" s="889"/>
      <c r="GP118" s="889"/>
      <c r="GQ118" s="889"/>
      <c r="GR118" s="889"/>
      <c r="GS118" s="889"/>
      <c r="GT118" s="889"/>
      <c r="GU118" s="889"/>
      <c r="GV118" s="889"/>
      <c r="GW118" s="889"/>
      <c r="GX118" s="889"/>
      <c r="GY118" s="889"/>
      <c r="GZ118" s="889"/>
      <c r="HA118" s="889"/>
      <c r="HB118" s="889"/>
      <c r="HC118" s="889"/>
      <c r="HD118" s="889"/>
      <c r="HE118" s="889"/>
      <c r="HF118" s="889"/>
      <c r="HG118" s="889"/>
      <c r="HH118" s="889"/>
      <c r="HI118" s="889"/>
      <c r="HJ118" s="889"/>
      <c r="HK118" s="889"/>
      <c r="HL118" s="889"/>
      <c r="HM118" s="889"/>
      <c r="HN118" s="889"/>
      <c r="HO118" s="889"/>
      <c r="HP118" s="889"/>
      <c r="HQ118" s="889"/>
      <c r="HR118" s="889"/>
      <c r="HS118" s="889"/>
      <c r="HT118" s="889"/>
      <c r="HU118" s="889"/>
      <c r="HV118" s="889"/>
      <c r="HW118" s="889"/>
      <c r="HX118" s="889"/>
      <c r="HY118" s="889"/>
      <c r="HZ118" s="889"/>
      <c r="IA118" s="889"/>
      <c r="IB118" s="889"/>
      <c r="IC118" s="889"/>
      <c r="ID118" s="889"/>
      <c r="IE118" s="889"/>
      <c r="IF118" s="889"/>
      <c r="IG118" s="889"/>
      <c r="IH118" s="889"/>
      <c r="II118" s="889"/>
      <c r="IJ118" s="889"/>
      <c r="IK118" s="889"/>
      <c r="IL118" s="889"/>
      <c r="IM118" s="889"/>
      <c r="IN118" s="889"/>
      <c r="IO118" s="889"/>
      <c r="IP118" s="889"/>
      <c r="IQ118" s="889"/>
      <c r="IR118" s="889"/>
      <c r="IS118" s="889"/>
      <c r="IT118" s="889"/>
      <c r="IU118" s="889"/>
      <c r="IV118" s="889"/>
    </row>
    <row r="119" spans="1:256" ht="10.5" customHeight="1">
      <c r="A119" s="875" t="s">
        <v>850</v>
      </c>
      <c r="B119" s="998">
        <v>4552</v>
      </c>
      <c r="C119" s="998">
        <v>4818.5</v>
      </c>
      <c r="D119" s="963">
        <v>5114</v>
      </c>
      <c r="E119" s="963">
        <v>5133</v>
      </c>
      <c r="F119" s="963">
        <v>5564.4</v>
      </c>
      <c r="G119" s="963">
        <v>4929.3</v>
      </c>
      <c r="H119" s="963">
        <v>5208.6000000000004</v>
      </c>
      <c r="I119" s="963">
        <v>5981.7</v>
      </c>
      <c r="J119" s="963">
        <v>5968.2</v>
      </c>
      <c r="K119" s="963">
        <v>6005.2</v>
      </c>
      <c r="L119" s="965">
        <v>5791.1</v>
      </c>
      <c r="M119" s="965">
        <v>5974.7</v>
      </c>
      <c r="N119" s="963">
        <v>6014.4</v>
      </c>
      <c r="O119" s="889"/>
      <c r="P119" s="889"/>
      <c r="Q119" s="889"/>
      <c r="R119" s="889"/>
      <c r="S119" s="889"/>
      <c r="T119" s="889"/>
      <c r="U119" s="889"/>
      <c r="V119" s="889"/>
      <c r="W119" s="889"/>
      <c r="X119" s="889"/>
      <c r="Y119" s="889"/>
      <c r="Z119" s="889"/>
      <c r="AA119" s="889"/>
      <c r="AB119" s="889"/>
      <c r="AC119" s="889"/>
      <c r="AD119" s="889"/>
      <c r="AE119" s="889"/>
      <c r="AF119" s="889"/>
      <c r="AG119" s="889"/>
      <c r="AH119" s="889"/>
      <c r="AI119" s="889"/>
      <c r="AJ119" s="889"/>
      <c r="AK119" s="889"/>
      <c r="AL119" s="889"/>
      <c r="AM119" s="889"/>
      <c r="AN119" s="889"/>
      <c r="AO119" s="889"/>
      <c r="AP119" s="889"/>
      <c r="AQ119" s="889"/>
      <c r="AR119" s="889"/>
      <c r="AS119" s="889"/>
      <c r="AT119" s="889"/>
      <c r="AU119" s="889"/>
      <c r="AV119" s="889"/>
      <c r="AW119" s="889"/>
      <c r="AX119" s="889"/>
      <c r="AY119" s="889"/>
      <c r="AZ119" s="889"/>
      <c r="BA119" s="889"/>
      <c r="BB119" s="889"/>
      <c r="BC119" s="889"/>
      <c r="BD119" s="889"/>
      <c r="BE119" s="889"/>
      <c r="BF119" s="889"/>
      <c r="BG119" s="889"/>
      <c r="BH119" s="889"/>
      <c r="BI119" s="889"/>
      <c r="BJ119" s="889"/>
      <c r="BK119" s="889"/>
      <c r="BL119" s="889"/>
      <c r="BM119" s="889"/>
      <c r="BN119" s="889"/>
      <c r="BO119" s="889"/>
      <c r="BP119" s="889"/>
      <c r="BQ119" s="889"/>
      <c r="BR119" s="889"/>
      <c r="BS119" s="889"/>
      <c r="BT119" s="889"/>
      <c r="BU119" s="889"/>
      <c r="BV119" s="889"/>
      <c r="BW119" s="889"/>
      <c r="BX119" s="889"/>
      <c r="BY119" s="889"/>
      <c r="BZ119" s="889"/>
      <c r="CA119" s="889"/>
      <c r="CB119" s="889"/>
      <c r="CC119" s="889"/>
      <c r="CD119" s="889"/>
      <c r="CE119" s="889"/>
      <c r="CF119" s="889"/>
      <c r="CG119" s="889"/>
      <c r="CH119" s="889"/>
      <c r="CI119" s="889"/>
      <c r="CJ119" s="889"/>
      <c r="CK119" s="889"/>
      <c r="CL119" s="889"/>
      <c r="CM119" s="889"/>
      <c r="CN119" s="889"/>
      <c r="CO119" s="889"/>
      <c r="CP119" s="889"/>
      <c r="CQ119" s="889"/>
      <c r="CR119" s="889"/>
      <c r="CS119" s="889"/>
      <c r="CT119" s="889"/>
      <c r="CU119" s="889"/>
      <c r="CV119" s="889"/>
      <c r="CW119" s="889"/>
      <c r="CX119" s="889"/>
      <c r="CY119" s="889"/>
      <c r="CZ119" s="889"/>
      <c r="DA119" s="889"/>
      <c r="DB119" s="889"/>
      <c r="DC119" s="889"/>
      <c r="DD119" s="889"/>
      <c r="DE119" s="889"/>
      <c r="DF119" s="889"/>
      <c r="DG119" s="889"/>
      <c r="DH119" s="889"/>
      <c r="DI119" s="889"/>
      <c r="DJ119" s="889"/>
      <c r="DK119" s="889"/>
      <c r="DL119" s="889"/>
      <c r="DM119" s="889"/>
      <c r="DN119" s="889"/>
      <c r="DO119" s="889"/>
      <c r="DP119" s="889"/>
      <c r="DQ119" s="889"/>
      <c r="DR119" s="889"/>
      <c r="DS119" s="889"/>
      <c r="DT119" s="889"/>
      <c r="DU119" s="889"/>
      <c r="DV119" s="889"/>
      <c r="DW119" s="889"/>
      <c r="DX119" s="889"/>
      <c r="DY119" s="889"/>
      <c r="DZ119" s="889"/>
      <c r="EA119" s="889"/>
      <c r="EB119" s="889"/>
      <c r="EC119" s="889"/>
      <c r="ED119" s="889"/>
      <c r="EE119" s="889"/>
      <c r="EF119" s="889"/>
      <c r="EG119" s="889"/>
      <c r="EH119" s="889"/>
      <c r="EI119" s="889"/>
      <c r="EJ119" s="889"/>
      <c r="EK119" s="889"/>
      <c r="EL119" s="889"/>
      <c r="EM119" s="889"/>
      <c r="EN119" s="889"/>
      <c r="EO119" s="889"/>
      <c r="EP119" s="889"/>
      <c r="EQ119" s="889"/>
      <c r="ER119" s="889"/>
      <c r="ES119" s="889"/>
      <c r="ET119" s="889"/>
      <c r="EU119" s="889"/>
      <c r="EV119" s="889"/>
      <c r="EW119" s="889"/>
      <c r="EX119" s="889"/>
      <c r="EY119" s="889"/>
      <c r="EZ119" s="889"/>
      <c r="FA119" s="889"/>
      <c r="FB119" s="889"/>
      <c r="FC119" s="889"/>
      <c r="FD119" s="889"/>
      <c r="FE119" s="889"/>
      <c r="FF119" s="889"/>
      <c r="FG119" s="889"/>
      <c r="FH119" s="889"/>
      <c r="FI119" s="889"/>
      <c r="FJ119" s="889"/>
      <c r="FK119" s="889"/>
      <c r="FL119" s="889"/>
      <c r="FM119" s="889"/>
      <c r="FN119" s="889"/>
      <c r="FO119" s="889"/>
      <c r="FP119" s="889"/>
      <c r="FQ119" s="889"/>
      <c r="FR119" s="889"/>
      <c r="FS119" s="889"/>
      <c r="FT119" s="889"/>
      <c r="FU119" s="889"/>
      <c r="FV119" s="889"/>
      <c r="FW119" s="889"/>
      <c r="FX119" s="889"/>
      <c r="FY119" s="889"/>
      <c r="FZ119" s="889"/>
      <c r="GA119" s="889"/>
      <c r="GB119" s="889"/>
      <c r="GC119" s="889"/>
      <c r="GD119" s="889"/>
      <c r="GE119" s="889"/>
      <c r="GF119" s="889"/>
      <c r="GG119" s="889"/>
      <c r="GH119" s="889"/>
      <c r="GI119" s="889"/>
      <c r="GJ119" s="889"/>
      <c r="GK119" s="889"/>
      <c r="GL119" s="889"/>
      <c r="GM119" s="889"/>
      <c r="GN119" s="889"/>
      <c r="GO119" s="889"/>
      <c r="GP119" s="889"/>
      <c r="GQ119" s="889"/>
      <c r="GR119" s="889"/>
      <c r="GS119" s="889"/>
      <c r="GT119" s="889"/>
      <c r="GU119" s="889"/>
      <c r="GV119" s="889"/>
      <c r="GW119" s="889"/>
      <c r="GX119" s="889"/>
      <c r="GY119" s="889"/>
      <c r="GZ119" s="889"/>
      <c r="HA119" s="889"/>
      <c r="HB119" s="889"/>
      <c r="HC119" s="889"/>
      <c r="HD119" s="889"/>
      <c r="HE119" s="889"/>
      <c r="HF119" s="889"/>
      <c r="HG119" s="889"/>
      <c r="HH119" s="889"/>
      <c r="HI119" s="889"/>
      <c r="HJ119" s="889"/>
      <c r="HK119" s="889"/>
      <c r="HL119" s="889"/>
      <c r="HM119" s="889"/>
      <c r="HN119" s="889"/>
      <c r="HO119" s="889"/>
      <c r="HP119" s="889"/>
      <c r="HQ119" s="889"/>
      <c r="HR119" s="889"/>
      <c r="HS119" s="889"/>
      <c r="HT119" s="889"/>
      <c r="HU119" s="889"/>
      <c r="HV119" s="889"/>
      <c r="HW119" s="889"/>
      <c r="HX119" s="889"/>
      <c r="HY119" s="889"/>
      <c r="HZ119" s="889"/>
      <c r="IA119" s="889"/>
      <c r="IB119" s="889"/>
      <c r="IC119" s="889"/>
      <c r="ID119" s="889"/>
      <c r="IE119" s="889"/>
      <c r="IF119" s="889"/>
      <c r="IG119" s="889"/>
      <c r="IH119" s="889"/>
      <c r="II119" s="889"/>
      <c r="IJ119" s="889"/>
      <c r="IK119" s="889"/>
      <c r="IL119" s="889"/>
      <c r="IM119" s="889"/>
      <c r="IN119" s="889"/>
      <c r="IO119" s="889"/>
      <c r="IP119" s="889"/>
      <c r="IQ119" s="889"/>
      <c r="IR119" s="889"/>
      <c r="IS119" s="889"/>
      <c r="IT119" s="889"/>
      <c r="IU119" s="889"/>
      <c r="IV119" s="889"/>
    </row>
    <row r="120" spans="1:256" ht="10.5" customHeight="1">
      <c r="A120" s="875" t="s">
        <v>851</v>
      </c>
      <c r="B120" s="998">
        <v>1055</v>
      </c>
      <c r="C120" s="998">
        <v>1013.9</v>
      </c>
      <c r="D120" s="963">
        <v>921</v>
      </c>
      <c r="E120" s="963">
        <v>897</v>
      </c>
      <c r="F120" s="963">
        <v>1159</v>
      </c>
      <c r="G120" s="963">
        <v>1352</v>
      </c>
      <c r="H120" s="963">
        <v>1316</v>
      </c>
      <c r="I120" s="963">
        <v>1449</v>
      </c>
      <c r="J120" s="963">
        <v>1203</v>
      </c>
      <c r="K120" s="963">
        <v>1465</v>
      </c>
      <c r="L120" s="965">
        <v>1455</v>
      </c>
      <c r="M120" s="965">
        <v>1361</v>
      </c>
      <c r="N120" s="963">
        <v>1425</v>
      </c>
      <c r="O120" s="889"/>
      <c r="P120" s="889"/>
      <c r="Q120" s="889"/>
      <c r="R120" s="889"/>
      <c r="S120" s="889"/>
      <c r="T120" s="889"/>
      <c r="U120" s="889"/>
      <c r="V120" s="889"/>
      <c r="W120" s="889"/>
      <c r="X120" s="889"/>
      <c r="Y120" s="889"/>
      <c r="Z120" s="889"/>
      <c r="AA120" s="889"/>
      <c r="AB120" s="889"/>
      <c r="AC120" s="889"/>
      <c r="AD120" s="889"/>
      <c r="AE120" s="889"/>
      <c r="AF120" s="889"/>
      <c r="AG120" s="889"/>
      <c r="AH120" s="889"/>
      <c r="AI120" s="889"/>
      <c r="AJ120" s="889"/>
      <c r="AK120" s="889"/>
      <c r="AL120" s="889"/>
      <c r="AM120" s="889"/>
      <c r="AN120" s="889"/>
      <c r="AO120" s="889"/>
      <c r="AP120" s="889"/>
      <c r="AQ120" s="889"/>
      <c r="AR120" s="889"/>
      <c r="AS120" s="889"/>
      <c r="AT120" s="889"/>
      <c r="AU120" s="889"/>
      <c r="AV120" s="889"/>
      <c r="AW120" s="889"/>
      <c r="AX120" s="889"/>
      <c r="AY120" s="889"/>
      <c r="AZ120" s="889"/>
      <c r="BA120" s="889"/>
      <c r="BB120" s="889"/>
      <c r="BC120" s="889"/>
      <c r="BD120" s="889"/>
      <c r="BE120" s="889"/>
      <c r="BF120" s="889"/>
      <c r="BG120" s="889"/>
      <c r="BH120" s="889"/>
      <c r="BI120" s="889"/>
      <c r="BJ120" s="889"/>
      <c r="BK120" s="889"/>
      <c r="BL120" s="889"/>
      <c r="BM120" s="889"/>
      <c r="BN120" s="889"/>
      <c r="BO120" s="889"/>
      <c r="BP120" s="889"/>
      <c r="BQ120" s="889"/>
      <c r="BR120" s="889"/>
      <c r="BS120" s="889"/>
      <c r="BT120" s="889"/>
      <c r="BU120" s="889"/>
      <c r="BV120" s="889"/>
      <c r="BW120" s="889"/>
      <c r="BX120" s="889"/>
      <c r="BY120" s="889"/>
      <c r="BZ120" s="889"/>
      <c r="CA120" s="889"/>
      <c r="CB120" s="889"/>
      <c r="CC120" s="889"/>
      <c r="CD120" s="889"/>
      <c r="CE120" s="889"/>
      <c r="CF120" s="889"/>
      <c r="CG120" s="889"/>
      <c r="CH120" s="889"/>
      <c r="CI120" s="889"/>
      <c r="CJ120" s="889"/>
      <c r="CK120" s="889"/>
      <c r="CL120" s="889"/>
      <c r="CM120" s="889"/>
      <c r="CN120" s="889"/>
      <c r="CO120" s="889"/>
      <c r="CP120" s="889"/>
      <c r="CQ120" s="889"/>
      <c r="CR120" s="889"/>
      <c r="CS120" s="889"/>
      <c r="CT120" s="889"/>
      <c r="CU120" s="889"/>
      <c r="CV120" s="889"/>
      <c r="CW120" s="889"/>
      <c r="CX120" s="889"/>
      <c r="CY120" s="889"/>
      <c r="CZ120" s="889"/>
      <c r="DA120" s="889"/>
      <c r="DB120" s="889"/>
      <c r="DC120" s="889"/>
      <c r="DD120" s="889"/>
      <c r="DE120" s="889"/>
      <c r="DF120" s="889"/>
      <c r="DG120" s="889"/>
      <c r="DH120" s="889"/>
      <c r="DI120" s="889"/>
      <c r="DJ120" s="889"/>
      <c r="DK120" s="889"/>
      <c r="DL120" s="889"/>
      <c r="DM120" s="889"/>
      <c r="DN120" s="889"/>
      <c r="DO120" s="889"/>
      <c r="DP120" s="889"/>
      <c r="DQ120" s="889"/>
      <c r="DR120" s="889"/>
      <c r="DS120" s="889"/>
      <c r="DT120" s="889"/>
      <c r="DU120" s="889"/>
      <c r="DV120" s="889"/>
      <c r="DW120" s="889"/>
      <c r="DX120" s="889"/>
      <c r="DY120" s="889"/>
      <c r="DZ120" s="889"/>
      <c r="EA120" s="889"/>
      <c r="EB120" s="889"/>
      <c r="EC120" s="889"/>
      <c r="ED120" s="889"/>
      <c r="EE120" s="889"/>
      <c r="EF120" s="889"/>
      <c r="EG120" s="889"/>
      <c r="EH120" s="889"/>
      <c r="EI120" s="889"/>
      <c r="EJ120" s="889"/>
      <c r="EK120" s="889"/>
      <c r="EL120" s="889"/>
      <c r="EM120" s="889"/>
      <c r="EN120" s="889"/>
      <c r="EO120" s="889"/>
      <c r="EP120" s="889"/>
      <c r="EQ120" s="889"/>
      <c r="ER120" s="889"/>
      <c r="ES120" s="889"/>
      <c r="ET120" s="889"/>
      <c r="EU120" s="889"/>
      <c r="EV120" s="889"/>
      <c r="EW120" s="889"/>
      <c r="EX120" s="889"/>
      <c r="EY120" s="889"/>
      <c r="EZ120" s="889"/>
      <c r="FA120" s="889"/>
      <c r="FB120" s="889"/>
      <c r="FC120" s="889"/>
      <c r="FD120" s="889"/>
      <c r="FE120" s="889"/>
      <c r="FF120" s="889"/>
      <c r="FG120" s="889"/>
      <c r="FH120" s="889"/>
      <c r="FI120" s="889"/>
      <c r="FJ120" s="889"/>
      <c r="FK120" s="889"/>
      <c r="FL120" s="889"/>
      <c r="FM120" s="889"/>
      <c r="FN120" s="889"/>
      <c r="FO120" s="889"/>
      <c r="FP120" s="889"/>
      <c r="FQ120" s="889"/>
      <c r="FR120" s="889"/>
      <c r="FS120" s="889"/>
      <c r="FT120" s="889"/>
      <c r="FU120" s="889"/>
      <c r="FV120" s="889"/>
      <c r="FW120" s="889"/>
      <c r="FX120" s="889"/>
      <c r="FY120" s="889"/>
      <c r="FZ120" s="889"/>
      <c r="GA120" s="889"/>
      <c r="GB120" s="889"/>
      <c r="GC120" s="889"/>
      <c r="GD120" s="889"/>
      <c r="GE120" s="889"/>
      <c r="GF120" s="889"/>
      <c r="GG120" s="889"/>
      <c r="GH120" s="889"/>
      <c r="GI120" s="889"/>
      <c r="GJ120" s="889"/>
      <c r="GK120" s="889"/>
      <c r="GL120" s="889"/>
      <c r="GM120" s="889"/>
      <c r="GN120" s="889"/>
      <c r="GO120" s="889"/>
      <c r="GP120" s="889"/>
      <c r="GQ120" s="889"/>
      <c r="GR120" s="889"/>
      <c r="GS120" s="889"/>
      <c r="GT120" s="889"/>
      <c r="GU120" s="889"/>
      <c r="GV120" s="889"/>
      <c r="GW120" s="889"/>
      <c r="GX120" s="889"/>
      <c r="GY120" s="889"/>
      <c r="GZ120" s="889"/>
      <c r="HA120" s="889"/>
      <c r="HB120" s="889"/>
      <c r="HC120" s="889"/>
      <c r="HD120" s="889"/>
      <c r="HE120" s="889"/>
      <c r="HF120" s="889"/>
      <c r="HG120" s="889"/>
      <c r="HH120" s="889"/>
      <c r="HI120" s="889"/>
      <c r="HJ120" s="889"/>
      <c r="HK120" s="889"/>
      <c r="HL120" s="889"/>
      <c r="HM120" s="889"/>
      <c r="HN120" s="889"/>
      <c r="HO120" s="889"/>
      <c r="HP120" s="889"/>
      <c r="HQ120" s="889"/>
      <c r="HR120" s="889"/>
      <c r="HS120" s="889"/>
      <c r="HT120" s="889"/>
      <c r="HU120" s="889"/>
      <c r="HV120" s="889"/>
      <c r="HW120" s="889"/>
      <c r="HX120" s="889"/>
      <c r="HY120" s="889"/>
      <c r="HZ120" s="889"/>
      <c r="IA120" s="889"/>
      <c r="IB120" s="889"/>
      <c r="IC120" s="889"/>
      <c r="ID120" s="889"/>
      <c r="IE120" s="889"/>
      <c r="IF120" s="889"/>
      <c r="IG120" s="889"/>
      <c r="IH120" s="889"/>
      <c r="II120" s="889"/>
      <c r="IJ120" s="889"/>
      <c r="IK120" s="889"/>
      <c r="IL120" s="889"/>
      <c r="IM120" s="889"/>
      <c r="IN120" s="889"/>
      <c r="IO120" s="889"/>
      <c r="IP120" s="889"/>
      <c r="IQ120" s="889"/>
      <c r="IR120" s="889"/>
      <c r="IS120" s="889"/>
      <c r="IT120" s="889"/>
      <c r="IU120" s="889"/>
      <c r="IV120" s="889"/>
    </row>
    <row r="121" spans="1:256" ht="11.25" customHeight="1">
      <c r="A121" s="875" t="s">
        <v>852</v>
      </c>
      <c r="B121" s="943">
        <v>434</v>
      </c>
      <c r="C121" s="943">
        <v>435</v>
      </c>
      <c r="D121" s="963">
        <v>454.6</v>
      </c>
      <c r="E121" s="963">
        <v>462.8</v>
      </c>
      <c r="F121" s="963">
        <v>439.9</v>
      </c>
      <c r="G121" s="963">
        <v>469.7</v>
      </c>
      <c r="H121" s="963">
        <v>428</v>
      </c>
      <c r="I121" s="963">
        <v>250.7</v>
      </c>
      <c r="J121" s="963">
        <v>303</v>
      </c>
      <c r="K121" s="963">
        <v>275</v>
      </c>
      <c r="L121" s="965">
        <v>240</v>
      </c>
      <c r="M121" s="965">
        <v>246.2</v>
      </c>
      <c r="N121" s="963">
        <v>242</v>
      </c>
      <c r="O121" s="889"/>
      <c r="P121" s="889"/>
      <c r="Q121" s="889"/>
      <c r="R121" s="889"/>
      <c r="S121" s="889"/>
      <c r="T121" s="889"/>
      <c r="U121" s="889"/>
      <c r="V121" s="889"/>
      <c r="W121" s="889"/>
      <c r="X121" s="889"/>
      <c r="Y121" s="889"/>
      <c r="Z121" s="889"/>
      <c r="AA121" s="889"/>
      <c r="AB121" s="889"/>
      <c r="AC121" s="889"/>
      <c r="AD121" s="889"/>
      <c r="AE121" s="889"/>
      <c r="AF121" s="889"/>
      <c r="AG121" s="889"/>
      <c r="AH121" s="889"/>
      <c r="AI121" s="889"/>
      <c r="AJ121" s="889"/>
      <c r="AK121" s="889"/>
      <c r="AL121" s="889"/>
      <c r="AM121" s="889"/>
      <c r="AN121" s="889"/>
      <c r="AO121" s="889"/>
      <c r="AP121" s="889"/>
      <c r="AQ121" s="889"/>
      <c r="AR121" s="889"/>
      <c r="AS121" s="889"/>
      <c r="AT121" s="889"/>
      <c r="AU121" s="889"/>
      <c r="AV121" s="889"/>
      <c r="AW121" s="889"/>
      <c r="AX121" s="889"/>
      <c r="AY121" s="889"/>
      <c r="AZ121" s="889"/>
      <c r="BA121" s="889"/>
      <c r="BB121" s="889"/>
      <c r="BC121" s="889"/>
      <c r="BD121" s="889"/>
      <c r="BE121" s="889"/>
      <c r="BF121" s="889"/>
      <c r="BG121" s="889"/>
      <c r="BH121" s="889"/>
      <c r="BI121" s="889"/>
      <c r="BJ121" s="889"/>
      <c r="BK121" s="889"/>
      <c r="BL121" s="889"/>
      <c r="BM121" s="889"/>
      <c r="BN121" s="889"/>
      <c r="BO121" s="889"/>
      <c r="BP121" s="889"/>
      <c r="BQ121" s="889"/>
      <c r="BR121" s="889"/>
      <c r="BS121" s="889"/>
      <c r="BT121" s="889"/>
      <c r="BU121" s="889"/>
      <c r="BV121" s="889"/>
      <c r="BW121" s="889"/>
      <c r="BX121" s="889"/>
      <c r="BY121" s="889"/>
      <c r="BZ121" s="889"/>
      <c r="CA121" s="889"/>
      <c r="CB121" s="889"/>
      <c r="CC121" s="889"/>
      <c r="CD121" s="889"/>
      <c r="CE121" s="889"/>
      <c r="CF121" s="889"/>
      <c r="CG121" s="889"/>
      <c r="CH121" s="889"/>
      <c r="CI121" s="889"/>
      <c r="CJ121" s="889"/>
      <c r="CK121" s="889"/>
      <c r="CL121" s="889"/>
      <c r="CM121" s="889"/>
      <c r="CN121" s="889"/>
      <c r="CO121" s="889"/>
      <c r="CP121" s="889"/>
      <c r="CQ121" s="889"/>
      <c r="CR121" s="889"/>
      <c r="CS121" s="889"/>
      <c r="CT121" s="889"/>
      <c r="CU121" s="889"/>
      <c r="CV121" s="889"/>
      <c r="CW121" s="889"/>
      <c r="CX121" s="889"/>
      <c r="CY121" s="889"/>
      <c r="CZ121" s="889"/>
      <c r="DA121" s="889"/>
      <c r="DB121" s="889"/>
      <c r="DC121" s="889"/>
      <c r="DD121" s="889"/>
      <c r="DE121" s="889"/>
      <c r="DF121" s="889"/>
      <c r="DG121" s="889"/>
      <c r="DH121" s="889"/>
      <c r="DI121" s="889"/>
      <c r="DJ121" s="889"/>
      <c r="DK121" s="889"/>
      <c r="DL121" s="889"/>
      <c r="DM121" s="889"/>
      <c r="DN121" s="889"/>
      <c r="DO121" s="889"/>
      <c r="DP121" s="889"/>
      <c r="DQ121" s="889"/>
      <c r="DR121" s="889"/>
      <c r="DS121" s="889"/>
      <c r="DT121" s="889"/>
      <c r="DU121" s="889"/>
      <c r="DV121" s="889"/>
      <c r="DW121" s="889"/>
      <c r="DX121" s="889"/>
      <c r="DY121" s="889"/>
      <c r="DZ121" s="889"/>
      <c r="EA121" s="889"/>
      <c r="EB121" s="889"/>
      <c r="EC121" s="889"/>
      <c r="ED121" s="889"/>
      <c r="EE121" s="889"/>
      <c r="EF121" s="889"/>
      <c r="EG121" s="889"/>
      <c r="EH121" s="889"/>
      <c r="EI121" s="889"/>
      <c r="EJ121" s="889"/>
      <c r="EK121" s="889"/>
      <c r="EL121" s="889"/>
      <c r="EM121" s="889"/>
      <c r="EN121" s="889"/>
      <c r="EO121" s="889"/>
      <c r="EP121" s="889"/>
      <c r="EQ121" s="889"/>
      <c r="ER121" s="889"/>
      <c r="ES121" s="889"/>
      <c r="ET121" s="889"/>
      <c r="EU121" s="889"/>
      <c r="EV121" s="889"/>
      <c r="EW121" s="889"/>
      <c r="EX121" s="889"/>
      <c r="EY121" s="889"/>
      <c r="EZ121" s="889"/>
      <c r="FA121" s="889"/>
      <c r="FB121" s="889"/>
      <c r="FC121" s="889"/>
      <c r="FD121" s="889"/>
      <c r="FE121" s="889"/>
      <c r="FF121" s="889"/>
      <c r="FG121" s="889"/>
      <c r="FH121" s="889"/>
      <c r="FI121" s="889"/>
      <c r="FJ121" s="889"/>
      <c r="FK121" s="889"/>
      <c r="FL121" s="889"/>
      <c r="FM121" s="889"/>
      <c r="FN121" s="889"/>
      <c r="FO121" s="889"/>
      <c r="FP121" s="889"/>
      <c r="FQ121" s="889"/>
      <c r="FR121" s="889"/>
      <c r="FS121" s="889"/>
      <c r="FT121" s="889"/>
      <c r="FU121" s="889"/>
      <c r="FV121" s="889"/>
      <c r="FW121" s="889"/>
      <c r="FX121" s="889"/>
      <c r="FY121" s="889"/>
      <c r="FZ121" s="889"/>
      <c r="GA121" s="889"/>
      <c r="GB121" s="889"/>
      <c r="GC121" s="889"/>
      <c r="GD121" s="889"/>
      <c r="GE121" s="889"/>
      <c r="GF121" s="889"/>
      <c r="GG121" s="889"/>
      <c r="GH121" s="889"/>
      <c r="GI121" s="889"/>
      <c r="GJ121" s="889"/>
      <c r="GK121" s="889"/>
      <c r="GL121" s="889"/>
      <c r="GM121" s="889"/>
      <c r="GN121" s="889"/>
      <c r="GO121" s="889"/>
      <c r="GP121" s="889"/>
      <c r="GQ121" s="889"/>
      <c r="GR121" s="889"/>
      <c r="GS121" s="889"/>
      <c r="GT121" s="889"/>
      <c r="GU121" s="889"/>
      <c r="GV121" s="889"/>
      <c r="GW121" s="889"/>
      <c r="GX121" s="889"/>
      <c r="GY121" s="889"/>
      <c r="GZ121" s="889"/>
      <c r="HA121" s="889"/>
      <c r="HB121" s="889"/>
      <c r="HC121" s="889"/>
      <c r="HD121" s="889"/>
      <c r="HE121" s="889"/>
      <c r="HF121" s="889"/>
      <c r="HG121" s="889"/>
      <c r="HH121" s="889"/>
      <c r="HI121" s="889"/>
      <c r="HJ121" s="889"/>
      <c r="HK121" s="889"/>
      <c r="HL121" s="889"/>
      <c r="HM121" s="889"/>
      <c r="HN121" s="889"/>
      <c r="HO121" s="889"/>
      <c r="HP121" s="889"/>
      <c r="HQ121" s="889"/>
      <c r="HR121" s="889"/>
      <c r="HS121" s="889"/>
      <c r="HT121" s="889"/>
      <c r="HU121" s="889"/>
      <c r="HV121" s="889"/>
      <c r="HW121" s="889"/>
      <c r="HX121" s="889"/>
      <c r="HY121" s="889"/>
      <c r="HZ121" s="889"/>
      <c r="IA121" s="889"/>
      <c r="IB121" s="889"/>
      <c r="IC121" s="889"/>
      <c r="ID121" s="889"/>
      <c r="IE121" s="889"/>
      <c r="IF121" s="889"/>
      <c r="IG121" s="889"/>
      <c r="IH121" s="889"/>
      <c r="II121" s="889"/>
      <c r="IJ121" s="889"/>
      <c r="IK121" s="889"/>
      <c r="IL121" s="889"/>
      <c r="IM121" s="889"/>
      <c r="IN121" s="889"/>
      <c r="IO121" s="889"/>
      <c r="IP121" s="889"/>
      <c r="IQ121" s="889"/>
      <c r="IR121" s="889"/>
      <c r="IS121" s="889"/>
      <c r="IT121" s="889"/>
      <c r="IU121" s="889"/>
      <c r="IV121" s="889"/>
    </row>
    <row r="122" spans="1:256" ht="10.5" customHeight="1">
      <c r="A122" s="875" t="s">
        <v>853</v>
      </c>
      <c r="B122" s="999">
        <v>364.4</v>
      </c>
      <c r="C122" s="999">
        <v>431.2</v>
      </c>
      <c r="D122" s="963">
        <v>567.9</v>
      </c>
      <c r="E122" s="963">
        <v>840.8</v>
      </c>
      <c r="F122" s="963">
        <v>859.3</v>
      </c>
      <c r="G122" s="963">
        <v>807.8</v>
      </c>
      <c r="H122" s="963">
        <v>1009.4</v>
      </c>
      <c r="I122" s="963">
        <v>977.1</v>
      </c>
      <c r="J122" s="963">
        <v>920</v>
      </c>
      <c r="K122" s="963">
        <v>1172</v>
      </c>
      <c r="L122" s="965">
        <v>1253</v>
      </c>
      <c r="M122" s="965">
        <v>985.4</v>
      </c>
      <c r="N122" s="963">
        <v>705</v>
      </c>
      <c r="O122" s="889"/>
      <c r="P122" s="889"/>
      <c r="Q122" s="889"/>
      <c r="R122" s="889"/>
      <c r="S122" s="889"/>
      <c r="T122" s="889"/>
      <c r="U122" s="889"/>
      <c r="V122" s="889"/>
      <c r="W122" s="889"/>
      <c r="X122" s="889"/>
      <c r="Y122" s="889"/>
      <c r="Z122" s="889"/>
      <c r="AA122" s="889"/>
      <c r="AB122" s="889"/>
      <c r="AC122" s="889"/>
      <c r="AD122" s="889"/>
      <c r="AE122" s="889"/>
      <c r="AF122" s="889"/>
      <c r="AG122" s="889"/>
      <c r="AH122" s="889"/>
      <c r="AI122" s="889"/>
      <c r="AJ122" s="889"/>
      <c r="AK122" s="889"/>
      <c r="AL122" s="889"/>
      <c r="AM122" s="889"/>
      <c r="AN122" s="889"/>
      <c r="AO122" s="889"/>
      <c r="AP122" s="889"/>
      <c r="AQ122" s="889"/>
      <c r="AR122" s="889"/>
      <c r="AS122" s="889"/>
      <c r="AT122" s="889"/>
      <c r="AU122" s="889"/>
      <c r="AV122" s="889"/>
      <c r="AW122" s="889"/>
      <c r="AX122" s="889"/>
      <c r="AY122" s="889"/>
      <c r="AZ122" s="889"/>
      <c r="BA122" s="889"/>
      <c r="BB122" s="889"/>
      <c r="BC122" s="889"/>
      <c r="BD122" s="889"/>
      <c r="BE122" s="889"/>
      <c r="BF122" s="889"/>
      <c r="BG122" s="889"/>
      <c r="BH122" s="889"/>
      <c r="BI122" s="889"/>
      <c r="BJ122" s="889"/>
      <c r="BK122" s="889"/>
      <c r="BL122" s="889"/>
      <c r="BM122" s="889"/>
      <c r="BN122" s="889"/>
      <c r="BO122" s="889"/>
      <c r="BP122" s="889"/>
      <c r="BQ122" s="889"/>
      <c r="BR122" s="889"/>
      <c r="BS122" s="889"/>
      <c r="BT122" s="889"/>
      <c r="BU122" s="889"/>
      <c r="BV122" s="889"/>
      <c r="BW122" s="889"/>
      <c r="BX122" s="889"/>
      <c r="BY122" s="889"/>
      <c r="BZ122" s="889"/>
      <c r="CA122" s="889"/>
      <c r="CB122" s="889"/>
      <c r="CC122" s="889"/>
      <c r="CD122" s="889"/>
      <c r="CE122" s="889"/>
      <c r="CF122" s="889"/>
      <c r="CG122" s="889"/>
      <c r="CH122" s="889"/>
      <c r="CI122" s="889"/>
      <c r="CJ122" s="889"/>
      <c r="CK122" s="889"/>
      <c r="CL122" s="889"/>
      <c r="CM122" s="889"/>
      <c r="CN122" s="889"/>
      <c r="CO122" s="889"/>
      <c r="CP122" s="889"/>
      <c r="CQ122" s="889"/>
      <c r="CR122" s="889"/>
      <c r="CS122" s="889"/>
      <c r="CT122" s="889"/>
      <c r="CU122" s="889"/>
      <c r="CV122" s="889"/>
      <c r="CW122" s="889"/>
      <c r="CX122" s="889"/>
      <c r="CY122" s="889"/>
      <c r="CZ122" s="889"/>
      <c r="DA122" s="889"/>
      <c r="DB122" s="889"/>
      <c r="DC122" s="889"/>
      <c r="DD122" s="889"/>
      <c r="DE122" s="889"/>
      <c r="DF122" s="889"/>
      <c r="DG122" s="889"/>
      <c r="DH122" s="889"/>
      <c r="DI122" s="889"/>
      <c r="DJ122" s="889"/>
      <c r="DK122" s="889"/>
      <c r="DL122" s="889"/>
      <c r="DM122" s="889"/>
      <c r="DN122" s="889"/>
      <c r="DO122" s="889"/>
      <c r="DP122" s="889"/>
      <c r="DQ122" s="889"/>
      <c r="DR122" s="889"/>
      <c r="DS122" s="889"/>
      <c r="DT122" s="889"/>
      <c r="DU122" s="889"/>
      <c r="DV122" s="889"/>
      <c r="DW122" s="889"/>
      <c r="DX122" s="889"/>
      <c r="DY122" s="889"/>
      <c r="DZ122" s="889"/>
      <c r="EA122" s="889"/>
      <c r="EB122" s="889"/>
      <c r="EC122" s="889"/>
      <c r="ED122" s="889"/>
      <c r="EE122" s="889"/>
      <c r="EF122" s="889"/>
      <c r="EG122" s="889"/>
      <c r="EH122" s="889"/>
      <c r="EI122" s="889"/>
      <c r="EJ122" s="889"/>
      <c r="EK122" s="889"/>
      <c r="EL122" s="889"/>
      <c r="EM122" s="889"/>
      <c r="EN122" s="889"/>
      <c r="EO122" s="889"/>
      <c r="EP122" s="889"/>
      <c r="EQ122" s="889"/>
      <c r="ER122" s="889"/>
      <c r="ES122" s="889"/>
      <c r="ET122" s="889"/>
      <c r="EU122" s="889"/>
      <c r="EV122" s="889"/>
      <c r="EW122" s="889"/>
      <c r="EX122" s="889"/>
      <c r="EY122" s="889"/>
      <c r="EZ122" s="889"/>
      <c r="FA122" s="889"/>
      <c r="FB122" s="889"/>
      <c r="FC122" s="889"/>
      <c r="FD122" s="889"/>
      <c r="FE122" s="889"/>
      <c r="FF122" s="889"/>
      <c r="FG122" s="889"/>
      <c r="FH122" s="889"/>
      <c r="FI122" s="889"/>
      <c r="FJ122" s="889"/>
      <c r="FK122" s="889"/>
      <c r="FL122" s="889"/>
      <c r="FM122" s="889"/>
      <c r="FN122" s="889"/>
      <c r="FO122" s="889"/>
      <c r="FP122" s="889"/>
      <c r="FQ122" s="889"/>
      <c r="FR122" s="889"/>
      <c r="FS122" s="889"/>
      <c r="FT122" s="889"/>
      <c r="FU122" s="889"/>
      <c r="FV122" s="889"/>
      <c r="FW122" s="889"/>
      <c r="FX122" s="889"/>
      <c r="FY122" s="889"/>
      <c r="FZ122" s="889"/>
      <c r="GA122" s="889"/>
      <c r="GB122" s="889"/>
      <c r="GC122" s="889"/>
      <c r="GD122" s="889"/>
      <c r="GE122" s="889"/>
      <c r="GF122" s="889"/>
      <c r="GG122" s="889"/>
      <c r="GH122" s="889"/>
      <c r="GI122" s="889"/>
      <c r="GJ122" s="889"/>
      <c r="GK122" s="889"/>
      <c r="GL122" s="889"/>
      <c r="GM122" s="889"/>
      <c r="GN122" s="889"/>
      <c r="GO122" s="889"/>
      <c r="GP122" s="889"/>
      <c r="GQ122" s="889"/>
      <c r="GR122" s="889"/>
      <c r="GS122" s="889"/>
      <c r="GT122" s="889"/>
      <c r="GU122" s="889"/>
      <c r="GV122" s="889"/>
      <c r="GW122" s="889"/>
      <c r="GX122" s="889"/>
      <c r="GY122" s="889"/>
      <c r="GZ122" s="889"/>
      <c r="HA122" s="889"/>
      <c r="HB122" s="889"/>
      <c r="HC122" s="889"/>
      <c r="HD122" s="889"/>
      <c r="HE122" s="889"/>
      <c r="HF122" s="889"/>
      <c r="HG122" s="889"/>
      <c r="HH122" s="889"/>
      <c r="HI122" s="889"/>
      <c r="HJ122" s="889"/>
      <c r="HK122" s="889"/>
      <c r="HL122" s="889"/>
      <c r="HM122" s="889"/>
      <c r="HN122" s="889"/>
      <c r="HO122" s="889"/>
      <c r="HP122" s="889"/>
      <c r="HQ122" s="889"/>
      <c r="HR122" s="889"/>
      <c r="HS122" s="889"/>
      <c r="HT122" s="889"/>
      <c r="HU122" s="889"/>
      <c r="HV122" s="889"/>
      <c r="HW122" s="889"/>
      <c r="HX122" s="889"/>
      <c r="HY122" s="889"/>
      <c r="HZ122" s="889"/>
      <c r="IA122" s="889"/>
      <c r="IB122" s="889"/>
      <c r="IC122" s="889"/>
      <c r="ID122" s="889"/>
      <c r="IE122" s="889"/>
      <c r="IF122" s="889"/>
      <c r="IG122" s="889"/>
      <c r="IH122" s="889"/>
      <c r="II122" s="889"/>
      <c r="IJ122" s="889"/>
      <c r="IK122" s="889"/>
      <c r="IL122" s="889"/>
      <c r="IM122" s="889"/>
      <c r="IN122" s="889"/>
      <c r="IO122" s="889"/>
      <c r="IP122" s="889"/>
      <c r="IQ122" s="889"/>
      <c r="IR122" s="889"/>
      <c r="IS122" s="889"/>
      <c r="IT122" s="889"/>
      <c r="IU122" s="889"/>
      <c r="IV122" s="889"/>
    </row>
    <row r="123" spans="1:256" ht="10.5" customHeight="1">
      <c r="A123" s="931" t="s">
        <v>854</v>
      </c>
      <c r="B123" s="1000">
        <v>6405</v>
      </c>
      <c r="C123" s="1000">
        <v>6698.5</v>
      </c>
      <c r="D123" s="986">
        <v>7058</v>
      </c>
      <c r="E123" s="986">
        <v>7334</v>
      </c>
      <c r="F123" s="986">
        <v>8023</v>
      </c>
      <c r="G123" s="986">
        <v>7559</v>
      </c>
      <c r="H123" s="986">
        <v>7962</v>
      </c>
      <c r="I123" s="986">
        <v>8659</v>
      </c>
      <c r="J123" s="1001">
        <v>8394</v>
      </c>
      <c r="K123" s="986">
        <v>8917</v>
      </c>
      <c r="L123" s="1002">
        <v>8739</v>
      </c>
      <c r="M123" s="987">
        <v>8567</v>
      </c>
      <c r="N123" s="986">
        <v>8386</v>
      </c>
      <c r="O123" s="889"/>
      <c r="P123" s="889"/>
      <c r="Q123" s="889"/>
      <c r="R123" s="889"/>
      <c r="S123" s="889"/>
      <c r="T123" s="889"/>
      <c r="U123" s="889"/>
      <c r="V123" s="889"/>
      <c r="W123" s="889"/>
      <c r="X123" s="889"/>
      <c r="Y123" s="889"/>
      <c r="Z123" s="889"/>
      <c r="AA123" s="889"/>
      <c r="AB123" s="889"/>
      <c r="AC123" s="889"/>
      <c r="AD123" s="889"/>
      <c r="AE123" s="889"/>
      <c r="AF123" s="889"/>
      <c r="AG123" s="889"/>
      <c r="AH123" s="889"/>
      <c r="AI123" s="889"/>
      <c r="AJ123" s="889"/>
      <c r="AK123" s="889"/>
      <c r="AL123" s="889"/>
      <c r="AM123" s="889"/>
      <c r="AN123" s="889"/>
      <c r="AO123" s="889"/>
      <c r="AP123" s="889"/>
      <c r="AQ123" s="889"/>
      <c r="AR123" s="889"/>
      <c r="AS123" s="889"/>
      <c r="AT123" s="889"/>
      <c r="AU123" s="889"/>
      <c r="AV123" s="889"/>
      <c r="AW123" s="889"/>
      <c r="AX123" s="889"/>
      <c r="AY123" s="889"/>
      <c r="AZ123" s="889"/>
      <c r="BA123" s="889"/>
      <c r="BB123" s="889"/>
      <c r="BC123" s="889"/>
      <c r="BD123" s="889"/>
      <c r="BE123" s="889"/>
      <c r="BF123" s="889"/>
      <c r="BG123" s="889"/>
      <c r="BH123" s="889"/>
      <c r="BI123" s="889"/>
      <c r="BJ123" s="889"/>
      <c r="BK123" s="889"/>
      <c r="BL123" s="889"/>
      <c r="BM123" s="889"/>
      <c r="BN123" s="889"/>
      <c r="BO123" s="889"/>
      <c r="BP123" s="889"/>
      <c r="BQ123" s="889"/>
      <c r="BR123" s="889"/>
      <c r="BS123" s="889"/>
      <c r="BT123" s="889"/>
      <c r="BU123" s="889"/>
      <c r="BV123" s="889"/>
      <c r="BW123" s="889"/>
      <c r="BX123" s="889"/>
      <c r="BY123" s="889"/>
      <c r="BZ123" s="889"/>
      <c r="CA123" s="889"/>
      <c r="CB123" s="889"/>
      <c r="CC123" s="889"/>
      <c r="CD123" s="889"/>
      <c r="CE123" s="889"/>
      <c r="CF123" s="889"/>
      <c r="CG123" s="889"/>
      <c r="CH123" s="889"/>
      <c r="CI123" s="889"/>
      <c r="CJ123" s="889"/>
      <c r="CK123" s="889"/>
      <c r="CL123" s="889"/>
      <c r="CM123" s="889"/>
      <c r="CN123" s="889"/>
      <c r="CO123" s="889"/>
      <c r="CP123" s="889"/>
      <c r="CQ123" s="889"/>
      <c r="CR123" s="889"/>
      <c r="CS123" s="889"/>
      <c r="CT123" s="889"/>
      <c r="CU123" s="889"/>
      <c r="CV123" s="889"/>
      <c r="CW123" s="889"/>
      <c r="CX123" s="889"/>
      <c r="CY123" s="889"/>
      <c r="CZ123" s="889"/>
      <c r="DA123" s="889"/>
      <c r="DB123" s="889"/>
      <c r="DC123" s="889"/>
      <c r="DD123" s="889"/>
      <c r="DE123" s="889"/>
      <c r="DF123" s="889"/>
      <c r="DG123" s="889"/>
      <c r="DH123" s="889"/>
      <c r="DI123" s="889"/>
      <c r="DJ123" s="889"/>
      <c r="DK123" s="889"/>
      <c r="DL123" s="889"/>
      <c r="DM123" s="889"/>
      <c r="DN123" s="889"/>
      <c r="DO123" s="889"/>
      <c r="DP123" s="889"/>
      <c r="DQ123" s="889"/>
      <c r="DR123" s="889"/>
      <c r="DS123" s="889"/>
      <c r="DT123" s="889"/>
      <c r="DU123" s="889"/>
      <c r="DV123" s="889"/>
      <c r="DW123" s="889"/>
      <c r="DX123" s="889"/>
      <c r="DY123" s="889"/>
      <c r="DZ123" s="889"/>
      <c r="EA123" s="889"/>
      <c r="EB123" s="889"/>
      <c r="EC123" s="889"/>
      <c r="ED123" s="889"/>
      <c r="EE123" s="889"/>
      <c r="EF123" s="889"/>
      <c r="EG123" s="889"/>
      <c r="EH123" s="889"/>
      <c r="EI123" s="889"/>
      <c r="EJ123" s="889"/>
      <c r="EK123" s="889"/>
      <c r="EL123" s="889"/>
      <c r="EM123" s="889"/>
      <c r="EN123" s="889"/>
      <c r="EO123" s="889"/>
      <c r="EP123" s="889"/>
      <c r="EQ123" s="889"/>
      <c r="ER123" s="889"/>
      <c r="ES123" s="889"/>
      <c r="ET123" s="889"/>
      <c r="EU123" s="889"/>
      <c r="EV123" s="889"/>
      <c r="EW123" s="889"/>
      <c r="EX123" s="889"/>
      <c r="EY123" s="889"/>
      <c r="EZ123" s="889"/>
      <c r="FA123" s="889"/>
      <c r="FB123" s="889"/>
      <c r="FC123" s="889"/>
      <c r="FD123" s="889"/>
      <c r="FE123" s="889"/>
      <c r="FF123" s="889"/>
      <c r="FG123" s="889"/>
      <c r="FH123" s="889"/>
      <c r="FI123" s="889"/>
      <c r="FJ123" s="889"/>
      <c r="FK123" s="889"/>
      <c r="FL123" s="889"/>
      <c r="FM123" s="889"/>
      <c r="FN123" s="889"/>
      <c r="FO123" s="889"/>
      <c r="FP123" s="889"/>
      <c r="FQ123" s="889"/>
      <c r="FR123" s="889"/>
      <c r="FS123" s="889"/>
      <c r="FT123" s="889"/>
      <c r="FU123" s="889"/>
      <c r="FV123" s="889"/>
      <c r="FW123" s="889"/>
      <c r="FX123" s="889"/>
      <c r="FY123" s="889"/>
      <c r="FZ123" s="889"/>
      <c r="GA123" s="889"/>
      <c r="GB123" s="889"/>
      <c r="GC123" s="889"/>
      <c r="GD123" s="889"/>
      <c r="GE123" s="889"/>
      <c r="GF123" s="889"/>
      <c r="GG123" s="889"/>
      <c r="GH123" s="889"/>
      <c r="GI123" s="889"/>
      <c r="GJ123" s="889"/>
      <c r="GK123" s="889"/>
      <c r="GL123" s="889"/>
      <c r="GM123" s="889"/>
      <c r="GN123" s="889"/>
      <c r="GO123" s="889"/>
      <c r="GP123" s="889"/>
      <c r="GQ123" s="889"/>
      <c r="GR123" s="889"/>
      <c r="GS123" s="889"/>
      <c r="GT123" s="889"/>
      <c r="GU123" s="889"/>
      <c r="GV123" s="889"/>
      <c r="GW123" s="889"/>
      <c r="GX123" s="889"/>
      <c r="GY123" s="889"/>
      <c r="GZ123" s="889"/>
      <c r="HA123" s="889"/>
      <c r="HB123" s="889"/>
      <c r="HC123" s="889"/>
      <c r="HD123" s="889"/>
      <c r="HE123" s="889"/>
      <c r="HF123" s="889"/>
      <c r="HG123" s="889"/>
      <c r="HH123" s="889"/>
      <c r="HI123" s="889"/>
      <c r="HJ123" s="889"/>
      <c r="HK123" s="889"/>
      <c r="HL123" s="889"/>
      <c r="HM123" s="889"/>
      <c r="HN123" s="889"/>
      <c r="HO123" s="889"/>
      <c r="HP123" s="889"/>
      <c r="HQ123" s="889"/>
      <c r="HR123" s="889"/>
      <c r="HS123" s="889"/>
      <c r="HT123" s="889"/>
      <c r="HU123" s="889"/>
      <c r="HV123" s="889"/>
      <c r="HW123" s="889"/>
      <c r="HX123" s="889"/>
      <c r="HY123" s="889"/>
      <c r="HZ123" s="889"/>
      <c r="IA123" s="889"/>
      <c r="IB123" s="889"/>
      <c r="IC123" s="889"/>
      <c r="ID123" s="889"/>
      <c r="IE123" s="889"/>
      <c r="IF123" s="889"/>
      <c r="IG123" s="889"/>
      <c r="IH123" s="889"/>
      <c r="II123" s="889"/>
      <c r="IJ123" s="889"/>
      <c r="IK123" s="889"/>
      <c r="IL123" s="889"/>
      <c r="IM123" s="889"/>
      <c r="IN123" s="889"/>
      <c r="IO123" s="889"/>
      <c r="IP123" s="889"/>
      <c r="IQ123" s="889"/>
      <c r="IR123" s="889"/>
      <c r="IS123" s="889"/>
      <c r="IT123" s="889"/>
      <c r="IU123" s="889"/>
      <c r="IV123" s="889"/>
    </row>
    <row r="124" spans="1:256" ht="10.5" customHeight="1">
      <c r="A124" s="931" t="s">
        <v>855</v>
      </c>
      <c r="B124" s="1000">
        <v>2117.9</v>
      </c>
      <c r="C124" s="1000">
        <v>2281.5</v>
      </c>
      <c r="D124" s="986">
        <v>2488.1999999999998</v>
      </c>
      <c r="E124" s="986">
        <v>2712.2</v>
      </c>
      <c r="F124" s="986">
        <v>3034</v>
      </c>
      <c r="G124" s="986">
        <v>2727.5</v>
      </c>
      <c r="H124" s="986">
        <v>2859.2</v>
      </c>
      <c r="I124" s="986">
        <v>3061.8</v>
      </c>
      <c r="J124" s="986">
        <v>3056.6</v>
      </c>
      <c r="K124" s="986">
        <v>3104.1</v>
      </c>
      <c r="L124" s="987">
        <v>3100.6</v>
      </c>
      <c r="M124" s="987">
        <v>3064</v>
      </c>
      <c r="N124" s="986">
        <v>2954.9</v>
      </c>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89"/>
      <c r="AJ124" s="889"/>
      <c r="AK124" s="889"/>
      <c r="AL124" s="889"/>
      <c r="AM124" s="889"/>
      <c r="AN124" s="889"/>
      <c r="AO124" s="889"/>
      <c r="AP124" s="889"/>
      <c r="AQ124" s="889"/>
      <c r="AR124" s="889"/>
      <c r="AS124" s="889"/>
      <c r="AT124" s="889"/>
      <c r="AU124" s="889"/>
      <c r="AV124" s="889"/>
      <c r="AW124" s="889"/>
      <c r="AX124" s="889"/>
      <c r="AY124" s="889"/>
      <c r="AZ124" s="889"/>
      <c r="BA124" s="889"/>
      <c r="BB124" s="889"/>
      <c r="BC124" s="889"/>
      <c r="BD124" s="889"/>
      <c r="BE124" s="889"/>
      <c r="BF124" s="889"/>
      <c r="BG124" s="889"/>
      <c r="BH124" s="889"/>
      <c r="BI124" s="889"/>
      <c r="BJ124" s="889"/>
      <c r="BK124" s="889"/>
      <c r="BL124" s="889"/>
      <c r="BM124" s="889"/>
      <c r="BN124" s="889"/>
      <c r="BO124" s="889"/>
      <c r="BP124" s="889"/>
      <c r="BQ124" s="889"/>
      <c r="BR124" s="889"/>
      <c r="BS124" s="889"/>
      <c r="BT124" s="889"/>
      <c r="BU124" s="889"/>
      <c r="BV124" s="889"/>
      <c r="BW124" s="889"/>
      <c r="BX124" s="889"/>
      <c r="BY124" s="889"/>
      <c r="BZ124" s="889"/>
      <c r="CA124" s="889"/>
      <c r="CB124" s="889"/>
      <c r="CC124" s="889"/>
      <c r="CD124" s="889"/>
      <c r="CE124" s="889"/>
      <c r="CF124" s="889"/>
      <c r="CG124" s="889"/>
      <c r="CH124" s="889"/>
      <c r="CI124" s="889"/>
      <c r="CJ124" s="889"/>
      <c r="CK124" s="889"/>
      <c r="CL124" s="889"/>
      <c r="CM124" s="889"/>
      <c r="CN124" s="889"/>
      <c r="CO124" s="889"/>
      <c r="CP124" s="889"/>
      <c r="CQ124" s="889"/>
      <c r="CR124" s="889"/>
      <c r="CS124" s="889"/>
      <c r="CT124" s="889"/>
      <c r="CU124" s="889"/>
      <c r="CV124" s="889"/>
      <c r="CW124" s="889"/>
      <c r="CX124" s="889"/>
      <c r="CY124" s="889"/>
      <c r="CZ124" s="889"/>
      <c r="DA124" s="889"/>
      <c r="DB124" s="889"/>
      <c r="DC124" s="889"/>
      <c r="DD124" s="889"/>
      <c r="DE124" s="889"/>
      <c r="DF124" s="889"/>
      <c r="DG124" s="889"/>
      <c r="DH124" s="889"/>
      <c r="DI124" s="889"/>
      <c r="DJ124" s="889"/>
      <c r="DK124" s="889"/>
      <c r="DL124" s="889"/>
      <c r="DM124" s="889"/>
      <c r="DN124" s="889"/>
      <c r="DO124" s="889"/>
      <c r="DP124" s="889"/>
      <c r="DQ124" s="889"/>
      <c r="DR124" s="889"/>
      <c r="DS124" s="889"/>
      <c r="DT124" s="889"/>
      <c r="DU124" s="889"/>
      <c r="DV124" s="889"/>
      <c r="DW124" s="889"/>
      <c r="DX124" s="889"/>
      <c r="DY124" s="889"/>
      <c r="DZ124" s="889"/>
      <c r="EA124" s="889"/>
      <c r="EB124" s="889"/>
      <c r="EC124" s="889"/>
      <c r="ED124" s="889"/>
      <c r="EE124" s="889"/>
      <c r="EF124" s="889"/>
      <c r="EG124" s="889"/>
      <c r="EH124" s="889"/>
      <c r="EI124" s="889"/>
      <c r="EJ124" s="889"/>
      <c r="EK124" s="889"/>
      <c r="EL124" s="889"/>
      <c r="EM124" s="889"/>
      <c r="EN124" s="889"/>
      <c r="EO124" s="889"/>
      <c r="EP124" s="889"/>
      <c r="EQ124" s="889"/>
      <c r="ER124" s="889"/>
      <c r="ES124" s="889"/>
      <c r="ET124" s="889"/>
      <c r="EU124" s="889"/>
      <c r="EV124" s="889"/>
      <c r="EW124" s="889"/>
      <c r="EX124" s="889"/>
      <c r="EY124" s="889"/>
      <c r="EZ124" s="889"/>
      <c r="FA124" s="889"/>
      <c r="FB124" s="889"/>
      <c r="FC124" s="889"/>
      <c r="FD124" s="889"/>
      <c r="FE124" s="889"/>
      <c r="FF124" s="889"/>
      <c r="FG124" s="889"/>
      <c r="FH124" s="889"/>
      <c r="FI124" s="889"/>
      <c r="FJ124" s="889"/>
      <c r="FK124" s="889"/>
      <c r="FL124" s="889"/>
      <c r="FM124" s="889"/>
      <c r="FN124" s="889"/>
      <c r="FO124" s="889"/>
      <c r="FP124" s="889"/>
      <c r="FQ124" s="889"/>
      <c r="FR124" s="889"/>
      <c r="FS124" s="889"/>
      <c r="FT124" s="889"/>
      <c r="FU124" s="889"/>
      <c r="FV124" s="889"/>
      <c r="FW124" s="889"/>
      <c r="FX124" s="889"/>
      <c r="FY124" s="889"/>
      <c r="FZ124" s="889"/>
      <c r="GA124" s="889"/>
      <c r="GB124" s="889"/>
      <c r="GC124" s="889"/>
      <c r="GD124" s="889"/>
      <c r="GE124" s="889"/>
      <c r="GF124" s="889"/>
      <c r="GG124" s="889"/>
      <c r="GH124" s="889"/>
      <c r="GI124" s="889"/>
      <c r="GJ124" s="889"/>
      <c r="GK124" s="889"/>
      <c r="GL124" s="889"/>
      <c r="GM124" s="889"/>
      <c r="GN124" s="889"/>
      <c r="GO124" s="889"/>
      <c r="GP124" s="889"/>
      <c r="GQ124" s="889"/>
      <c r="GR124" s="889"/>
      <c r="GS124" s="889"/>
      <c r="GT124" s="889"/>
      <c r="GU124" s="889"/>
      <c r="GV124" s="889"/>
      <c r="GW124" s="889"/>
      <c r="GX124" s="889"/>
      <c r="GY124" s="889"/>
      <c r="GZ124" s="889"/>
      <c r="HA124" s="889"/>
      <c r="HB124" s="889"/>
      <c r="HC124" s="889"/>
      <c r="HD124" s="889"/>
      <c r="HE124" s="889"/>
      <c r="HF124" s="889"/>
      <c r="HG124" s="889"/>
      <c r="HH124" s="889"/>
      <c r="HI124" s="889"/>
      <c r="HJ124" s="889"/>
      <c r="HK124" s="889"/>
      <c r="HL124" s="889"/>
      <c r="HM124" s="889"/>
      <c r="HN124" s="889"/>
      <c r="HO124" s="889"/>
      <c r="HP124" s="889"/>
      <c r="HQ124" s="889"/>
      <c r="HR124" s="889"/>
      <c r="HS124" s="889"/>
      <c r="HT124" s="889"/>
      <c r="HU124" s="889"/>
      <c r="HV124" s="889"/>
      <c r="HW124" s="889"/>
      <c r="HX124" s="889"/>
      <c r="HY124" s="889"/>
      <c r="HZ124" s="889"/>
      <c r="IA124" s="889"/>
      <c r="IB124" s="889"/>
      <c r="IC124" s="889"/>
      <c r="ID124" s="889"/>
      <c r="IE124" s="889"/>
      <c r="IF124" s="889"/>
      <c r="IG124" s="889"/>
      <c r="IH124" s="889"/>
      <c r="II124" s="889"/>
      <c r="IJ124" s="889"/>
      <c r="IK124" s="889"/>
      <c r="IL124" s="889"/>
      <c r="IM124" s="889"/>
      <c r="IN124" s="889"/>
      <c r="IO124" s="889"/>
      <c r="IP124" s="889"/>
      <c r="IQ124" s="889"/>
      <c r="IR124" s="889"/>
      <c r="IS124" s="889"/>
      <c r="IT124" s="889"/>
      <c r="IU124" s="889"/>
      <c r="IV124" s="889"/>
    </row>
    <row r="125" spans="1:256" ht="10.5" customHeight="1">
      <c r="A125" s="931" t="s">
        <v>856</v>
      </c>
      <c r="B125" s="1000">
        <v>1659.8</v>
      </c>
      <c r="C125" s="1000">
        <v>1755.9</v>
      </c>
      <c r="D125" s="986">
        <v>1889.1</v>
      </c>
      <c r="E125" s="986">
        <v>2046.3</v>
      </c>
      <c r="F125" s="986">
        <v>2211</v>
      </c>
      <c r="G125" s="986">
        <v>1848.3</v>
      </c>
      <c r="H125" s="986">
        <v>2091.1</v>
      </c>
      <c r="I125" s="986">
        <v>1917.8</v>
      </c>
      <c r="J125" s="986">
        <v>2066.1</v>
      </c>
      <c r="K125" s="986">
        <v>2232</v>
      </c>
      <c r="L125" s="987">
        <v>2120.3000000000002</v>
      </c>
      <c r="M125" s="987">
        <v>2151.9</v>
      </c>
      <c r="N125" s="986">
        <v>1942.3</v>
      </c>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89"/>
      <c r="AJ125" s="889"/>
      <c r="AK125" s="889"/>
      <c r="AL125" s="889"/>
      <c r="AM125" s="889"/>
      <c r="AN125" s="889"/>
      <c r="AO125" s="889"/>
      <c r="AP125" s="889"/>
      <c r="AQ125" s="889"/>
      <c r="AR125" s="889"/>
      <c r="AS125" s="889"/>
      <c r="AT125" s="889"/>
      <c r="AU125" s="889"/>
      <c r="AV125" s="889"/>
      <c r="AW125" s="889"/>
      <c r="AX125" s="889"/>
      <c r="AY125" s="889"/>
      <c r="AZ125" s="889"/>
      <c r="BA125" s="889"/>
      <c r="BB125" s="889"/>
      <c r="BC125" s="889"/>
      <c r="BD125" s="889"/>
      <c r="BE125" s="889"/>
      <c r="BF125" s="889"/>
      <c r="BG125" s="889"/>
      <c r="BH125" s="889"/>
      <c r="BI125" s="889"/>
      <c r="BJ125" s="889"/>
      <c r="BK125" s="889"/>
      <c r="BL125" s="889"/>
      <c r="BM125" s="889"/>
      <c r="BN125" s="889"/>
      <c r="BO125" s="889"/>
      <c r="BP125" s="889"/>
      <c r="BQ125" s="889"/>
      <c r="BR125" s="889"/>
      <c r="BS125" s="889"/>
      <c r="BT125" s="889"/>
      <c r="BU125" s="889"/>
      <c r="BV125" s="889"/>
      <c r="BW125" s="889"/>
      <c r="BX125" s="889"/>
      <c r="BY125" s="889"/>
      <c r="BZ125" s="889"/>
      <c r="CA125" s="889"/>
      <c r="CB125" s="889"/>
      <c r="CC125" s="889"/>
      <c r="CD125" s="889"/>
      <c r="CE125" s="889"/>
      <c r="CF125" s="889"/>
      <c r="CG125" s="889"/>
      <c r="CH125" s="889"/>
      <c r="CI125" s="889"/>
      <c r="CJ125" s="889"/>
      <c r="CK125" s="889"/>
      <c r="CL125" s="889"/>
      <c r="CM125" s="889"/>
      <c r="CN125" s="889"/>
      <c r="CO125" s="889"/>
      <c r="CP125" s="889"/>
      <c r="CQ125" s="889"/>
      <c r="CR125" s="889"/>
      <c r="CS125" s="889"/>
      <c r="CT125" s="889"/>
      <c r="CU125" s="889"/>
      <c r="CV125" s="889"/>
      <c r="CW125" s="889"/>
      <c r="CX125" s="889"/>
      <c r="CY125" s="889"/>
      <c r="CZ125" s="889"/>
      <c r="DA125" s="889"/>
      <c r="DB125" s="889"/>
      <c r="DC125" s="889"/>
      <c r="DD125" s="889"/>
      <c r="DE125" s="889"/>
      <c r="DF125" s="889"/>
      <c r="DG125" s="889"/>
      <c r="DH125" s="889"/>
      <c r="DI125" s="889"/>
      <c r="DJ125" s="889"/>
      <c r="DK125" s="889"/>
      <c r="DL125" s="889"/>
      <c r="DM125" s="889"/>
      <c r="DN125" s="889"/>
      <c r="DO125" s="889"/>
      <c r="DP125" s="889"/>
      <c r="DQ125" s="889"/>
      <c r="DR125" s="889"/>
      <c r="DS125" s="889"/>
      <c r="DT125" s="889"/>
      <c r="DU125" s="889"/>
      <c r="DV125" s="889"/>
      <c r="DW125" s="889"/>
      <c r="DX125" s="889"/>
      <c r="DY125" s="889"/>
      <c r="DZ125" s="889"/>
      <c r="EA125" s="889"/>
      <c r="EB125" s="889"/>
      <c r="EC125" s="889"/>
      <c r="ED125" s="889"/>
      <c r="EE125" s="889"/>
      <c r="EF125" s="889"/>
      <c r="EG125" s="889"/>
      <c r="EH125" s="889"/>
      <c r="EI125" s="889"/>
      <c r="EJ125" s="889"/>
      <c r="EK125" s="889"/>
      <c r="EL125" s="889"/>
      <c r="EM125" s="889"/>
      <c r="EN125" s="889"/>
      <c r="EO125" s="889"/>
      <c r="EP125" s="889"/>
      <c r="EQ125" s="889"/>
      <c r="ER125" s="889"/>
      <c r="ES125" s="889"/>
      <c r="ET125" s="889"/>
      <c r="EU125" s="889"/>
      <c r="EV125" s="889"/>
      <c r="EW125" s="889"/>
      <c r="EX125" s="889"/>
      <c r="EY125" s="889"/>
      <c r="EZ125" s="889"/>
      <c r="FA125" s="889"/>
      <c r="FB125" s="889"/>
      <c r="FC125" s="889"/>
      <c r="FD125" s="889"/>
      <c r="FE125" s="889"/>
      <c r="FF125" s="889"/>
      <c r="FG125" s="889"/>
      <c r="FH125" s="889"/>
      <c r="FI125" s="889"/>
      <c r="FJ125" s="889"/>
      <c r="FK125" s="889"/>
      <c r="FL125" s="889"/>
      <c r="FM125" s="889"/>
      <c r="FN125" s="889"/>
      <c r="FO125" s="889"/>
      <c r="FP125" s="889"/>
      <c r="FQ125" s="889"/>
      <c r="FR125" s="889"/>
      <c r="FS125" s="889"/>
      <c r="FT125" s="889"/>
      <c r="FU125" s="889"/>
      <c r="FV125" s="889"/>
      <c r="FW125" s="889"/>
      <c r="FX125" s="889"/>
      <c r="FY125" s="889"/>
      <c r="FZ125" s="889"/>
      <c r="GA125" s="889"/>
      <c r="GB125" s="889"/>
      <c r="GC125" s="889"/>
      <c r="GD125" s="889"/>
      <c r="GE125" s="889"/>
      <c r="GF125" s="889"/>
      <c r="GG125" s="889"/>
      <c r="GH125" s="889"/>
      <c r="GI125" s="889"/>
      <c r="GJ125" s="889"/>
      <c r="GK125" s="889"/>
      <c r="GL125" s="889"/>
      <c r="GM125" s="889"/>
      <c r="GN125" s="889"/>
      <c r="GO125" s="889"/>
      <c r="GP125" s="889"/>
      <c r="GQ125" s="889"/>
      <c r="GR125" s="889"/>
      <c r="GS125" s="889"/>
      <c r="GT125" s="889"/>
      <c r="GU125" s="889"/>
      <c r="GV125" s="889"/>
      <c r="GW125" s="889"/>
      <c r="GX125" s="889"/>
      <c r="GY125" s="889"/>
      <c r="GZ125" s="889"/>
      <c r="HA125" s="889"/>
      <c r="HB125" s="889"/>
      <c r="HC125" s="889"/>
      <c r="HD125" s="889"/>
      <c r="HE125" s="889"/>
      <c r="HF125" s="889"/>
      <c r="HG125" s="889"/>
      <c r="HH125" s="889"/>
      <c r="HI125" s="889"/>
      <c r="HJ125" s="889"/>
      <c r="HK125" s="889"/>
      <c r="HL125" s="889"/>
      <c r="HM125" s="889"/>
      <c r="HN125" s="889"/>
      <c r="HO125" s="889"/>
      <c r="HP125" s="889"/>
      <c r="HQ125" s="889"/>
      <c r="HR125" s="889"/>
      <c r="HS125" s="889"/>
      <c r="HT125" s="889"/>
      <c r="HU125" s="889"/>
      <c r="HV125" s="889"/>
      <c r="HW125" s="889"/>
      <c r="HX125" s="889"/>
      <c r="HY125" s="889"/>
      <c r="HZ125" s="889"/>
      <c r="IA125" s="889"/>
      <c r="IB125" s="889"/>
      <c r="IC125" s="889"/>
      <c r="ID125" s="889"/>
      <c r="IE125" s="889"/>
      <c r="IF125" s="889"/>
      <c r="IG125" s="889"/>
      <c r="IH125" s="889"/>
      <c r="II125" s="889"/>
      <c r="IJ125" s="889"/>
      <c r="IK125" s="889"/>
      <c r="IL125" s="889"/>
      <c r="IM125" s="889"/>
      <c r="IN125" s="889"/>
      <c r="IO125" s="889"/>
      <c r="IP125" s="889"/>
      <c r="IQ125" s="889"/>
      <c r="IR125" s="889"/>
      <c r="IS125" s="889"/>
      <c r="IT125" s="889"/>
      <c r="IU125" s="889"/>
      <c r="IV125" s="889"/>
    </row>
    <row r="126" spans="1:256" ht="10.5" customHeight="1">
      <c r="A126" s="882"/>
      <c r="B126" s="1003"/>
      <c r="C126" s="1003"/>
      <c r="D126" s="1003"/>
      <c r="E126" s="1003"/>
      <c r="F126" s="1004"/>
      <c r="G126" s="1005"/>
      <c r="H126" s="909"/>
      <c r="I126" s="909"/>
      <c r="J126" s="909"/>
      <c r="K126" s="910"/>
      <c r="L126" s="916"/>
      <c r="M126" s="1006"/>
      <c r="N126" s="910" t="s">
        <v>372</v>
      </c>
      <c r="O126" s="889"/>
      <c r="P126" s="889"/>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889"/>
      <c r="AX126" s="889"/>
      <c r="AY126" s="889"/>
      <c r="AZ126" s="889"/>
      <c r="BA126" s="889"/>
      <c r="BB126" s="889"/>
      <c r="BC126" s="889"/>
      <c r="BD126" s="889"/>
      <c r="BE126" s="889"/>
      <c r="BF126" s="889"/>
      <c r="BG126" s="889"/>
      <c r="BH126" s="889"/>
      <c r="BI126" s="889"/>
      <c r="BJ126" s="889"/>
      <c r="BK126" s="889"/>
      <c r="BL126" s="889"/>
      <c r="BM126" s="889"/>
      <c r="BN126" s="889"/>
      <c r="BO126" s="889"/>
      <c r="BP126" s="889"/>
      <c r="BQ126" s="889"/>
      <c r="BR126" s="889"/>
      <c r="BS126" s="889"/>
      <c r="BT126" s="889"/>
      <c r="BU126" s="889"/>
      <c r="BV126" s="889"/>
      <c r="BW126" s="889"/>
      <c r="BX126" s="889"/>
      <c r="BY126" s="889"/>
      <c r="BZ126" s="889"/>
      <c r="CA126" s="889"/>
      <c r="CB126" s="889"/>
      <c r="CC126" s="889"/>
      <c r="CD126" s="889"/>
      <c r="CE126" s="889"/>
      <c r="CF126" s="889"/>
      <c r="CG126" s="889"/>
      <c r="CH126" s="889"/>
      <c r="CI126" s="889"/>
      <c r="CJ126" s="889"/>
      <c r="CK126" s="889"/>
      <c r="CL126" s="889"/>
      <c r="CM126" s="889"/>
      <c r="CN126" s="889"/>
      <c r="CO126" s="889"/>
      <c r="CP126" s="889"/>
      <c r="CQ126" s="889"/>
      <c r="CR126" s="889"/>
      <c r="CS126" s="889"/>
      <c r="CT126" s="889"/>
      <c r="CU126" s="889"/>
      <c r="CV126" s="889"/>
      <c r="CW126" s="889"/>
      <c r="CX126" s="889"/>
      <c r="CY126" s="889"/>
      <c r="CZ126" s="889"/>
      <c r="DA126" s="889"/>
      <c r="DB126" s="889"/>
      <c r="DC126" s="889"/>
      <c r="DD126" s="889"/>
      <c r="DE126" s="889"/>
      <c r="DF126" s="889"/>
      <c r="DG126" s="889"/>
      <c r="DH126" s="889"/>
      <c r="DI126" s="889"/>
      <c r="DJ126" s="889"/>
      <c r="DK126" s="889"/>
      <c r="DL126" s="889"/>
      <c r="DM126" s="889"/>
      <c r="DN126" s="889"/>
      <c r="DO126" s="889"/>
      <c r="DP126" s="889"/>
      <c r="DQ126" s="889"/>
      <c r="DR126" s="889"/>
      <c r="DS126" s="889"/>
      <c r="DT126" s="889"/>
      <c r="DU126" s="889"/>
      <c r="DV126" s="889"/>
      <c r="DW126" s="889"/>
      <c r="DX126" s="889"/>
      <c r="DY126" s="889"/>
      <c r="DZ126" s="889"/>
      <c r="EA126" s="889"/>
      <c r="EB126" s="889"/>
      <c r="EC126" s="889"/>
      <c r="ED126" s="889"/>
      <c r="EE126" s="889"/>
      <c r="EF126" s="889"/>
      <c r="EG126" s="889"/>
      <c r="EH126" s="889"/>
      <c r="EI126" s="889"/>
      <c r="EJ126" s="889"/>
      <c r="EK126" s="889"/>
      <c r="EL126" s="889"/>
      <c r="EM126" s="889"/>
      <c r="EN126" s="889"/>
      <c r="EO126" s="889"/>
      <c r="EP126" s="889"/>
      <c r="EQ126" s="889"/>
      <c r="ER126" s="889"/>
      <c r="ES126" s="889"/>
      <c r="ET126" s="889"/>
      <c r="EU126" s="889"/>
      <c r="EV126" s="889"/>
      <c r="EW126" s="889"/>
      <c r="EX126" s="889"/>
      <c r="EY126" s="889"/>
      <c r="EZ126" s="889"/>
      <c r="FA126" s="889"/>
      <c r="FB126" s="889"/>
      <c r="FC126" s="889"/>
      <c r="FD126" s="889"/>
      <c r="FE126" s="889"/>
      <c r="FF126" s="889"/>
      <c r="FG126" s="889"/>
      <c r="FH126" s="889"/>
      <c r="FI126" s="889"/>
      <c r="FJ126" s="889"/>
      <c r="FK126" s="889"/>
      <c r="FL126" s="889"/>
      <c r="FM126" s="889"/>
      <c r="FN126" s="889"/>
      <c r="FO126" s="889"/>
      <c r="FP126" s="889"/>
      <c r="FQ126" s="889"/>
      <c r="FR126" s="889"/>
      <c r="FS126" s="889"/>
      <c r="FT126" s="889"/>
      <c r="FU126" s="889"/>
      <c r="FV126" s="889"/>
      <c r="FW126" s="889"/>
      <c r="FX126" s="889"/>
      <c r="FY126" s="889"/>
      <c r="FZ126" s="889"/>
      <c r="GA126" s="889"/>
      <c r="GB126" s="889"/>
      <c r="GC126" s="889"/>
      <c r="GD126" s="889"/>
      <c r="GE126" s="889"/>
      <c r="GF126" s="889"/>
      <c r="GG126" s="889"/>
      <c r="GH126" s="889"/>
      <c r="GI126" s="889"/>
      <c r="GJ126" s="889"/>
      <c r="GK126" s="889"/>
      <c r="GL126" s="889"/>
      <c r="GM126" s="889"/>
      <c r="GN126" s="889"/>
      <c r="GO126" s="889"/>
      <c r="GP126" s="889"/>
      <c r="GQ126" s="889"/>
      <c r="GR126" s="889"/>
      <c r="GS126" s="889"/>
      <c r="GT126" s="889"/>
      <c r="GU126" s="889"/>
      <c r="GV126" s="889"/>
      <c r="GW126" s="889"/>
      <c r="GX126" s="889"/>
      <c r="GY126" s="889"/>
      <c r="GZ126" s="889"/>
      <c r="HA126" s="889"/>
      <c r="HB126" s="889"/>
      <c r="HC126" s="889"/>
      <c r="HD126" s="889"/>
      <c r="HE126" s="889"/>
      <c r="HF126" s="889"/>
      <c r="HG126" s="889"/>
      <c r="HH126" s="889"/>
      <c r="HI126" s="889"/>
      <c r="HJ126" s="889"/>
      <c r="HK126" s="889"/>
      <c r="HL126" s="889"/>
      <c r="HM126" s="889"/>
      <c r="HN126" s="889"/>
      <c r="HO126" s="889"/>
      <c r="HP126" s="889"/>
      <c r="HQ126" s="889"/>
      <c r="HR126" s="889"/>
      <c r="HS126" s="889"/>
      <c r="HT126" s="889"/>
      <c r="HU126" s="889"/>
      <c r="HV126" s="889"/>
      <c r="HW126" s="889"/>
      <c r="HX126" s="889"/>
      <c r="HY126" s="889"/>
      <c r="HZ126" s="889"/>
      <c r="IA126" s="889"/>
      <c r="IB126" s="889"/>
      <c r="IC126" s="889"/>
      <c r="ID126" s="889"/>
      <c r="IE126" s="889"/>
      <c r="IF126" s="889"/>
      <c r="IG126" s="889"/>
      <c r="IH126" s="889"/>
      <c r="II126" s="889"/>
      <c r="IJ126" s="889"/>
      <c r="IK126" s="889"/>
      <c r="IL126" s="889"/>
      <c r="IM126" s="889"/>
      <c r="IN126" s="889"/>
      <c r="IO126" s="889"/>
      <c r="IP126" s="889"/>
      <c r="IQ126" s="889"/>
      <c r="IR126" s="889"/>
      <c r="IS126" s="889"/>
      <c r="IT126" s="889"/>
      <c r="IU126" s="889"/>
      <c r="IV126" s="889"/>
    </row>
    <row r="127" spans="1:256" ht="10.5" customHeight="1">
      <c r="A127" s="931" t="s">
        <v>855</v>
      </c>
      <c r="B127" s="1000">
        <v>24631.3</v>
      </c>
      <c r="C127" s="1000">
        <v>26533.7</v>
      </c>
      <c r="D127" s="986">
        <v>28937.599999999999</v>
      </c>
      <c r="E127" s="986">
        <v>31544</v>
      </c>
      <c r="F127" s="986">
        <v>35285.4</v>
      </c>
      <c r="G127" s="986">
        <v>31720.400000000001</v>
      </c>
      <c r="H127" s="986">
        <v>33252.5</v>
      </c>
      <c r="I127" s="986">
        <v>35608.9</v>
      </c>
      <c r="J127" s="986">
        <v>35548</v>
      </c>
      <c r="K127" s="986">
        <v>36100.5</v>
      </c>
      <c r="L127" s="987">
        <v>36060.300000000003</v>
      </c>
      <c r="M127" s="987">
        <v>35634.300000000003</v>
      </c>
      <c r="N127" s="986">
        <v>34364.1</v>
      </c>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89"/>
      <c r="AJ127" s="889"/>
      <c r="AK127" s="889"/>
      <c r="AL127" s="889"/>
      <c r="AM127" s="889"/>
      <c r="AN127" s="889"/>
      <c r="AO127" s="889"/>
      <c r="AP127" s="889"/>
      <c r="AQ127" s="889"/>
      <c r="AR127" s="889"/>
      <c r="AS127" s="889"/>
      <c r="AT127" s="889"/>
      <c r="AU127" s="889"/>
      <c r="AV127" s="889"/>
      <c r="AW127" s="889"/>
      <c r="AX127" s="889"/>
      <c r="AY127" s="889"/>
      <c r="AZ127" s="889"/>
      <c r="BA127" s="889"/>
      <c r="BB127" s="889"/>
      <c r="BC127" s="889"/>
      <c r="BD127" s="889"/>
      <c r="BE127" s="889"/>
      <c r="BF127" s="889"/>
      <c r="BG127" s="889"/>
      <c r="BH127" s="889"/>
      <c r="BI127" s="889"/>
      <c r="BJ127" s="889"/>
      <c r="BK127" s="889"/>
      <c r="BL127" s="889"/>
      <c r="BM127" s="889"/>
      <c r="BN127" s="889"/>
      <c r="BO127" s="889"/>
      <c r="BP127" s="889"/>
      <c r="BQ127" s="889"/>
      <c r="BR127" s="889"/>
      <c r="BS127" s="889"/>
      <c r="BT127" s="889"/>
      <c r="BU127" s="889"/>
      <c r="BV127" s="889"/>
      <c r="BW127" s="889"/>
      <c r="BX127" s="889"/>
      <c r="BY127" s="889"/>
      <c r="BZ127" s="889"/>
      <c r="CA127" s="889"/>
      <c r="CB127" s="889"/>
      <c r="CC127" s="889"/>
      <c r="CD127" s="889"/>
      <c r="CE127" s="889"/>
      <c r="CF127" s="889"/>
      <c r="CG127" s="889"/>
      <c r="CH127" s="889"/>
      <c r="CI127" s="889"/>
      <c r="CJ127" s="889"/>
      <c r="CK127" s="889"/>
      <c r="CL127" s="889"/>
      <c r="CM127" s="889"/>
      <c r="CN127" s="889"/>
      <c r="CO127" s="889"/>
      <c r="CP127" s="889"/>
      <c r="CQ127" s="889"/>
      <c r="CR127" s="889"/>
      <c r="CS127" s="889"/>
      <c r="CT127" s="889"/>
      <c r="CU127" s="889"/>
      <c r="CV127" s="889"/>
      <c r="CW127" s="889"/>
      <c r="CX127" s="889"/>
      <c r="CY127" s="889"/>
      <c r="CZ127" s="889"/>
      <c r="DA127" s="889"/>
      <c r="DB127" s="889"/>
      <c r="DC127" s="889"/>
      <c r="DD127" s="889"/>
      <c r="DE127" s="889"/>
      <c r="DF127" s="889"/>
      <c r="DG127" s="889"/>
      <c r="DH127" s="889"/>
      <c r="DI127" s="889"/>
      <c r="DJ127" s="889"/>
      <c r="DK127" s="889"/>
      <c r="DL127" s="889"/>
      <c r="DM127" s="889"/>
      <c r="DN127" s="889"/>
      <c r="DO127" s="889"/>
      <c r="DP127" s="889"/>
      <c r="DQ127" s="889"/>
      <c r="DR127" s="889"/>
      <c r="DS127" s="889"/>
      <c r="DT127" s="889"/>
      <c r="DU127" s="889"/>
      <c r="DV127" s="889"/>
      <c r="DW127" s="889"/>
      <c r="DX127" s="889"/>
      <c r="DY127" s="889"/>
      <c r="DZ127" s="889"/>
      <c r="EA127" s="889"/>
      <c r="EB127" s="889"/>
      <c r="EC127" s="889"/>
      <c r="ED127" s="889"/>
      <c r="EE127" s="889"/>
      <c r="EF127" s="889"/>
      <c r="EG127" s="889"/>
      <c r="EH127" s="889"/>
      <c r="EI127" s="889"/>
      <c r="EJ127" s="889"/>
      <c r="EK127" s="889"/>
      <c r="EL127" s="889"/>
      <c r="EM127" s="889"/>
      <c r="EN127" s="889"/>
      <c r="EO127" s="889"/>
      <c r="EP127" s="889"/>
      <c r="EQ127" s="889"/>
      <c r="ER127" s="889"/>
      <c r="ES127" s="889"/>
      <c r="ET127" s="889"/>
      <c r="EU127" s="889"/>
      <c r="EV127" s="889"/>
      <c r="EW127" s="889"/>
      <c r="EX127" s="889"/>
      <c r="EY127" s="889"/>
      <c r="EZ127" s="889"/>
      <c r="FA127" s="889"/>
      <c r="FB127" s="889"/>
      <c r="FC127" s="889"/>
      <c r="FD127" s="889"/>
      <c r="FE127" s="889"/>
      <c r="FF127" s="889"/>
      <c r="FG127" s="889"/>
      <c r="FH127" s="889"/>
      <c r="FI127" s="889"/>
      <c r="FJ127" s="889"/>
      <c r="FK127" s="889"/>
      <c r="FL127" s="889"/>
      <c r="FM127" s="889"/>
      <c r="FN127" s="889"/>
      <c r="FO127" s="889"/>
      <c r="FP127" s="889"/>
      <c r="FQ127" s="889"/>
      <c r="FR127" s="889"/>
      <c r="FS127" s="889"/>
      <c r="FT127" s="889"/>
      <c r="FU127" s="889"/>
      <c r="FV127" s="889"/>
      <c r="FW127" s="889"/>
      <c r="FX127" s="889"/>
      <c r="FY127" s="889"/>
      <c r="FZ127" s="889"/>
      <c r="GA127" s="889"/>
      <c r="GB127" s="889"/>
      <c r="GC127" s="889"/>
      <c r="GD127" s="889"/>
      <c r="GE127" s="889"/>
      <c r="GF127" s="889"/>
      <c r="GG127" s="889"/>
      <c r="GH127" s="889"/>
      <c r="GI127" s="889"/>
      <c r="GJ127" s="889"/>
      <c r="GK127" s="889"/>
      <c r="GL127" s="889"/>
      <c r="GM127" s="889"/>
      <c r="GN127" s="889"/>
      <c r="GO127" s="889"/>
      <c r="GP127" s="889"/>
      <c r="GQ127" s="889"/>
      <c r="GR127" s="889"/>
      <c r="GS127" s="889"/>
      <c r="GT127" s="889"/>
      <c r="GU127" s="889"/>
      <c r="GV127" s="889"/>
      <c r="GW127" s="889"/>
      <c r="GX127" s="889"/>
      <c r="GY127" s="889"/>
      <c r="GZ127" s="889"/>
      <c r="HA127" s="889"/>
      <c r="HB127" s="889"/>
      <c r="HC127" s="889"/>
      <c r="HD127" s="889"/>
      <c r="HE127" s="889"/>
      <c r="HF127" s="889"/>
      <c r="HG127" s="889"/>
      <c r="HH127" s="889"/>
      <c r="HI127" s="889"/>
      <c r="HJ127" s="889"/>
      <c r="HK127" s="889"/>
      <c r="HL127" s="889"/>
      <c r="HM127" s="889"/>
      <c r="HN127" s="889"/>
      <c r="HO127" s="889"/>
      <c r="HP127" s="889"/>
      <c r="HQ127" s="889"/>
      <c r="HR127" s="889"/>
      <c r="HS127" s="889"/>
      <c r="HT127" s="889"/>
      <c r="HU127" s="889"/>
      <c r="HV127" s="889"/>
      <c r="HW127" s="889"/>
      <c r="HX127" s="889"/>
      <c r="HY127" s="889"/>
      <c r="HZ127" s="889"/>
      <c r="IA127" s="889"/>
      <c r="IB127" s="889"/>
      <c r="IC127" s="889"/>
      <c r="ID127" s="889"/>
      <c r="IE127" s="889"/>
      <c r="IF127" s="889"/>
      <c r="IG127" s="889"/>
      <c r="IH127" s="889"/>
      <c r="II127" s="889"/>
      <c r="IJ127" s="889"/>
      <c r="IK127" s="889"/>
      <c r="IL127" s="889"/>
      <c r="IM127" s="889"/>
      <c r="IN127" s="889"/>
      <c r="IO127" s="889"/>
      <c r="IP127" s="889"/>
      <c r="IQ127" s="889"/>
      <c r="IR127" s="889"/>
      <c r="IS127" s="889"/>
      <c r="IT127" s="889"/>
      <c r="IU127" s="889"/>
      <c r="IV127" s="889"/>
    </row>
    <row r="128" spans="1:256" ht="10.5" customHeight="1">
      <c r="A128" s="931" t="s">
        <v>856</v>
      </c>
      <c r="B128" s="1000">
        <v>19303.7</v>
      </c>
      <c r="C128" s="1000">
        <v>20420.900000000001</v>
      </c>
      <c r="D128" s="986">
        <v>21970.7</v>
      </c>
      <c r="E128" s="986">
        <v>23978.5</v>
      </c>
      <c r="F128" s="986">
        <v>25713.5</v>
      </c>
      <c r="G128" s="986">
        <v>21495.4</v>
      </c>
      <c r="H128" s="986">
        <v>24319.200000000001</v>
      </c>
      <c r="I128" s="986">
        <v>23303.4</v>
      </c>
      <c r="J128" s="986">
        <v>24028.6</v>
      </c>
      <c r="K128" s="986">
        <v>25957.7</v>
      </c>
      <c r="L128" s="987">
        <v>24659.4</v>
      </c>
      <c r="M128" s="987">
        <v>25026.6</v>
      </c>
      <c r="N128" s="986">
        <v>22588.9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89"/>
      <c r="AJ128" s="889"/>
      <c r="AK128" s="889"/>
      <c r="AL128" s="889"/>
      <c r="AM128" s="889"/>
      <c r="AN128" s="889"/>
      <c r="AO128" s="889"/>
      <c r="AP128" s="889"/>
      <c r="AQ128" s="889"/>
      <c r="AR128" s="889"/>
      <c r="AS128" s="889"/>
      <c r="AT128" s="889"/>
      <c r="AU128" s="889"/>
      <c r="AV128" s="889"/>
      <c r="AW128" s="889"/>
      <c r="AX128" s="889"/>
      <c r="AY128" s="889"/>
      <c r="AZ128" s="889"/>
      <c r="BA128" s="889"/>
      <c r="BB128" s="889"/>
      <c r="BC128" s="889"/>
      <c r="BD128" s="889"/>
      <c r="BE128" s="889"/>
      <c r="BF128" s="889"/>
      <c r="BG128" s="889"/>
      <c r="BH128" s="889"/>
      <c r="BI128" s="889"/>
      <c r="BJ128" s="889"/>
      <c r="BK128" s="889"/>
      <c r="BL128" s="889"/>
      <c r="BM128" s="889"/>
      <c r="BN128" s="889"/>
      <c r="BO128" s="889"/>
      <c r="BP128" s="889"/>
      <c r="BQ128" s="889"/>
      <c r="BR128" s="889"/>
      <c r="BS128" s="889"/>
      <c r="BT128" s="889"/>
      <c r="BU128" s="889"/>
      <c r="BV128" s="889"/>
      <c r="BW128" s="889"/>
      <c r="BX128" s="889"/>
      <c r="BY128" s="889"/>
      <c r="BZ128" s="889"/>
      <c r="CA128" s="889"/>
      <c r="CB128" s="889"/>
      <c r="CC128" s="889"/>
      <c r="CD128" s="889"/>
      <c r="CE128" s="889"/>
      <c r="CF128" s="889"/>
      <c r="CG128" s="889"/>
      <c r="CH128" s="889"/>
      <c r="CI128" s="889"/>
      <c r="CJ128" s="889"/>
      <c r="CK128" s="889"/>
      <c r="CL128" s="889"/>
      <c r="CM128" s="889"/>
      <c r="CN128" s="889"/>
      <c r="CO128" s="889"/>
      <c r="CP128" s="889"/>
      <c r="CQ128" s="889"/>
      <c r="CR128" s="889"/>
      <c r="CS128" s="889"/>
      <c r="CT128" s="889"/>
      <c r="CU128" s="889"/>
      <c r="CV128" s="889"/>
      <c r="CW128" s="889"/>
      <c r="CX128" s="889"/>
      <c r="CY128" s="889"/>
      <c r="CZ128" s="889"/>
      <c r="DA128" s="889"/>
      <c r="DB128" s="889"/>
      <c r="DC128" s="889"/>
      <c r="DD128" s="889"/>
      <c r="DE128" s="889"/>
      <c r="DF128" s="889"/>
      <c r="DG128" s="889"/>
      <c r="DH128" s="889"/>
      <c r="DI128" s="889"/>
      <c r="DJ128" s="889"/>
      <c r="DK128" s="889"/>
      <c r="DL128" s="889"/>
      <c r="DM128" s="889"/>
      <c r="DN128" s="889"/>
      <c r="DO128" s="889"/>
      <c r="DP128" s="889"/>
      <c r="DQ128" s="889"/>
      <c r="DR128" s="889"/>
      <c r="DS128" s="889"/>
      <c r="DT128" s="889"/>
      <c r="DU128" s="889"/>
      <c r="DV128" s="889"/>
      <c r="DW128" s="889"/>
      <c r="DX128" s="889"/>
      <c r="DY128" s="889"/>
      <c r="DZ128" s="889"/>
      <c r="EA128" s="889"/>
      <c r="EB128" s="889"/>
      <c r="EC128" s="889"/>
      <c r="ED128" s="889"/>
      <c r="EE128" s="889"/>
      <c r="EF128" s="889"/>
      <c r="EG128" s="889"/>
      <c r="EH128" s="889"/>
      <c r="EI128" s="889"/>
      <c r="EJ128" s="889"/>
      <c r="EK128" s="889"/>
      <c r="EL128" s="889"/>
      <c r="EM128" s="889"/>
      <c r="EN128" s="889"/>
      <c r="EO128" s="889"/>
      <c r="EP128" s="889"/>
      <c r="EQ128" s="889"/>
      <c r="ER128" s="889"/>
      <c r="ES128" s="889"/>
      <c r="ET128" s="889"/>
      <c r="EU128" s="889"/>
      <c r="EV128" s="889"/>
      <c r="EW128" s="889"/>
      <c r="EX128" s="889"/>
      <c r="EY128" s="889"/>
      <c r="EZ128" s="889"/>
      <c r="FA128" s="889"/>
      <c r="FB128" s="889"/>
      <c r="FC128" s="889"/>
      <c r="FD128" s="889"/>
      <c r="FE128" s="889"/>
      <c r="FF128" s="889"/>
      <c r="FG128" s="889"/>
      <c r="FH128" s="889"/>
      <c r="FI128" s="889"/>
      <c r="FJ128" s="889"/>
      <c r="FK128" s="889"/>
      <c r="FL128" s="889"/>
      <c r="FM128" s="889"/>
      <c r="FN128" s="889"/>
      <c r="FO128" s="889"/>
      <c r="FP128" s="889"/>
      <c r="FQ128" s="889"/>
      <c r="FR128" s="889"/>
      <c r="FS128" s="889"/>
      <c r="FT128" s="889"/>
      <c r="FU128" s="889"/>
      <c r="FV128" s="889"/>
      <c r="FW128" s="889"/>
      <c r="FX128" s="889"/>
      <c r="FY128" s="889"/>
      <c r="FZ128" s="889"/>
      <c r="GA128" s="889"/>
      <c r="GB128" s="889"/>
      <c r="GC128" s="889"/>
      <c r="GD128" s="889"/>
      <c r="GE128" s="889"/>
      <c r="GF128" s="889"/>
      <c r="GG128" s="889"/>
      <c r="GH128" s="889"/>
      <c r="GI128" s="889"/>
      <c r="GJ128" s="889"/>
      <c r="GK128" s="889"/>
      <c r="GL128" s="889"/>
      <c r="GM128" s="889"/>
      <c r="GN128" s="889"/>
      <c r="GO128" s="889"/>
      <c r="GP128" s="889"/>
      <c r="GQ128" s="889"/>
      <c r="GR128" s="889"/>
      <c r="GS128" s="889"/>
      <c r="GT128" s="889"/>
      <c r="GU128" s="889"/>
      <c r="GV128" s="889"/>
      <c r="GW128" s="889"/>
      <c r="GX128" s="889"/>
      <c r="GY128" s="889"/>
      <c r="GZ128" s="889"/>
      <c r="HA128" s="889"/>
      <c r="HB128" s="889"/>
      <c r="HC128" s="889"/>
      <c r="HD128" s="889"/>
      <c r="HE128" s="889"/>
      <c r="HF128" s="889"/>
      <c r="HG128" s="889"/>
      <c r="HH128" s="889"/>
      <c r="HI128" s="889"/>
      <c r="HJ128" s="889"/>
      <c r="HK128" s="889"/>
      <c r="HL128" s="889"/>
      <c r="HM128" s="889"/>
      <c r="HN128" s="889"/>
      <c r="HO128" s="889"/>
      <c r="HP128" s="889"/>
      <c r="HQ128" s="889"/>
      <c r="HR128" s="889"/>
      <c r="HS128" s="889"/>
      <c r="HT128" s="889"/>
      <c r="HU128" s="889"/>
      <c r="HV128" s="889"/>
      <c r="HW128" s="889"/>
      <c r="HX128" s="889"/>
      <c r="HY128" s="889"/>
      <c r="HZ128" s="889"/>
      <c r="IA128" s="889"/>
      <c r="IB128" s="889"/>
      <c r="IC128" s="889"/>
      <c r="ID128" s="889"/>
      <c r="IE128" s="889"/>
      <c r="IF128" s="889"/>
      <c r="IG128" s="889"/>
      <c r="IH128" s="889"/>
      <c r="II128" s="889"/>
      <c r="IJ128" s="889"/>
      <c r="IK128" s="889"/>
      <c r="IL128" s="889"/>
      <c r="IM128" s="889"/>
      <c r="IN128" s="889"/>
      <c r="IO128" s="889"/>
      <c r="IP128" s="889"/>
      <c r="IQ128" s="889"/>
      <c r="IR128" s="889"/>
      <c r="IS128" s="889"/>
      <c r="IT128" s="889"/>
      <c r="IU128" s="889"/>
      <c r="IV128" s="889"/>
    </row>
    <row r="129" spans="11:11">
      <c r="K129" s="1007"/>
    </row>
  </sheetData>
  <conditionalFormatting sqref="E15">
    <cfRule type="cellIs" dxfId="0" priority="1" stopIfTrue="1" operator="between">
      <formula>0</formula>
      <formula>0.4</formula>
    </cfRule>
  </conditionalFormatting>
  <pageMargins left="0.51181102362204722" right="0.51181102362204722" top="0.51181102362204722" bottom="0.51181102362204722" header="0.27559055118110237" footer="0.27559055118110237"/>
  <pageSetup paperSize="9" orientation="portrait"/>
  <headerFooter alignWithMargins="0">
    <oddHeader>&amp;R&amp;"Arial,Bold"ENERGY</oddHeader>
    <oddFooter>&amp;C&amp;P</oddFooter>
  </headerFooter>
  <rowBreaks count="1" manualBreakCount="1">
    <brk id="63" max="1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enableFormatConditionsCalculation="0"/>
  <dimension ref="A1:CL132"/>
  <sheetViews>
    <sheetView workbookViewId="0"/>
  </sheetViews>
  <sheetFormatPr baseColWidth="10" defaultColWidth="8.83203125" defaultRowHeight="13" x14ac:dyDescent="0"/>
  <cols>
    <col min="1" max="1" width="23.6640625" style="219" customWidth="1"/>
    <col min="2" max="2" width="9.33203125" style="219" customWidth="1"/>
    <col min="3" max="3" width="6.5" style="219" customWidth="1"/>
    <col min="4" max="5" width="8.33203125" style="219" customWidth="1"/>
    <col min="6" max="6" width="2.33203125" style="219" customWidth="1"/>
    <col min="7" max="7" width="9.83203125" style="219" customWidth="1"/>
    <col min="8" max="8" width="9.5" style="219" customWidth="1"/>
    <col min="9" max="9" width="10.33203125" style="219" customWidth="1"/>
    <col min="10" max="14" width="8.83203125" style="219"/>
    <col min="15" max="15" width="2.5" style="219" customWidth="1"/>
    <col min="16" max="256" width="8.83203125" style="219"/>
    <col min="257" max="257" width="23.6640625" style="219" customWidth="1"/>
    <col min="258" max="258" width="9.33203125" style="219" customWidth="1"/>
    <col min="259" max="259" width="6.5" style="219" customWidth="1"/>
    <col min="260" max="261" width="8.33203125" style="219" customWidth="1"/>
    <col min="262" max="262" width="2.33203125" style="219" customWidth="1"/>
    <col min="263" max="263" width="9.83203125" style="219" customWidth="1"/>
    <col min="264" max="264" width="9.5" style="219" customWidth="1"/>
    <col min="265" max="265" width="10.33203125" style="219" customWidth="1"/>
    <col min="266" max="512" width="8.83203125" style="219"/>
    <col min="513" max="513" width="23.6640625" style="219" customWidth="1"/>
    <col min="514" max="514" width="9.33203125" style="219" customWidth="1"/>
    <col min="515" max="515" width="6.5" style="219" customWidth="1"/>
    <col min="516" max="517" width="8.33203125" style="219" customWidth="1"/>
    <col min="518" max="518" width="2.33203125" style="219" customWidth="1"/>
    <col min="519" max="519" width="9.83203125" style="219" customWidth="1"/>
    <col min="520" max="520" width="9.5" style="219" customWidth="1"/>
    <col min="521" max="521" width="10.33203125" style="219" customWidth="1"/>
    <col min="522" max="768" width="8.83203125" style="219"/>
    <col min="769" max="769" width="23.6640625" style="219" customWidth="1"/>
    <col min="770" max="770" width="9.33203125" style="219" customWidth="1"/>
    <col min="771" max="771" width="6.5" style="219" customWidth="1"/>
    <col min="772" max="773" width="8.33203125" style="219" customWidth="1"/>
    <col min="774" max="774" width="2.33203125" style="219" customWidth="1"/>
    <col min="775" max="775" width="9.83203125" style="219" customWidth="1"/>
    <col min="776" max="776" width="9.5" style="219" customWidth="1"/>
    <col min="777" max="777" width="10.33203125" style="219" customWidth="1"/>
    <col min="778" max="1024" width="8.83203125" style="219"/>
    <col min="1025" max="1025" width="23.6640625" style="219" customWidth="1"/>
    <col min="1026" max="1026" width="9.33203125" style="219" customWidth="1"/>
    <col min="1027" max="1027" width="6.5" style="219" customWidth="1"/>
    <col min="1028" max="1029" width="8.33203125" style="219" customWidth="1"/>
    <col min="1030" max="1030" width="2.33203125" style="219" customWidth="1"/>
    <col min="1031" max="1031" width="9.83203125" style="219" customWidth="1"/>
    <col min="1032" max="1032" width="9.5" style="219" customWidth="1"/>
    <col min="1033" max="1033" width="10.33203125" style="219" customWidth="1"/>
    <col min="1034" max="1280" width="8.83203125" style="219"/>
    <col min="1281" max="1281" width="23.6640625" style="219" customWidth="1"/>
    <col min="1282" max="1282" width="9.33203125" style="219" customWidth="1"/>
    <col min="1283" max="1283" width="6.5" style="219" customWidth="1"/>
    <col min="1284" max="1285" width="8.33203125" style="219" customWidth="1"/>
    <col min="1286" max="1286" width="2.33203125" style="219" customWidth="1"/>
    <col min="1287" max="1287" width="9.83203125" style="219" customWidth="1"/>
    <col min="1288" max="1288" width="9.5" style="219" customWidth="1"/>
    <col min="1289" max="1289" width="10.33203125" style="219" customWidth="1"/>
    <col min="1290" max="1536" width="8.83203125" style="219"/>
    <col min="1537" max="1537" width="23.6640625" style="219" customWidth="1"/>
    <col min="1538" max="1538" width="9.33203125" style="219" customWidth="1"/>
    <col min="1539" max="1539" width="6.5" style="219" customWidth="1"/>
    <col min="1540" max="1541" width="8.33203125" style="219" customWidth="1"/>
    <col min="1542" max="1542" width="2.33203125" style="219" customWidth="1"/>
    <col min="1543" max="1543" width="9.83203125" style="219" customWidth="1"/>
    <col min="1544" max="1544" width="9.5" style="219" customWidth="1"/>
    <col min="1545" max="1545" width="10.33203125" style="219" customWidth="1"/>
    <col min="1546" max="1792" width="8.83203125" style="219"/>
    <col min="1793" max="1793" width="23.6640625" style="219" customWidth="1"/>
    <col min="1794" max="1794" width="9.33203125" style="219" customWidth="1"/>
    <col min="1795" max="1795" width="6.5" style="219" customWidth="1"/>
    <col min="1796" max="1797" width="8.33203125" style="219" customWidth="1"/>
    <col min="1798" max="1798" width="2.33203125" style="219" customWidth="1"/>
    <col min="1799" max="1799" width="9.83203125" style="219" customWidth="1"/>
    <col min="1800" max="1800" width="9.5" style="219" customWidth="1"/>
    <col min="1801" max="1801" width="10.33203125" style="219" customWidth="1"/>
    <col min="1802" max="2048" width="8.83203125" style="219"/>
    <col min="2049" max="2049" width="23.6640625" style="219" customWidth="1"/>
    <col min="2050" max="2050" width="9.33203125" style="219" customWidth="1"/>
    <col min="2051" max="2051" width="6.5" style="219" customWidth="1"/>
    <col min="2052" max="2053" width="8.33203125" style="219" customWidth="1"/>
    <col min="2054" max="2054" width="2.33203125" style="219" customWidth="1"/>
    <col min="2055" max="2055" width="9.83203125" style="219" customWidth="1"/>
    <col min="2056" max="2056" width="9.5" style="219" customWidth="1"/>
    <col min="2057" max="2057" width="10.33203125" style="219" customWidth="1"/>
    <col min="2058" max="2304" width="8.83203125" style="219"/>
    <col min="2305" max="2305" width="23.6640625" style="219" customWidth="1"/>
    <col min="2306" max="2306" width="9.33203125" style="219" customWidth="1"/>
    <col min="2307" max="2307" width="6.5" style="219" customWidth="1"/>
    <col min="2308" max="2309" width="8.33203125" style="219" customWidth="1"/>
    <col min="2310" max="2310" width="2.33203125" style="219" customWidth="1"/>
    <col min="2311" max="2311" width="9.83203125" style="219" customWidth="1"/>
    <col min="2312" max="2312" width="9.5" style="219" customWidth="1"/>
    <col min="2313" max="2313" width="10.33203125" style="219" customWidth="1"/>
    <col min="2314" max="2560" width="8.83203125" style="219"/>
    <col min="2561" max="2561" width="23.6640625" style="219" customWidth="1"/>
    <col min="2562" max="2562" width="9.33203125" style="219" customWidth="1"/>
    <col min="2563" max="2563" width="6.5" style="219" customWidth="1"/>
    <col min="2564" max="2565" width="8.33203125" style="219" customWidth="1"/>
    <col min="2566" max="2566" width="2.33203125" style="219" customWidth="1"/>
    <col min="2567" max="2567" width="9.83203125" style="219" customWidth="1"/>
    <col min="2568" max="2568" width="9.5" style="219" customWidth="1"/>
    <col min="2569" max="2569" width="10.33203125" style="219" customWidth="1"/>
    <col min="2570" max="2816" width="8.83203125" style="219"/>
    <col min="2817" max="2817" width="23.6640625" style="219" customWidth="1"/>
    <col min="2818" max="2818" width="9.33203125" style="219" customWidth="1"/>
    <col min="2819" max="2819" width="6.5" style="219" customWidth="1"/>
    <col min="2820" max="2821" width="8.33203125" style="219" customWidth="1"/>
    <col min="2822" max="2822" width="2.33203125" style="219" customWidth="1"/>
    <col min="2823" max="2823" width="9.83203125" style="219" customWidth="1"/>
    <col min="2824" max="2824" width="9.5" style="219" customWidth="1"/>
    <col min="2825" max="2825" width="10.33203125" style="219" customWidth="1"/>
    <col min="2826" max="3072" width="8.83203125" style="219"/>
    <col min="3073" max="3073" width="23.6640625" style="219" customWidth="1"/>
    <col min="3074" max="3074" width="9.33203125" style="219" customWidth="1"/>
    <col min="3075" max="3075" width="6.5" style="219" customWidth="1"/>
    <col min="3076" max="3077" width="8.33203125" style="219" customWidth="1"/>
    <col min="3078" max="3078" width="2.33203125" style="219" customWidth="1"/>
    <col min="3079" max="3079" width="9.83203125" style="219" customWidth="1"/>
    <col min="3080" max="3080" width="9.5" style="219" customWidth="1"/>
    <col min="3081" max="3081" width="10.33203125" style="219" customWidth="1"/>
    <col min="3082" max="3328" width="8.83203125" style="219"/>
    <col min="3329" max="3329" width="23.6640625" style="219" customWidth="1"/>
    <col min="3330" max="3330" width="9.33203125" style="219" customWidth="1"/>
    <col min="3331" max="3331" width="6.5" style="219" customWidth="1"/>
    <col min="3332" max="3333" width="8.33203125" style="219" customWidth="1"/>
    <col min="3334" max="3334" width="2.33203125" style="219" customWidth="1"/>
    <col min="3335" max="3335" width="9.83203125" style="219" customWidth="1"/>
    <col min="3336" max="3336" width="9.5" style="219" customWidth="1"/>
    <col min="3337" max="3337" width="10.33203125" style="219" customWidth="1"/>
    <col min="3338" max="3584" width="8.83203125" style="219"/>
    <col min="3585" max="3585" width="23.6640625" style="219" customWidth="1"/>
    <col min="3586" max="3586" width="9.33203125" style="219" customWidth="1"/>
    <col min="3587" max="3587" width="6.5" style="219" customWidth="1"/>
    <col min="3588" max="3589" width="8.33203125" style="219" customWidth="1"/>
    <col min="3590" max="3590" width="2.33203125" style="219" customWidth="1"/>
    <col min="3591" max="3591" width="9.83203125" style="219" customWidth="1"/>
    <col min="3592" max="3592" width="9.5" style="219" customWidth="1"/>
    <col min="3593" max="3593" width="10.33203125" style="219" customWidth="1"/>
    <col min="3594" max="3840" width="8.83203125" style="219"/>
    <col min="3841" max="3841" width="23.6640625" style="219" customWidth="1"/>
    <col min="3842" max="3842" width="9.33203125" style="219" customWidth="1"/>
    <col min="3843" max="3843" width="6.5" style="219" customWidth="1"/>
    <col min="3844" max="3845" width="8.33203125" style="219" customWidth="1"/>
    <col min="3846" max="3846" width="2.33203125" style="219" customWidth="1"/>
    <col min="3847" max="3847" width="9.83203125" style="219" customWidth="1"/>
    <col min="3848" max="3848" width="9.5" style="219" customWidth="1"/>
    <col min="3849" max="3849" width="10.33203125" style="219" customWidth="1"/>
    <col min="3850" max="4096" width="8.83203125" style="219"/>
    <col min="4097" max="4097" width="23.6640625" style="219" customWidth="1"/>
    <col min="4098" max="4098" width="9.33203125" style="219" customWidth="1"/>
    <col min="4099" max="4099" width="6.5" style="219" customWidth="1"/>
    <col min="4100" max="4101" width="8.33203125" style="219" customWidth="1"/>
    <col min="4102" max="4102" width="2.33203125" style="219" customWidth="1"/>
    <col min="4103" max="4103" width="9.83203125" style="219" customWidth="1"/>
    <col min="4104" max="4104" width="9.5" style="219" customWidth="1"/>
    <col min="4105" max="4105" width="10.33203125" style="219" customWidth="1"/>
    <col min="4106" max="4352" width="8.83203125" style="219"/>
    <col min="4353" max="4353" width="23.6640625" style="219" customWidth="1"/>
    <col min="4354" max="4354" width="9.33203125" style="219" customWidth="1"/>
    <col min="4355" max="4355" width="6.5" style="219" customWidth="1"/>
    <col min="4356" max="4357" width="8.33203125" style="219" customWidth="1"/>
    <col min="4358" max="4358" width="2.33203125" style="219" customWidth="1"/>
    <col min="4359" max="4359" width="9.83203125" style="219" customWidth="1"/>
    <col min="4360" max="4360" width="9.5" style="219" customWidth="1"/>
    <col min="4361" max="4361" width="10.33203125" style="219" customWidth="1"/>
    <col min="4362" max="4608" width="8.83203125" style="219"/>
    <col min="4609" max="4609" width="23.6640625" style="219" customWidth="1"/>
    <col min="4610" max="4610" width="9.33203125" style="219" customWidth="1"/>
    <col min="4611" max="4611" width="6.5" style="219" customWidth="1"/>
    <col min="4612" max="4613" width="8.33203125" style="219" customWidth="1"/>
    <col min="4614" max="4614" width="2.33203125" style="219" customWidth="1"/>
    <col min="4615" max="4615" width="9.83203125" style="219" customWidth="1"/>
    <col min="4616" max="4616" width="9.5" style="219" customWidth="1"/>
    <col min="4617" max="4617" width="10.33203125" style="219" customWidth="1"/>
    <col min="4618" max="4864" width="8.83203125" style="219"/>
    <col min="4865" max="4865" width="23.6640625" style="219" customWidth="1"/>
    <col min="4866" max="4866" width="9.33203125" style="219" customWidth="1"/>
    <col min="4867" max="4867" width="6.5" style="219" customWidth="1"/>
    <col min="4868" max="4869" width="8.33203125" style="219" customWidth="1"/>
    <col min="4870" max="4870" width="2.33203125" style="219" customWidth="1"/>
    <col min="4871" max="4871" width="9.83203125" style="219" customWidth="1"/>
    <col min="4872" max="4872" width="9.5" style="219" customWidth="1"/>
    <col min="4873" max="4873" width="10.33203125" style="219" customWidth="1"/>
    <col min="4874" max="5120" width="8.83203125" style="219"/>
    <col min="5121" max="5121" width="23.6640625" style="219" customWidth="1"/>
    <col min="5122" max="5122" width="9.33203125" style="219" customWidth="1"/>
    <col min="5123" max="5123" width="6.5" style="219" customWidth="1"/>
    <col min="5124" max="5125" width="8.33203125" style="219" customWidth="1"/>
    <col min="5126" max="5126" width="2.33203125" style="219" customWidth="1"/>
    <col min="5127" max="5127" width="9.83203125" style="219" customWidth="1"/>
    <col min="5128" max="5128" width="9.5" style="219" customWidth="1"/>
    <col min="5129" max="5129" width="10.33203125" style="219" customWidth="1"/>
    <col min="5130" max="5376" width="8.83203125" style="219"/>
    <col min="5377" max="5377" width="23.6640625" style="219" customWidth="1"/>
    <col min="5378" max="5378" width="9.33203125" style="219" customWidth="1"/>
    <col min="5379" max="5379" width="6.5" style="219" customWidth="1"/>
    <col min="5380" max="5381" width="8.33203125" style="219" customWidth="1"/>
    <col min="5382" max="5382" width="2.33203125" style="219" customWidth="1"/>
    <col min="5383" max="5383" width="9.83203125" style="219" customWidth="1"/>
    <col min="5384" max="5384" width="9.5" style="219" customWidth="1"/>
    <col min="5385" max="5385" width="10.33203125" style="219" customWidth="1"/>
    <col min="5386" max="5632" width="8.83203125" style="219"/>
    <col min="5633" max="5633" width="23.6640625" style="219" customWidth="1"/>
    <col min="5634" max="5634" width="9.33203125" style="219" customWidth="1"/>
    <col min="5635" max="5635" width="6.5" style="219" customWidth="1"/>
    <col min="5636" max="5637" width="8.33203125" style="219" customWidth="1"/>
    <col min="5638" max="5638" width="2.33203125" style="219" customWidth="1"/>
    <col min="5639" max="5639" width="9.83203125" style="219" customWidth="1"/>
    <col min="5640" max="5640" width="9.5" style="219" customWidth="1"/>
    <col min="5641" max="5641" width="10.33203125" style="219" customWidth="1"/>
    <col min="5642" max="5888" width="8.83203125" style="219"/>
    <col min="5889" max="5889" width="23.6640625" style="219" customWidth="1"/>
    <col min="5890" max="5890" width="9.33203125" style="219" customWidth="1"/>
    <col min="5891" max="5891" width="6.5" style="219" customWidth="1"/>
    <col min="5892" max="5893" width="8.33203125" style="219" customWidth="1"/>
    <col min="5894" max="5894" width="2.33203125" style="219" customWidth="1"/>
    <col min="5895" max="5895" width="9.83203125" style="219" customWidth="1"/>
    <col min="5896" max="5896" width="9.5" style="219" customWidth="1"/>
    <col min="5897" max="5897" width="10.33203125" style="219" customWidth="1"/>
    <col min="5898" max="6144" width="8.83203125" style="219"/>
    <col min="6145" max="6145" width="23.6640625" style="219" customWidth="1"/>
    <col min="6146" max="6146" width="9.33203125" style="219" customWidth="1"/>
    <col min="6147" max="6147" width="6.5" style="219" customWidth="1"/>
    <col min="6148" max="6149" width="8.33203125" style="219" customWidth="1"/>
    <col min="6150" max="6150" width="2.33203125" style="219" customWidth="1"/>
    <col min="6151" max="6151" width="9.83203125" style="219" customWidth="1"/>
    <col min="6152" max="6152" width="9.5" style="219" customWidth="1"/>
    <col min="6153" max="6153" width="10.33203125" style="219" customWidth="1"/>
    <col min="6154" max="6400" width="8.83203125" style="219"/>
    <col min="6401" max="6401" width="23.6640625" style="219" customWidth="1"/>
    <col min="6402" max="6402" width="9.33203125" style="219" customWidth="1"/>
    <col min="6403" max="6403" width="6.5" style="219" customWidth="1"/>
    <col min="6404" max="6405" width="8.33203125" style="219" customWidth="1"/>
    <col min="6406" max="6406" width="2.33203125" style="219" customWidth="1"/>
    <col min="6407" max="6407" width="9.83203125" style="219" customWidth="1"/>
    <col min="6408" max="6408" width="9.5" style="219" customWidth="1"/>
    <col min="6409" max="6409" width="10.33203125" style="219" customWidth="1"/>
    <col min="6410" max="6656" width="8.83203125" style="219"/>
    <col min="6657" max="6657" width="23.6640625" style="219" customWidth="1"/>
    <col min="6658" max="6658" width="9.33203125" style="219" customWidth="1"/>
    <col min="6659" max="6659" width="6.5" style="219" customWidth="1"/>
    <col min="6660" max="6661" width="8.33203125" style="219" customWidth="1"/>
    <col min="6662" max="6662" width="2.33203125" style="219" customWidth="1"/>
    <col min="6663" max="6663" width="9.83203125" style="219" customWidth="1"/>
    <col min="6664" max="6664" width="9.5" style="219" customWidth="1"/>
    <col min="6665" max="6665" width="10.33203125" style="219" customWidth="1"/>
    <col min="6666" max="6912" width="8.83203125" style="219"/>
    <col min="6913" max="6913" width="23.6640625" style="219" customWidth="1"/>
    <col min="6914" max="6914" width="9.33203125" style="219" customWidth="1"/>
    <col min="6915" max="6915" width="6.5" style="219" customWidth="1"/>
    <col min="6916" max="6917" width="8.33203125" style="219" customWidth="1"/>
    <col min="6918" max="6918" width="2.33203125" style="219" customWidth="1"/>
    <col min="6919" max="6919" width="9.83203125" style="219" customWidth="1"/>
    <col min="6920" max="6920" width="9.5" style="219" customWidth="1"/>
    <col min="6921" max="6921" width="10.33203125" style="219" customWidth="1"/>
    <col min="6922" max="7168" width="8.83203125" style="219"/>
    <col min="7169" max="7169" width="23.6640625" style="219" customWidth="1"/>
    <col min="7170" max="7170" width="9.33203125" style="219" customWidth="1"/>
    <col min="7171" max="7171" width="6.5" style="219" customWidth="1"/>
    <col min="7172" max="7173" width="8.33203125" style="219" customWidth="1"/>
    <col min="7174" max="7174" width="2.33203125" style="219" customWidth="1"/>
    <col min="7175" max="7175" width="9.83203125" style="219" customWidth="1"/>
    <col min="7176" max="7176" width="9.5" style="219" customWidth="1"/>
    <col min="7177" max="7177" width="10.33203125" style="219" customWidth="1"/>
    <col min="7178" max="7424" width="8.83203125" style="219"/>
    <col min="7425" max="7425" width="23.6640625" style="219" customWidth="1"/>
    <col min="7426" max="7426" width="9.33203125" style="219" customWidth="1"/>
    <col min="7427" max="7427" width="6.5" style="219" customWidth="1"/>
    <col min="7428" max="7429" width="8.33203125" style="219" customWidth="1"/>
    <col min="7430" max="7430" width="2.33203125" style="219" customWidth="1"/>
    <col min="7431" max="7431" width="9.83203125" style="219" customWidth="1"/>
    <col min="7432" max="7432" width="9.5" style="219" customWidth="1"/>
    <col min="7433" max="7433" width="10.33203125" style="219" customWidth="1"/>
    <col min="7434" max="7680" width="8.83203125" style="219"/>
    <col min="7681" max="7681" width="23.6640625" style="219" customWidth="1"/>
    <col min="7682" max="7682" width="9.33203125" style="219" customWidth="1"/>
    <col min="7683" max="7683" width="6.5" style="219" customWidth="1"/>
    <col min="7684" max="7685" width="8.33203125" style="219" customWidth="1"/>
    <col min="7686" max="7686" width="2.33203125" style="219" customWidth="1"/>
    <col min="7687" max="7687" width="9.83203125" style="219" customWidth="1"/>
    <col min="7688" max="7688" width="9.5" style="219" customWidth="1"/>
    <col min="7689" max="7689" width="10.33203125" style="219" customWidth="1"/>
    <col min="7690" max="7936" width="8.83203125" style="219"/>
    <col min="7937" max="7937" width="23.6640625" style="219" customWidth="1"/>
    <col min="7938" max="7938" width="9.33203125" style="219" customWidth="1"/>
    <col min="7939" max="7939" width="6.5" style="219" customWidth="1"/>
    <col min="7940" max="7941" width="8.33203125" style="219" customWidth="1"/>
    <col min="7942" max="7942" width="2.33203125" style="219" customWidth="1"/>
    <col min="7943" max="7943" width="9.83203125" style="219" customWidth="1"/>
    <col min="7944" max="7944" width="9.5" style="219" customWidth="1"/>
    <col min="7945" max="7945" width="10.33203125" style="219" customWidth="1"/>
    <col min="7946" max="8192" width="8.83203125" style="219"/>
    <col min="8193" max="8193" width="23.6640625" style="219" customWidth="1"/>
    <col min="8194" max="8194" width="9.33203125" style="219" customWidth="1"/>
    <col min="8195" max="8195" width="6.5" style="219" customWidth="1"/>
    <col min="8196" max="8197" width="8.33203125" style="219" customWidth="1"/>
    <col min="8198" max="8198" width="2.33203125" style="219" customWidth="1"/>
    <col min="8199" max="8199" width="9.83203125" style="219" customWidth="1"/>
    <col min="8200" max="8200" width="9.5" style="219" customWidth="1"/>
    <col min="8201" max="8201" width="10.33203125" style="219" customWidth="1"/>
    <col min="8202" max="8448" width="8.83203125" style="219"/>
    <col min="8449" max="8449" width="23.6640625" style="219" customWidth="1"/>
    <col min="8450" max="8450" width="9.33203125" style="219" customWidth="1"/>
    <col min="8451" max="8451" width="6.5" style="219" customWidth="1"/>
    <col min="8452" max="8453" width="8.33203125" style="219" customWidth="1"/>
    <col min="8454" max="8454" width="2.33203125" style="219" customWidth="1"/>
    <col min="8455" max="8455" width="9.83203125" style="219" customWidth="1"/>
    <col min="8456" max="8456" width="9.5" style="219" customWidth="1"/>
    <col min="8457" max="8457" width="10.33203125" style="219" customWidth="1"/>
    <col min="8458" max="8704" width="8.83203125" style="219"/>
    <col min="8705" max="8705" width="23.6640625" style="219" customWidth="1"/>
    <col min="8706" max="8706" width="9.33203125" style="219" customWidth="1"/>
    <col min="8707" max="8707" width="6.5" style="219" customWidth="1"/>
    <col min="8708" max="8709" width="8.33203125" style="219" customWidth="1"/>
    <col min="8710" max="8710" width="2.33203125" style="219" customWidth="1"/>
    <col min="8711" max="8711" width="9.83203125" style="219" customWidth="1"/>
    <col min="8712" max="8712" width="9.5" style="219" customWidth="1"/>
    <col min="8713" max="8713" width="10.33203125" style="219" customWidth="1"/>
    <col min="8714" max="8960" width="8.83203125" style="219"/>
    <col min="8961" max="8961" width="23.6640625" style="219" customWidth="1"/>
    <col min="8962" max="8962" width="9.33203125" style="219" customWidth="1"/>
    <col min="8963" max="8963" width="6.5" style="219" customWidth="1"/>
    <col min="8964" max="8965" width="8.33203125" style="219" customWidth="1"/>
    <col min="8966" max="8966" width="2.33203125" style="219" customWidth="1"/>
    <col min="8967" max="8967" width="9.83203125" style="219" customWidth="1"/>
    <col min="8968" max="8968" width="9.5" style="219" customWidth="1"/>
    <col min="8969" max="8969" width="10.33203125" style="219" customWidth="1"/>
    <col min="8970" max="9216" width="8.83203125" style="219"/>
    <col min="9217" max="9217" width="23.6640625" style="219" customWidth="1"/>
    <col min="9218" max="9218" width="9.33203125" style="219" customWidth="1"/>
    <col min="9219" max="9219" width="6.5" style="219" customWidth="1"/>
    <col min="9220" max="9221" width="8.33203125" style="219" customWidth="1"/>
    <col min="9222" max="9222" width="2.33203125" style="219" customWidth="1"/>
    <col min="9223" max="9223" width="9.83203125" style="219" customWidth="1"/>
    <col min="9224" max="9224" width="9.5" style="219" customWidth="1"/>
    <col min="9225" max="9225" width="10.33203125" style="219" customWidth="1"/>
    <col min="9226" max="9472" width="8.83203125" style="219"/>
    <col min="9473" max="9473" width="23.6640625" style="219" customWidth="1"/>
    <col min="9474" max="9474" width="9.33203125" style="219" customWidth="1"/>
    <col min="9475" max="9475" width="6.5" style="219" customWidth="1"/>
    <col min="9476" max="9477" width="8.33203125" style="219" customWidth="1"/>
    <col min="9478" max="9478" width="2.33203125" style="219" customWidth="1"/>
    <col min="9479" max="9479" width="9.83203125" style="219" customWidth="1"/>
    <col min="9480" max="9480" width="9.5" style="219" customWidth="1"/>
    <col min="9481" max="9481" width="10.33203125" style="219" customWidth="1"/>
    <col min="9482" max="9728" width="8.83203125" style="219"/>
    <col min="9729" max="9729" width="23.6640625" style="219" customWidth="1"/>
    <col min="9730" max="9730" width="9.33203125" style="219" customWidth="1"/>
    <col min="9731" max="9731" width="6.5" style="219" customWidth="1"/>
    <col min="9732" max="9733" width="8.33203125" style="219" customWidth="1"/>
    <col min="9734" max="9734" width="2.33203125" style="219" customWidth="1"/>
    <col min="9735" max="9735" width="9.83203125" style="219" customWidth="1"/>
    <col min="9736" max="9736" width="9.5" style="219" customWidth="1"/>
    <col min="9737" max="9737" width="10.33203125" style="219" customWidth="1"/>
    <col min="9738" max="9984" width="8.83203125" style="219"/>
    <col min="9985" max="9985" width="23.6640625" style="219" customWidth="1"/>
    <col min="9986" max="9986" width="9.33203125" style="219" customWidth="1"/>
    <col min="9987" max="9987" width="6.5" style="219" customWidth="1"/>
    <col min="9988" max="9989" width="8.33203125" style="219" customWidth="1"/>
    <col min="9990" max="9990" width="2.33203125" style="219" customWidth="1"/>
    <col min="9991" max="9991" width="9.83203125" style="219" customWidth="1"/>
    <col min="9992" max="9992" width="9.5" style="219" customWidth="1"/>
    <col min="9993" max="9993" width="10.33203125" style="219" customWidth="1"/>
    <col min="9994" max="10240" width="8.83203125" style="219"/>
    <col min="10241" max="10241" width="23.6640625" style="219" customWidth="1"/>
    <col min="10242" max="10242" width="9.33203125" style="219" customWidth="1"/>
    <col min="10243" max="10243" width="6.5" style="219" customWidth="1"/>
    <col min="10244" max="10245" width="8.33203125" style="219" customWidth="1"/>
    <col min="10246" max="10246" width="2.33203125" style="219" customWidth="1"/>
    <col min="10247" max="10247" width="9.83203125" style="219" customWidth="1"/>
    <col min="10248" max="10248" width="9.5" style="219" customWidth="1"/>
    <col min="10249" max="10249" width="10.33203125" style="219" customWidth="1"/>
    <col min="10250" max="10496" width="8.83203125" style="219"/>
    <col min="10497" max="10497" width="23.6640625" style="219" customWidth="1"/>
    <col min="10498" max="10498" width="9.33203125" style="219" customWidth="1"/>
    <col min="10499" max="10499" width="6.5" style="219" customWidth="1"/>
    <col min="10500" max="10501" width="8.33203125" style="219" customWidth="1"/>
    <col min="10502" max="10502" width="2.33203125" style="219" customWidth="1"/>
    <col min="10503" max="10503" width="9.83203125" style="219" customWidth="1"/>
    <col min="10504" max="10504" width="9.5" style="219" customWidth="1"/>
    <col min="10505" max="10505" width="10.33203125" style="219" customWidth="1"/>
    <col min="10506" max="10752" width="8.83203125" style="219"/>
    <col min="10753" max="10753" width="23.6640625" style="219" customWidth="1"/>
    <col min="10754" max="10754" width="9.33203125" style="219" customWidth="1"/>
    <col min="10755" max="10755" width="6.5" style="219" customWidth="1"/>
    <col min="10756" max="10757" width="8.33203125" style="219" customWidth="1"/>
    <col min="10758" max="10758" width="2.33203125" style="219" customWidth="1"/>
    <col min="10759" max="10759" width="9.83203125" style="219" customWidth="1"/>
    <col min="10760" max="10760" width="9.5" style="219" customWidth="1"/>
    <col min="10761" max="10761" width="10.33203125" style="219" customWidth="1"/>
    <col min="10762" max="11008" width="8.83203125" style="219"/>
    <col min="11009" max="11009" width="23.6640625" style="219" customWidth="1"/>
    <col min="11010" max="11010" width="9.33203125" style="219" customWidth="1"/>
    <col min="11011" max="11011" width="6.5" style="219" customWidth="1"/>
    <col min="11012" max="11013" width="8.33203125" style="219" customWidth="1"/>
    <col min="11014" max="11014" width="2.33203125" style="219" customWidth="1"/>
    <col min="11015" max="11015" width="9.83203125" style="219" customWidth="1"/>
    <col min="11016" max="11016" width="9.5" style="219" customWidth="1"/>
    <col min="11017" max="11017" width="10.33203125" style="219" customWidth="1"/>
    <col min="11018" max="11264" width="8.83203125" style="219"/>
    <col min="11265" max="11265" width="23.6640625" style="219" customWidth="1"/>
    <col min="11266" max="11266" width="9.33203125" style="219" customWidth="1"/>
    <col min="11267" max="11267" width="6.5" style="219" customWidth="1"/>
    <col min="11268" max="11269" width="8.33203125" style="219" customWidth="1"/>
    <col min="11270" max="11270" width="2.33203125" style="219" customWidth="1"/>
    <col min="11271" max="11271" width="9.83203125" style="219" customWidth="1"/>
    <col min="11272" max="11272" width="9.5" style="219" customWidth="1"/>
    <col min="11273" max="11273" width="10.33203125" style="219" customWidth="1"/>
    <col min="11274" max="11520" width="8.83203125" style="219"/>
    <col min="11521" max="11521" width="23.6640625" style="219" customWidth="1"/>
    <col min="11522" max="11522" width="9.33203125" style="219" customWidth="1"/>
    <col min="11523" max="11523" width="6.5" style="219" customWidth="1"/>
    <col min="11524" max="11525" width="8.33203125" style="219" customWidth="1"/>
    <col min="11526" max="11526" width="2.33203125" style="219" customWidth="1"/>
    <col min="11527" max="11527" width="9.83203125" style="219" customWidth="1"/>
    <col min="11528" max="11528" width="9.5" style="219" customWidth="1"/>
    <col min="11529" max="11529" width="10.33203125" style="219" customWidth="1"/>
    <col min="11530" max="11776" width="8.83203125" style="219"/>
    <col min="11777" max="11777" width="23.6640625" style="219" customWidth="1"/>
    <col min="11778" max="11778" width="9.33203125" style="219" customWidth="1"/>
    <col min="11779" max="11779" width="6.5" style="219" customWidth="1"/>
    <col min="11780" max="11781" width="8.33203125" style="219" customWidth="1"/>
    <col min="11782" max="11782" width="2.33203125" style="219" customWidth="1"/>
    <col min="11783" max="11783" width="9.83203125" style="219" customWidth="1"/>
    <col min="11784" max="11784" width="9.5" style="219" customWidth="1"/>
    <col min="11785" max="11785" width="10.33203125" style="219" customWidth="1"/>
    <col min="11786" max="12032" width="8.83203125" style="219"/>
    <col min="12033" max="12033" width="23.6640625" style="219" customWidth="1"/>
    <col min="12034" max="12034" width="9.33203125" style="219" customWidth="1"/>
    <col min="12035" max="12035" width="6.5" style="219" customWidth="1"/>
    <col min="12036" max="12037" width="8.33203125" style="219" customWidth="1"/>
    <col min="12038" max="12038" width="2.33203125" style="219" customWidth="1"/>
    <col min="12039" max="12039" width="9.83203125" style="219" customWidth="1"/>
    <col min="12040" max="12040" width="9.5" style="219" customWidth="1"/>
    <col min="12041" max="12041" width="10.33203125" style="219" customWidth="1"/>
    <col min="12042" max="12288" width="8.83203125" style="219"/>
    <col min="12289" max="12289" width="23.6640625" style="219" customWidth="1"/>
    <col min="12290" max="12290" width="9.33203125" style="219" customWidth="1"/>
    <col min="12291" max="12291" width="6.5" style="219" customWidth="1"/>
    <col min="12292" max="12293" width="8.33203125" style="219" customWidth="1"/>
    <col min="12294" max="12294" width="2.33203125" style="219" customWidth="1"/>
    <col min="12295" max="12295" width="9.83203125" style="219" customWidth="1"/>
    <col min="12296" max="12296" width="9.5" style="219" customWidth="1"/>
    <col min="12297" max="12297" width="10.33203125" style="219" customWidth="1"/>
    <col min="12298" max="12544" width="8.83203125" style="219"/>
    <col min="12545" max="12545" width="23.6640625" style="219" customWidth="1"/>
    <col min="12546" max="12546" width="9.33203125" style="219" customWidth="1"/>
    <col min="12547" max="12547" width="6.5" style="219" customWidth="1"/>
    <col min="12548" max="12549" width="8.33203125" style="219" customWidth="1"/>
    <col min="12550" max="12550" width="2.33203125" style="219" customWidth="1"/>
    <col min="12551" max="12551" width="9.83203125" style="219" customWidth="1"/>
    <col min="12552" max="12552" width="9.5" style="219" customWidth="1"/>
    <col min="12553" max="12553" width="10.33203125" style="219" customWidth="1"/>
    <col min="12554" max="12800" width="8.83203125" style="219"/>
    <col min="12801" max="12801" width="23.6640625" style="219" customWidth="1"/>
    <col min="12802" max="12802" width="9.33203125" style="219" customWidth="1"/>
    <col min="12803" max="12803" width="6.5" style="219" customWidth="1"/>
    <col min="12804" max="12805" width="8.33203125" style="219" customWidth="1"/>
    <col min="12806" max="12806" width="2.33203125" style="219" customWidth="1"/>
    <col min="12807" max="12807" width="9.83203125" style="219" customWidth="1"/>
    <col min="12808" max="12808" width="9.5" style="219" customWidth="1"/>
    <col min="12809" max="12809" width="10.33203125" style="219" customWidth="1"/>
    <col min="12810" max="13056" width="8.83203125" style="219"/>
    <col min="13057" max="13057" width="23.6640625" style="219" customWidth="1"/>
    <col min="13058" max="13058" width="9.33203125" style="219" customWidth="1"/>
    <col min="13059" max="13059" width="6.5" style="219" customWidth="1"/>
    <col min="13060" max="13061" width="8.33203125" style="219" customWidth="1"/>
    <col min="13062" max="13062" width="2.33203125" style="219" customWidth="1"/>
    <col min="13063" max="13063" width="9.83203125" style="219" customWidth="1"/>
    <col min="13064" max="13064" width="9.5" style="219" customWidth="1"/>
    <col min="13065" max="13065" width="10.33203125" style="219" customWidth="1"/>
    <col min="13066" max="13312" width="8.83203125" style="219"/>
    <col min="13313" max="13313" width="23.6640625" style="219" customWidth="1"/>
    <col min="13314" max="13314" width="9.33203125" style="219" customWidth="1"/>
    <col min="13315" max="13315" width="6.5" style="219" customWidth="1"/>
    <col min="13316" max="13317" width="8.33203125" style="219" customWidth="1"/>
    <col min="13318" max="13318" width="2.33203125" style="219" customWidth="1"/>
    <col min="13319" max="13319" width="9.83203125" style="219" customWidth="1"/>
    <col min="13320" max="13320" width="9.5" style="219" customWidth="1"/>
    <col min="13321" max="13321" width="10.33203125" style="219" customWidth="1"/>
    <col min="13322" max="13568" width="8.83203125" style="219"/>
    <col min="13569" max="13569" width="23.6640625" style="219" customWidth="1"/>
    <col min="13570" max="13570" width="9.33203125" style="219" customWidth="1"/>
    <col min="13571" max="13571" width="6.5" style="219" customWidth="1"/>
    <col min="13572" max="13573" width="8.33203125" style="219" customWidth="1"/>
    <col min="13574" max="13574" width="2.33203125" style="219" customWidth="1"/>
    <col min="13575" max="13575" width="9.83203125" style="219" customWidth="1"/>
    <col min="13576" max="13576" width="9.5" style="219" customWidth="1"/>
    <col min="13577" max="13577" width="10.33203125" style="219" customWidth="1"/>
    <col min="13578" max="13824" width="8.83203125" style="219"/>
    <col min="13825" max="13825" width="23.6640625" style="219" customWidth="1"/>
    <col min="13826" max="13826" width="9.33203125" style="219" customWidth="1"/>
    <col min="13827" max="13827" width="6.5" style="219" customWidth="1"/>
    <col min="13828" max="13829" width="8.33203125" style="219" customWidth="1"/>
    <col min="13830" max="13830" width="2.33203125" style="219" customWidth="1"/>
    <col min="13831" max="13831" width="9.83203125" style="219" customWidth="1"/>
    <col min="13832" max="13832" width="9.5" style="219" customWidth="1"/>
    <col min="13833" max="13833" width="10.33203125" style="219" customWidth="1"/>
    <col min="13834" max="14080" width="8.83203125" style="219"/>
    <col min="14081" max="14081" width="23.6640625" style="219" customWidth="1"/>
    <col min="14082" max="14082" width="9.33203125" style="219" customWidth="1"/>
    <col min="14083" max="14083" width="6.5" style="219" customWidth="1"/>
    <col min="14084" max="14085" width="8.33203125" style="219" customWidth="1"/>
    <col min="14086" max="14086" width="2.33203125" style="219" customWidth="1"/>
    <col min="14087" max="14087" width="9.83203125" style="219" customWidth="1"/>
    <col min="14088" max="14088" width="9.5" style="219" customWidth="1"/>
    <col min="14089" max="14089" width="10.33203125" style="219" customWidth="1"/>
    <col min="14090" max="14336" width="8.83203125" style="219"/>
    <col min="14337" max="14337" width="23.6640625" style="219" customWidth="1"/>
    <col min="14338" max="14338" width="9.33203125" style="219" customWidth="1"/>
    <col min="14339" max="14339" width="6.5" style="219" customWidth="1"/>
    <col min="14340" max="14341" width="8.33203125" style="219" customWidth="1"/>
    <col min="14342" max="14342" width="2.33203125" style="219" customWidth="1"/>
    <col min="14343" max="14343" width="9.83203125" style="219" customWidth="1"/>
    <col min="14344" max="14344" width="9.5" style="219" customWidth="1"/>
    <col min="14345" max="14345" width="10.33203125" style="219" customWidth="1"/>
    <col min="14346" max="14592" width="8.83203125" style="219"/>
    <col min="14593" max="14593" width="23.6640625" style="219" customWidth="1"/>
    <col min="14594" max="14594" width="9.33203125" style="219" customWidth="1"/>
    <col min="14595" max="14595" width="6.5" style="219" customWidth="1"/>
    <col min="14596" max="14597" width="8.33203125" style="219" customWidth="1"/>
    <col min="14598" max="14598" width="2.33203125" style="219" customWidth="1"/>
    <col min="14599" max="14599" width="9.83203125" style="219" customWidth="1"/>
    <col min="14600" max="14600" width="9.5" style="219" customWidth="1"/>
    <col min="14601" max="14601" width="10.33203125" style="219" customWidth="1"/>
    <col min="14602" max="14848" width="8.83203125" style="219"/>
    <col min="14849" max="14849" width="23.6640625" style="219" customWidth="1"/>
    <col min="14850" max="14850" width="9.33203125" style="219" customWidth="1"/>
    <col min="14851" max="14851" width="6.5" style="219" customWidth="1"/>
    <col min="14852" max="14853" width="8.33203125" style="219" customWidth="1"/>
    <col min="14854" max="14854" width="2.33203125" style="219" customWidth="1"/>
    <col min="14855" max="14855" width="9.83203125" style="219" customWidth="1"/>
    <col min="14856" max="14856" width="9.5" style="219" customWidth="1"/>
    <col min="14857" max="14857" width="10.33203125" style="219" customWidth="1"/>
    <col min="14858" max="15104" width="8.83203125" style="219"/>
    <col min="15105" max="15105" width="23.6640625" style="219" customWidth="1"/>
    <col min="15106" max="15106" width="9.33203125" style="219" customWidth="1"/>
    <col min="15107" max="15107" width="6.5" style="219" customWidth="1"/>
    <col min="15108" max="15109" width="8.33203125" style="219" customWidth="1"/>
    <col min="15110" max="15110" width="2.33203125" style="219" customWidth="1"/>
    <col min="15111" max="15111" width="9.83203125" style="219" customWidth="1"/>
    <col min="15112" max="15112" width="9.5" style="219" customWidth="1"/>
    <col min="15113" max="15113" width="10.33203125" style="219" customWidth="1"/>
    <col min="15114" max="15360" width="8.83203125" style="219"/>
    <col min="15361" max="15361" width="23.6640625" style="219" customWidth="1"/>
    <col min="15362" max="15362" width="9.33203125" style="219" customWidth="1"/>
    <col min="15363" max="15363" width="6.5" style="219" customWidth="1"/>
    <col min="15364" max="15365" width="8.33203125" style="219" customWidth="1"/>
    <col min="15366" max="15366" width="2.33203125" style="219" customWidth="1"/>
    <col min="15367" max="15367" width="9.83203125" style="219" customWidth="1"/>
    <col min="15368" max="15368" width="9.5" style="219" customWidth="1"/>
    <col min="15369" max="15369" width="10.33203125" style="219" customWidth="1"/>
    <col min="15370" max="15616" width="8.83203125" style="219"/>
    <col min="15617" max="15617" width="23.6640625" style="219" customWidth="1"/>
    <col min="15618" max="15618" width="9.33203125" style="219" customWidth="1"/>
    <col min="15619" max="15619" width="6.5" style="219" customWidth="1"/>
    <col min="15620" max="15621" width="8.33203125" style="219" customWidth="1"/>
    <col min="15622" max="15622" width="2.33203125" style="219" customWidth="1"/>
    <col min="15623" max="15623" width="9.83203125" style="219" customWidth="1"/>
    <col min="15624" max="15624" width="9.5" style="219" customWidth="1"/>
    <col min="15625" max="15625" width="10.33203125" style="219" customWidth="1"/>
    <col min="15626" max="15872" width="8.83203125" style="219"/>
    <col min="15873" max="15873" width="23.6640625" style="219" customWidth="1"/>
    <col min="15874" max="15874" width="9.33203125" style="219" customWidth="1"/>
    <col min="15875" max="15875" width="6.5" style="219" customWidth="1"/>
    <col min="15876" max="15877" width="8.33203125" style="219" customWidth="1"/>
    <col min="15878" max="15878" width="2.33203125" style="219" customWidth="1"/>
    <col min="15879" max="15879" width="9.83203125" style="219" customWidth="1"/>
    <col min="15880" max="15880" width="9.5" style="219" customWidth="1"/>
    <col min="15881" max="15881" width="10.33203125" style="219" customWidth="1"/>
    <col min="15882" max="16128" width="8.83203125" style="219"/>
    <col min="16129" max="16129" width="23.6640625" style="219" customWidth="1"/>
    <col min="16130" max="16130" width="9.33203125" style="219" customWidth="1"/>
    <col min="16131" max="16131" width="6.5" style="219" customWidth="1"/>
    <col min="16132" max="16133" width="8.33203125" style="219" customWidth="1"/>
    <col min="16134" max="16134" width="2.33203125" style="219" customWidth="1"/>
    <col min="16135" max="16135" width="9.83203125" style="219" customWidth="1"/>
    <col min="16136" max="16136" width="9.5" style="219" customWidth="1"/>
    <col min="16137" max="16137" width="10.33203125" style="219" customWidth="1"/>
    <col min="16138" max="16384" width="8.83203125" style="219"/>
  </cols>
  <sheetData>
    <row r="1" spans="1:25" s="245" customFormat="1" ht="21" customHeight="1">
      <c r="A1" s="213" t="s">
        <v>369</v>
      </c>
    </row>
    <row r="2" spans="1:25" s="247" customFormat="1" ht="16.5" customHeight="1">
      <c r="A2" s="246" t="s">
        <v>370</v>
      </c>
      <c r="K2"/>
      <c r="L2"/>
      <c r="M2"/>
      <c r="N2"/>
      <c r="O2"/>
      <c r="P2"/>
      <c r="Q2"/>
      <c r="R2"/>
      <c r="S2"/>
      <c r="T2"/>
      <c r="U2"/>
      <c r="V2"/>
      <c r="W2"/>
      <c r="X2"/>
      <c r="Y2"/>
    </row>
    <row r="3" spans="1:25" s="218" customFormat="1" ht="29.25" customHeight="1" thickBot="1">
      <c r="A3" s="2224" t="s">
        <v>371</v>
      </c>
      <c r="B3" s="2224"/>
      <c r="C3" s="2224"/>
      <c r="D3" s="2224"/>
      <c r="E3" s="2224"/>
      <c r="H3" s="248"/>
      <c r="I3" s="249" t="s">
        <v>372</v>
      </c>
      <c r="K3"/>
      <c r="L3"/>
      <c r="M3"/>
      <c r="N3"/>
      <c r="O3"/>
      <c r="P3"/>
      <c r="Q3"/>
      <c r="R3"/>
      <c r="S3"/>
      <c r="T3"/>
      <c r="U3"/>
      <c r="V3"/>
      <c r="W3"/>
      <c r="X3"/>
      <c r="Y3"/>
    </row>
    <row r="4" spans="1:25" s="254" customFormat="1" ht="11.25" customHeight="1" thickTop="1">
      <c r="A4" s="250"/>
      <c r="B4" s="251" t="s">
        <v>361</v>
      </c>
      <c r="C4" s="251" t="s">
        <v>361</v>
      </c>
      <c r="D4" s="251" t="s">
        <v>373</v>
      </c>
      <c r="E4" s="251" t="s">
        <v>374</v>
      </c>
      <c r="F4" s="252"/>
      <c r="G4" s="251" t="s">
        <v>375</v>
      </c>
      <c r="H4" s="253" t="s">
        <v>361</v>
      </c>
      <c r="I4" s="251" t="s">
        <v>376</v>
      </c>
      <c r="K4"/>
      <c r="L4"/>
      <c r="M4"/>
      <c r="N4"/>
      <c r="O4"/>
      <c r="P4"/>
      <c r="Q4"/>
      <c r="R4"/>
      <c r="S4"/>
      <c r="T4"/>
      <c r="U4"/>
      <c r="V4"/>
      <c r="W4"/>
      <c r="X4"/>
      <c r="Y4"/>
    </row>
    <row r="5" spans="1:25" s="254" customFormat="1" ht="11.25" customHeight="1">
      <c r="A5" s="255"/>
      <c r="B5" s="256" t="s">
        <v>377</v>
      </c>
      <c r="C5" s="253" t="s">
        <v>378</v>
      </c>
      <c r="D5" s="253" t="s">
        <v>379</v>
      </c>
      <c r="E5" s="253" t="s">
        <v>380</v>
      </c>
      <c r="F5" s="252"/>
      <c r="G5" s="253" t="s">
        <v>381</v>
      </c>
      <c r="H5" s="256" t="s">
        <v>377</v>
      </c>
      <c r="I5" s="253" t="s">
        <v>382</v>
      </c>
      <c r="K5"/>
      <c r="L5"/>
      <c r="M5"/>
      <c r="N5"/>
      <c r="O5"/>
      <c r="P5"/>
      <c r="Q5"/>
      <c r="R5"/>
      <c r="S5"/>
      <c r="T5"/>
      <c r="U5"/>
      <c r="V5"/>
      <c r="W5"/>
      <c r="X5"/>
      <c r="Y5"/>
    </row>
    <row r="6" spans="1:25" s="254" customFormat="1" ht="11.25" customHeight="1">
      <c r="A6" s="257"/>
      <c r="B6" s="258" t="s">
        <v>383</v>
      </c>
      <c r="C6" s="259"/>
      <c r="D6" s="258" t="s">
        <v>384</v>
      </c>
      <c r="E6" s="258" t="s">
        <v>384</v>
      </c>
      <c r="F6" s="260"/>
      <c r="G6" s="258" t="s">
        <v>385</v>
      </c>
      <c r="H6" s="258" t="s">
        <v>218</v>
      </c>
      <c r="I6" s="258" t="s">
        <v>218</v>
      </c>
      <c r="K6"/>
      <c r="L6"/>
      <c r="M6"/>
      <c r="N6"/>
      <c r="O6"/>
      <c r="P6"/>
      <c r="Q6"/>
      <c r="R6"/>
      <c r="S6"/>
      <c r="T6"/>
      <c r="U6"/>
      <c r="V6"/>
      <c r="W6"/>
      <c r="X6"/>
      <c r="Y6"/>
    </row>
    <row r="7" spans="1:25" s="264" customFormat="1" ht="10.5" customHeight="1">
      <c r="A7" s="261" t="s">
        <v>66</v>
      </c>
      <c r="B7" s="262"/>
      <c r="C7" s="262"/>
      <c r="D7" s="262"/>
      <c r="E7" s="262"/>
      <c r="F7" s="263"/>
      <c r="G7" s="263"/>
      <c r="H7" s="263"/>
      <c r="I7" s="263"/>
      <c r="K7"/>
      <c r="L7"/>
      <c r="M7"/>
      <c r="N7"/>
      <c r="O7"/>
      <c r="P7"/>
      <c r="Q7"/>
      <c r="R7"/>
      <c r="S7"/>
      <c r="T7"/>
      <c r="U7"/>
      <c r="V7"/>
      <c r="W7"/>
      <c r="X7"/>
      <c r="Y7"/>
    </row>
    <row r="8" spans="1:25" s="218" customFormat="1" ht="10.5" customHeight="1">
      <c r="A8" s="217" t="s">
        <v>386</v>
      </c>
      <c r="B8" s="265">
        <v>4451.3389999999999</v>
      </c>
      <c r="C8" s="265">
        <v>25.312999999999999</v>
      </c>
      <c r="D8" s="265">
        <v>226.83118999999999</v>
      </c>
      <c r="E8" s="265">
        <v>4703.4831899999999</v>
      </c>
      <c r="F8" s="266"/>
      <c r="G8" s="267">
        <v>1817.8133728000003</v>
      </c>
      <c r="H8" s="265">
        <v>9650.9856348643498</v>
      </c>
      <c r="I8" s="265">
        <v>16700.745766240001</v>
      </c>
      <c r="K8"/>
      <c r="L8"/>
      <c r="M8"/>
      <c r="N8"/>
      <c r="O8"/>
      <c r="P8"/>
      <c r="Q8"/>
      <c r="R8"/>
      <c r="S8"/>
      <c r="T8"/>
      <c r="U8"/>
      <c r="V8"/>
      <c r="W8"/>
      <c r="X8"/>
      <c r="Y8"/>
    </row>
    <row r="9" spans="1:25" s="218" customFormat="1" ht="10.5" customHeight="1">
      <c r="A9" s="217" t="s">
        <v>230</v>
      </c>
      <c r="B9" s="268">
        <v>0</v>
      </c>
      <c r="C9" s="268">
        <v>0</v>
      </c>
      <c r="D9" s="268">
        <v>0</v>
      </c>
      <c r="E9" s="268">
        <v>0</v>
      </c>
      <c r="F9" s="268"/>
      <c r="G9" s="268">
        <v>0</v>
      </c>
      <c r="H9" s="268">
        <v>0</v>
      </c>
      <c r="I9" s="268">
        <v>0</v>
      </c>
      <c r="K9"/>
      <c r="L9"/>
      <c r="M9"/>
      <c r="N9"/>
      <c r="O9"/>
      <c r="P9"/>
      <c r="Q9"/>
      <c r="R9"/>
      <c r="S9"/>
      <c r="T9"/>
      <c r="U9"/>
      <c r="V9"/>
      <c r="W9"/>
      <c r="X9"/>
      <c r="Y9"/>
    </row>
    <row r="10" spans="1:25" s="218" customFormat="1" ht="10.5" customHeight="1">
      <c r="A10" s="217" t="s">
        <v>4</v>
      </c>
      <c r="B10" s="265">
        <v>744.70399999999995</v>
      </c>
      <c r="C10" s="267">
        <v>324.548</v>
      </c>
      <c r="D10" s="267">
        <v>13.378825000000001</v>
      </c>
      <c r="E10" s="267">
        <v>1082.630825</v>
      </c>
      <c r="F10" s="265"/>
      <c r="G10" s="268">
        <v>0</v>
      </c>
      <c r="H10" s="268">
        <v>0</v>
      </c>
      <c r="I10" s="268">
        <v>0</v>
      </c>
      <c r="K10"/>
      <c r="L10"/>
      <c r="M10"/>
      <c r="N10"/>
      <c r="O10"/>
      <c r="P10"/>
      <c r="Q10"/>
      <c r="R10"/>
      <c r="S10"/>
      <c r="T10"/>
      <c r="U10"/>
      <c r="V10"/>
      <c r="W10"/>
      <c r="X10"/>
      <c r="Y10"/>
    </row>
    <row r="11" spans="1:25" s="218" customFormat="1" ht="11.25" customHeight="1">
      <c r="A11" s="217" t="s">
        <v>135</v>
      </c>
      <c r="B11" s="268">
        <v>-105.3</v>
      </c>
      <c r="C11" s="269">
        <v>-152.06900000000002</v>
      </c>
      <c r="D11" s="270">
        <v>-6.9963199999999999</v>
      </c>
      <c r="E11" s="267">
        <v>-264.36532000000005</v>
      </c>
      <c r="F11" s="265"/>
      <c r="G11" s="268">
        <v>0</v>
      </c>
      <c r="H11" s="268">
        <v>0</v>
      </c>
      <c r="I11" s="268">
        <v>0</v>
      </c>
      <c r="K11"/>
      <c r="L11"/>
      <c r="M11"/>
      <c r="N11"/>
      <c r="O11"/>
      <c r="P11"/>
      <c r="Q11"/>
      <c r="R11"/>
      <c r="S11"/>
      <c r="T11"/>
      <c r="U11"/>
      <c r="V11"/>
      <c r="W11"/>
      <c r="X11"/>
      <c r="Y11"/>
    </row>
    <row r="12" spans="1:25" s="218" customFormat="1" ht="11.25" customHeight="1">
      <c r="A12" s="217" t="s">
        <v>136</v>
      </c>
      <c r="B12" s="268">
        <v>0</v>
      </c>
      <c r="C12" s="268">
        <v>0</v>
      </c>
      <c r="D12" s="268">
        <v>0</v>
      </c>
      <c r="E12" s="268">
        <v>0</v>
      </c>
      <c r="F12" s="265"/>
      <c r="G12" s="268">
        <v>0</v>
      </c>
      <c r="H12" s="268">
        <v>0</v>
      </c>
      <c r="I12" s="268">
        <v>0</v>
      </c>
      <c r="K12"/>
      <c r="L12"/>
      <c r="M12"/>
      <c r="N12"/>
      <c r="O12"/>
      <c r="P12"/>
      <c r="Q12"/>
      <c r="R12"/>
      <c r="S12"/>
      <c r="T12"/>
      <c r="U12"/>
      <c r="V12"/>
      <c r="W12"/>
      <c r="X12"/>
      <c r="Y12"/>
    </row>
    <row r="13" spans="1:25" s="264" customFormat="1" ht="10.5" customHeight="1">
      <c r="A13" s="217" t="s">
        <v>387</v>
      </c>
      <c r="B13" s="269">
        <v>33.902999999999849</v>
      </c>
      <c r="C13" s="269">
        <v>-79.826000000000022</v>
      </c>
      <c r="D13" s="269">
        <v>1.8500399999999892</v>
      </c>
      <c r="E13" s="265">
        <v>-44.07296000000018</v>
      </c>
      <c r="F13" s="265"/>
      <c r="G13" s="268">
        <v>0</v>
      </c>
      <c r="H13" s="268">
        <v>0</v>
      </c>
      <c r="I13" s="268">
        <v>0</v>
      </c>
      <c r="K13"/>
      <c r="L13"/>
      <c r="M13"/>
      <c r="N13"/>
      <c r="O13"/>
      <c r="P13"/>
      <c r="Q13"/>
      <c r="R13"/>
      <c r="S13"/>
      <c r="T13"/>
      <c r="U13"/>
      <c r="V13"/>
      <c r="W13"/>
      <c r="X13"/>
      <c r="Y13"/>
    </row>
    <row r="14" spans="1:25" s="218" customFormat="1" ht="13.5" customHeight="1">
      <c r="A14" s="217" t="s">
        <v>388</v>
      </c>
      <c r="B14" s="265">
        <v>-1114.5379999999998</v>
      </c>
      <c r="C14" s="269">
        <v>1114.5379999999998</v>
      </c>
      <c r="D14" s="268">
        <v>0</v>
      </c>
      <c r="E14" s="268">
        <v>0</v>
      </c>
      <c r="F14" s="265"/>
      <c r="G14" s="268">
        <v>0</v>
      </c>
      <c r="H14" s="269">
        <v>80.780350800000008</v>
      </c>
      <c r="I14" s="269">
        <v>-3.0127409999999997</v>
      </c>
      <c r="K14"/>
      <c r="L14"/>
      <c r="M14"/>
      <c r="N14"/>
      <c r="O14"/>
      <c r="P14"/>
      <c r="Q14"/>
      <c r="R14"/>
      <c r="S14"/>
      <c r="T14"/>
      <c r="U14"/>
      <c r="V14"/>
      <c r="W14"/>
      <c r="X14"/>
      <c r="Y14"/>
    </row>
    <row r="15" spans="1:25" s="275" customFormat="1" ht="10.5" customHeight="1">
      <c r="A15" s="271" t="s">
        <v>233</v>
      </c>
      <c r="B15" s="272">
        <v>4010.1080000000002</v>
      </c>
      <c r="C15" s="273">
        <v>1232.5039999999997</v>
      </c>
      <c r="D15" s="273">
        <v>235.06373499999998</v>
      </c>
      <c r="E15" s="273">
        <v>5477.6757349999998</v>
      </c>
      <c r="F15" s="274"/>
      <c r="G15" s="273">
        <v>1817.8133728000003</v>
      </c>
      <c r="H15" s="272">
        <v>9731.7659856643495</v>
      </c>
      <c r="I15" s="272">
        <v>16697.733025240002</v>
      </c>
      <c r="K15"/>
      <c r="L15"/>
      <c r="M15"/>
      <c r="N15"/>
      <c r="O15"/>
      <c r="P15"/>
      <c r="Q15"/>
      <c r="R15"/>
      <c r="S15"/>
      <c r="T15"/>
      <c r="U15"/>
      <c r="V15"/>
      <c r="W15"/>
      <c r="X15"/>
      <c r="Y15"/>
    </row>
    <row r="16" spans="1:25" s="275" customFormat="1" ht="11.25" customHeight="1">
      <c r="A16" s="271" t="s">
        <v>389</v>
      </c>
      <c r="B16" s="276">
        <v>-13.877000000000407</v>
      </c>
      <c r="C16" s="276">
        <v>3.1179999999997108</v>
      </c>
      <c r="D16" s="276">
        <v>0</v>
      </c>
      <c r="E16" s="277">
        <v>-10.759000000000697</v>
      </c>
      <c r="F16" s="278"/>
      <c r="G16" s="279">
        <v>0</v>
      </c>
      <c r="H16" s="276">
        <v>46.530388799998036</v>
      </c>
      <c r="I16" s="280">
        <v>-113.46896329999799</v>
      </c>
      <c r="K16"/>
      <c r="L16"/>
      <c r="M16"/>
      <c r="N16"/>
      <c r="O16"/>
      <c r="P16"/>
      <c r="Q16"/>
      <c r="R16"/>
      <c r="S16"/>
      <c r="T16"/>
      <c r="U16"/>
      <c r="V16"/>
      <c r="W16"/>
      <c r="X16"/>
      <c r="Y16"/>
    </row>
    <row r="17" spans="1:25" s="275" customFormat="1" ht="10.5" customHeight="1">
      <c r="A17" s="271" t="s">
        <v>236</v>
      </c>
      <c r="B17" s="281">
        <v>4023.9850000000006</v>
      </c>
      <c r="C17" s="282">
        <v>1229.386</v>
      </c>
      <c r="D17" s="282">
        <v>234.60278499999998</v>
      </c>
      <c r="E17" s="281">
        <v>5485.1817850000007</v>
      </c>
      <c r="F17" s="283"/>
      <c r="G17" s="282">
        <v>1817.8133728000003</v>
      </c>
      <c r="H17" s="281">
        <v>9685.2355968643515</v>
      </c>
      <c r="I17" s="281">
        <v>16811.20198854</v>
      </c>
      <c r="K17"/>
      <c r="L17"/>
      <c r="M17"/>
      <c r="N17"/>
      <c r="O17"/>
      <c r="P17"/>
      <c r="Q17"/>
      <c r="R17"/>
      <c r="S17"/>
      <c r="T17"/>
      <c r="U17"/>
      <c r="V17"/>
      <c r="W17"/>
      <c r="X17"/>
      <c r="Y17"/>
    </row>
    <row r="18" spans="1:25" s="264" customFormat="1" ht="10.5" customHeight="1">
      <c r="A18" s="284" t="s">
        <v>142</v>
      </c>
      <c r="B18" s="285">
        <v>3909.8620000000005</v>
      </c>
      <c r="C18" s="285">
        <v>482.50200000000007</v>
      </c>
      <c r="D18" s="268">
        <v>0</v>
      </c>
      <c r="E18" s="285">
        <v>4392.3640000000005</v>
      </c>
      <c r="F18" s="286"/>
      <c r="G18" s="268">
        <v>0</v>
      </c>
      <c r="H18" s="285">
        <v>2525.2819999999997</v>
      </c>
      <c r="I18" s="285">
        <v>8970.67</v>
      </c>
      <c r="K18"/>
      <c r="L18"/>
      <c r="M18"/>
      <c r="N18"/>
      <c r="O18"/>
      <c r="P18"/>
      <c r="Q18"/>
      <c r="R18"/>
      <c r="S18"/>
      <c r="T18"/>
      <c r="U18"/>
      <c r="V18"/>
      <c r="W18"/>
      <c r="X18"/>
      <c r="Y18"/>
    </row>
    <row r="19" spans="1:25" s="218" customFormat="1" ht="10.5" customHeight="1">
      <c r="A19" s="217" t="s">
        <v>143</v>
      </c>
      <c r="B19" s="268">
        <v>0</v>
      </c>
      <c r="C19" s="268">
        <v>0</v>
      </c>
      <c r="D19" s="268">
        <v>0</v>
      </c>
      <c r="E19" s="268">
        <v>0</v>
      </c>
      <c r="F19" s="268"/>
      <c r="G19" s="268">
        <v>0</v>
      </c>
      <c r="H19" s="268">
        <v>2106.9969999999998</v>
      </c>
      <c r="I19" s="268">
        <v>8791.4049999999988</v>
      </c>
      <c r="K19"/>
      <c r="L19"/>
      <c r="M19"/>
      <c r="N19"/>
      <c r="O19"/>
      <c r="P19"/>
      <c r="Q19"/>
      <c r="R19"/>
      <c r="S19"/>
      <c r="T19"/>
      <c r="U19"/>
      <c r="V19"/>
      <c r="W19"/>
      <c r="X19"/>
      <c r="Y19"/>
    </row>
    <row r="20" spans="1:25" s="218" customFormat="1" ht="10.5" customHeight="1">
      <c r="A20" s="217" t="s">
        <v>237</v>
      </c>
      <c r="B20" s="268">
        <v>0</v>
      </c>
      <c r="C20" s="268">
        <v>0</v>
      </c>
      <c r="D20" s="268">
        <v>0</v>
      </c>
      <c r="E20" s="268">
        <v>0</v>
      </c>
      <c r="F20" s="268"/>
      <c r="G20" s="268">
        <v>0</v>
      </c>
      <c r="H20" s="268">
        <v>0</v>
      </c>
      <c r="I20" s="268">
        <v>0</v>
      </c>
      <c r="K20"/>
      <c r="L20"/>
      <c r="M20"/>
      <c r="N20"/>
      <c r="O20"/>
      <c r="P20"/>
      <c r="Q20"/>
      <c r="R20"/>
      <c r="S20"/>
      <c r="T20"/>
      <c r="U20"/>
      <c r="V20"/>
      <c r="W20"/>
      <c r="X20"/>
      <c r="Y20"/>
    </row>
    <row r="21" spans="1:25" s="218" customFormat="1" ht="10.5" customHeight="1">
      <c r="A21" s="217" t="s">
        <v>238</v>
      </c>
      <c r="B21" s="268">
        <v>0</v>
      </c>
      <c r="C21" s="268">
        <v>0</v>
      </c>
      <c r="D21" s="268">
        <v>0</v>
      </c>
      <c r="E21" s="268">
        <v>0</v>
      </c>
      <c r="F21" s="268"/>
      <c r="G21" s="268">
        <v>0</v>
      </c>
      <c r="H21" s="268">
        <v>2106.9969999999998</v>
      </c>
      <c r="I21" s="268">
        <v>8791.4049999999988</v>
      </c>
      <c r="K21"/>
      <c r="L21"/>
      <c r="M21"/>
      <c r="N21"/>
      <c r="O21"/>
      <c r="P21"/>
      <c r="Q21"/>
      <c r="R21"/>
      <c r="S21"/>
      <c r="T21"/>
      <c r="U21"/>
      <c r="V21"/>
      <c r="W21"/>
      <c r="X21"/>
      <c r="Y21"/>
    </row>
    <row r="22" spans="1:25" s="218" customFormat="1" ht="10.5" customHeight="1">
      <c r="A22" s="217" t="s">
        <v>145</v>
      </c>
      <c r="B22" s="268">
        <v>0</v>
      </c>
      <c r="C22" s="268">
        <v>0</v>
      </c>
      <c r="D22" s="268">
        <v>0</v>
      </c>
      <c r="E22" s="268">
        <v>0</v>
      </c>
      <c r="F22" s="268"/>
      <c r="G22" s="268">
        <v>0</v>
      </c>
      <c r="H22" s="268">
        <v>418.28500000000003</v>
      </c>
      <c r="I22" s="268">
        <v>179.26499999999999</v>
      </c>
      <c r="K22"/>
      <c r="L22"/>
      <c r="M22"/>
      <c r="N22"/>
      <c r="O22"/>
      <c r="P22"/>
      <c r="Q22"/>
      <c r="R22"/>
      <c r="S22"/>
      <c r="T22"/>
      <c r="U22"/>
      <c r="V22"/>
      <c r="W22"/>
      <c r="X22"/>
      <c r="Y22"/>
    </row>
    <row r="23" spans="1:25" s="218" customFormat="1" ht="10.5" customHeight="1">
      <c r="A23" s="217" t="s">
        <v>146</v>
      </c>
      <c r="B23" s="268">
        <v>0</v>
      </c>
      <c r="C23" s="268">
        <v>0</v>
      </c>
      <c r="D23" s="268">
        <v>0</v>
      </c>
      <c r="E23" s="268">
        <v>0</v>
      </c>
      <c r="F23" s="268"/>
      <c r="G23" s="268">
        <v>0</v>
      </c>
      <c r="H23" s="268">
        <v>0</v>
      </c>
      <c r="I23" s="268">
        <v>0</v>
      </c>
      <c r="K23"/>
      <c r="L23"/>
      <c r="M23"/>
      <c r="N23"/>
      <c r="O23"/>
      <c r="P23"/>
      <c r="Q23"/>
      <c r="R23"/>
      <c r="S23"/>
      <c r="T23"/>
      <c r="U23"/>
      <c r="V23"/>
      <c r="W23"/>
      <c r="X23"/>
      <c r="Y23"/>
    </row>
    <row r="24" spans="1:25" s="218" customFormat="1" ht="10.5" customHeight="1">
      <c r="A24" s="217" t="s">
        <v>147</v>
      </c>
      <c r="B24" s="268">
        <v>0</v>
      </c>
      <c r="C24" s="268">
        <v>0</v>
      </c>
      <c r="D24" s="268">
        <v>0</v>
      </c>
      <c r="E24" s="268">
        <v>0</v>
      </c>
      <c r="F24" s="268"/>
      <c r="G24" s="268">
        <v>0</v>
      </c>
      <c r="H24" s="268">
        <v>0</v>
      </c>
      <c r="I24" s="268">
        <v>0</v>
      </c>
      <c r="K24"/>
      <c r="L24"/>
      <c r="M24"/>
      <c r="N24"/>
      <c r="O24"/>
      <c r="P24"/>
      <c r="Q24"/>
      <c r="R24"/>
      <c r="S24"/>
      <c r="T24"/>
      <c r="U24"/>
      <c r="V24"/>
      <c r="W24"/>
      <c r="X24"/>
      <c r="Y24"/>
    </row>
    <row r="25" spans="1:25" s="218" customFormat="1" ht="10.5" customHeight="1">
      <c r="A25" s="217" t="s">
        <v>115</v>
      </c>
      <c r="B25" s="268">
        <v>3909.8620000000005</v>
      </c>
      <c r="C25" s="268">
        <v>482.50200000000007</v>
      </c>
      <c r="D25" s="268">
        <v>0</v>
      </c>
      <c r="E25" s="268">
        <v>4392.3640000000005</v>
      </c>
      <c r="F25" s="268"/>
      <c r="G25" s="268">
        <v>0</v>
      </c>
      <c r="H25" s="268">
        <v>0</v>
      </c>
      <c r="I25" s="268">
        <v>0</v>
      </c>
      <c r="K25"/>
      <c r="L25"/>
      <c r="M25"/>
      <c r="N25"/>
      <c r="O25"/>
      <c r="P25"/>
      <c r="Q25"/>
      <c r="R25"/>
      <c r="S25"/>
      <c r="T25"/>
      <c r="U25"/>
      <c r="V25"/>
      <c r="W25"/>
      <c r="X25"/>
      <c r="Y25"/>
    </row>
    <row r="26" spans="1:25" s="218" customFormat="1" ht="10.5" customHeight="1">
      <c r="A26" s="217" t="s">
        <v>148</v>
      </c>
      <c r="B26" s="268">
        <v>0</v>
      </c>
      <c r="C26" s="268">
        <v>0</v>
      </c>
      <c r="D26" s="268">
        <v>0</v>
      </c>
      <c r="E26" s="268">
        <v>0</v>
      </c>
      <c r="F26" s="268"/>
      <c r="G26" s="268">
        <v>0</v>
      </c>
      <c r="H26" s="268">
        <v>0</v>
      </c>
      <c r="I26" s="268">
        <v>0</v>
      </c>
      <c r="K26"/>
      <c r="L26"/>
      <c r="M26"/>
      <c r="N26"/>
      <c r="O26"/>
      <c r="P26"/>
      <c r="Q26"/>
      <c r="R26"/>
      <c r="S26"/>
      <c r="T26"/>
      <c r="U26"/>
      <c r="V26"/>
      <c r="W26"/>
      <c r="X26"/>
      <c r="Y26"/>
    </row>
    <row r="27" spans="1:25" s="218" customFormat="1" ht="10.5" customHeight="1">
      <c r="A27" s="287" t="s">
        <v>390</v>
      </c>
      <c r="B27" s="288">
        <v>0</v>
      </c>
      <c r="C27" s="288">
        <v>0</v>
      </c>
      <c r="D27" s="268">
        <v>0</v>
      </c>
      <c r="E27" s="268">
        <v>0</v>
      </c>
      <c r="F27" s="268"/>
      <c r="G27" s="288">
        <v>0</v>
      </c>
      <c r="H27" s="288">
        <v>0</v>
      </c>
      <c r="I27" s="288">
        <v>0</v>
      </c>
      <c r="K27"/>
      <c r="L27"/>
      <c r="M27"/>
      <c r="N27"/>
      <c r="O27"/>
      <c r="P27"/>
      <c r="Q27"/>
      <c r="R27"/>
      <c r="S27"/>
      <c r="T27"/>
      <c r="U27"/>
      <c r="V27"/>
      <c r="W27"/>
      <c r="X27"/>
      <c r="Y27"/>
    </row>
    <row r="28" spans="1:25" s="275" customFormat="1" ht="10.5" customHeight="1">
      <c r="A28" s="289" t="s">
        <v>149</v>
      </c>
      <c r="B28" s="279">
        <v>0</v>
      </c>
      <c r="C28" s="279">
        <v>0</v>
      </c>
      <c r="D28" s="290">
        <v>0</v>
      </c>
      <c r="E28" s="290">
        <v>0</v>
      </c>
      <c r="F28" s="283"/>
      <c r="G28" s="279">
        <v>0</v>
      </c>
      <c r="H28" s="290">
        <v>5169.6770131518142</v>
      </c>
      <c r="I28" s="290">
        <v>5081.8984326400005</v>
      </c>
      <c r="K28"/>
      <c r="L28"/>
      <c r="M28"/>
      <c r="N28"/>
      <c r="O28"/>
      <c r="P28"/>
      <c r="Q28"/>
      <c r="R28"/>
      <c r="S28"/>
      <c r="T28"/>
      <c r="U28"/>
      <c r="V28"/>
      <c r="W28"/>
      <c r="X28"/>
      <c r="Y28"/>
    </row>
    <row r="29" spans="1:25" s="218" customFormat="1" ht="10.5" customHeight="1">
      <c r="A29" s="217" t="s">
        <v>143</v>
      </c>
      <c r="B29" s="268">
        <v>0</v>
      </c>
      <c r="C29" s="268">
        <v>0</v>
      </c>
      <c r="D29" s="268">
        <v>0</v>
      </c>
      <c r="E29" s="268">
        <v>0</v>
      </c>
      <c r="F29" s="268"/>
      <c r="G29" s="268">
        <v>0</v>
      </c>
      <c r="H29" s="268">
        <v>0</v>
      </c>
      <c r="I29" s="268">
        <v>0</v>
      </c>
      <c r="K29"/>
      <c r="L29"/>
      <c r="M29"/>
      <c r="N29"/>
      <c r="O29"/>
      <c r="P29"/>
      <c r="Q29"/>
      <c r="R29"/>
      <c r="S29"/>
      <c r="T29"/>
      <c r="U29"/>
      <c r="V29"/>
      <c r="W29"/>
      <c r="X29"/>
      <c r="Y29"/>
    </row>
    <row r="30" spans="1:25" s="218" customFormat="1" ht="10.5" customHeight="1">
      <c r="A30" s="217" t="s">
        <v>150</v>
      </c>
      <c r="B30" s="268">
        <v>0</v>
      </c>
      <c r="C30" s="268">
        <v>0</v>
      </c>
      <c r="D30" s="268">
        <v>0</v>
      </c>
      <c r="E30" s="268">
        <v>0</v>
      </c>
      <c r="F30" s="268"/>
      <c r="G30" s="268">
        <v>0</v>
      </c>
      <c r="H30" s="268">
        <v>0</v>
      </c>
      <c r="I30" s="268">
        <v>0</v>
      </c>
      <c r="K30"/>
      <c r="L30"/>
      <c r="M30"/>
      <c r="N30"/>
      <c r="O30"/>
      <c r="P30"/>
      <c r="Q30"/>
      <c r="R30"/>
      <c r="S30"/>
      <c r="T30"/>
      <c r="U30"/>
      <c r="V30"/>
      <c r="W30"/>
      <c r="X30"/>
      <c r="Y30"/>
    </row>
    <row r="31" spans="1:25" s="218" customFormat="1" ht="10.5" customHeight="1">
      <c r="A31" s="217" t="s">
        <v>146</v>
      </c>
      <c r="B31" s="268">
        <v>0</v>
      </c>
      <c r="C31" s="268">
        <v>0</v>
      </c>
      <c r="D31" s="268">
        <v>0</v>
      </c>
      <c r="E31" s="268">
        <v>0</v>
      </c>
      <c r="F31" s="268"/>
      <c r="G31" s="268">
        <v>0</v>
      </c>
      <c r="H31" s="268">
        <v>0</v>
      </c>
      <c r="I31" s="268">
        <v>0</v>
      </c>
      <c r="K31"/>
      <c r="L31"/>
      <c r="M31"/>
      <c r="N31"/>
      <c r="O31"/>
      <c r="P31"/>
      <c r="Q31"/>
      <c r="R31"/>
      <c r="S31"/>
      <c r="T31"/>
      <c r="U31"/>
      <c r="V31"/>
      <c r="W31"/>
      <c r="X31"/>
      <c r="Y31"/>
    </row>
    <row r="32" spans="1:25" s="218" customFormat="1" ht="10.5" customHeight="1">
      <c r="A32" s="217" t="s">
        <v>151</v>
      </c>
      <c r="B32" s="268">
        <v>0</v>
      </c>
      <c r="C32" s="268">
        <v>0</v>
      </c>
      <c r="D32" s="268">
        <v>0</v>
      </c>
      <c r="E32" s="268">
        <v>0</v>
      </c>
      <c r="F32" s="268"/>
      <c r="G32" s="268">
        <v>0</v>
      </c>
      <c r="H32" s="268">
        <v>0</v>
      </c>
      <c r="I32" s="268">
        <v>0</v>
      </c>
      <c r="K32"/>
      <c r="L32"/>
      <c r="M32"/>
      <c r="N32"/>
      <c r="O32"/>
      <c r="P32"/>
      <c r="Q32"/>
      <c r="R32"/>
      <c r="S32"/>
      <c r="T32"/>
      <c r="U32"/>
      <c r="V32"/>
      <c r="W32"/>
      <c r="X32"/>
      <c r="Y32"/>
    </row>
    <row r="33" spans="1:90" s="218" customFormat="1" ht="10.5" customHeight="1">
      <c r="A33" s="217" t="s">
        <v>147</v>
      </c>
      <c r="B33" s="268">
        <v>0</v>
      </c>
      <c r="C33" s="268">
        <v>0</v>
      </c>
      <c r="D33" s="268">
        <v>0</v>
      </c>
      <c r="E33" s="268">
        <v>0</v>
      </c>
      <c r="F33" s="268"/>
      <c r="G33" s="268">
        <v>0</v>
      </c>
      <c r="H33" s="268">
        <v>4227.8516731518139</v>
      </c>
      <c r="I33" s="268">
        <v>702.5692316200001</v>
      </c>
      <c r="K33"/>
      <c r="L33"/>
      <c r="M33"/>
      <c r="N33"/>
      <c r="O33"/>
      <c r="P33"/>
      <c r="Q33"/>
      <c r="R33"/>
      <c r="S33"/>
      <c r="T33"/>
      <c r="U33"/>
      <c r="V33"/>
      <c r="W33"/>
      <c r="X33"/>
      <c r="Y33"/>
    </row>
    <row r="34" spans="1:90" s="218" customFormat="1" ht="10.5" customHeight="1">
      <c r="A34" s="217" t="s">
        <v>115</v>
      </c>
      <c r="B34" s="268">
        <v>0</v>
      </c>
      <c r="C34" s="268">
        <v>0</v>
      </c>
      <c r="D34" s="268">
        <v>0</v>
      </c>
      <c r="E34" s="268">
        <v>0</v>
      </c>
      <c r="F34" s="268"/>
      <c r="G34" s="268">
        <v>0</v>
      </c>
      <c r="H34" s="268">
        <v>941.82533999999998</v>
      </c>
      <c r="I34" s="268">
        <v>4379.3292010200003</v>
      </c>
      <c r="K34"/>
      <c r="L34"/>
      <c r="M34"/>
      <c r="N34"/>
      <c r="O34"/>
      <c r="P34"/>
      <c r="Q34"/>
      <c r="R34"/>
      <c r="S34"/>
      <c r="T34"/>
      <c r="U34"/>
      <c r="V34"/>
      <c r="W34"/>
      <c r="X34"/>
      <c r="Y34"/>
    </row>
    <row r="35" spans="1:90" s="218" customFormat="1" ht="10.5" customHeight="1">
      <c r="A35" s="217" t="s">
        <v>148</v>
      </c>
      <c r="B35" s="268">
        <v>0</v>
      </c>
      <c r="C35" s="268">
        <v>0</v>
      </c>
      <c r="D35" s="268">
        <v>0</v>
      </c>
      <c r="E35" s="268">
        <v>0</v>
      </c>
      <c r="F35" s="268"/>
      <c r="G35" s="268">
        <v>0</v>
      </c>
      <c r="H35" s="268">
        <v>0</v>
      </c>
      <c r="I35" s="268">
        <v>0</v>
      </c>
      <c r="K35"/>
      <c r="L35"/>
      <c r="M35"/>
      <c r="N35"/>
      <c r="O35"/>
      <c r="P35"/>
      <c r="Q35"/>
      <c r="R35"/>
      <c r="S35"/>
      <c r="T35"/>
      <c r="U35"/>
      <c r="V35"/>
      <c r="W35"/>
      <c r="X35"/>
      <c r="Y35"/>
    </row>
    <row r="36" spans="1:90" s="264" customFormat="1" ht="10.5" customHeight="1">
      <c r="A36" s="217" t="s">
        <v>152</v>
      </c>
      <c r="B36" s="268">
        <v>0</v>
      </c>
      <c r="C36" s="268">
        <v>0</v>
      </c>
      <c r="D36" s="268">
        <v>0</v>
      </c>
      <c r="E36" s="268">
        <v>0</v>
      </c>
      <c r="F36" s="268"/>
      <c r="G36" s="268">
        <v>0</v>
      </c>
      <c r="H36" s="268">
        <v>0</v>
      </c>
      <c r="I36" s="268">
        <v>0</v>
      </c>
      <c r="K36"/>
      <c r="L36"/>
      <c r="M36"/>
      <c r="N36"/>
      <c r="O36"/>
      <c r="P36"/>
      <c r="Q36"/>
      <c r="R36"/>
      <c r="S36"/>
      <c r="T36"/>
      <c r="U36"/>
      <c r="V36"/>
      <c r="W36"/>
      <c r="X36"/>
      <c r="Y36"/>
    </row>
    <row r="37" spans="1:90" s="218" customFormat="1" ht="9.75" customHeight="1">
      <c r="A37" s="217" t="s">
        <v>113</v>
      </c>
      <c r="B37" s="268">
        <v>0</v>
      </c>
      <c r="C37" s="268">
        <v>0</v>
      </c>
      <c r="D37" s="268">
        <v>0</v>
      </c>
      <c r="E37" s="268">
        <v>0</v>
      </c>
      <c r="F37" s="268"/>
      <c r="G37" s="268">
        <v>0</v>
      </c>
      <c r="H37" s="268">
        <v>0</v>
      </c>
      <c r="I37" s="268">
        <v>0</v>
      </c>
      <c r="K37"/>
      <c r="L37"/>
      <c r="M37"/>
      <c r="N37"/>
      <c r="O37"/>
      <c r="P37"/>
      <c r="Q37"/>
      <c r="R37"/>
      <c r="S37"/>
      <c r="T37"/>
      <c r="U37"/>
      <c r="V37"/>
      <c r="W37"/>
      <c r="X37"/>
      <c r="Y37"/>
    </row>
    <row r="38" spans="1:90" s="275" customFormat="1" ht="9.75" customHeight="1">
      <c r="A38" s="291" t="s">
        <v>52</v>
      </c>
      <c r="B38" s="279">
        <v>0</v>
      </c>
      <c r="C38" s="279">
        <v>0</v>
      </c>
      <c r="D38" s="279">
        <v>0</v>
      </c>
      <c r="E38" s="279">
        <v>0</v>
      </c>
      <c r="F38" s="292"/>
      <c r="G38" s="279">
        <v>0</v>
      </c>
      <c r="H38" s="292">
        <v>445.46924580000001</v>
      </c>
      <c r="I38" s="292">
        <v>2070.5885090200004</v>
      </c>
      <c r="J38" s="293"/>
      <c r="K38"/>
      <c r="L38"/>
      <c r="M38"/>
      <c r="N38"/>
      <c r="O38"/>
      <c r="P38"/>
      <c r="Q38"/>
      <c r="R38"/>
      <c r="S38"/>
      <c r="T38"/>
      <c r="U38"/>
      <c r="V38"/>
      <c r="W38"/>
      <c r="X38"/>
      <c r="Y38"/>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row>
    <row r="39" spans="1:90" s="294" customFormat="1" ht="10.5" customHeight="1">
      <c r="A39" s="271" t="s">
        <v>153</v>
      </c>
      <c r="B39" s="281">
        <v>114.12299999999995</v>
      </c>
      <c r="C39" s="282">
        <v>746.88400000000001</v>
      </c>
      <c r="D39" s="282">
        <v>234.60278499999998</v>
      </c>
      <c r="E39" s="281">
        <v>1092.817785</v>
      </c>
      <c r="F39" s="283"/>
      <c r="G39" s="282">
        <v>1817.8133728000003</v>
      </c>
      <c r="H39" s="281">
        <v>1544.8073379125367</v>
      </c>
      <c r="I39" s="281">
        <v>688.04504688000077</v>
      </c>
      <c r="J39" s="293"/>
      <c r="K39"/>
      <c r="L39"/>
      <c r="M39"/>
      <c r="N39"/>
      <c r="O39"/>
      <c r="P39"/>
      <c r="Q39"/>
      <c r="R39"/>
      <c r="S39"/>
      <c r="T39"/>
      <c r="U39"/>
      <c r="V39"/>
      <c r="W39"/>
      <c r="X39"/>
      <c r="Y39"/>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row>
    <row r="40" spans="1:90" s="275" customFormat="1" ht="10.5" customHeight="1">
      <c r="A40" s="291" t="s">
        <v>39</v>
      </c>
      <c r="B40" s="292">
        <v>99.250999994719976</v>
      </c>
      <c r="C40" s="295">
        <v>746.88400000000001</v>
      </c>
      <c r="D40" s="292">
        <v>0</v>
      </c>
      <c r="E40" s="295">
        <v>846.13499999472003</v>
      </c>
      <c r="F40" s="292"/>
      <c r="G40" s="295">
        <v>1817.8133728000003</v>
      </c>
      <c r="H40" s="292">
        <v>1544.8073379125367</v>
      </c>
      <c r="I40" s="292">
        <v>688.04504688000077</v>
      </c>
      <c r="J40" s="293"/>
      <c r="K40"/>
      <c r="L40"/>
      <c r="M40"/>
      <c r="N40"/>
      <c r="O40"/>
      <c r="P40"/>
      <c r="Q40"/>
      <c r="R40"/>
      <c r="S40"/>
      <c r="T40"/>
      <c r="U40"/>
      <c r="V40"/>
      <c r="W40"/>
      <c r="X40"/>
      <c r="Y40"/>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3"/>
      <c r="AZ40" s="293"/>
      <c r="BA40" s="293"/>
      <c r="BB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row>
    <row r="41" spans="1:90" s="218" customFormat="1" ht="10.5" customHeight="1">
      <c r="A41" s="217" t="s">
        <v>154</v>
      </c>
      <c r="B41" s="268">
        <v>76.327999994719974</v>
      </c>
      <c r="C41" s="270">
        <v>12.95</v>
      </c>
      <c r="D41" s="268">
        <v>0</v>
      </c>
      <c r="E41" s="296">
        <v>89.277999994719977</v>
      </c>
      <c r="F41" s="268"/>
      <c r="G41" s="270">
        <v>1817.8133728000003</v>
      </c>
      <c r="H41" s="268">
        <v>221.21165071253574</v>
      </c>
      <c r="I41" s="268">
        <v>0</v>
      </c>
      <c r="J41" s="297"/>
      <c r="K41"/>
      <c r="L41"/>
      <c r="M41"/>
      <c r="N41"/>
      <c r="O41"/>
      <c r="P41"/>
      <c r="Q41"/>
      <c r="R41"/>
      <c r="S41"/>
      <c r="T41"/>
      <c r="U41"/>
      <c r="V41"/>
      <c r="W41"/>
      <c r="X41"/>
      <c r="Y41"/>
      <c r="Z41" s="297"/>
      <c r="AA41" s="297"/>
      <c r="AB41" s="297"/>
      <c r="AC41" s="297"/>
      <c r="AD41" s="297"/>
      <c r="AE41" s="297"/>
      <c r="AF41" s="297"/>
      <c r="AG41" s="297"/>
      <c r="AH41" s="297"/>
      <c r="AI41" s="297"/>
      <c r="AJ41" s="297"/>
      <c r="AK41" s="297"/>
      <c r="AL41" s="297"/>
      <c r="AM41" s="297"/>
      <c r="AN41" s="297"/>
      <c r="AO41" s="297"/>
      <c r="AP41" s="297"/>
      <c r="AQ41" s="297"/>
      <c r="AR41" s="297"/>
      <c r="AS41" s="297"/>
      <c r="AT41" s="297"/>
      <c r="AU41" s="297"/>
      <c r="AV41" s="297"/>
      <c r="AW41" s="297"/>
      <c r="AX41" s="297"/>
      <c r="AY41" s="297"/>
      <c r="AZ41" s="297"/>
      <c r="BA41" s="297"/>
      <c r="BB41" s="297"/>
      <c r="BC41" s="297"/>
      <c r="BD41" s="297"/>
      <c r="BE41" s="297"/>
      <c r="BF41" s="297"/>
      <c r="BG41" s="297"/>
      <c r="BH41" s="297"/>
      <c r="BI41" s="297"/>
      <c r="BJ41" s="297"/>
      <c r="BK41" s="297"/>
      <c r="BL41" s="297"/>
      <c r="BM41" s="297"/>
      <c r="BN41" s="297"/>
      <c r="BO41" s="297"/>
      <c r="BP41" s="297"/>
      <c r="BQ41" s="297"/>
      <c r="BR41" s="297"/>
      <c r="BS41" s="297"/>
      <c r="BT41" s="297"/>
      <c r="BU41" s="297"/>
      <c r="BV41" s="297"/>
      <c r="BW41" s="297"/>
      <c r="BX41" s="297"/>
      <c r="BY41" s="297"/>
      <c r="BZ41" s="297"/>
      <c r="CA41" s="297"/>
      <c r="CB41" s="297"/>
      <c r="CC41" s="297"/>
      <c r="CD41" s="297"/>
      <c r="CE41" s="297"/>
      <c r="CF41" s="297"/>
      <c r="CG41" s="297"/>
      <c r="CH41" s="297"/>
      <c r="CI41" s="297"/>
      <c r="CJ41" s="297"/>
      <c r="CK41" s="297"/>
      <c r="CL41" s="297"/>
    </row>
    <row r="42" spans="1:90" s="218" customFormat="1" ht="10.5" customHeight="1">
      <c r="A42" s="217" t="s">
        <v>155</v>
      </c>
      <c r="B42" s="268">
        <v>22.923000000000002</v>
      </c>
      <c r="C42" s="268">
        <v>733.93399999999997</v>
      </c>
      <c r="D42" s="268">
        <v>0</v>
      </c>
      <c r="E42" s="268">
        <v>756.85699999999997</v>
      </c>
      <c r="F42" s="268"/>
      <c r="G42" s="268">
        <v>0</v>
      </c>
      <c r="H42" s="268">
        <v>1323.5956872000008</v>
      </c>
      <c r="I42" s="268">
        <v>688.04504688000077</v>
      </c>
      <c r="K42"/>
      <c r="L42"/>
      <c r="M42"/>
      <c r="N42"/>
      <c r="O42"/>
      <c r="P42"/>
      <c r="Q42"/>
      <c r="R42"/>
      <c r="S42"/>
      <c r="T42"/>
      <c r="U42"/>
      <c r="V42"/>
      <c r="W42"/>
      <c r="X42"/>
      <c r="Y42"/>
    </row>
    <row r="43" spans="1:90" s="218" customFormat="1" ht="10.5" customHeight="1">
      <c r="A43" s="217" t="s">
        <v>156</v>
      </c>
      <c r="B43" s="268">
        <v>0</v>
      </c>
      <c r="C43" s="268">
        <v>0</v>
      </c>
      <c r="D43" s="268">
        <v>0</v>
      </c>
      <c r="E43" s="268">
        <v>0</v>
      </c>
      <c r="F43" s="268"/>
      <c r="G43" s="268">
        <v>0</v>
      </c>
      <c r="H43" s="268">
        <v>0</v>
      </c>
      <c r="I43" s="268">
        <v>0</v>
      </c>
      <c r="K43"/>
      <c r="L43"/>
      <c r="M43"/>
      <c r="N43"/>
      <c r="O43"/>
      <c r="P43"/>
      <c r="Q43"/>
      <c r="R43"/>
      <c r="S43"/>
      <c r="T43"/>
      <c r="U43"/>
      <c r="V43"/>
      <c r="W43"/>
      <c r="X43"/>
      <c r="Y43"/>
    </row>
    <row r="44" spans="1:90" s="218" customFormat="1" ht="10.5" customHeight="1">
      <c r="A44" s="217" t="s">
        <v>157</v>
      </c>
      <c r="B44" s="268">
        <v>0</v>
      </c>
      <c r="C44" s="268">
        <v>0</v>
      </c>
      <c r="D44" s="268">
        <v>0</v>
      </c>
      <c r="E44" s="268">
        <v>0</v>
      </c>
      <c r="F44" s="268"/>
      <c r="G44" s="268">
        <v>0</v>
      </c>
      <c r="H44" s="268">
        <v>0</v>
      </c>
      <c r="I44" s="268">
        <v>0</v>
      </c>
      <c r="K44"/>
      <c r="L44"/>
      <c r="M44"/>
      <c r="N44"/>
      <c r="O44"/>
      <c r="P44"/>
      <c r="Q44"/>
      <c r="R44"/>
      <c r="S44"/>
      <c r="T44"/>
      <c r="U44"/>
      <c r="V44"/>
      <c r="W44"/>
      <c r="X44"/>
      <c r="Y44"/>
    </row>
    <row r="45" spans="1:90" s="218" customFormat="1" ht="10.5" customHeight="1">
      <c r="A45" s="217" t="s">
        <v>158</v>
      </c>
      <c r="B45" s="268">
        <v>0</v>
      </c>
      <c r="C45" s="268">
        <v>0</v>
      </c>
      <c r="D45" s="268">
        <v>0</v>
      </c>
      <c r="E45" s="268">
        <v>0</v>
      </c>
      <c r="F45" s="268"/>
      <c r="G45" s="268">
        <v>0</v>
      </c>
      <c r="H45" s="268">
        <v>0</v>
      </c>
      <c r="I45" s="268">
        <v>0</v>
      </c>
      <c r="K45"/>
      <c r="L45"/>
      <c r="M45"/>
      <c r="N45"/>
      <c r="O45"/>
      <c r="P45"/>
      <c r="Q45"/>
      <c r="R45"/>
      <c r="S45"/>
      <c r="T45"/>
      <c r="U45"/>
      <c r="V45"/>
      <c r="W45"/>
      <c r="X45"/>
      <c r="Y45"/>
    </row>
    <row r="46" spans="1:90" s="218" customFormat="1" ht="10.5" customHeight="1">
      <c r="A46" s="298" t="s">
        <v>239</v>
      </c>
      <c r="B46" s="268">
        <v>0</v>
      </c>
      <c r="C46" s="268">
        <v>0</v>
      </c>
      <c r="D46" s="268">
        <v>0</v>
      </c>
      <c r="E46" s="268">
        <v>0</v>
      </c>
      <c r="F46" s="268"/>
      <c r="G46" s="268">
        <v>0</v>
      </c>
      <c r="H46" s="268">
        <v>0</v>
      </c>
      <c r="I46" s="268">
        <v>0</v>
      </c>
      <c r="K46"/>
      <c r="L46"/>
      <c r="M46"/>
      <c r="N46"/>
      <c r="O46"/>
      <c r="P46"/>
      <c r="Q46"/>
      <c r="R46"/>
      <c r="S46"/>
      <c r="T46"/>
      <c r="U46"/>
      <c r="V46"/>
      <c r="W46"/>
      <c r="X46"/>
      <c r="Y46"/>
    </row>
    <row r="47" spans="1:90" s="218" customFormat="1" ht="10.5" customHeight="1">
      <c r="A47" s="298" t="s">
        <v>240</v>
      </c>
      <c r="B47" s="268">
        <v>0</v>
      </c>
      <c r="C47" s="268">
        <v>0</v>
      </c>
      <c r="D47" s="268">
        <v>0</v>
      </c>
      <c r="E47" s="268">
        <v>0</v>
      </c>
      <c r="F47" s="268"/>
      <c r="G47" s="268">
        <v>0</v>
      </c>
      <c r="H47" s="268">
        <v>0</v>
      </c>
      <c r="I47" s="268">
        <v>0</v>
      </c>
      <c r="K47"/>
      <c r="L47"/>
      <c r="M47"/>
      <c r="N47"/>
      <c r="O47"/>
      <c r="P47"/>
      <c r="Q47"/>
      <c r="R47"/>
      <c r="S47"/>
      <c r="T47"/>
      <c r="U47"/>
      <c r="V47"/>
      <c r="W47"/>
      <c r="X47"/>
      <c r="Y47"/>
    </row>
    <row r="48" spans="1:90" s="218" customFormat="1" ht="10.5" customHeight="1">
      <c r="A48" s="298" t="s">
        <v>161</v>
      </c>
      <c r="B48" s="268">
        <v>0</v>
      </c>
      <c r="C48" s="268">
        <v>0</v>
      </c>
      <c r="D48" s="268">
        <v>0</v>
      </c>
      <c r="E48" s="268">
        <v>0</v>
      </c>
      <c r="F48" s="268"/>
      <c r="G48" s="268">
        <v>0</v>
      </c>
      <c r="H48" s="268">
        <v>0</v>
      </c>
      <c r="I48" s="268">
        <v>0</v>
      </c>
      <c r="K48"/>
      <c r="L48"/>
      <c r="M48"/>
      <c r="N48"/>
      <c r="O48"/>
      <c r="P48"/>
      <c r="Q48"/>
      <c r="R48"/>
      <c r="S48"/>
      <c r="T48"/>
      <c r="U48"/>
      <c r="V48"/>
      <c r="W48"/>
      <c r="X48"/>
      <c r="Y48"/>
    </row>
    <row r="49" spans="1:25" s="218" customFormat="1" ht="10.5" customHeight="1">
      <c r="A49" s="298" t="s">
        <v>241</v>
      </c>
      <c r="B49" s="268">
        <v>0</v>
      </c>
      <c r="C49" s="268">
        <v>0</v>
      </c>
      <c r="D49" s="268">
        <v>0</v>
      </c>
      <c r="E49" s="268">
        <v>0</v>
      </c>
      <c r="F49" s="268"/>
      <c r="G49" s="268">
        <v>0</v>
      </c>
      <c r="H49" s="268">
        <v>0</v>
      </c>
      <c r="I49" s="268">
        <v>0</v>
      </c>
      <c r="K49"/>
      <c r="L49"/>
      <c r="M49"/>
      <c r="N49"/>
      <c r="O49"/>
      <c r="P49"/>
      <c r="Q49"/>
      <c r="R49"/>
      <c r="S49"/>
      <c r="T49"/>
      <c r="U49"/>
      <c r="V49"/>
      <c r="W49"/>
      <c r="X49"/>
      <c r="Y49"/>
    </row>
    <row r="50" spans="1:25" s="218" customFormat="1" ht="10.5" customHeight="1">
      <c r="A50" s="298" t="s">
        <v>242</v>
      </c>
      <c r="B50" s="268">
        <v>0</v>
      </c>
      <c r="C50" s="268">
        <v>0</v>
      </c>
      <c r="D50" s="268">
        <v>0</v>
      </c>
      <c r="E50" s="268">
        <v>0</v>
      </c>
      <c r="F50" s="268"/>
      <c r="G50" s="268">
        <v>0</v>
      </c>
      <c r="H50" s="268">
        <v>0</v>
      </c>
      <c r="I50" s="268">
        <v>0</v>
      </c>
      <c r="K50"/>
      <c r="L50"/>
      <c r="M50"/>
      <c r="N50"/>
      <c r="O50"/>
      <c r="P50"/>
      <c r="Q50"/>
      <c r="R50"/>
      <c r="S50"/>
      <c r="T50"/>
      <c r="U50"/>
      <c r="V50"/>
      <c r="W50"/>
      <c r="X50"/>
      <c r="Y50"/>
    </row>
    <row r="51" spans="1:25" s="218" customFormat="1" ht="10.5" customHeight="1">
      <c r="A51" s="298" t="s">
        <v>243</v>
      </c>
      <c r="B51" s="268">
        <v>0</v>
      </c>
      <c r="C51" s="268">
        <v>0</v>
      </c>
      <c r="D51" s="268">
        <v>0</v>
      </c>
      <c r="E51" s="268">
        <v>0</v>
      </c>
      <c r="F51" s="268"/>
      <c r="G51" s="268">
        <v>0</v>
      </c>
      <c r="H51" s="268">
        <v>0</v>
      </c>
      <c r="I51" s="268">
        <v>0</v>
      </c>
      <c r="K51"/>
      <c r="L51"/>
      <c r="M51"/>
      <c r="N51"/>
      <c r="O51"/>
      <c r="P51"/>
      <c r="Q51"/>
      <c r="R51"/>
      <c r="S51"/>
      <c r="T51"/>
      <c r="U51"/>
      <c r="V51"/>
      <c r="W51"/>
      <c r="X51"/>
      <c r="Y51"/>
    </row>
    <row r="52" spans="1:25" s="218" customFormat="1" ht="10.5" customHeight="1">
      <c r="A52" s="217" t="s">
        <v>165</v>
      </c>
      <c r="B52" s="268">
        <v>0</v>
      </c>
      <c r="C52" s="268">
        <v>0</v>
      </c>
      <c r="D52" s="268">
        <v>0</v>
      </c>
      <c r="E52" s="268">
        <v>0</v>
      </c>
      <c r="F52" s="268"/>
      <c r="G52" s="268">
        <v>0</v>
      </c>
      <c r="H52" s="268">
        <v>0</v>
      </c>
      <c r="I52" s="268">
        <v>0</v>
      </c>
      <c r="K52"/>
      <c r="L52"/>
      <c r="M52"/>
      <c r="N52"/>
      <c r="O52"/>
      <c r="P52"/>
      <c r="Q52"/>
      <c r="R52"/>
      <c r="S52"/>
      <c r="T52"/>
      <c r="U52"/>
      <c r="V52"/>
      <c r="W52"/>
      <c r="X52"/>
      <c r="Y52"/>
    </row>
    <row r="53" spans="1:25" s="218" customFormat="1" ht="10.5" customHeight="1">
      <c r="A53" s="217" t="s">
        <v>166</v>
      </c>
      <c r="B53" s="268">
        <v>0</v>
      </c>
      <c r="C53" s="268">
        <v>0</v>
      </c>
      <c r="D53" s="268">
        <v>0</v>
      </c>
      <c r="E53" s="268">
        <v>0</v>
      </c>
      <c r="F53" s="268"/>
      <c r="G53" s="268">
        <v>0</v>
      </c>
      <c r="H53" s="268">
        <v>0</v>
      </c>
      <c r="I53" s="268">
        <v>0</v>
      </c>
      <c r="K53"/>
      <c r="L53"/>
      <c r="M53"/>
      <c r="N53"/>
      <c r="O53"/>
      <c r="P53"/>
      <c r="Q53"/>
      <c r="R53"/>
      <c r="S53"/>
      <c r="T53"/>
      <c r="U53"/>
      <c r="V53"/>
      <c r="W53"/>
      <c r="X53"/>
      <c r="Y53"/>
    </row>
    <row r="54" spans="1:25" s="264" customFormat="1" ht="10.5" customHeight="1">
      <c r="A54" s="261" t="s">
        <v>244</v>
      </c>
      <c r="B54" s="268">
        <v>0</v>
      </c>
      <c r="C54" s="268">
        <v>0</v>
      </c>
      <c r="D54" s="268">
        <v>0</v>
      </c>
      <c r="E54" s="268">
        <v>0</v>
      </c>
      <c r="F54" s="268"/>
      <c r="G54" s="268">
        <v>0</v>
      </c>
      <c r="H54" s="268">
        <v>0</v>
      </c>
      <c r="I54" s="268">
        <v>0</v>
      </c>
      <c r="K54"/>
      <c r="L54"/>
      <c r="M54"/>
      <c r="N54"/>
      <c r="O54"/>
      <c r="P54"/>
      <c r="Q54"/>
      <c r="R54"/>
      <c r="S54"/>
      <c r="T54"/>
      <c r="U54"/>
      <c r="V54"/>
      <c r="W54"/>
      <c r="X54"/>
      <c r="Y54"/>
    </row>
    <row r="55" spans="1:25" s="264" customFormat="1" ht="10.5" customHeight="1">
      <c r="A55" s="261" t="s">
        <v>113</v>
      </c>
      <c r="B55" s="262">
        <v>14.872000005279974</v>
      </c>
      <c r="C55" s="268">
        <v>0</v>
      </c>
      <c r="D55" s="299">
        <v>234.60278499999998</v>
      </c>
      <c r="E55" s="299">
        <v>249.47478500527995</v>
      </c>
      <c r="F55" s="262"/>
      <c r="G55" s="268">
        <v>0</v>
      </c>
      <c r="H55" s="268">
        <v>0</v>
      </c>
      <c r="I55" s="268">
        <v>0</v>
      </c>
      <c r="K55"/>
      <c r="L55"/>
      <c r="M55"/>
      <c r="N55"/>
      <c r="O55"/>
      <c r="P55"/>
      <c r="Q55"/>
      <c r="R55"/>
      <c r="S55"/>
      <c r="T55"/>
      <c r="U55"/>
      <c r="V55"/>
      <c r="W55"/>
      <c r="X55"/>
      <c r="Y55"/>
    </row>
    <row r="56" spans="1:25" s="218" customFormat="1" ht="10.5" customHeight="1">
      <c r="A56" s="217" t="s">
        <v>38</v>
      </c>
      <c r="B56" s="268">
        <v>14.872000005279974</v>
      </c>
      <c r="C56" s="268">
        <v>0</v>
      </c>
      <c r="D56" s="270">
        <v>234.60278499999998</v>
      </c>
      <c r="E56" s="270">
        <v>249.47478500527995</v>
      </c>
      <c r="F56" s="268"/>
      <c r="G56" s="268">
        <v>0</v>
      </c>
      <c r="H56" s="268">
        <v>0</v>
      </c>
      <c r="I56" s="268">
        <v>0</v>
      </c>
      <c r="K56"/>
      <c r="L56"/>
      <c r="M56"/>
      <c r="N56"/>
      <c r="O56"/>
      <c r="P56"/>
      <c r="Q56"/>
      <c r="R56"/>
      <c r="S56"/>
      <c r="T56"/>
      <c r="U56"/>
      <c r="V56"/>
      <c r="W56"/>
      <c r="X56"/>
      <c r="Y56"/>
    </row>
    <row r="57" spans="1:25" s="218" customFormat="1" ht="10.5" customHeight="1">
      <c r="A57" s="217" t="s">
        <v>171</v>
      </c>
      <c r="B57" s="268">
        <v>0</v>
      </c>
      <c r="C57" s="268">
        <v>0</v>
      </c>
      <c r="D57" s="268">
        <v>0</v>
      </c>
      <c r="E57" s="268">
        <v>0</v>
      </c>
      <c r="F57" s="268"/>
      <c r="G57" s="268">
        <v>0</v>
      </c>
      <c r="H57" s="268">
        <v>0</v>
      </c>
      <c r="I57" s="268">
        <v>0</v>
      </c>
      <c r="K57"/>
      <c r="L57"/>
      <c r="M57"/>
      <c r="N57"/>
      <c r="O57"/>
      <c r="P57"/>
      <c r="Q57"/>
      <c r="R57"/>
      <c r="S57"/>
      <c r="T57"/>
      <c r="U57"/>
      <c r="V57"/>
      <c r="W57"/>
      <c r="X57"/>
      <c r="Y57"/>
    </row>
    <row r="58" spans="1:25" s="218" customFormat="1" ht="11.25" customHeight="1">
      <c r="A58" s="217" t="s">
        <v>47</v>
      </c>
      <c r="B58" s="268">
        <v>0</v>
      </c>
      <c r="C58" s="268">
        <v>0</v>
      </c>
      <c r="D58" s="268">
        <v>0</v>
      </c>
      <c r="E58" s="268">
        <v>0</v>
      </c>
      <c r="F58" s="268"/>
      <c r="G58" s="268">
        <v>0</v>
      </c>
      <c r="H58" s="268">
        <v>0</v>
      </c>
      <c r="I58" s="268">
        <v>0</v>
      </c>
      <c r="K58"/>
      <c r="L58"/>
      <c r="M58"/>
      <c r="N58"/>
      <c r="O58"/>
      <c r="P58"/>
      <c r="Q58"/>
      <c r="R58"/>
      <c r="S58"/>
      <c r="T58"/>
      <c r="U58"/>
      <c r="V58"/>
      <c r="W58"/>
      <c r="X58"/>
      <c r="Y58"/>
    </row>
    <row r="59" spans="1:25" s="218" customFormat="1" ht="10.5" customHeight="1">
      <c r="A59" s="217" t="s">
        <v>172</v>
      </c>
      <c r="B59" s="268">
        <v>0</v>
      </c>
      <c r="C59" s="268">
        <v>0</v>
      </c>
      <c r="D59" s="268">
        <v>0</v>
      </c>
      <c r="E59" s="268">
        <v>0</v>
      </c>
      <c r="F59" s="268"/>
      <c r="G59" s="268">
        <v>0</v>
      </c>
      <c r="H59" s="268">
        <v>0</v>
      </c>
      <c r="I59" s="268">
        <v>0</v>
      </c>
      <c r="K59"/>
      <c r="L59"/>
      <c r="M59"/>
      <c r="N59"/>
      <c r="O59"/>
      <c r="P59"/>
      <c r="Q59"/>
      <c r="R59"/>
      <c r="S59"/>
      <c r="T59"/>
      <c r="U59"/>
      <c r="V59"/>
      <c r="W59"/>
      <c r="X59"/>
      <c r="Y59"/>
    </row>
    <row r="60" spans="1:25" s="218" customFormat="1" ht="10.5" customHeight="1">
      <c r="A60" s="217" t="s">
        <v>173</v>
      </c>
      <c r="B60" s="268">
        <v>0</v>
      </c>
      <c r="C60" s="268">
        <v>0</v>
      </c>
      <c r="D60" s="268">
        <v>0</v>
      </c>
      <c r="E60" s="268">
        <v>0</v>
      </c>
      <c r="F60" s="268"/>
      <c r="G60" s="268">
        <v>0</v>
      </c>
      <c r="H60" s="268">
        <v>0</v>
      </c>
      <c r="I60" s="268">
        <v>0</v>
      </c>
      <c r="K60"/>
      <c r="L60"/>
      <c r="M60"/>
      <c r="N60"/>
      <c r="O60"/>
      <c r="P60"/>
      <c r="Q60"/>
      <c r="R60"/>
      <c r="S60"/>
      <c r="T60"/>
      <c r="U60"/>
      <c r="V60"/>
      <c r="W60"/>
      <c r="X60"/>
      <c r="Y60"/>
    </row>
    <row r="61" spans="1:25" s="275" customFormat="1" ht="10.5" customHeight="1" thickBot="1">
      <c r="A61" s="300" t="s">
        <v>174</v>
      </c>
      <c r="B61" s="301">
        <v>0</v>
      </c>
      <c r="C61" s="301">
        <v>0</v>
      </c>
      <c r="D61" s="301">
        <v>0</v>
      </c>
      <c r="E61" s="301">
        <v>0</v>
      </c>
      <c r="F61" s="302"/>
      <c r="G61" s="301">
        <v>0</v>
      </c>
      <c r="H61" s="301">
        <v>0</v>
      </c>
      <c r="I61" s="301">
        <v>0</v>
      </c>
      <c r="K61"/>
      <c r="L61"/>
      <c r="M61"/>
      <c r="N61"/>
      <c r="O61"/>
      <c r="P61"/>
      <c r="Q61"/>
      <c r="R61"/>
      <c r="S61"/>
      <c r="T61"/>
      <c r="U61"/>
      <c r="V61"/>
      <c r="W61"/>
      <c r="X61"/>
      <c r="Y61"/>
    </row>
    <row r="62" spans="1:25" s="275" customFormat="1" ht="3" customHeight="1" thickTop="1">
      <c r="A62" s="303"/>
      <c r="B62" s="302"/>
      <c r="C62" s="302"/>
      <c r="D62" s="302"/>
      <c r="E62" s="302"/>
      <c r="F62" s="302"/>
      <c r="G62" s="302"/>
      <c r="H62" s="302"/>
      <c r="I62" s="302"/>
      <c r="K62"/>
      <c r="L62"/>
      <c r="M62"/>
      <c r="N62"/>
      <c r="O62"/>
      <c r="P62"/>
      <c r="Q62"/>
      <c r="R62"/>
      <c r="S62"/>
      <c r="T62"/>
      <c r="U62"/>
      <c r="V62"/>
      <c r="W62"/>
      <c r="X62"/>
      <c r="Y62"/>
    </row>
    <row r="63" spans="1:25" s="234" customFormat="1" ht="10.5" customHeight="1">
      <c r="A63" s="304" t="s">
        <v>391</v>
      </c>
      <c r="B63" s="218"/>
      <c r="C63" s="305"/>
      <c r="D63" s="304" t="s">
        <v>392</v>
      </c>
      <c r="E63" s="218"/>
      <c r="F63" s="218"/>
      <c r="G63" s="218"/>
      <c r="H63" s="218"/>
      <c r="I63" s="218"/>
      <c r="K63"/>
      <c r="L63"/>
      <c r="M63"/>
      <c r="N63"/>
      <c r="O63"/>
      <c r="P63"/>
      <c r="Q63"/>
      <c r="R63"/>
      <c r="S63"/>
      <c r="T63"/>
      <c r="U63"/>
      <c r="V63"/>
      <c r="W63"/>
      <c r="X63"/>
      <c r="Y63"/>
    </row>
    <row r="64" spans="1:25" s="234" customFormat="1" ht="10.5" customHeight="1">
      <c r="A64" s="304" t="s">
        <v>393</v>
      </c>
      <c r="B64" s="218"/>
      <c r="C64" s="218"/>
      <c r="D64" s="304" t="s">
        <v>394</v>
      </c>
      <c r="E64" s="218"/>
      <c r="F64" s="218"/>
      <c r="G64" s="218"/>
      <c r="H64" s="218"/>
      <c r="I64" s="218"/>
      <c r="K64"/>
      <c r="L64"/>
      <c r="M64"/>
      <c r="N64"/>
      <c r="O64"/>
      <c r="P64"/>
      <c r="Q64"/>
      <c r="R64"/>
      <c r="S64"/>
      <c r="T64"/>
      <c r="U64"/>
      <c r="V64"/>
      <c r="W64"/>
      <c r="X64"/>
      <c r="Y64"/>
    </row>
    <row r="65" spans="1:25" s="234" customFormat="1" ht="10.5" customHeight="1">
      <c r="A65" s="304" t="s">
        <v>395</v>
      </c>
      <c r="B65" s="218"/>
      <c r="C65" s="218"/>
      <c r="D65" s="304" t="s">
        <v>396</v>
      </c>
      <c r="E65" s="218"/>
      <c r="F65" s="218"/>
      <c r="G65" s="218"/>
      <c r="H65" s="218"/>
      <c r="I65" s="218"/>
      <c r="K65"/>
      <c r="L65"/>
      <c r="M65"/>
      <c r="N65"/>
      <c r="O65"/>
      <c r="P65"/>
      <c r="Q65"/>
      <c r="R65"/>
      <c r="S65"/>
      <c r="T65"/>
      <c r="U65"/>
      <c r="V65"/>
      <c r="W65"/>
      <c r="X65"/>
      <c r="Y65"/>
    </row>
    <row r="66" spans="1:25" s="234" customFormat="1" ht="10.5" customHeight="1">
      <c r="A66" s="304" t="s">
        <v>397</v>
      </c>
      <c r="B66" s="218"/>
      <c r="C66" s="218"/>
      <c r="D66" s="218"/>
      <c r="E66" s="218"/>
      <c r="F66" s="218"/>
      <c r="G66" s="218"/>
      <c r="H66" s="218"/>
      <c r="I66" s="218"/>
      <c r="K66"/>
      <c r="L66"/>
      <c r="M66"/>
      <c r="N66"/>
      <c r="O66"/>
      <c r="P66"/>
      <c r="Q66"/>
      <c r="R66"/>
      <c r="S66"/>
      <c r="T66"/>
      <c r="U66"/>
      <c r="V66"/>
      <c r="W66"/>
      <c r="X66"/>
      <c r="Y66"/>
    </row>
    <row r="67" spans="1:25" s="218" customFormat="1">
      <c r="K67"/>
      <c r="L67"/>
      <c r="M67"/>
      <c r="N67"/>
      <c r="O67"/>
      <c r="P67"/>
      <c r="Q67"/>
      <c r="R67"/>
      <c r="S67"/>
      <c r="T67"/>
      <c r="U67"/>
      <c r="V67"/>
      <c r="W67"/>
      <c r="X67"/>
      <c r="Y67"/>
    </row>
    <row r="68" spans="1:25" s="218" customFormat="1">
      <c r="K68"/>
      <c r="L68"/>
      <c r="M68"/>
      <c r="N68"/>
      <c r="O68"/>
      <c r="P68"/>
      <c r="Q68"/>
      <c r="R68"/>
      <c r="S68"/>
      <c r="T68"/>
      <c r="U68"/>
      <c r="V68"/>
      <c r="W68"/>
      <c r="X68"/>
      <c r="Y68"/>
    </row>
    <row r="69" spans="1:25" s="218" customFormat="1">
      <c r="K69"/>
      <c r="L69"/>
      <c r="M69"/>
      <c r="N69"/>
      <c r="O69"/>
      <c r="P69"/>
      <c r="Q69"/>
      <c r="R69"/>
      <c r="S69"/>
      <c r="T69"/>
      <c r="U69"/>
      <c r="V69"/>
      <c r="W69"/>
      <c r="X69"/>
      <c r="Y69"/>
    </row>
    <row r="70" spans="1:25" s="218" customFormat="1">
      <c r="K70"/>
      <c r="L70"/>
      <c r="M70"/>
      <c r="N70"/>
      <c r="O70"/>
      <c r="P70"/>
      <c r="Q70"/>
      <c r="R70"/>
      <c r="S70"/>
      <c r="T70"/>
      <c r="U70"/>
      <c r="V70"/>
      <c r="W70"/>
      <c r="X70"/>
      <c r="Y70"/>
    </row>
    <row r="71" spans="1:25" s="218" customFormat="1">
      <c r="K71"/>
      <c r="L71"/>
      <c r="M71"/>
      <c r="N71"/>
      <c r="O71"/>
      <c r="P71"/>
      <c r="Q71"/>
      <c r="R71"/>
      <c r="S71"/>
      <c r="T71"/>
      <c r="U71"/>
      <c r="V71"/>
      <c r="W71"/>
      <c r="X71"/>
      <c r="Y71"/>
    </row>
    <row r="72" spans="1:25" s="218" customFormat="1">
      <c r="K72"/>
      <c r="L72"/>
      <c r="M72"/>
      <c r="N72"/>
      <c r="O72"/>
      <c r="P72"/>
      <c r="Q72"/>
      <c r="R72"/>
      <c r="S72"/>
      <c r="T72"/>
      <c r="U72"/>
      <c r="V72"/>
      <c r="W72"/>
      <c r="X72"/>
      <c r="Y72"/>
    </row>
    <row r="73" spans="1:25" s="218" customFormat="1">
      <c r="K73"/>
      <c r="L73"/>
      <c r="M73"/>
      <c r="N73"/>
      <c r="O73"/>
      <c r="P73"/>
      <c r="Q73"/>
      <c r="R73"/>
      <c r="S73"/>
      <c r="T73"/>
      <c r="U73"/>
      <c r="V73"/>
      <c r="W73"/>
      <c r="X73"/>
      <c r="Y73"/>
    </row>
    <row r="74" spans="1:25" s="218" customFormat="1">
      <c r="K74"/>
      <c r="L74"/>
      <c r="M74"/>
      <c r="N74"/>
      <c r="O74"/>
      <c r="P74"/>
      <c r="Q74"/>
      <c r="R74"/>
      <c r="S74"/>
      <c r="T74"/>
      <c r="U74"/>
      <c r="V74"/>
      <c r="W74"/>
      <c r="X74"/>
      <c r="Y74"/>
    </row>
    <row r="75" spans="1:25" s="218" customFormat="1">
      <c r="K75"/>
      <c r="L75"/>
      <c r="M75"/>
      <c r="N75"/>
      <c r="O75"/>
      <c r="P75"/>
      <c r="Q75"/>
      <c r="R75"/>
      <c r="S75"/>
      <c r="T75"/>
      <c r="U75"/>
      <c r="V75"/>
      <c r="W75"/>
      <c r="X75"/>
      <c r="Y75"/>
    </row>
    <row r="76" spans="1:25" s="218" customFormat="1">
      <c r="K76"/>
      <c r="L76"/>
      <c r="M76"/>
      <c r="N76"/>
      <c r="O76"/>
      <c r="P76"/>
      <c r="Q76"/>
      <c r="R76"/>
      <c r="S76"/>
      <c r="T76"/>
      <c r="U76"/>
      <c r="V76"/>
      <c r="W76"/>
      <c r="X76"/>
      <c r="Y76"/>
    </row>
    <row r="77" spans="1:25" s="218" customFormat="1">
      <c r="K77"/>
      <c r="L77"/>
      <c r="M77"/>
      <c r="N77"/>
      <c r="O77"/>
      <c r="P77"/>
      <c r="Q77"/>
      <c r="R77"/>
      <c r="S77"/>
      <c r="T77"/>
      <c r="U77"/>
      <c r="V77"/>
      <c r="W77"/>
      <c r="X77"/>
      <c r="Y77"/>
    </row>
    <row r="78" spans="1:25" s="218" customFormat="1">
      <c r="K78"/>
      <c r="L78"/>
      <c r="M78"/>
      <c r="N78"/>
      <c r="O78"/>
      <c r="P78"/>
      <c r="Q78"/>
      <c r="R78"/>
      <c r="S78"/>
      <c r="T78"/>
      <c r="U78"/>
      <c r="V78"/>
      <c r="W78"/>
      <c r="X78"/>
      <c r="Y78"/>
    </row>
    <row r="79" spans="1:25" s="218" customFormat="1">
      <c r="K79"/>
      <c r="L79"/>
      <c r="M79"/>
      <c r="N79"/>
      <c r="O79"/>
      <c r="P79"/>
      <c r="Q79"/>
      <c r="R79"/>
      <c r="S79"/>
      <c r="T79"/>
      <c r="U79"/>
      <c r="V79"/>
      <c r="W79"/>
      <c r="X79"/>
      <c r="Y79"/>
    </row>
    <row r="80" spans="1:25" s="218" customFormat="1">
      <c r="K80"/>
      <c r="L80"/>
      <c r="M80"/>
      <c r="N80"/>
      <c r="O80"/>
      <c r="P80"/>
      <c r="Q80"/>
      <c r="R80"/>
      <c r="S80"/>
      <c r="T80"/>
      <c r="U80"/>
      <c r="V80"/>
      <c r="W80"/>
      <c r="X80"/>
      <c r="Y80"/>
    </row>
    <row r="81" spans="11:25" s="218" customFormat="1">
      <c r="K81"/>
      <c r="L81"/>
      <c r="M81"/>
      <c r="N81"/>
      <c r="O81"/>
      <c r="P81"/>
      <c r="Q81"/>
      <c r="R81"/>
      <c r="S81"/>
      <c r="T81"/>
      <c r="U81"/>
      <c r="V81"/>
      <c r="W81"/>
      <c r="X81"/>
      <c r="Y81"/>
    </row>
    <row r="82" spans="11:25" s="218" customFormat="1">
      <c r="K82"/>
      <c r="L82"/>
      <c r="M82"/>
      <c r="N82"/>
      <c r="O82"/>
      <c r="P82"/>
      <c r="Q82"/>
      <c r="R82"/>
      <c r="S82"/>
      <c r="T82"/>
      <c r="U82"/>
      <c r="V82"/>
      <c r="W82"/>
      <c r="X82"/>
      <c r="Y82"/>
    </row>
    <row r="83" spans="11:25" s="218" customFormat="1">
      <c r="K83"/>
      <c r="L83"/>
      <c r="M83"/>
      <c r="N83"/>
      <c r="O83"/>
      <c r="P83"/>
      <c r="Q83"/>
      <c r="R83"/>
      <c r="S83"/>
      <c r="T83"/>
      <c r="U83"/>
      <c r="V83"/>
      <c r="W83"/>
      <c r="X83"/>
      <c r="Y83"/>
    </row>
    <row r="84" spans="11:25" s="218" customFormat="1">
      <c r="K84"/>
      <c r="L84"/>
      <c r="M84"/>
      <c r="N84"/>
      <c r="O84"/>
      <c r="P84"/>
      <c r="Q84"/>
      <c r="R84"/>
      <c r="S84"/>
      <c r="T84"/>
      <c r="U84"/>
      <c r="V84"/>
      <c r="W84"/>
      <c r="X84"/>
      <c r="Y84"/>
    </row>
    <row r="85" spans="11:25" s="218" customFormat="1">
      <c r="K85"/>
      <c r="L85"/>
      <c r="M85"/>
      <c r="N85"/>
      <c r="O85"/>
      <c r="P85"/>
      <c r="Q85"/>
      <c r="R85"/>
      <c r="S85"/>
      <c r="T85"/>
      <c r="U85"/>
      <c r="V85"/>
      <c r="W85"/>
      <c r="X85"/>
      <c r="Y85"/>
    </row>
    <row r="86" spans="11:25" s="218" customFormat="1">
      <c r="K86"/>
      <c r="L86"/>
      <c r="M86"/>
      <c r="N86"/>
      <c r="O86"/>
      <c r="P86"/>
      <c r="Q86"/>
      <c r="R86"/>
      <c r="S86"/>
      <c r="T86"/>
      <c r="U86"/>
      <c r="V86"/>
      <c r="W86"/>
      <c r="X86"/>
      <c r="Y86"/>
    </row>
    <row r="87" spans="11:25" s="218" customFormat="1">
      <c r="K87"/>
      <c r="L87"/>
      <c r="M87"/>
      <c r="N87"/>
      <c r="O87"/>
      <c r="P87"/>
      <c r="Q87"/>
      <c r="R87"/>
      <c r="S87"/>
      <c r="T87"/>
      <c r="U87"/>
      <c r="V87"/>
      <c r="W87"/>
      <c r="X87"/>
      <c r="Y87"/>
    </row>
    <row r="88" spans="11:25" s="218" customFormat="1">
      <c r="K88"/>
      <c r="L88"/>
      <c r="M88"/>
      <c r="N88"/>
      <c r="O88"/>
      <c r="P88"/>
      <c r="Q88"/>
      <c r="R88"/>
      <c r="S88"/>
      <c r="T88"/>
      <c r="U88"/>
      <c r="V88"/>
      <c r="W88"/>
      <c r="X88"/>
      <c r="Y88"/>
    </row>
    <row r="89" spans="11:25" s="218" customFormat="1">
      <c r="K89"/>
      <c r="L89"/>
      <c r="M89"/>
      <c r="N89"/>
      <c r="O89"/>
      <c r="P89"/>
      <c r="Q89"/>
      <c r="R89"/>
      <c r="S89"/>
      <c r="T89"/>
      <c r="U89"/>
      <c r="V89"/>
      <c r="W89"/>
      <c r="X89"/>
      <c r="Y89"/>
    </row>
    <row r="90" spans="11:25" s="218" customFormat="1">
      <c r="K90"/>
      <c r="L90"/>
      <c r="M90"/>
      <c r="N90"/>
      <c r="O90"/>
      <c r="P90"/>
      <c r="Q90"/>
      <c r="R90"/>
      <c r="S90"/>
      <c r="T90"/>
      <c r="U90"/>
      <c r="V90"/>
      <c r="W90"/>
      <c r="X90"/>
      <c r="Y90"/>
    </row>
    <row r="91" spans="11:25" s="218" customFormat="1">
      <c r="K91"/>
      <c r="L91"/>
      <c r="M91"/>
      <c r="N91"/>
      <c r="O91"/>
      <c r="P91"/>
      <c r="Q91"/>
      <c r="R91"/>
      <c r="S91"/>
      <c r="T91"/>
      <c r="U91"/>
      <c r="V91"/>
      <c r="W91"/>
      <c r="X91"/>
      <c r="Y91"/>
    </row>
    <row r="92" spans="11:25" s="218" customFormat="1">
      <c r="K92"/>
      <c r="L92"/>
      <c r="M92"/>
      <c r="N92"/>
      <c r="O92"/>
      <c r="P92"/>
      <c r="Q92"/>
      <c r="R92"/>
      <c r="S92"/>
      <c r="T92"/>
      <c r="U92"/>
      <c r="V92"/>
      <c r="W92"/>
      <c r="X92"/>
      <c r="Y92"/>
    </row>
    <row r="93" spans="11:25" s="218" customFormat="1">
      <c r="K93"/>
      <c r="L93"/>
      <c r="M93"/>
      <c r="N93"/>
      <c r="O93"/>
      <c r="P93"/>
      <c r="Q93"/>
      <c r="R93"/>
      <c r="S93"/>
      <c r="T93"/>
      <c r="U93"/>
      <c r="V93"/>
      <c r="W93"/>
      <c r="X93"/>
      <c r="Y93"/>
    </row>
    <row r="94" spans="11:25" s="218" customFormat="1" ht="12"/>
    <row r="95" spans="11:25" s="218" customFormat="1" ht="12"/>
    <row r="96" spans="11:25" s="218" customFormat="1" ht="12"/>
    <row r="97" s="218" customFormat="1" ht="12"/>
    <row r="98" s="218" customFormat="1" ht="12"/>
    <row r="99" s="218" customFormat="1" ht="12"/>
    <row r="100" s="218" customFormat="1" ht="12"/>
    <row r="101" s="218" customFormat="1" ht="12"/>
    <row r="102" s="218" customFormat="1" ht="12"/>
    <row r="103" s="218" customFormat="1" ht="12"/>
    <row r="104" s="218" customFormat="1" ht="12"/>
    <row r="105" s="218" customFormat="1" ht="12"/>
    <row r="106" s="218" customFormat="1" ht="12"/>
    <row r="107" s="218" customFormat="1" ht="12"/>
    <row r="108" s="218" customFormat="1" ht="12"/>
    <row r="109" s="218" customFormat="1" ht="12"/>
    <row r="110" s="218" customFormat="1" ht="12"/>
    <row r="111" s="218" customFormat="1" ht="12"/>
    <row r="112" s="218" customFormat="1" ht="12"/>
    <row r="113" s="218" customFormat="1" ht="12"/>
    <row r="114" s="218" customFormat="1" ht="12"/>
    <row r="115" s="218" customFormat="1" ht="12"/>
    <row r="116" s="218" customFormat="1" ht="12"/>
    <row r="117" s="218" customFormat="1" ht="12"/>
    <row r="118" s="218" customFormat="1" ht="12"/>
    <row r="119" s="218" customFormat="1" ht="12"/>
    <row r="120" s="218" customFormat="1" ht="12"/>
    <row r="121" s="218" customFormat="1" ht="12"/>
    <row r="122" s="218" customFormat="1" ht="12"/>
    <row r="123" s="218" customFormat="1" ht="12"/>
    <row r="124" s="218" customFormat="1" ht="12"/>
    <row r="125" s="218" customFormat="1" ht="12"/>
    <row r="126" s="218" customFormat="1" ht="12"/>
    <row r="127" s="218" customFormat="1" ht="12"/>
    <row r="128" s="218" customFormat="1" ht="12"/>
    <row r="129" s="218" customFormat="1" ht="12"/>
    <row r="130" s="218" customFormat="1" ht="12"/>
    <row r="131" s="218" customFormat="1" ht="12"/>
    <row r="132" s="218" customFormat="1" ht="12"/>
  </sheetData>
  <mergeCells count="1">
    <mergeCell ref="A3:E3"/>
  </mergeCells>
  <pageMargins left="0.6692913385826772" right="0.6692913385826772" top="0.51181102362204722" bottom="0.51181102362204722" header="0.27559055118110237" footer="0.27559055118110237"/>
  <pageSetup paperSize="9" orientation="portrait"/>
  <headerFooter alignWithMargins="0">
    <oddFooter>&amp;C54</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enableFormatConditionsCalculation="0">
    <pageSetUpPr fitToPage="1"/>
  </sheetPr>
  <dimension ref="A1:Q119"/>
  <sheetViews>
    <sheetView workbookViewId="0"/>
  </sheetViews>
  <sheetFormatPr baseColWidth="10" defaultColWidth="8.83203125" defaultRowHeight="13" x14ac:dyDescent="0"/>
  <cols>
    <col min="1" max="1" width="27.1640625" style="315" customWidth="1"/>
    <col min="2" max="5" width="10.5" style="314" customWidth="1"/>
    <col min="6" max="6" width="10.5" style="315" customWidth="1"/>
    <col min="7" max="9" width="10.5" style="316" customWidth="1"/>
    <col min="10" max="10" width="10.5" style="315" customWidth="1"/>
    <col min="11" max="12" width="12.6640625" style="315" customWidth="1"/>
    <col min="13" max="256" width="8.83203125" style="315"/>
    <col min="257" max="266" width="10.5" style="315" customWidth="1"/>
    <col min="267" max="268" width="12.6640625" style="315" customWidth="1"/>
    <col min="269" max="512" width="8.83203125" style="315"/>
    <col min="513" max="522" width="10.5" style="315" customWidth="1"/>
    <col min="523" max="524" width="12.6640625" style="315" customWidth="1"/>
    <col min="525" max="768" width="8.83203125" style="315"/>
    <col min="769" max="778" width="10.5" style="315" customWidth="1"/>
    <col min="779" max="780" width="12.6640625" style="315" customWidth="1"/>
    <col min="781" max="1024" width="8.83203125" style="315"/>
    <col min="1025" max="1034" width="10.5" style="315" customWidth="1"/>
    <col min="1035" max="1036" width="12.6640625" style="315" customWidth="1"/>
    <col min="1037" max="1280" width="8.83203125" style="315"/>
    <col min="1281" max="1290" width="10.5" style="315" customWidth="1"/>
    <col min="1291" max="1292" width="12.6640625" style="315" customWidth="1"/>
    <col min="1293" max="1536" width="8.83203125" style="315"/>
    <col min="1537" max="1546" width="10.5" style="315" customWidth="1"/>
    <col min="1547" max="1548" width="12.6640625" style="315" customWidth="1"/>
    <col min="1549" max="1792" width="8.83203125" style="315"/>
    <col min="1793" max="1802" width="10.5" style="315" customWidth="1"/>
    <col min="1803" max="1804" width="12.6640625" style="315" customWidth="1"/>
    <col min="1805" max="2048" width="8.83203125" style="315"/>
    <col min="2049" max="2058" width="10.5" style="315" customWidth="1"/>
    <col min="2059" max="2060" width="12.6640625" style="315" customWidth="1"/>
    <col min="2061" max="2304" width="8.83203125" style="315"/>
    <col min="2305" max="2314" width="10.5" style="315" customWidth="1"/>
    <col min="2315" max="2316" width="12.6640625" style="315" customWidth="1"/>
    <col min="2317" max="2560" width="8.83203125" style="315"/>
    <col min="2561" max="2570" width="10.5" style="315" customWidth="1"/>
    <col min="2571" max="2572" width="12.6640625" style="315" customWidth="1"/>
    <col min="2573" max="2816" width="8.83203125" style="315"/>
    <col min="2817" max="2826" width="10.5" style="315" customWidth="1"/>
    <col min="2827" max="2828" width="12.6640625" style="315" customWidth="1"/>
    <col min="2829" max="3072" width="8.83203125" style="315"/>
    <col min="3073" max="3082" width="10.5" style="315" customWidth="1"/>
    <col min="3083" max="3084" width="12.6640625" style="315" customWidth="1"/>
    <col min="3085" max="3328" width="8.83203125" style="315"/>
    <col min="3329" max="3338" width="10.5" style="315" customWidth="1"/>
    <col min="3339" max="3340" width="12.6640625" style="315" customWidth="1"/>
    <col min="3341" max="3584" width="8.83203125" style="315"/>
    <col min="3585" max="3594" width="10.5" style="315" customWidth="1"/>
    <col min="3595" max="3596" width="12.6640625" style="315" customWidth="1"/>
    <col min="3597" max="3840" width="8.83203125" style="315"/>
    <col min="3841" max="3850" width="10.5" style="315" customWidth="1"/>
    <col min="3851" max="3852" width="12.6640625" style="315" customWidth="1"/>
    <col min="3853" max="4096" width="8.83203125" style="315"/>
    <col min="4097" max="4106" width="10.5" style="315" customWidth="1"/>
    <col min="4107" max="4108" width="12.6640625" style="315" customWidth="1"/>
    <col min="4109" max="4352" width="8.83203125" style="315"/>
    <col min="4353" max="4362" width="10.5" style="315" customWidth="1"/>
    <col min="4363" max="4364" width="12.6640625" style="315" customWidth="1"/>
    <col min="4365" max="4608" width="8.83203125" style="315"/>
    <col min="4609" max="4618" width="10.5" style="315" customWidth="1"/>
    <col min="4619" max="4620" width="12.6640625" style="315" customWidth="1"/>
    <col min="4621" max="4864" width="8.83203125" style="315"/>
    <col min="4865" max="4874" width="10.5" style="315" customWidth="1"/>
    <col min="4875" max="4876" width="12.6640625" style="315" customWidth="1"/>
    <col min="4877" max="5120" width="8.83203125" style="315"/>
    <col min="5121" max="5130" width="10.5" style="315" customWidth="1"/>
    <col min="5131" max="5132" width="12.6640625" style="315" customWidth="1"/>
    <col min="5133" max="5376" width="8.83203125" style="315"/>
    <col min="5377" max="5386" width="10.5" style="315" customWidth="1"/>
    <col min="5387" max="5388" width="12.6640625" style="315" customWidth="1"/>
    <col min="5389" max="5632" width="8.83203125" style="315"/>
    <col min="5633" max="5642" width="10.5" style="315" customWidth="1"/>
    <col min="5643" max="5644" width="12.6640625" style="315" customWidth="1"/>
    <col min="5645" max="5888" width="8.83203125" style="315"/>
    <col min="5889" max="5898" width="10.5" style="315" customWidth="1"/>
    <col min="5899" max="5900" width="12.6640625" style="315" customWidth="1"/>
    <col min="5901" max="6144" width="8.83203125" style="315"/>
    <col min="6145" max="6154" width="10.5" style="315" customWidth="1"/>
    <col min="6155" max="6156" width="12.6640625" style="315" customWidth="1"/>
    <col min="6157" max="6400" width="8.83203125" style="315"/>
    <col min="6401" max="6410" width="10.5" style="315" customWidth="1"/>
    <col min="6411" max="6412" width="12.6640625" style="315" customWidth="1"/>
    <col min="6413" max="6656" width="8.83203125" style="315"/>
    <col min="6657" max="6666" width="10.5" style="315" customWidth="1"/>
    <col min="6667" max="6668" width="12.6640625" style="315" customWidth="1"/>
    <col min="6669" max="6912" width="8.83203125" style="315"/>
    <col min="6913" max="6922" width="10.5" style="315" customWidth="1"/>
    <col min="6923" max="6924" width="12.6640625" style="315" customWidth="1"/>
    <col min="6925" max="7168" width="8.83203125" style="315"/>
    <col min="7169" max="7178" width="10.5" style="315" customWidth="1"/>
    <col min="7179" max="7180" width="12.6640625" style="315" customWidth="1"/>
    <col min="7181" max="7424" width="8.83203125" style="315"/>
    <col min="7425" max="7434" width="10.5" style="315" customWidth="1"/>
    <col min="7435" max="7436" width="12.6640625" style="315" customWidth="1"/>
    <col min="7437" max="7680" width="8.83203125" style="315"/>
    <col min="7681" max="7690" width="10.5" style="315" customWidth="1"/>
    <col min="7691" max="7692" width="12.6640625" style="315" customWidth="1"/>
    <col min="7693" max="7936" width="8.83203125" style="315"/>
    <col min="7937" max="7946" width="10.5" style="315" customWidth="1"/>
    <col min="7947" max="7948" width="12.6640625" style="315" customWidth="1"/>
    <col min="7949" max="8192" width="8.83203125" style="315"/>
    <col min="8193" max="8202" width="10.5" style="315" customWidth="1"/>
    <col min="8203" max="8204" width="12.6640625" style="315" customWidth="1"/>
    <col min="8205" max="8448" width="8.83203125" style="315"/>
    <col min="8449" max="8458" width="10.5" style="315" customWidth="1"/>
    <col min="8459" max="8460" width="12.6640625" style="315" customWidth="1"/>
    <col min="8461" max="8704" width="8.83203125" style="315"/>
    <col min="8705" max="8714" width="10.5" style="315" customWidth="1"/>
    <col min="8715" max="8716" width="12.6640625" style="315" customWidth="1"/>
    <col min="8717" max="8960" width="8.83203125" style="315"/>
    <col min="8961" max="8970" width="10.5" style="315" customWidth="1"/>
    <col min="8971" max="8972" width="12.6640625" style="315" customWidth="1"/>
    <col min="8973" max="9216" width="8.83203125" style="315"/>
    <col min="9217" max="9226" width="10.5" style="315" customWidth="1"/>
    <col min="9227" max="9228" width="12.6640625" style="315" customWidth="1"/>
    <col min="9229" max="9472" width="8.83203125" style="315"/>
    <col min="9473" max="9482" width="10.5" style="315" customWidth="1"/>
    <col min="9483" max="9484" width="12.6640625" style="315" customWidth="1"/>
    <col min="9485" max="9728" width="8.83203125" style="315"/>
    <col min="9729" max="9738" width="10.5" style="315" customWidth="1"/>
    <col min="9739" max="9740" width="12.6640625" style="315" customWidth="1"/>
    <col min="9741" max="9984" width="8.83203125" style="315"/>
    <col min="9985" max="9994" width="10.5" style="315" customWidth="1"/>
    <col min="9995" max="9996" width="12.6640625" style="315" customWidth="1"/>
    <col min="9997" max="10240" width="8.83203125" style="315"/>
    <col min="10241" max="10250" width="10.5" style="315" customWidth="1"/>
    <col min="10251" max="10252" width="12.6640625" style="315" customWidth="1"/>
    <col min="10253" max="10496" width="8.83203125" style="315"/>
    <col min="10497" max="10506" width="10.5" style="315" customWidth="1"/>
    <col min="10507" max="10508" width="12.6640625" style="315" customWidth="1"/>
    <col min="10509" max="10752" width="8.83203125" style="315"/>
    <col min="10753" max="10762" width="10.5" style="315" customWidth="1"/>
    <col min="10763" max="10764" width="12.6640625" style="315" customWidth="1"/>
    <col min="10765" max="11008" width="8.83203125" style="315"/>
    <col min="11009" max="11018" width="10.5" style="315" customWidth="1"/>
    <col min="11019" max="11020" width="12.6640625" style="315" customWidth="1"/>
    <col min="11021" max="11264" width="8.83203125" style="315"/>
    <col min="11265" max="11274" width="10.5" style="315" customWidth="1"/>
    <col min="11275" max="11276" width="12.6640625" style="315" customWidth="1"/>
    <col min="11277" max="11520" width="8.83203125" style="315"/>
    <col min="11521" max="11530" width="10.5" style="315" customWidth="1"/>
    <col min="11531" max="11532" width="12.6640625" style="315" customWidth="1"/>
    <col min="11533" max="11776" width="8.83203125" style="315"/>
    <col min="11777" max="11786" width="10.5" style="315" customWidth="1"/>
    <col min="11787" max="11788" width="12.6640625" style="315" customWidth="1"/>
    <col min="11789" max="12032" width="8.83203125" style="315"/>
    <col min="12033" max="12042" width="10.5" style="315" customWidth="1"/>
    <col min="12043" max="12044" width="12.6640625" style="315" customWidth="1"/>
    <col min="12045" max="12288" width="8.83203125" style="315"/>
    <col min="12289" max="12298" width="10.5" style="315" customWidth="1"/>
    <col min="12299" max="12300" width="12.6640625" style="315" customWidth="1"/>
    <col min="12301" max="12544" width="8.83203125" style="315"/>
    <col min="12545" max="12554" width="10.5" style="315" customWidth="1"/>
    <col min="12555" max="12556" width="12.6640625" style="315" customWidth="1"/>
    <col min="12557" max="12800" width="8.83203125" style="315"/>
    <col min="12801" max="12810" width="10.5" style="315" customWidth="1"/>
    <col min="12811" max="12812" width="12.6640625" style="315" customWidth="1"/>
    <col min="12813" max="13056" width="8.83203125" style="315"/>
    <col min="13057" max="13066" width="10.5" style="315" customWidth="1"/>
    <col min="13067" max="13068" width="12.6640625" style="315" customWidth="1"/>
    <col min="13069" max="13312" width="8.83203125" style="315"/>
    <col min="13313" max="13322" width="10.5" style="315" customWidth="1"/>
    <col min="13323" max="13324" width="12.6640625" style="315" customWidth="1"/>
    <col min="13325" max="13568" width="8.83203125" style="315"/>
    <col min="13569" max="13578" width="10.5" style="315" customWidth="1"/>
    <col min="13579" max="13580" width="12.6640625" style="315" customWidth="1"/>
    <col min="13581" max="13824" width="8.83203125" style="315"/>
    <col min="13825" max="13834" width="10.5" style="315" customWidth="1"/>
    <col min="13835" max="13836" width="12.6640625" style="315" customWidth="1"/>
    <col min="13837" max="14080" width="8.83203125" style="315"/>
    <col min="14081" max="14090" width="10.5" style="315" customWidth="1"/>
    <col min="14091" max="14092" width="12.6640625" style="315" customWidth="1"/>
    <col min="14093" max="14336" width="8.83203125" style="315"/>
    <col min="14337" max="14346" width="10.5" style="315" customWidth="1"/>
    <col min="14347" max="14348" width="12.6640625" style="315" customWidth="1"/>
    <col min="14349" max="14592" width="8.83203125" style="315"/>
    <col min="14593" max="14602" width="10.5" style="315" customWidth="1"/>
    <col min="14603" max="14604" width="12.6640625" style="315" customWidth="1"/>
    <col min="14605" max="14848" width="8.83203125" style="315"/>
    <col min="14849" max="14858" width="10.5" style="315" customWidth="1"/>
    <col min="14859" max="14860" width="12.6640625" style="315" customWidth="1"/>
    <col min="14861" max="15104" width="8.83203125" style="315"/>
    <col min="15105" max="15114" width="10.5" style="315" customWidth="1"/>
    <col min="15115" max="15116" width="12.6640625" style="315" customWidth="1"/>
    <col min="15117" max="15360" width="8.83203125" style="315"/>
    <col min="15361" max="15370" width="10.5" style="315" customWidth="1"/>
    <col min="15371" max="15372" width="12.6640625" style="315" customWidth="1"/>
    <col min="15373" max="15616" width="8.83203125" style="315"/>
    <col min="15617" max="15626" width="10.5" style="315" customWidth="1"/>
    <col min="15627" max="15628" width="12.6640625" style="315" customWidth="1"/>
    <col min="15629" max="15872" width="8.83203125" style="315"/>
    <col min="15873" max="15882" width="10.5" style="315" customWidth="1"/>
    <col min="15883" max="15884" width="12.6640625" style="315" customWidth="1"/>
    <col min="15885" max="16128" width="8.83203125" style="315"/>
    <col min="16129" max="16138" width="10.5" style="315" customWidth="1"/>
    <col min="16139" max="16140" width="12.6640625" style="315" customWidth="1"/>
    <col min="16141" max="16384" width="8.83203125" style="315"/>
  </cols>
  <sheetData>
    <row r="1" spans="1:17" s="312" customFormat="1" ht="26">
      <c r="A1" s="306" t="s">
        <v>434</v>
      </c>
      <c r="B1" s="307"/>
      <c r="C1" s="307"/>
      <c r="D1" s="307"/>
      <c r="E1" s="307"/>
      <c r="F1" s="308"/>
      <c r="G1" s="308"/>
      <c r="H1" s="309"/>
      <c r="I1" s="310"/>
      <c r="J1" s="311"/>
      <c r="K1" s="311"/>
      <c r="L1" s="311"/>
    </row>
    <row r="2" spans="1:17" ht="18" customHeight="1">
      <c r="A2" s="313" t="s">
        <v>5</v>
      </c>
      <c r="H2" s="317"/>
      <c r="I2" s="310"/>
      <c r="J2" s="318"/>
      <c r="K2" s="318"/>
      <c r="L2" s="318"/>
    </row>
    <row r="3" spans="1:17" ht="12.75" customHeight="1" thickBot="1">
      <c r="A3" s="319"/>
      <c r="B3" s="319"/>
      <c r="C3" s="319"/>
      <c r="D3" s="319"/>
      <c r="E3" s="319"/>
      <c r="I3" s="320"/>
      <c r="K3" s="320"/>
      <c r="L3" s="320" t="s">
        <v>372</v>
      </c>
    </row>
    <row r="4" spans="1:17" ht="14" thickTop="1">
      <c r="A4" s="321"/>
      <c r="B4" s="322">
        <v>1998</v>
      </c>
      <c r="C4" s="322">
        <v>1999</v>
      </c>
      <c r="D4" s="322">
        <v>2000</v>
      </c>
      <c r="E4" s="322">
        <v>2001</v>
      </c>
      <c r="F4" s="322">
        <v>2002</v>
      </c>
      <c r="G4" s="323">
        <v>2003</v>
      </c>
      <c r="H4" s="323">
        <v>2004</v>
      </c>
      <c r="I4" s="323">
        <v>2005</v>
      </c>
      <c r="J4" s="323">
        <v>2006</v>
      </c>
      <c r="K4" s="324">
        <v>2007</v>
      </c>
      <c r="L4" s="324">
        <v>2008</v>
      </c>
    </row>
    <row r="5" spans="1:17" ht="11.25" customHeight="1">
      <c r="A5" s="325" t="s">
        <v>435</v>
      </c>
      <c r="B5" s="326"/>
      <c r="C5" s="326"/>
      <c r="D5" s="326"/>
      <c r="E5" s="326"/>
      <c r="F5" s="326"/>
      <c r="G5" s="327"/>
      <c r="H5" s="327"/>
      <c r="I5" s="327"/>
      <c r="J5" s="327"/>
      <c r="K5" s="328"/>
      <c r="L5" s="328"/>
    </row>
    <row r="6" spans="1:17" ht="10.5" customHeight="1">
      <c r="A6" s="325" t="s">
        <v>66</v>
      </c>
      <c r="B6" s="326"/>
      <c r="C6" s="326"/>
      <c r="D6" s="326"/>
      <c r="E6" s="326"/>
      <c r="F6" s="326"/>
      <c r="G6" s="327"/>
      <c r="H6" s="327"/>
      <c r="I6" s="327"/>
      <c r="J6" s="327"/>
      <c r="K6" s="329"/>
      <c r="L6" s="329"/>
    </row>
    <row r="7" spans="1:17" ht="10.5" customHeight="1">
      <c r="A7" s="330" t="s">
        <v>229</v>
      </c>
      <c r="B7" s="331">
        <v>361078</v>
      </c>
      <c r="C7" s="331">
        <v>365250</v>
      </c>
      <c r="D7" s="331">
        <v>374374</v>
      </c>
      <c r="E7" s="331">
        <v>382356</v>
      </c>
      <c r="F7" s="331">
        <v>384594</v>
      </c>
      <c r="G7" s="331">
        <v>395475</v>
      </c>
      <c r="H7" s="332">
        <v>391218.6877095456</v>
      </c>
      <c r="I7" s="332">
        <v>395382.84676819755</v>
      </c>
      <c r="J7" s="333">
        <v>393439.74485443806</v>
      </c>
      <c r="K7" s="334">
        <v>393184.3387592379</v>
      </c>
      <c r="L7" s="335">
        <v>385560.22494830529</v>
      </c>
      <c r="N7" s="335"/>
      <c r="O7" s="334"/>
      <c r="P7" s="334"/>
      <c r="Q7" s="335"/>
    </row>
    <row r="8" spans="1:17" ht="10.5" customHeight="1">
      <c r="A8" s="330" t="s">
        <v>436</v>
      </c>
      <c r="B8" s="331">
        <v>1624</v>
      </c>
      <c r="C8" s="331">
        <v>2902</v>
      </c>
      <c r="D8" s="331">
        <v>2694</v>
      </c>
      <c r="E8" s="331">
        <v>2422</v>
      </c>
      <c r="F8" s="331">
        <v>2652</v>
      </c>
      <c r="G8" s="331">
        <v>2734</v>
      </c>
      <c r="H8" s="332">
        <v>2648.5490306581578</v>
      </c>
      <c r="I8" s="332">
        <v>2929.7584574999996</v>
      </c>
      <c r="J8" s="332">
        <v>3852.6022349999998</v>
      </c>
      <c r="K8" s="335">
        <v>3859.226181</v>
      </c>
      <c r="L8" s="335">
        <v>4088.9413800000007</v>
      </c>
      <c r="N8" s="335"/>
      <c r="O8" s="335"/>
      <c r="P8" s="335"/>
      <c r="Q8" s="335"/>
    </row>
    <row r="9" spans="1:17" ht="10.5" customHeight="1">
      <c r="A9" s="330" t="s">
        <v>4</v>
      </c>
      <c r="B9" s="331">
        <v>12599</v>
      </c>
      <c r="C9" s="331">
        <v>14507</v>
      </c>
      <c r="D9" s="331">
        <v>14308</v>
      </c>
      <c r="E9" s="331">
        <v>10663</v>
      </c>
      <c r="F9" s="331">
        <v>9182</v>
      </c>
      <c r="G9" s="331">
        <v>5119</v>
      </c>
      <c r="H9" s="332">
        <v>9783.8487368421065</v>
      </c>
      <c r="I9" s="332">
        <v>11160.064999999999</v>
      </c>
      <c r="J9" s="332">
        <v>10281.69605</v>
      </c>
      <c r="K9" s="335">
        <v>8612.8860000000022</v>
      </c>
      <c r="L9" s="335">
        <v>12293.68098323957</v>
      </c>
      <c r="N9" s="335"/>
      <c r="O9" s="335"/>
      <c r="P9" s="335"/>
      <c r="Q9" s="335"/>
    </row>
    <row r="10" spans="1:17" ht="10.5" customHeight="1">
      <c r="A10" s="330" t="s">
        <v>135</v>
      </c>
      <c r="B10" s="331">
        <v>-131</v>
      </c>
      <c r="C10" s="331">
        <v>-263</v>
      </c>
      <c r="D10" s="331">
        <v>-134</v>
      </c>
      <c r="E10" s="331">
        <v>-264</v>
      </c>
      <c r="F10" s="331">
        <v>-768</v>
      </c>
      <c r="G10" s="331">
        <v>-2959</v>
      </c>
      <c r="H10" s="332">
        <v>-2294</v>
      </c>
      <c r="I10" s="332">
        <v>-2839.2</v>
      </c>
      <c r="J10" s="332">
        <v>-2764.7199000000001</v>
      </c>
      <c r="K10" s="335">
        <v>-3398.3617500000014</v>
      </c>
      <c r="L10" s="335">
        <v>-1271.5793242227455</v>
      </c>
      <c r="N10" s="335"/>
      <c r="O10" s="335"/>
      <c r="P10" s="335"/>
      <c r="Q10" s="335"/>
    </row>
    <row r="11" spans="1:17" ht="10.5" customHeight="1">
      <c r="A11" s="330" t="s">
        <v>136</v>
      </c>
      <c r="B11" s="331">
        <v>0</v>
      </c>
      <c r="C11" s="331">
        <v>0</v>
      </c>
      <c r="D11" s="331" t="s">
        <v>437</v>
      </c>
      <c r="E11" s="331" t="s">
        <v>437</v>
      </c>
      <c r="F11" s="331" t="s">
        <v>437</v>
      </c>
      <c r="G11" s="331">
        <v>0</v>
      </c>
      <c r="H11" s="332">
        <v>0</v>
      </c>
      <c r="I11" s="332">
        <v>0</v>
      </c>
      <c r="J11" s="332">
        <v>0</v>
      </c>
      <c r="K11" s="335">
        <v>0</v>
      </c>
      <c r="L11" s="335">
        <v>0</v>
      </c>
      <c r="N11" s="335"/>
      <c r="O11" s="335"/>
      <c r="P11" s="335"/>
      <c r="Q11" s="335"/>
    </row>
    <row r="12" spans="1:17" ht="10.5" customHeight="1">
      <c r="A12" s="330" t="s">
        <v>438</v>
      </c>
      <c r="B12" s="331">
        <v>0</v>
      </c>
      <c r="C12" s="331">
        <v>0</v>
      </c>
      <c r="D12" s="331" t="s">
        <v>437</v>
      </c>
      <c r="E12" s="331" t="s">
        <v>437</v>
      </c>
      <c r="F12" s="331" t="s">
        <v>437</v>
      </c>
      <c r="G12" s="331">
        <v>0</v>
      </c>
      <c r="H12" s="332">
        <v>0</v>
      </c>
      <c r="I12" s="332">
        <v>0</v>
      </c>
      <c r="J12" s="332">
        <v>0</v>
      </c>
      <c r="K12" s="335">
        <v>0</v>
      </c>
      <c r="L12" s="335">
        <v>0</v>
      </c>
      <c r="N12" s="335"/>
      <c r="O12" s="335"/>
      <c r="P12" s="335"/>
      <c r="Q12" s="335"/>
    </row>
    <row r="13" spans="1:17" ht="10.5" customHeight="1">
      <c r="A13" s="336" t="s">
        <v>141</v>
      </c>
      <c r="B13" s="331">
        <v>0</v>
      </c>
      <c r="C13" s="331">
        <v>0</v>
      </c>
      <c r="D13" s="331" t="s">
        <v>437</v>
      </c>
      <c r="E13" s="331" t="s">
        <v>437</v>
      </c>
      <c r="F13" s="331" t="s">
        <v>437</v>
      </c>
      <c r="G13" s="331">
        <v>0</v>
      </c>
      <c r="H13" s="332">
        <v>0</v>
      </c>
      <c r="I13" s="332">
        <v>0</v>
      </c>
      <c r="J13" s="332">
        <v>0</v>
      </c>
      <c r="K13" s="337">
        <v>0</v>
      </c>
      <c r="L13" s="335">
        <v>0</v>
      </c>
      <c r="N13" s="335"/>
      <c r="O13" s="335"/>
      <c r="P13" s="335"/>
      <c r="Q13" s="335"/>
    </row>
    <row r="14" spans="1:17" s="342" customFormat="1" ht="10.5" customHeight="1">
      <c r="A14" s="338" t="s">
        <v>233</v>
      </c>
      <c r="B14" s="339">
        <v>375170</v>
      </c>
      <c r="C14" s="339">
        <v>382396</v>
      </c>
      <c r="D14" s="339">
        <v>391243</v>
      </c>
      <c r="E14" s="339">
        <v>395177</v>
      </c>
      <c r="F14" s="339">
        <v>395661</v>
      </c>
      <c r="G14" s="339">
        <v>400369</v>
      </c>
      <c r="H14" s="340">
        <v>401356.91205599322</v>
      </c>
      <c r="I14" s="340">
        <v>406633.49122569757</v>
      </c>
      <c r="J14" s="341">
        <v>404809.32323943806</v>
      </c>
      <c r="K14" s="341">
        <v>402258.08919023792</v>
      </c>
      <c r="L14" s="340">
        <v>400671.26798732206</v>
      </c>
      <c r="N14" s="335"/>
      <c r="O14" s="334"/>
      <c r="P14" s="334"/>
      <c r="Q14" s="335"/>
    </row>
    <row r="15" spans="1:17" s="342" customFormat="1" ht="10.5" customHeight="1">
      <c r="A15" s="338" t="s">
        <v>439</v>
      </c>
      <c r="B15" s="343">
        <v>1861</v>
      </c>
      <c r="C15" s="343">
        <v>1564</v>
      </c>
      <c r="D15" s="343">
        <v>1497</v>
      </c>
      <c r="E15" s="343">
        <v>1167</v>
      </c>
      <c r="F15" s="343">
        <v>983</v>
      </c>
      <c r="G15" s="343">
        <v>2208</v>
      </c>
      <c r="H15" s="344">
        <v>2386.7683979548747</v>
      </c>
      <c r="I15" s="344">
        <v>2382.2539049094776</v>
      </c>
      <c r="J15" s="345">
        <v>1045.8537374696461</v>
      </c>
      <c r="K15" s="345">
        <v>983.87671508395579</v>
      </c>
      <c r="L15" s="344">
        <v>1052.5228208390181</v>
      </c>
      <c r="N15" s="335"/>
      <c r="O15" s="334"/>
      <c r="P15" s="334"/>
      <c r="Q15" s="335"/>
    </row>
    <row r="16" spans="1:17" s="342" customFormat="1" ht="10.5" customHeight="1">
      <c r="A16" s="338" t="s">
        <v>236</v>
      </c>
      <c r="B16" s="339">
        <v>373309</v>
      </c>
      <c r="C16" s="339">
        <v>380832</v>
      </c>
      <c r="D16" s="339">
        <v>389746</v>
      </c>
      <c r="E16" s="339">
        <v>394010</v>
      </c>
      <c r="F16" s="339">
        <v>394678</v>
      </c>
      <c r="G16" s="339">
        <v>398161</v>
      </c>
      <c r="H16" s="340">
        <v>398970.14365803835</v>
      </c>
      <c r="I16" s="340">
        <v>404251.23732078809</v>
      </c>
      <c r="J16" s="341">
        <v>403763.46950196841</v>
      </c>
      <c r="K16" s="341">
        <v>401274.21247515397</v>
      </c>
      <c r="L16" s="340">
        <v>399618.74516648304</v>
      </c>
      <c r="N16" s="335"/>
      <c r="O16" s="334"/>
      <c r="P16" s="334"/>
      <c r="Q16" s="335"/>
    </row>
    <row r="17" spans="1:17" ht="10.5" customHeight="1">
      <c r="A17" s="325" t="s">
        <v>142</v>
      </c>
      <c r="B17" s="331">
        <v>0</v>
      </c>
      <c r="C17" s="331">
        <v>0</v>
      </c>
      <c r="D17" s="331"/>
      <c r="E17" s="331"/>
      <c r="F17" s="331"/>
      <c r="G17" s="331">
        <v>0</v>
      </c>
      <c r="H17" s="332">
        <v>0</v>
      </c>
      <c r="I17" s="332">
        <v>0</v>
      </c>
      <c r="J17" s="332">
        <v>0</v>
      </c>
      <c r="K17" s="332">
        <v>0</v>
      </c>
      <c r="L17" s="335">
        <v>0</v>
      </c>
      <c r="N17" s="335"/>
      <c r="O17" s="335"/>
      <c r="P17" s="335"/>
      <c r="Q17" s="335"/>
    </row>
    <row r="18" spans="1:17" ht="10.5" customHeight="1">
      <c r="A18" s="330" t="s">
        <v>143</v>
      </c>
      <c r="B18" s="331">
        <v>0</v>
      </c>
      <c r="C18" s="331">
        <v>0</v>
      </c>
      <c r="D18" s="331" t="s">
        <v>437</v>
      </c>
      <c r="E18" s="331" t="s">
        <v>437</v>
      </c>
      <c r="F18" s="331" t="s">
        <v>437</v>
      </c>
      <c r="G18" s="331">
        <v>0</v>
      </c>
      <c r="H18" s="332">
        <v>0</v>
      </c>
      <c r="I18" s="332">
        <v>0</v>
      </c>
      <c r="J18" s="332">
        <v>0</v>
      </c>
      <c r="K18" s="332">
        <v>0</v>
      </c>
      <c r="L18" s="335">
        <v>0</v>
      </c>
      <c r="N18" s="335"/>
      <c r="O18" s="335"/>
      <c r="P18" s="335"/>
      <c r="Q18" s="335"/>
    </row>
    <row r="19" spans="1:17" ht="10.5" customHeight="1">
      <c r="A19" s="330" t="s">
        <v>237</v>
      </c>
      <c r="B19" s="331">
        <v>0</v>
      </c>
      <c r="C19" s="331">
        <v>0</v>
      </c>
      <c r="D19" s="331" t="s">
        <v>437</v>
      </c>
      <c r="E19" s="331" t="s">
        <v>437</v>
      </c>
      <c r="F19" s="331" t="s">
        <v>437</v>
      </c>
      <c r="G19" s="331">
        <v>0</v>
      </c>
      <c r="H19" s="332">
        <v>0</v>
      </c>
      <c r="I19" s="332">
        <v>0</v>
      </c>
      <c r="J19" s="332">
        <v>0</v>
      </c>
      <c r="K19" s="332">
        <v>0</v>
      </c>
      <c r="L19" s="335">
        <v>0</v>
      </c>
      <c r="N19" s="335"/>
      <c r="O19" s="335"/>
      <c r="P19" s="335"/>
      <c r="Q19" s="335"/>
    </row>
    <row r="20" spans="1:17" ht="10.5" customHeight="1">
      <c r="A20" s="330" t="s">
        <v>440</v>
      </c>
      <c r="B20" s="331">
        <v>0</v>
      </c>
      <c r="C20" s="331">
        <v>0</v>
      </c>
      <c r="D20" s="331" t="s">
        <v>437</v>
      </c>
      <c r="E20" s="331" t="s">
        <v>437</v>
      </c>
      <c r="F20" s="331" t="s">
        <v>437</v>
      </c>
      <c r="G20" s="331">
        <v>0</v>
      </c>
      <c r="H20" s="332">
        <v>0</v>
      </c>
      <c r="I20" s="332">
        <v>0</v>
      </c>
      <c r="J20" s="332">
        <v>0</v>
      </c>
      <c r="K20" s="332">
        <v>0</v>
      </c>
      <c r="L20" s="335">
        <v>0</v>
      </c>
      <c r="N20" s="335"/>
      <c r="O20" s="335"/>
      <c r="P20" s="335"/>
      <c r="Q20" s="335"/>
    </row>
    <row r="21" spans="1:17" ht="10.5" customHeight="1">
      <c r="A21" s="330" t="s">
        <v>145</v>
      </c>
      <c r="B21" s="331">
        <v>0</v>
      </c>
      <c r="C21" s="331">
        <v>0</v>
      </c>
      <c r="D21" s="331" t="s">
        <v>437</v>
      </c>
      <c r="E21" s="331" t="s">
        <v>437</v>
      </c>
      <c r="F21" s="331" t="s">
        <v>437</v>
      </c>
      <c r="G21" s="331">
        <v>0</v>
      </c>
      <c r="H21" s="332">
        <v>0</v>
      </c>
      <c r="I21" s="332">
        <v>0</v>
      </c>
      <c r="J21" s="332">
        <v>0</v>
      </c>
      <c r="K21" s="332">
        <v>0</v>
      </c>
      <c r="L21" s="335">
        <v>0</v>
      </c>
      <c r="N21" s="335"/>
      <c r="O21" s="335"/>
      <c r="P21" s="335"/>
      <c r="Q21" s="335"/>
    </row>
    <row r="22" spans="1:17" ht="10.5" customHeight="1">
      <c r="A22" s="330" t="s">
        <v>146</v>
      </c>
      <c r="B22" s="331">
        <v>0</v>
      </c>
      <c r="C22" s="331">
        <v>0</v>
      </c>
      <c r="D22" s="331" t="s">
        <v>437</v>
      </c>
      <c r="E22" s="331" t="s">
        <v>437</v>
      </c>
      <c r="F22" s="331" t="s">
        <v>437</v>
      </c>
      <c r="G22" s="331">
        <v>0</v>
      </c>
      <c r="H22" s="332">
        <v>0</v>
      </c>
      <c r="I22" s="332">
        <v>0</v>
      </c>
      <c r="J22" s="332">
        <v>0</v>
      </c>
      <c r="K22" s="332">
        <v>0</v>
      </c>
      <c r="L22" s="335">
        <v>0</v>
      </c>
      <c r="N22" s="335"/>
      <c r="O22" s="335"/>
      <c r="P22" s="335"/>
      <c r="Q22" s="335"/>
    </row>
    <row r="23" spans="1:17" ht="10.5" customHeight="1">
      <c r="A23" s="330" t="s">
        <v>147</v>
      </c>
      <c r="B23" s="331">
        <v>0</v>
      </c>
      <c r="C23" s="331">
        <v>0</v>
      </c>
      <c r="D23" s="331" t="s">
        <v>437</v>
      </c>
      <c r="E23" s="331" t="s">
        <v>437</v>
      </c>
      <c r="F23" s="331" t="s">
        <v>437</v>
      </c>
      <c r="G23" s="331">
        <v>0</v>
      </c>
      <c r="H23" s="332">
        <v>0</v>
      </c>
      <c r="I23" s="332">
        <v>0</v>
      </c>
      <c r="J23" s="332">
        <v>0</v>
      </c>
      <c r="K23" s="332">
        <v>0</v>
      </c>
      <c r="L23" s="335">
        <v>0</v>
      </c>
      <c r="N23" s="335"/>
      <c r="O23" s="335"/>
      <c r="P23" s="335"/>
      <c r="Q23" s="335"/>
    </row>
    <row r="24" spans="1:17" ht="10.5" customHeight="1">
      <c r="A24" s="330" t="s">
        <v>115</v>
      </c>
      <c r="B24" s="331">
        <v>0</v>
      </c>
      <c r="C24" s="331">
        <v>0</v>
      </c>
      <c r="D24" s="331" t="s">
        <v>437</v>
      </c>
      <c r="E24" s="331" t="s">
        <v>437</v>
      </c>
      <c r="F24" s="331" t="s">
        <v>437</v>
      </c>
      <c r="G24" s="331">
        <v>0</v>
      </c>
      <c r="H24" s="332">
        <v>0</v>
      </c>
      <c r="I24" s="332">
        <v>0</v>
      </c>
      <c r="J24" s="332">
        <v>0</v>
      </c>
      <c r="K24" s="332">
        <v>0</v>
      </c>
      <c r="L24" s="335">
        <v>0</v>
      </c>
      <c r="N24" s="335"/>
      <c r="O24" s="335"/>
      <c r="P24" s="335"/>
      <c r="Q24" s="335"/>
    </row>
    <row r="25" spans="1:17" ht="10.5" customHeight="1">
      <c r="A25" s="330" t="s">
        <v>148</v>
      </c>
      <c r="B25" s="331">
        <v>0</v>
      </c>
      <c r="C25" s="331">
        <v>0</v>
      </c>
      <c r="D25" s="331" t="s">
        <v>437</v>
      </c>
      <c r="E25" s="331" t="s">
        <v>437</v>
      </c>
      <c r="F25" s="331" t="s">
        <v>437</v>
      </c>
      <c r="G25" s="331">
        <v>0</v>
      </c>
      <c r="H25" s="332">
        <v>0</v>
      </c>
      <c r="I25" s="332">
        <v>0</v>
      </c>
      <c r="J25" s="332">
        <v>0</v>
      </c>
      <c r="K25" s="332">
        <v>0</v>
      </c>
      <c r="L25" s="335">
        <v>0</v>
      </c>
      <c r="N25" s="335"/>
      <c r="O25" s="335"/>
      <c r="P25" s="335"/>
      <c r="Q25" s="335"/>
    </row>
    <row r="26" spans="1:17" ht="10.5" customHeight="1">
      <c r="A26" s="330" t="s">
        <v>113</v>
      </c>
      <c r="B26" s="346">
        <v>0</v>
      </c>
      <c r="C26" s="346">
        <v>0</v>
      </c>
      <c r="D26" s="346" t="s">
        <v>437</v>
      </c>
      <c r="E26" s="346" t="s">
        <v>437</v>
      </c>
      <c r="F26" s="346" t="s">
        <v>437</v>
      </c>
      <c r="G26" s="346">
        <v>0</v>
      </c>
      <c r="H26" s="337">
        <v>0</v>
      </c>
      <c r="I26" s="337">
        <v>0</v>
      </c>
      <c r="J26" s="337">
        <v>0</v>
      </c>
      <c r="K26" s="337">
        <v>0</v>
      </c>
      <c r="L26" s="337">
        <v>0</v>
      </c>
      <c r="N26" s="335"/>
      <c r="O26" s="335"/>
      <c r="P26" s="335"/>
      <c r="Q26" s="335"/>
    </row>
    <row r="27" spans="1:17" ht="10.5" customHeight="1">
      <c r="A27" s="347" t="s">
        <v>149</v>
      </c>
      <c r="B27" s="348">
        <v>29674</v>
      </c>
      <c r="C27" s="349">
        <v>29790</v>
      </c>
      <c r="D27" s="349">
        <v>30680</v>
      </c>
      <c r="E27" s="349">
        <v>30387</v>
      </c>
      <c r="F27" s="349">
        <v>31297</v>
      </c>
      <c r="G27" s="349">
        <v>32081</v>
      </c>
      <c r="H27" s="350">
        <v>29293.615522453129</v>
      </c>
      <c r="I27" s="350">
        <v>30102.476169496709</v>
      </c>
      <c r="J27" s="351">
        <v>32055.399004121558</v>
      </c>
      <c r="K27" s="352">
        <v>33440.802512267299</v>
      </c>
      <c r="L27" s="353">
        <v>30631.914397338212</v>
      </c>
      <c r="N27" s="335"/>
      <c r="O27" s="334"/>
      <c r="P27" s="334"/>
      <c r="Q27" s="335"/>
    </row>
    <row r="28" spans="1:17" ht="10.5" customHeight="1">
      <c r="A28" s="330" t="s">
        <v>143</v>
      </c>
      <c r="B28" s="331">
        <v>17408</v>
      </c>
      <c r="C28" s="331">
        <v>16707</v>
      </c>
      <c r="D28" s="331">
        <v>16304</v>
      </c>
      <c r="E28" s="331">
        <v>17394</v>
      </c>
      <c r="F28" s="331">
        <v>17126</v>
      </c>
      <c r="G28" s="331">
        <v>18136</v>
      </c>
      <c r="H28" s="332">
        <v>17029.87770255061</v>
      </c>
      <c r="I28" s="332">
        <v>17870.819478206584</v>
      </c>
      <c r="J28" s="333">
        <v>18503.65157384261</v>
      </c>
      <c r="K28" s="333">
        <v>17698.703740064098</v>
      </c>
      <c r="L28" s="332">
        <v>16317.073155912076</v>
      </c>
      <c r="N28" s="335"/>
      <c r="O28" s="334"/>
      <c r="P28" s="334"/>
      <c r="Q28" s="335"/>
    </row>
    <row r="29" spans="1:17" ht="10.5" customHeight="1">
      <c r="A29" s="330" t="s">
        <v>150</v>
      </c>
      <c r="B29" s="331">
        <v>537</v>
      </c>
      <c r="C29" s="331">
        <v>408</v>
      </c>
      <c r="D29" s="331">
        <v>527</v>
      </c>
      <c r="E29" s="331">
        <v>675</v>
      </c>
      <c r="F29" s="331">
        <v>540</v>
      </c>
      <c r="G29" s="331">
        <v>551</v>
      </c>
      <c r="H29" s="332">
        <v>557.81400000000008</v>
      </c>
      <c r="I29" s="332">
        <v>505.30099999999999</v>
      </c>
      <c r="J29" s="332">
        <v>545.75172797805396</v>
      </c>
      <c r="K29" s="332">
        <v>560.38416424020738</v>
      </c>
      <c r="L29" s="332">
        <v>598.16165095818883</v>
      </c>
      <c r="N29" s="335"/>
      <c r="O29" s="335"/>
      <c r="P29" s="335"/>
      <c r="Q29" s="335"/>
    </row>
    <row r="30" spans="1:17" ht="10.5" customHeight="1">
      <c r="A30" s="330" t="s">
        <v>146</v>
      </c>
      <c r="B30" s="331">
        <v>5136</v>
      </c>
      <c r="C30" s="331">
        <v>4981</v>
      </c>
      <c r="D30" s="331">
        <v>6362</v>
      </c>
      <c r="E30" s="331">
        <v>5231</v>
      </c>
      <c r="F30" s="331">
        <v>6553</v>
      </c>
      <c r="G30" s="331">
        <v>5769</v>
      </c>
      <c r="H30" s="332">
        <v>4680.7694584707706</v>
      </c>
      <c r="I30" s="332">
        <v>4459.0197418678472</v>
      </c>
      <c r="J30" s="333">
        <v>4660.3413291404404</v>
      </c>
      <c r="K30" s="333">
        <v>6695.5015551946326</v>
      </c>
      <c r="L30" s="332">
        <v>5099.3465471477793</v>
      </c>
      <c r="N30" s="335"/>
      <c r="O30" s="335"/>
      <c r="P30" s="334"/>
      <c r="Q30" s="335"/>
    </row>
    <row r="31" spans="1:17" ht="10.5" customHeight="1">
      <c r="A31" s="330" t="s">
        <v>441</v>
      </c>
      <c r="B31" s="331">
        <v>1334</v>
      </c>
      <c r="C31" s="331">
        <v>1358</v>
      </c>
      <c r="D31" s="331">
        <v>1283</v>
      </c>
      <c r="E31" s="331">
        <v>1223</v>
      </c>
      <c r="F31" s="331">
        <v>1163</v>
      </c>
      <c r="G31" s="331">
        <v>1190</v>
      </c>
      <c r="H31" s="332">
        <v>1118.4720384121426</v>
      </c>
      <c r="I31" s="332">
        <v>1164.5939865789617</v>
      </c>
      <c r="J31" s="335">
        <v>1132.8524079633023</v>
      </c>
      <c r="K31" s="335">
        <v>1072.7425235078895</v>
      </c>
      <c r="L31" s="335">
        <v>1057.9655040797359</v>
      </c>
      <c r="N31" s="335"/>
      <c r="O31" s="335"/>
      <c r="P31" s="335"/>
      <c r="Q31" s="335"/>
    </row>
    <row r="32" spans="1:17" ht="10.5" customHeight="1">
      <c r="A32" s="330" t="s">
        <v>115</v>
      </c>
      <c r="B32" s="331">
        <v>948</v>
      </c>
      <c r="C32" s="331">
        <v>948</v>
      </c>
      <c r="D32" s="331">
        <v>877</v>
      </c>
      <c r="E32" s="331">
        <v>885</v>
      </c>
      <c r="F32" s="331">
        <v>502</v>
      </c>
      <c r="G32" s="331">
        <v>492</v>
      </c>
      <c r="H32" s="332">
        <v>467.53666612231899</v>
      </c>
      <c r="I32" s="332">
        <v>514.53054136496291</v>
      </c>
      <c r="J32" s="335">
        <v>496.61216070798349</v>
      </c>
      <c r="K32" s="335">
        <v>478.78538460714367</v>
      </c>
      <c r="L32" s="335">
        <v>452.04373382916361</v>
      </c>
      <c r="N32" s="335"/>
      <c r="O32" s="335"/>
      <c r="P32" s="335"/>
      <c r="Q32" s="335"/>
    </row>
    <row r="33" spans="1:17" ht="10.5" customHeight="1">
      <c r="A33" s="330" t="s">
        <v>148</v>
      </c>
      <c r="B33" s="331">
        <v>0</v>
      </c>
      <c r="C33" s="331">
        <v>0</v>
      </c>
      <c r="D33" s="331" t="s">
        <v>437</v>
      </c>
      <c r="E33" s="331" t="s">
        <v>437</v>
      </c>
      <c r="F33" s="331" t="s">
        <v>437</v>
      </c>
      <c r="G33" s="331">
        <v>0</v>
      </c>
      <c r="H33" s="332">
        <v>0</v>
      </c>
      <c r="I33" s="332">
        <v>0</v>
      </c>
      <c r="J33" s="335">
        <v>0</v>
      </c>
      <c r="K33" s="335">
        <v>0</v>
      </c>
      <c r="L33" s="335">
        <v>0</v>
      </c>
      <c r="N33" s="335"/>
      <c r="O33" s="335"/>
      <c r="P33" s="335"/>
      <c r="Q33" s="335"/>
    </row>
    <row r="34" spans="1:17" ht="10.5" customHeight="1">
      <c r="A34" s="330" t="s">
        <v>152</v>
      </c>
      <c r="B34" s="331">
        <v>2594</v>
      </c>
      <c r="C34" s="331">
        <v>3774</v>
      </c>
      <c r="D34" s="331">
        <v>3499</v>
      </c>
      <c r="E34" s="331">
        <v>3210</v>
      </c>
      <c r="F34" s="331">
        <v>3463</v>
      </c>
      <c r="G34" s="331">
        <v>3546</v>
      </c>
      <c r="H34" s="332">
        <v>3497.1021796315795</v>
      </c>
      <c r="I34" s="332">
        <v>3706.8240499999997</v>
      </c>
      <c r="J34" s="335">
        <v>4917.84</v>
      </c>
      <c r="K34" s="335">
        <v>5071.2659999999996</v>
      </c>
      <c r="L34" s="335">
        <v>5371.3050000000003</v>
      </c>
      <c r="N34" s="335"/>
      <c r="O34" s="335"/>
      <c r="P34" s="335"/>
      <c r="Q34" s="335"/>
    </row>
    <row r="35" spans="1:17" ht="10.5" customHeight="1">
      <c r="A35" s="330" t="s">
        <v>113</v>
      </c>
      <c r="B35" s="354">
        <v>1717</v>
      </c>
      <c r="C35" s="331">
        <v>1614</v>
      </c>
      <c r="D35" s="331">
        <v>1828</v>
      </c>
      <c r="E35" s="331">
        <v>1769</v>
      </c>
      <c r="F35" s="331">
        <v>1950</v>
      </c>
      <c r="G35" s="331">
        <v>2398</v>
      </c>
      <c r="H35" s="355">
        <v>1942.0434772657059</v>
      </c>
      <c r="I35" s="355">
        <v>1881.387371478356</v>
      </c>
      <c r="J35" s="334">
        <v>1798.3498044891694</v>
      </c>
      <c r="K35" s="334">
        <v>1863.4191446533296</v>
      </c>
      <c r="L35" s="335">
        <v>1736.0188054112691</v>
      </c>
      <c r="N35" s="335"/>
      <c r="O35" s="335"/>
      <c r="P35" s="335"/>
      <c r="Q35" s="335"/>
    </row>
    <row r="36" spans="1:17" s="357" customFormat="1" ht="10.5" customHeight="1">
      <c r="A36" s="325" t="s">
        <v>52</v>
      </c>
      <c r="B36" s="356">
        <v>27957</v>
      </c>
      <c r="C36" s="348">
        <v>28298</v>
      </c>
      <c r="D36" s="348">
        <v>29649</v>
      </c>
      <c r="E36" s="348">
        <v>30902</v>
      </c>
      <c r="F36" s="348">
        <v>29980</v>
      </c>
      <c r="G36" s="348">
        <v>29862</v>
      </c>
      <c r="H36" s="355">
        <v>30727.769540000001</v>
      </c>
      <c r="I36" s="355">
        <v>27674.096887604406</v>
      </c>
      <c r="J36" s="352">
        <v>27410.40361586582</v>
      </c>
      <c r="K36" s="352">
        <v>26469.290502553951</v>
      </c>
      <c r="L36" s="353">
        <v>27425.373767889629</v>
      </c>
      <c r="N36" s="353"/>
      <c r="O36" s="352"/>
      <c r="P36" s="352"/>
      <c r="Q36" s="353"/>
    </row>
    <row r="37" spans="1:17" ht="10.5" customHeight="1">
      <c r="A37" s="358" t="s">
        <v>153</v>
      </c>
      <c r="B37" s="359">
        <v>315678</v>
      </c>
      <c r="C37" s="359">
        <v>322744</v>
      </c>
      <c r="D37" s="359">
        <v>329420</v>
      </c>
      <c r="E37" s="359">
        <v>332721</v>
      </c>
      <c r="F37" s="359">
        <v>333401</v>
      </c>
      <c r="G37" s="359">
        <v>336218</v>
      </c>
      <c r="H37" s="360">
        <v>338948.75859558518</v>
      </c>
      <c r="I37" s="360">
        <v>346474.66426368686</v>
      </c>
      <c r="J37" s="361">
        <v>344297.66688198101</v>
      </c>
      <c r="K37" s="361">
        <v>341364.11946033273</v>
      </c>
      <c r="L37" s="360">
        <v>341561.45700125524</v>
      </c>
      <c r="N37" s="335"/>
      <c r="O37" s="335"/>
      <c r="P37" s="335"/>
      <c r="Q37" s="335"/>
    </row>
    <row r="38" spans="1:17" ht="10.5" customHeight="1">
      <c r="A38" s="325" t="s">
        <v>39</v>
      </c>
      <c r="B38" s="348">
        <v>107177</v>
      </c>
      <c r="C38" s="348">
        <v>110978</v>
      </c>
      <c r="D38" s="348">
        <v>114112</v>
      </c>
      <c r="E38" s="348">
        <v>111337</v>
      </c>
      <c r="F38" s="348">
        <v>112648</v>
      </c>
      <c r="G38" s="348">
        <v>113358</v>
      </c>
      <c r="H38" s="355">
        <v>115841.51833333072</v>
      </c>
      <c r="I38" s="355">
        <v>120524.0726028827</v>
      </c>
      <c r="J38" s="362">
        <v>117918.29797803715</v>
      </c>
      <c r="K38" s="362">
        <v>117007.12613076654</v>
      </c>
      <c r="L38" s="355">
        <v>113557.62327594195</v>
      </c>
      <c r="N38" s="335"/>
      <c r="O38" s="334"/>
      <c r="P38" s="335"/>
      <c r="Q38" s="335"/>
    </row>
    <row r="39" spans="1:17" ht="10.5" customHeight="1">
      <c r="A39" s="330" t="s">
        <v>154</v>
      </c>
      <c r="B39" s="331">
        <v>0</v>
      </c>
      <c r="C39" s="331">
        <v>0</v>
      </c>
      <c r="D39" s="331" t="s">
        <v>437</v>
      </c>
      <c r="E39" s="331" t="s">
        <v>437</v>
      </c>
      <c r="F39" s="331" t="s">
        <v>437</v>
      </c>
      <c r="G39" s="331">
        <v>0</v>
      </c>
      <c r="H39" s="332">
        <v>0</v>
      </c>
      <c r="I39" s="332">
        <v>0</v>
      </c>
      <c r="J39" s="332">
        <v>0</v>
      </c>
      <c r="K39" s="335">
        <v>0</v>
      </c>
      <c r="L39" s="335">
        <v>0</v>
      </c>
      <c r="N39" s="334"/>
      <c r="O39" s="334"/>
      <c r="P39" s="335"/>
      <c r="Q39" s="335"/>
    </row>
    <row r="40" spans="1:17" ht="10.5" customHeight="1">
      <c r="A40" s="330" t="s">
        <v>155</v>
      </c>
      <c r="B40" s="331">
        <v>9571</v>
      </c>
      <c r="C40" s="331">
        <v>9779</v>
      </c>
      <c r="D40" s="331">
        <v>6349</v>
      </c>
      <c r="E40" s="331">
        <v>5303</v>
      </c>
      <c r="F40" s="331">
        <v>5092</v>
      </c>
      <c r="G40" s="331">
        <v>5434</v>
      </c>
      <c r="H40" s="332">
        <v>5412.0479423420047</v>
      </c>
      <c r="I40" s="332">
        <v>5019.622590539966</v>
      </c>
      <c r="J40" s="335">
        <v>5860.2420852934556</v>
      </c>
      <c r="K40" s="335">
        <v>4923.6735106492706</v>
      </c>
      <c r="L40" s="335">
        <v>4868.0210075868335</v>
      </c>
      <c r="N40" s="334"/>
      <c r="O40" s="335"/>
      <c r="P40" s="335"/>
      <c r="Q40" s="335"/>
    </row>
    <row r="41" spans="1:17" ht="10.5" customHeight="1">
      <c r="A41" s="330" t="s">
        <v>156</v>
      </c>
      <c r="B41" s="331">
        <v>5698</v>
      </c>
      <c r="C41" s="331">
        <v>5895</v>
      </c>
      <c r="D41" s="331">
        <v>6152</v>
      </c>
      <c r="E41" s="331">
        <v>7324</v>
      </c>
      <c r="F41" s="331">
        <v>6365</v>
      </c>
      <c r="G41" s="331">
        <v>7284</v>
      </c>
      <c r="H41" s="332">
        <v>7518.0129340335834</v>
      </c>
      <c r="I41" s="332">
        <v>7693.0510171705882</v>
      </c>
      <c r="J41" s="334">
        <v>7523.8348850992461</v>
      </c>
      <c r="K41" s="334">
        <v>7330.5836262747762</v>
      </c>
      <c r="L41" s="335">
        <v>7079.4689879354692</v>
      </c>
      <c r="N41" s="335"/>
      <c r="O41" s="335"/>
      <c r="P41" s="335"/>
      <c r="Q41" s="335"/>
    </row>
    <row r="42" spans="1:17" ht="10.5" customHeight="1">
      <c r="A42" s="330" t="s">
        <v>157</v>
      </c>
      <c r="B42" s="331">
        <v>7142</v>
      </c>
      <c r="C42" s="331">
        <v>7265</v>
      </c>
      <c r="D42" s="331">
        <v>8109</v>
      </c>
      <c r="E42" s="331">
        <v>7247</v>
      </c>
      <c r="F42" s="331">
        <v>7115</v>
      </c>
      <c r="G42" s="331">
        <v>7651</v>
      </c>
      <c r="H42" s="332">
        <v>7834.5353341131186</v>
      </c>
      <c r="I42" s="332">
        <v>7977.6247512643986</v>
      </c>
      <c r="J42" s="334">
        <v>7968.7229003946713</v>
      </c>
      <c r="K42" s="334">
        <v>7859.4184101510145</v>
      </c>
      <c r="L42" s="335">
        <v>7756.3785328030781</v>
      </c>
      <c r="N42" s="335"/>
      <c r="O42" s="335"/>
      <c r="P42" s="335"/>
      <c r="Q42" s="335"/>
    </row>
    <row r="43" spans="1:17" ht="10.5" customHeight="1">
      <c r="A43" s="330" t="s">
        <v>158</v>
      </c>
      <c r="B43" s="331">
        <v>20916</v>
      </c>
      <c r="C43" s="331">
        <v>21677</v>
      </c>
      <c r="D43" s="331">
        <v>23732</v>
      </c>
      <c r="E43" s="331">
        <v>21079</v>
      </c>
      <c r="F43" s="331">
        <v>22861</v>
      </c>
      <c r="G43" s="331">
        <v>20941</v>
      </c>
      <c r="H43" s="332">
        <v>21128.320448373099</v>
      </c>
      <c r="I43" s="332">
        <v>24125.229969791355</v>
      </c>
      <c r="J43" s="334">
        <v>22391.375908980175</v>
      </c>
      <c r="K43" s="334">
        <v>22199.50560292201</v>
      </c>
      <c r="L43" s="335">
        <v>21146.720296964988</v>
      </c>
      <c r="N43" s="335"/>
      <c r="O43" s="335"/>
      <c r="P43" s="335"/>
      <c r="Q43" s="335"/>
    </row>
    <row r="44" spans="1:17" ht="10.5" customHeight="1">
      <c r="A44" s="330" t="s">
        <v>239</v>
      </c>
      <c r="B44" s="331">
        <v>8520</v>
      </c>
      <c r="C44" s="331">
        <v>8824</v>
      </c>
      <c r="D44" s="331">
        <v>9420</v>
      </c>
      <c r="E44" s="331">
        <v>8569</v>
      </c>
      <c r="F44" s="331">
        <v>8794</v>
      </c>
      <c r="G44" s="331">
        <v>8839</v>
      </c>
      <c r="H44" s="332">
        <v>8509.6392729342479</v>
      </c>
      <c r="I44" s="332">
        <v>8632.7489587273994</v>
      </c>
      <c r="J44" s="334">
        <v>8490.4845424391733</v>
      </c>
      <c r="K44" s="334">
        <v>8518.0652019653517</v>
      </c>
      <c r="L44" s="335">
        <v>8283.4328588109656</v>
      </c>
      <c r="N44" s="335"/>
      <c r="O44" s="334"/>
      <c r="P44" s="334"/>
      <c r="Q44" s="335"/>
    </row>
    <row r="45" spans="1:17" ht="10.5" customHeight="1">
      <c r="A45" s="330" t="s">
        <v>240</v>
      </c>
      <c r="B45" s="331">
        <v>5996</v>
      </c>
      <c r="C45" s="331">
        <v>6006</v>
      </c>
      <c r="D45" s="331">
        <v>6196</v>
      </c>
      <c r="E45" s="331">
        <v>5697</v>
      </c>
      <c r="F45" s="331">
        <v>5880</v>
      </c>
      <c r="G45" s="331">
        <v>6019</v>
      </c>
      <c r="H45" s="332">
        <v>6809.3358722046187</v>
      </c>
      <c r="I45" s="332">
        <v>7420.1981289612722</v>
      </c>
      <c r="J45" s="334">
        <v>7341.4828569845504</v>
      </c>
      <c r="K45" s="334">
        <v>7289.4327269801088</v>
      </c>
      <c r="L45" s="335">
        <v>6979.2264927893002</v>
      </c>
      <c r="N45" s="334"/>
      <c r="O45" s="335"/>
      <c r="P45" s="334"/>
      <c r="Q45" s="335"/>
    </row>
    <row r="46" spans="1:17" ht="10.5" customHeight="1">
      <c r="A46" s="330" t="s">
        <v>161</v>
      </c>
      <c r="B46" s="331">
        <v>5586</v>
      </c>
      <c r="C46" s="331">
        <v>5615</v>
      </c>
      <c r="D46" s="331">
        <v>6316</v>
      </c>
      <c r="E46" s="331">
        <v>5824</v>
      </c>
      <c r="F46" s="331">
        <v>5625</v>
      </c>
      <c r="G46" s="331">
        <v>5660</v>
      </c>
      <c r="H46" s="332">
        <v>5682.4651912204517</v>
      </c>
      <c r="I46" s="332">
        <v>5840.5845400835515</v>
      </c>
      <c r="J46" s="334">
        <v>5847.6023531338597</v>
      </c>
      <c r="K46" s="334">
        <v>5731.0286487550929</v>
      </c>
      <c r="L46" s="335">
        <v>5594.5087386077876</v>
      </c>
      <c r="N46" s="335"/>
      <c r="O46" s="334"/>
      <c r="P46" s="334"/>
      <c r="Q46" s="335"/>
    </row>
    <row r="47" spans="1:17" ht="10.5" customHeight="1">
      <c r="A47" s="330" t="s">
        <v>241</v>
      </c>
      <c r="B47" s="331">
        <v>11852</v>
      </c>
      <c r="C47" s="331">
        <v>12524</v>
      </c>
      <c r="D47" s="331">
        <v>11724</v>
      </c>
      <c r="E47" s="331">
        <v>11570</v>
      </c>
      <c r="F47" s="331">
        <v>12166</v>
      </c>
      <c r="G47" s="331">
        <v>11949</v>
      </c>
      <c r="H47" s="332">
        <v>12348.479856497714</v>
      </c>
      <c r="I47" s="332">
        <v>12772.900738176895</v>
      </c>
      <c r="J47" s="334">
        <v>12317.49108804199</v>
      </c>
      <c r="K47" s="334">
        <v>12283.410094590781</v>
      </c>
      <c r="L47" s="335">
        <v>12224.071094329163</v>
      </c>
      <c r="N47" s="334"/>
      <c r="O47" s="335"/>
      <c r="P47" s="334"/>
      <c r="Q47" s="335"/>
    </row>
    <row r="48" spans="1:17" ht="10.5" customHeight="1">
      <c r="A48" s="330" t="s">
        <v>242</v>
      </c>
      <c r="B48" s="331">
        <v>3666</v>
      </c>
      <c r="C48" s="331">
        <v>3751</v>
      </c>
      <c r="D48" s="331">
        <v>3599</v>
      </c>
      <c r="E48" s="331">
        <v>3303</v>
      </c>
      <c r="F48" s="331">
        <v>3463</v>
      </c>
      <c r="G48" s="331">
        <v>3443</v>
      </c>
      <c r="H48" s="332">
        <v>3407.3189197838924</v>
      </c>
      <c r="I48" s="332">
        <v>3392.9221760377268</v>
      </c>
      <c r="J48" s="335">
        <v>3381.9049531484989</v>
      </c>
      <c r="K48" s="335">
        <v>3349.4086136065312</v>
      </c>
      <c r="L48" s="335">
        <v>3183.7444043000105</v>
      </c>
      <c r="N48" s="335"/>
      <c r="O48" s="335"/>
      <c r="P48" s="334"/>
      <c r="Q48" s="335"/>
    </row>
    <row r="49" spans="1:17" ht="10.5" customHeight="1">
      <c r="A49" s="330" t="s">
        <v>243</v>
      </c>
      <c r="B49" s="331">
        <v>10684</v>
      </c>
      <c r="C49" s="331">
        <v>10989</v>
      </c>
      <c r="D49" s="331">
        <v>11416</v>
      </c>
      <c r="E49" s="331">
        <v>11511</v>
      </c>
      <c r="F49" s="331">
        <v>11988</v>
      </c>
      <c r="G49" s="331">
        <v>12750</v>
      </c>
      <c r="H49" s="332">
        <v>13670.960109294876</v>
      </c>
      <c r="I49" s="332">
        <v>13724.905195023706</v>
      </c>
      <c r="J49" s="334">
        <v>13406.161825213951</v>
      </c>
      <c r="K49" s="334">
        <v>13356.076571372963</v>
      </c>
      <c r="L49" s="335">
        <v>13219.536668303863</v>
      </c>
      <c r="N49" s="335"/>
      <c r="O49" s="335"/>
      <c r="P49" s="335"/>
      <c r="Q49" s="335"/>
    </row>
    <row r="50" spans="1:17" ht="10.5" customHeight="1">
      <c r="A50" s="330" t="s">
        <v>165</v>
      </c>
      <c r="B50" s="331">
        <v>16012</v>
      </c>
      <c r="C50" s="331">
        <v>17125</v>
      </c>
      <c r="D50" s="331">
        <v>19514</v>
      </c>
      <c r="E50" s="331">
        <v>22213</v>
      </c>
      <c r="F50" s="331">
        <v>21599</v>
      </c>
      <c r="G50" s="331">
        <v>21686</v>
      </c>
      <c r="H50" s="332">
        <v>21716.023784332941</v>
      </c>
      <c r="I50" s="332">
        <v>21995.290247903973</v>
      </c>
      <c r="J50" s="334">
        <v>21749.292017854783</v>
      </c>
      <c r="K50" s="334">
        <v>22568.014350701702</v>
      </c>
      <c r="L50" s="335">
        <v>21717.34893084181</v>
      </c>
      <c r="N50" s="335"/>
      <c r="O50" s="334"/>
      <c r="P50" s="334"/>
      <c r="Q50" s="335"/>
    </row>
    <row r="51" spans="1:17" ht="10.5" customHeight="1">
      <c r="A51" s="330" t="s">
        <v>166</v>
      </c>
      <c r="B51" s="331">
        <v>1534</v>
      </c>
      <c r="C51" s="331">
        <v>1528</v>
      </c>
      <c r="D51" s="331">
        <v>1586</v>
      </c>
      <c r="E51" s="331">
        <v>1698</v>
      </c>
      <c r="F51" s="331">
        <v>1700</v>
      </c>
      <c r="G51" s="331">
        <v>1701</v>
      </c>
      <c r="H51" s="332">
        <v>1804.3786682001769</v>
      </c>
      <c r="I51" s="332">
        <v>1928.9942892018773</v>
      </c>
      <c r="J51" s="335">
        <v>1639.702561452817</v>
      </c>
      <c r="K51" s="335">
        <v>1598.5087727969405</v>
      </c>
      <c r="L51" s="335">
        <v>1505.1652626686828</v>
      </c>
      <c r="N51" s="334"/>
      <c r="O51" s="334"/>
      <c r="P51" s="334"/>
      <c r="Q51" s="335"/>
    </row>
    <row r="52" spans="1:17" s="357" customFormat="1" ht="10.5" customHeight="1">
      <c r="A52" s="325" t="s">
        <v>244</v>
      </c>
      <c r="B52" s="348">
        <v>8511</v>
      </c>
      <c r="C52" s="348">
        <v>8579</v>
      </c>
      <c r="D52" s="348">
        <v>8623</v>
      </c>
      <c r="E52" s="348">
        <v>8828</v>
      </c>
      <c r="F52" s="348">
        <v>8454</v>
      </c>
      <c r="G52" s="348">
        <v>8212</v>
      </c>
      <c r="H52" s="355">
        <v>8462.8548305909935</v>
      </c>
      <c r="I52" s="355">
        <v>8816.0524606569907</v>
      </c>
      <c r="J52" s="352">
        <v>8232.2698681467773</v>
      </c>
      <c r="K52" s="352">
        <v>8100.2794197444309</v>
      </c>
      <c r="L52" s="353">
        <v>8434.2653645828595</v>
      </c>
      <c r="N52" s="352"/>
      <c r="O52" s="353"/>
      <c r="P52" s="353"/>
      <c r="Q52" s="353"/>
    </row>
    <row r="53" spans="1:17" ht="10.5" customHeight="1">
      <c r="A53" s="330" t="s">
        <v>168</v>
      </c>
      <c r="B53" s="331">
        <v>0</v>
      </c>
      <c r="C53" s="331">
        <v>0</v>
      </c>
      <c r="D53" s="331" t="s">
        <v>437</v>
      </c>
      <c r="E53" s="331" t="s">
        <v>437</v>
      </c>
      <c r="F53" s="331" t="s">
        <v>437</v>
      </c>
      <c r="G53" s="331">
        <v>0</v>
      </c>
      <c r="H53" s="332">
        <v>0</v>
      </c>
      <c r="I53" s="332">
        <v>0</v>
      </c>
      <c r="J53" s="335">
        <v>0</v>
      </c>
      <c r="K53" s="335">
        <v>0</v>
      </c>
      <c r="L53" s="335">
        <v>0</v>
      </c>
      <c r="N53" s="335"/>
      <c r="O53" s="334"/>
      <c r="P53" s="334"/>
      <c r="Q53" s="335"/>
    </row>
    <row r="54" spans="1:17" ht="10.5" customHeight="1">
      <c r="A54" s="330" t="s">
        <v>442</v>
      </c>
      <c r="B54" s="331">
        <v>2700</v>
      </c>
      <c r="C54" s="331">
        <v>2700</v>
      </c>
      <c r="D54" s="354">
        <v>2700</v>
      </c>
      <c r="E54" s="354">
        <v>2700</v>
      </c>
      <c r="F54" s="354">
        <v>2700</v>
      </c>
      <c r="G54" s="354">
        <v>2700</v>
      </c>
      <c r="H54" s="335">
        <v>2750</v>
      </c>
      <c r="I54" s="335">
        <v>2800</v>
      </c>
      <c r="J54" s="335">
        <v>2900</v>
      </c>
      <c r="K54" s="335">
        <v>2900</v>
      </c>
      <c r="L54" s="335">
        <v>2900</v>
      </c>
      <c r="N54" s="334"/>
      <c r="O54" s="335"/>
      <c r="P54" s="335"/>
      <c r="Q54" s="335"/>
    </row>
    <row r="55" spans="1:17" ht="10.5" customHeight="1">
      <c r="A55" s="330" t="s">
        <v>23</v>
      </c>
      <c r="B55" s="331">
        <v>0</v>
      </c>
      <c r="C55" s="331">
        <v>0</v>
      </c>
      <c r="D55" s="331" t="s">
        <v>437</v>
      </c>
      <c r="E55" s="331" t="s">
        <v>437</v>
      </c>
      <c r="F55" s="331" t="s">
        <v>437</v>
      </c>
      <c r="G55" s="331">
        <v>0</v>
      </c>
      <c r="H55" s="332">
        <v>0</v>
      </c>
      <c r="I55" s="332">
        <v>0</v>
      </c>
      <c r="J55" s="332"/>
      <c r="K55" s="332"/>
      <c r="L55" s="332"/>
      <c r="N55" s="335"/>
      <c r="O55" s="335"/>
      <c r="P55" s="335"/>
      <c r="Q55" s="335"/>
    </row>
    <row r="56" spans="1:17" ht="10.5" customHeight="1">
      <c r="A56" s="330" t="s">
        <v>169</v>
      </c>
      <c r="B56" s="331">
        <v>0</v>
      </c>
      <c r="C56" s="331">
        <v>0</v>
      </c>
      <c r="D56" s="331" t="s">
        <v>437</v>
      </c>
      <c r="E56" s="331" t="s">
        <v>437</v>
      </c>
      <c r="F56" s="331" t="s">
        <v>437</v>
      </c>
      <c r="G56" s="331">
        <v>0</v>
      </c>
      <c r="H56" s="332">
        <v>0</v>
      </c>
      <c r="I56" s="332">
        <v>0</v>
      </c>
      <c r="J56" s="332">
        <v>0</v>
      </c>
      <c r="K56" s="332">
        <v>0</v>
      </c>
      <c r="L56" s="332">
        <v>0</v>
      </c>
      <c r="N56" s="335"/>
      <c r="O56" s="335"/>
      <c r="P56" s="335"/>
      <c r="Q56" s="335"/>
    </row>
    <row r="57" spans="1:17" ht="10.5" customHeight="1">
      <c r="A57" s="330" t="s">
        <v>170</v>
      </c>
      <c r="B57" s="331">
        <v>0</v>
      </c>
      <c r="C57" s="331">
        <v>0</v>
      </c>
      <c r="D57" s="331" t="s">
        <v>437</v>
      </c>
      <c r="E57" s="331" t="s">
        <v>437</v>
      </c>
      <c r="F57" s="331" t="s">
        <v>437</v>
      </c>
      <c r="G57" s="331">
        <v>0</v>
      </c>
      <c r="H57" s="332">
        <v>0</v>
      </c>
      <c r="I57" s="332">
        <v>0</v>
      </c>
      <c r="J57" s="332">
        <v>0</v>
      </c>
      <c r="K57" s="332">
        <v>0</v>
      </c>
      <c r="L57" s="332">
        <v>0</v>
      </c>
      <c r="N57" s="335"/>
      <c r="O57" s="335"/>
      <c r="P57" s="335"/>
      <c r="Q57" s="335"/>
    </row>
    <row r="58" spans="1:17" ht="10.5" customHeight="1">
      <c r="A58" s="325" t="s">
        <v>113</v>
      </c>
      <c r="B58" s="348">
        <v>199990</v>
      </c>
      <c r="C58" s="348">
        <v>203187</v>
      </c>
      <c r="D58" s="348">
        <v>206685</v>
      </c>
      <c r="E58" s="348">
        <v>212557</v>
      </c>
      <c r="F58" s="348">
        <v>212299</v>
      </c>
      <c r="G58" s="348">
        <v>214648</v>
      </c>
      <c r="H58" s="355">
        <v>214644.38543166345</v>
      </c>
      <c r="I58" s="355">
        <v>217134.53920014724</v>
      </c>
      <c r="J58" s="362">
        <v>218147.09903579712</v>
      </c>
      <c r="K58" s="352">
        <v>216256.71390982179</v>
      </c>
      <c r="L58" s="353">
        <v>219569.56836073045</v>
      </c>
      <c r="N58" s="335"/>
      <c r="O58" s="335"/>
      <c r="P58" s="335"/>
      <c r="Q58" s="335"/>
    </row>
    <row r="59" spans="1:17" ht="10.5" customHeight="1">
      <c r="A59" s="330" t="s">
        <v>38</v>
      </c>
      <c r="B59" s="331">
        <v>109410</v>
      </c>
      <c r="C59" s="331">
        <v>110308</v>
      </c>
      <c r="D59" s="331">
        <v>111842</v>
      </c>
      <c r="E59" s="331">
        <v>115337</v>
      </c>
      <c r="F59" s="331">
        <v>114534</v>
      </c>
      <c r="G59" s="331">
        <v>115761</v>
      </c>
      <c r="H59" s="332">
        <v>115526.46921370001</v>
      </c>
      <c r="I59" s="332">
        <v>116811.13800000001</v>
      </c>
      <c r="J59" s="335">
        <v>116449.34407919725</v>
      </c>
      <c r="K59" s="334">
        <v>115050.58481504503</v>
      </c>
      <c r="L59" s="335">
        <v>117840.56376318811</v>
      </c>
      <c r="N59" s="335"/>
      <c r="O59" s="334"/>
      <c r="P59" s="335"/>
      <c r="Q59" s="335"/>
    </row>
    <row r="60" spans="1:17" ht="10.5" customHeight="1">
      <c r="A60" s="330" t="s">
        <v>171</v>
      </c>
      <c r="B60" s="331">
        <v>21577</v>
      </c>
      <c r="C60" s="331">
        <v>21951</v>
      </c>
      <c r="D60" s="331">
        <v>20913</v>
      </c>
      <c r="E60" s="331">
        <v>21105</v>
      </c>
      <c r="F60" s="331">
        <v>20657</v>
      </c>
      <c r="G60" s="331">
        <v>20623</v>
      </c>
      <c r="H60" s="332">
        <v>20708.475621763446</v>
      </c>
      <c r="I60" s="332">
        <v>20877.873200147227</v>
      </c>
      <c r="J60" s="334">
        <v>22192.227093003883</v>
      </c>
      <c r="K60" s="334">
        <v>22346.706525398607</v>
      </c>
      <c r="L60" s="335">
        <v>22108.109904346249</v>
      </c>
      <c r="N60" s="334"/>
      <c r="O60" s="335"/>
      <c r="P60" s="334"/>
      <c r="Q60" s="335"/>
    </row>
    <row r="61" spans="1:17" ht="10.5" customHeight="1">
      <c r="A61" s="330" t="s">
        <v>47</v>
      </c>
      <c r="B61" s="331">
        <v>64952</v>
      </c>
      <c r="C61" s="331">
        <v>66748</v>
      </c>
      <c r="D61" s="331">
        <v>69571</v>
      </c>
      <c r="E61" s="331">
        <v>72014</v>
      </c>
      <c r="F61" s="331">
        <v>72963</v>
      </c>
      <c r="G61" s="331">
        <v>74238</v>
      </c>
      <c r="H61" s="332">
        <v>74215.490578199999</v>
      </c>
      <c r="I61" s="332">
        <v>75293.784999999989</v>
      </c>
      <c r="J61" s="335">
        <v>75375.651138594418</v>
      </c>
      <c r="K61" s="334">
        <v>74734.564003202337</v>
      </c>
      <c r="L61" s="335">
        <v>75554.036767056037</v>
      </c>
      <c r="N61" s="335"/>
      <c r="O61" s="334"/>
      <c r="P61" s="335"/>
      <c r="Q61" s="335"/>
    </row>
    <row r="62" spans="1:17" ht="10.5" customHeight="1">
      <c r="A62" s="330" t="s">
        <v>172</v>
      </c>
      <c r="B62" s="331">
        <v>4051</v>
      </c>
      <c r="C62" s="331">
        <v>4180</v>
      </c>
      <c r="D62" s="331">
        <v>4358</v>
      </c>
      <c r="E62" s="331">
        <v>4100</v>
      </c>
      <c r="F62" s="331">
        <v>4145</v>
      </c>
      <c r="G62" s="331">
        <v>4025</v>
      </c>
      <c r="H62" s="332">
        <v>4193.9500180000005</v>
      </c>
      <c r="I62" s="332">
        <v>4151.7429999999995</v>
      </c>
      <c r="J62" s="335">
        <v>4129.8767250015444</v>
      </c>
      <c r="K62" s="334">
        <v>4124.8585661758043</v>
      </c>
      <c r="L62" s="335">
        <v>4066.8579261400328</v>
      </c>
      <c r="N62" s="334"/>
      <c r="O62" s="335"/>
      <c r="P62" s="335"/>
      <c r="Q62" s="335"/>
    </row>
    <row r="63" spans="1:17" ht="10.5" customHeight="1">
      <c r="A63" s="330" t="s">
        <v>173</v>
      </c>
      <c r="B63" s="363">
        <v>0</v>
      </c>
      <c r="C63" s="363">
        <v>0</v>
      </c>
      <c r="D63" s="363" t="s">
        <v>437</v>
      </c>
      <c r="E63" s="363" t="s">
        <v>437</v>
      </c>
      <c r="F63" s="363" t="s">
        <v>437</v>
      </c>
      <c r="G63" s="363">
        <v>0</v>
      </c>
      <c r="H63" s="353">
        <v>0</v>
      </c>
      <c r="I63" s="353">
        <v>0</v>
      </c>
      <c r="J63" s="353">
        <v>0</v>
      </c>
      <c r="K63" s="332">
        <v>0</v>
      </c>
      <c r="L63" s="332">
        <v>0</v>
      </c>
      <c r="N63" s="335"/>
      <c r="O63" s="335"/>
      <c r="P63" s="335"/>
      <c r="Q63" s="335"/>
    </row>
    <row r="64" spans="1:17" ht="10.5" customHeight="1" thickBot="1">
      <c r="A64" s="364" t="s">
        <v>174</v>
      </c>
      <c r="B64" s="365">
        <v>0</v>
      </c>
      <c r="C64" s="365">
        <v>0</v>
      </c>
      <c r="D64" s="365">
        <v>0</v>
      </c>
      <c r="E64" s="365">
        <v>0</v>
      </c>
      <c r="F64" s="365">
        <v>0</v>
      </c>
      <c r="G64" s="365">
        <v>0</v>
      </c>
      <c r="H64" s="366">
        <v>0</v>
      </c>
      <c r="I64" s="366">
        <v>0</v>
      </c>
      <c r="J64" s="366">
        <v>0</v>
      </c>
      <c r="K64" s="366">
        <v>0</v>
      </c>
      <c r="L64" s="366"/>
      <c r="N64" s="335"/>
      <c r="O64" s="335"/>
      <c r="P64" s="335"/>
      <c r="Q64" s="335"/>
    </row>
    <row r="65" spans="1:17" ht="24.75" customHeight="1" thickTop="1">
      <c r="A65" s="367"/>
      <c r="B65" s="368"/>
      <c r="C65" s="363"/>
      <c r="D65" s="363"/>
      <c r="E65" s="316"/>
      <c r="F65" s="316"/>
      <c r="J65" s="316"/>
      <c r="N65" s="335"/>
      <c r="O65" s="335"/>
      <c r="P65" s="335"/>
      <c r="Q65" s="335"/>
    </row>
    <row r="66" spans="1:17" s="312" customFormat="1" ht="27.75" customHeight="1">
      <c r="A66" s="306" t="s">
        <v>443</v>
      </c>
      <c r="B66" s="308"/>
      <c r="C66" s="308"/>
      <c r="D66" s="308"/>
      <c r="E66" s="308"/>
      <c r="F66" s="308"/>
      <c r="G66" s="308"/>
      <c r="H66" s="308"/>
      <c r="I66" s="308"/>
      <c r="J66" s="316"/>
      <c r="N66" s="335"/>
      <c r="O66" s="335"/>
      <c r="P66" s="335"/>
      <c r="Q66" s="335"/>
    </row>
    <row r="67" spans="1:17" ht="18" customHeight="1">
      <c r="A67" s="313" t="s">
        <v>5</v>
      </c>
      <c r="B67" s="369"/>
      <c r="C67" s="316"/>
      <c r="D67" s="316"/>
      <c r="E67" s="316"/>
      <c r="F67" s="316"/>
      <c r="J67" s="316"/>
      <c r="N67" s="335"/>
      <c r="O67" s="335"/>
      <c r="P67" s="335"/>
      <c r="Q67" s="335"/>
    </row>
    <row r="68" spans="1:17" ht="14" thickBot="1">
      <c r="A68" s="370"/>
      <c r="B68" s="369"/>
      <c r="C68" s="369"/>
      <c r="D68" s="369"/>
      <c r="E68" s="368"/>
      <c r="F68" s="371"/>
      <c r="G68" s="371"/>
      <c r="I68" s="320"/>
      <c r="K68" s="320"/>
      <c r="L68" s="320" t="s">
        <v>372</v>
      </c>
      <c r="N68" s="335"/>
      <c r="O68" s="335"/>
      <c r="P68" s="335"/>
      <c r="Q68" s="335"/>
    </row>
    <row r="69" spans="1:17" ht="14" thickTop="1">
      <c r="A69" s="321"/>
      <c r="B69" s="372">
        <v>1998</v>
      </c>
      <c r="C69" s="372">
        <v>1999</v>
      </c>
      <c r="D69" s="372">
        <v>2000</v>
      </c>
      <c r="E69" s="372">
        <v>2001</v>
      </c>
      <c r="F69" s="372">
        <v>2002</v>
      </c>
      <c r="G69" s="372">
        <v>2003</v>
      </c>
      <c r="H69" s="372">
        <v>2004</v>
      </c>
      <c r="I69" s="372">
        <v>2005</v>
      </c>
      <c r="J69" s="372">
        <v>2006</v>
      </c>
      <c r="K69" s="372">
        <v>2007</v>
      </c>
      <c r="L69" s="372">
        <v>2008</v>
      </c>
      <c r="N69" s="335"/>
      <c r="O69" s="335"/>
      <c r="P69" s="335"/>
      <c r="Q69" s="335"/>
    </row>
    <row r="70" spans="1:17" ht="11" customHeight="1">
      <c r="A70" s="325" t="s">
        <v>444</v>
      </c>
      <c r="B70" s="373"/>
      <c r="C70" s="373"/>
      <c r="D70" s="373"/>
      <c r="E70" s="373"/>
      <c r="F70" s="373"/>
      <c r="G70" s="373"/>
      <c r="H70" s="373"/>
      <c r="I70" s="373"/>
      <c r="J70" s="373"/>
      <c r="N70" s="335"/>
      <c r="O70" s="335"/>
      <c r="P70" s="335"/>
      <c r="Q70" s="335"/>
    </row>
    <row r="71" spans="1:17" ht="11" customHeight="1">
      <c r="A71" s="374" t="s">
        <v>445</v>
      </c>
      <c r="B71" s="356">
        <v>361078</v>
      </c>
      <c r="C71" s="356">
        <v>365250</v>
      </c>
      <c r="D71" s="356">
        <v>374374</v>
      </c>
      <c r="E71" s="356">
        <v>382356</v>
      </c>
      <c r="F71" s="356">
        <v>384594</v>
      </c>
      <c r="G71" s="356">
        <v>395475.21458089259</v>
      </c>
      <c r="H71" s="375">
        <v>391218.68770954566</v>
      </c>
      <c r="I71" s="375">
        <v>395382.84676819755</v>
      </c>
      <c r="J71" s="376">
        <v>393439.74485443806</v>
      </c>
      <c r="K71" s="376">
        <v>393184.3387592379</v>
      </c>
      <c r="L71" s="375">
        <v>385560.22494830529</v>
      </c>
      <c r="N71" s="335"/>
      <c r="O71" s="335"/>
      <c r="P71" s="335"/>
      <c r="Q71" s="335"/>
    </row>
    <row r="72" spans="1:17" ht="11" customHeight="1">
      <c r="A72" s="325" t="s">
        <v>131</v>
      </c>
      <c r="B72" s="331"/>
      <c r="C72" s="331"/>
      <c r="D72" s="331"/>
      <c r="E72" s="331"/>
      <c r="F72" s="331"/>
      <c r="G72" s="331"/>
      <c r="H72" s="332"/>
      <c r="I72" s="332"/>
      <c r="J72" s="332"/>
      <c r="N72" s="335"/>
      <c r="O72" s="335"/>
      <c r="P72" s="335"/>
      <c r="Q72" s="335"/>
    </row>
    <row r="73" spans="1:17" ht="11" customHeight="1">
      <c r="A73" s="325" t="s">
        <v>446</v>
      </c>
      <c r="B73" s="348">
        <v>103723</v>
      </c>
      <c r="C73" s="348">
        <v>99564</v>
      </c>
      <c r="D73" s="348">
        <v>89394</v>
      </c>
      <c r="E73" s="348">
        <v>93307</v>
      </c>
      <c r="F73" s="348">
        <v>91776</v>
      </c>
      <c r="G73" s="348">
        <v>91253.964908959999</v>
      </c>
      <c r="H73" s="355">
        <v>83906.905642214726</v>
      </c>
      <c r="I73" s="355">
        <v>85444.00284311999</v>
      </c>
      <c r="J73" s="353">
        <v>79143.956190527242</v>
      </c>
      <c r="K73" s="352">
        <v>70740.758491935005</v>
      </c>
      <c r="L73" s="353">
        <v>62066.923510424007</v>
      </c>
      <c r="N73" s="335"/>
      <c r="O73" s="334"/>
      <c r="P73" s="334"/>
      <c r="Q73" s="335"/>
    </row>
    <row r="74" spans="1:17" ht="11" customHeight="1">
      <c r="A74" s="330" t="s">
        <v>447</v>
      </c>
      <c r="B74" s="331">
        <v>99486</v>
      </c>
      <c r="C74" s="331">
        <v>95133</v>
      </c>
      <c r="D74" s="331">
        <v>85063</v>
      </c>
      <c r="E74" s="331">
        <v>90093</v>
      </c>
      <c r="F74" s="331">
        <v>87848</v>
      </c>
      <c r="G74" s="331">
        <v>88686.265908960006</v>
      </c>
      <c r="H74" s="332">
        <v>79999.105642214723</v>
      </c>
      <c r="I74" s="332">
        <v>81618.102843119996</v>
      </c>
      <c r="J74" s="335">
        <v>75450.656932527243</v>
      </c>
      <c r="K74" s="335">
        <v>63028.342696935004</v>
      </c>
      <c r="L74" s="335">
        <v>52485.808334757006</v>
      </c>
      <c r="N74" s="335"/>
      <c r="O74" s="335"/>
      <c r="P74" s="335"/>
      <c r="Q74" s="335"/>
    </row>
    <row r="75" spans="1:17" ht="11" customHeight="1">
      <c r="A75" s="330" t="s">
        <v>448</v>
      </c>
      <c r="B75" s="331">
        <v>4237</v>
      </c>
      <c r="C75" s="331">
        <v>4431</v>
      </c>
      <c r="D75" s="331">
        <v>4331</v>
      </c>
      <c r="E75" s="331">
        <v>3215</v>
      </c>
      <c r="F75" s="331">
        <v>3927</v>
      </c>
      <c r="G75" s="331">
        <v>2523.4169999999999</v>
      </c>
      <c r="H75" s="332">
        <v>3772.9229999999998</v>
      </c>
      <c r="I75" s="332">
        <v>3636.5909999999999</v>
      </c>
      <c r="J75" s="335">
        <v>3481.4458</v>
      </c>
      <c r="K75" s="335">
        <v>3906.0243</v>
      </c>
      <c r="L75" s="335">
        <v>3970.6443829999994</v>
      </c>
      <c r="N75" s="335"/>
      <c r="O75" s="335"/>
      <c r="P75" s="334"/>
      <c r="Q75" s="335"/>
    </row>
    <row r="76" spans="1:17" ht="11" customHeight="1">
      <c r="A76" s="330" t="s">
        <v>449</v>
      </c>
      <c r="B76" s="331" t="s">
        <v>263</v>
      </c>
      <c r="C76" s="331" t="s">
        <v>263</v>
      </c>
      <c r="D76" s="331" t="s">
        <v>263</v>
      </c>
      <c r="E76" s="331" t="s">
        <v>263</v>
      </c>
      <c r="F76" s="331" t="s">
        <v>450</v>
      </c>
      <c r="G76" s="331">
        <v>44.281999999999996</v>
      </c>
      <c r="H76" s="332">
        <v>134.87700000000001</v>
      </c>
      <c r="I76" s="332">
        <v>189.309</v>
      </c>
      <c r="J76" s="335">
        <v>211.85345800000002</v>
      </c>
      <c r="K76" s="335">
        <v>237.55471</v>
      </c>
      <c r="L76" s="335">
        <v>253.16842419999998</v>
      </c>
      <c r="N76" s="335"/>
      <c r="O76" s="335"/>
      <c r="P76" s="335"/>
      <c r="Q76" s="335"/>
    </row>
    <row r="77" spans="1:17" ht="11" customHeight="1">
      <c r="A77" s="330" t="s">
        <v>451</v>
      </c>
      <c r="B77" s="331">
        <v>0</v>
      </c>
      <c r="C77" s="331">
        <v>0</v>
      </c>
      <c r="D77" s="331">
        <v>0</v>
      </c>
      <c r="E77" s="331">
        <v>0</v>
      </c>
      <c r="F77" s="331">
        <v>0</v>
      </c>
      <c r="G77" s="331">
        <v>0</v>
      </c>
      <c r="H77" s="332">
        <v>0</v>
      </c>
      <c r="I77" s="332">
        <v>0</v>
      </c>
      <c r="J77" s="335">
        <v>0</v>
      </c>
      <c r="K77" s="334">
        <v>3568.836785</v>
      </c>
      <c r="L77" s="335">
        <v>5357.3023684669988</v>
      </c>
      <c r="N77" s="335"/>
      <c r="O77" s="335"/>
      <c r="P77" s="335"/>
      <c r="Q77" s="335"/>
    </row>
    <row r="78" spans="1:17" ht="11" customHeight="1">
      <c r="A78" s="347" t="s">
        <v>452</v>
      </c>
      <c r="B78" s="349">
        <v>1757</v>
      </c>
      <c r="C78" s="349">
        <v>1756</v>
      </c>
      <c r="D78" s="349">
        <v>1701</v>
      </c>
      <c r="E78" s="349">
        <v>1805</v>
      </c>
      <c r="F78" s="349">
        <v>2119</v>
      </c>
      <c r="G78" s="349">
        <v>1948.26424288</v>
      </c>
      <c r="H78" s="350">
        <v>2875.3148679999999</v>
      </c>
      <c r="I78" s="350">
        <v>4007.6876100000009</v>
      </c>
      <c r="J78" s="350">
        <v>5135.6080887905991</v>
      </c>
      <c r="K78" s="351">
        <v>2663.8500299999996</v>
      </c>
      <c r="L78" s="350">
        <v>2700.9290995199999</v>
      </c>
      <c r="N78" s="335"/>
      <c r="O78" s="335"/>
      <c r="P78" s="335"/>
      <c r="Q78" s="335"/>
    </row>
    <row r="79" spans="1:17" ht="11" customHeight="1">
      <c r="A79" s="330" t="s">
        <v>447</v>
      </c>
      <c r="B79" s="331">
        <v>0</v>
      </c>
      <c r="C79" s="331">
        <v>0</v>
      </c>
      <c r="D79" s="331">
        <v>0</v>
      </c>
      <c r="E79" s="331">
        <v>0</v>
      </c>
      <c r="F79" s="331">
        <v>0</v>
      </c>
      <c r="G79" s="331">
        <v>0</v>
      </c>
      <c r="H79" s="332">
        <v>0</v>
      </c>
      <c r="I79" s="332">
        <v>0</v>
      </c>
      <c r="J79" s="332">
        <v>0</v>
      </c>
      <c r="K79" s="332">
        <v>0</v>
      </c>
      <c r="L79" s="332">
        <v>0</v>
      </c>
      <c r="N79" s="335"/>
      <c r="O79" s="335"/>
      <c r="P79" s="335"/>
      <c r="Q79" s="335"/>
    </row>
    <row r="80" spans="1:17" ht="11" customHeight="1">
      <c r="A80" s="330" t="s">
        <v>453</v>
      </c>
      <c r="B80" s="331">
        <v>674</v>
      </c>
      <c r="C80" s="331">
        <v>698</v>
      </c>
      <c r="D80" s="331">
        <v>540</v>
      </c>
      <c r="E80" s="331">
        <v>630</v>
      </c>
      <c r="F80" s="331">
        <v>657</v>
      </c>
      <c r="G80" s="331">
        <v>561.26700000000005</v>
      </c>
      <c r="H80" s="332">
        <v>788.37699999999995</v>
      </c>
      <c r="I80" s="332">
        <v>841.1</v>
      </c>
      <c r="J80" s="332">
        <v>634.10599999999999</v>
      </c>
      <c r="K80" s="332">
        <v>647.96900000000005</v>
      </c>
      <c r="L80" s="332">
        <v>629.29</v>
      </c>
      <c r="N80" s="335"/>
      <c r="O80" s="335"/>
      <c r="P80" s="335"/>
      <c r="Q80" s="335"/>
    </row>
    <row r="81" spans="1:17" ht="11" customHeight="1">
      <c r="A81" s="330" t="s">
        <v>449</v>
      </c>
      <c r="B81" s="331">
        <v>206</v>
      </c>
      <c r="C81" s="331">
        <v>207</v>
      </c>
      <c r="D81" s="331">
        <v>214</v>
      </c>
      <c r="E81" s="331">
        <v>210</v>
      </c>
      <c r="F81" s="331" t="s">
        <v>454</v>
      </c>
      <c r="G81" s="331">
        <v>98.703000000000003</v>
      </c>
      <c r="H81" s="332">
        <v>147.82300000000001</v>
      </c>
      <c r="I81" s="332">
        <v>254.49100000000001</v>
      </c>
      <c r="J81" s="332">
        <v>265.74948839059988</v>
      </c>
      <c r="K81" s="332">
        <v>296.84633000000002</v>
      </c>
      <c r="L81" s="332">
        <v>314.6890995199999</v>
      </c>
      <c r="N81" s="335"/>
      <c r="O81" s="335"/>
      <c r="P81" s="335"/>
      <c r="Q81" s="335"/>
    </row>
    <row r="82" spans="1:17" ht="11" customHeight="1">
      <c r="A82" s="330" t="s">
        <v>455</v>
      </c>
      <c r="B82" s="331">
        <v>877</v>
      </c>
      <c r="C82" s="331">
        <v>851</v>
      </c>
      <c r="D82" s="331">
        <v>947</v>
      </c>
      <c r="E82" s="331">
        <v>965</v>
      </c>
      <c r="F82" s="331">
        <v>1259</v>
      </c>
      <c r="G82" s="331">
        <v>1288.29424288</v>
      </c>
      <c r="H82" s="332">
        <v>1939.1148680000001</v>
      </c>
      <c r="I82" s="332">
        <v>2912.0966100000005</v>
      </c>
      <c r="J82" s="332">
        <v>4235.7526003999992</v>
      </c>
      <c r="K82" s="333">
        <v>1719.0346999999992</v>
      </c>
      <c r="L82" s="332">
        <v>1756.95</v>
      </c>
      <c r="N82" s="335"/>
      <c r="O82" s="335"/>
      <c r="P82" s="335"/>
      <c r="Q82" s="335"/>
    </row>
    <row r="83" spans="1:17" ht="11" customHeight="1">
      <c r="A83" s="347" t="s">
        <v>456</v>
      </c>
      <c r="B83" s="349"/>
      <c r="C83" s="349"/>
      <c r="D83" s="349"/>
      <c r="E83" s="349"/>
      <c r="F83" s="349"/>
      <c r="G83" s="349"/>
      <c r="H83" s="350"/>
      <c r="I83" s="350"/>
      <c r="J83" s="350"/>
      <c r="K83" s="377"/>
      <c r="L83" s="377"/>
      <c r="N83" s="335"/>
      <c r="O83" s="335"/>
      <c r="P83" s="335"/>
      <c r="Q83" s="335"/>
    </row>
    <row r="84" spans="1:17" ht="11" customHeight="1">
      <c r="A84" s="325" t="s">
        <v>446</v>
      </c>
      <c r="B84" s="348">
        <v>228417</v>
      </c>
      <c r="C84" s="348">
        <v>234142</v>
      </c>
      <c r="D84" s="348">
        <v>249695</v>
      </c>
      <c r="E84" s="348">
        <v>257328</v>
      </c>
      <c r="F84" s="348">
        <v>259566</v>
      </c>
      <c r="G84" s="348">
        <v>268612.48844193254</v>
      </c>
      <c r="H84" s="355">
        <v>271757.74328143988</v>
      </c>
      <c r="I84" s="355">
        <v>273838.37128507759</v>
      </c>
      <c r="J84" s="362">
        <v>278235.50677552022</v>
      </c>
      <c r="K84" s="362">
        <v>286810.01516630291</v>
      </c>
      <c r="L84" s="355">
        <v>289128.37003453728</v>
      </c>
      <c r="N84" s="335"/>
      <c r="O84" s="335"/>
      <c r="P84" s="335"/>
      <c r="Q84" s="335"/>
    </row>
    <row r="85" spans="1:17" ht="11" customHeight="1">
      <c r="A85" s="330" t="s">
        <v>457</v>
      </c>
      <c r="B85" s="331">
        <v>118595</v>
      </c>
      <c r="C85" s="331">
        <v>102074</v>
      </c>
      <c r="D85" s="331">
        <v>117025</v>
      </c>
      <c r="E85" s="331">
        <v>127128</v>
      </c>
      <c r="F85" s="331">
        <v>120958</v>
      </c>
      <c r="G85" s="331">
        <v>134023.27733377001</v>
      </c>
      <c r="H85" s="332">
        <v>127826.56739997381</v>
      </c>
      <c r="I85" s="332">
        <v>130894.12502656282</v>
      </c>
      <c r="J85" s="333">
        <v>145311.14019007739</v>
      </c>
      <c r="K85" s="333">
        <v>132675.3202097828</v>
      </c>
      <c r="L85" s="332">
        <v>121251.34408201941</v>
      </c>
      <c r="N85" s="335"/>
      <c r="O85" s="335"/>
      <c r="P85" s="335"/>
      <c r="Q85" s="335"/>
    </row>
    <row r="86" spans="1:17" ht="11" customHeight="1">
      <c r="A86" s="330" t="s">
        <v>458</v>
      </c>
      <c r="B86" s="331">
        <v>3442</v>
      </c>
      <c r="C86" s="331">
        <v>2943</v>
      </c>
      <c r="D86" s="331">
        <v>2415</v>
      </c>
      <c r="E86" s="331">
        <v>2472</v>
      </c>
      <c r="F86" s="331">
        <v>2011</v>
      </c>
      <c r="G86" s="331">
        <v>2197.1121243455473</v>
      </c>
      <c r="H86" s="332">
        <v>1882.7795449292664</v>
      </c>
      <c r="I86" s="332">
        <v>2715.9101354587806</v>
      </c>
      <c r="J86" s="333">
        <v>3358.643967753716</v>
      </c>
      <c r="K86" s="333">
        <v>2400.7626921524643</v>
      </c>
      <c r="L86" s="332">
        <v>3666.9736194967227</v>
      </c>
      <c r="N86" s="335"/>
      <c r="O86" s="335"/>
      <c r="P86" s="335"/>
      <c r="Q86" s="335"/>
    </row>
    <row r="87" spans="1:17" ht="11" customHeight="1">
      <c r="A87" s="330" t="s">
        <v>459</v>
      </c>
      <c r="B87" s="331">
        <v>105804</v>
      </c>
      <c r="C87" s="331">
        <v>128365</v>
      </c>
      <c r="D87" s="331">
        <v>129558</v>
      </c>
      <c r="E87" s="331">
        <v>126999</v>
      </c>
      <c r="F87" s="331">
        <v>135741</v>
      </c>
      <c r="G87" s="331">
        <v>131237.87312454908</v>
      </c>
      <c r="H87" s="332">
        <v>140576.96700778682</v>
      </c>
      <c r="I87" s="332">
        <v>137482.74212305597</v>
      </c>
      <c r="J87" s="332">
        <v>126637.23964240288</v>
      </c>
      <c r="K87" s="332">
        <v>149345.94597440778</v>
      </c>
      <c r="L87" s="332">
        <v>161578.75647814601</v>
      </c>
      <c r="N87" s="335"/>
      <c r="O87" s="335"/>
      <c r="P87" s="335"/>
      <c r="Q87" s="335"/>
    </row>
    <row r="88" spans="1:17" ht="11" customHeight="1">
      <c r="A88" s="330" t="s">
        <v>460</v>
      </c>
      <c r="B88" s="331">
        <v>576</v>
      </c>
      <c r="C88" s="331">
        <v>760</v>
      </c>
      <c r="D88" s="331">
        <v>698</v>
      </c>
      <c r="E88" s="331">
        <v>729</v>
      </c>
      <c r="F88" s="331">
        <v>856</v>
      </c>
      <c r="G88" s="331">
        <v>1154.2258592679364</v>
      </c>
      <c r="H88" s="332">
        <v>1471.4293287500002</v>
      </c>
      <c r="I88" s="332">
        <v>2745.5940000000005</v>
      </c>
      <c r="J88" s="333">
        <v>2928.4829752862515</v>
      </c>
      <c r="K88" s="333">
        <v>2387.9862899598402</v>
      </c>
      <c r="L88" s="332">
        <v>2631.2958548751403</v>
      </c>
      <c r="N88" s="335"/>
      <c r="O88" s="335"/>
      <c r="P88" s="335"/>
      <c r="Q88" s="335"/>
    </row>
    <row r="89" spans="1:17" ht="11" customHeight="1">
      <c r="A89" s="330" t="s">
        <v>461</v>
      </c>
      <c r="B89" s="331">
        <v>0</v>
      </c>
      <c r="C89" s="331">
        <v>0</v>
      </c>
      <c r="D89" s="331">
        <v>0</v>
      </c>
      <c r="E89" s="331">
        <v>0</v>
      </c>
      <c r="F89" s="331">
        <v>0</v>
      </c>
      <c r="G89" s="331">
        <v>0</v>
      </c>
      <c r="H89" s="332">
        <v>0</v>
      </c>
      <c r="I89" s="332">
        <v>0</v>
      </c>
      <c r="J89" s="332">
        <v>0</v>
      </c>
      <c r="K89" s="332">
        <v>0</v>
      </c>
      <c r="L89" s="332">
        <v>0</v>
      </c>
      <c r="N89" s="335"/>
      <c r="O89" s="335"/>
      <c r="P89" s="335"/>
      <c r="Q89" s="335"/>
    </row>
    <row r="90" spans="1:17" ht="11" customHeight="1">
      <c r="A90" s="347" t="s">
        <v>452</v>
      </c>
      <c r="B90" s="349">
        <v>27181</v>
      </c>
      <c r="C90" s="349">
        <v>29788</v>
      </c>
      <c r="D90" s="349">
        <v>33584</v>
      </c>
      <c r="E90" s="349">
        <v>29915</v>
      </c>
      <c r="F90" s="349">
        <v>31133</v>
      </c>
      <c r="G90" s="349">
        <v>33660.496987120001</v>
      </c>
      <c r="H90" s="350">
        <v>32678.723917891028</v>
      </c>
      <c r="I90" s="350">
        <v>32092.785029999995</v>
      </c>
      <c r="J90" s="351">
        <v>30924.673799600012</v>
      </c>
      <c r="K90" s="351">
        <v>32969.715071000006</v>
      </c>
      <c r="L90" s="350">
        <v>31664.002303824</v>
      </c>
      <c r="N90" s="335"/>
      <c r="O90" s="335"/>
      <c r="P90" s="335"/>
      <c r="Q90" s="335"/>
    </row>
    <row r="91" spans="1:17" ht="11" customHeight="1">
      <c r="A91" s="330" t="s">
        <v>457</v>
      </c>
      <c r="B91" s="331">
        <v>4376</v>
      </c>
      <c r="C91" s="331">
        <v>4106</v>
      </c>
      <c r="D91" s="331">
        <v>2925</v>
      </c>
      <c r="E91" s="331">
        <v>4333</v>
      </c>
      <c r="F91" s="331">
        <v>3321</v>
      </c>
      <c r="G91" s="331">
        <v>4281.7669999999998</v>
      </c>
      <c r="H91" s="332">
        <v>3961.076</v>
      </c>
      <c r="I91" s="332">
        <v>3947.0029999999997</v>
      </c>
      <c r="J91" s="333">
        <v>3902.5950000000003</v>
      </c>
      <c r="K91" s="333">
        <v>3869.7619999999997</v>
      </c>
      <c r="L91" s="332">
        <v>4063.2869000000001</v>
      </c>
      <c r="N91" s="335"/>
      <c r="O91" s="335"/>
      <c r="P91" s="335"/>
      <c r="Q91" s="335"/>
    </row>
    <row r="92" spans="1:17" ht="11" customHeight="1">
      <c r="A92" s="330" t="s">
        <v>458</v>
      </c>
      <c r="B92" s="331">
        <v>3913</v>
      </c>
      <c r="C92" s="331">
        <v>3606</v>
      </c>
      <c r="D92" s="331">
        <v>4109</v>
      </c>
      <c r="E92" s="331">
        <v>2781</v>
      </c>
      <c r="F92" s="331">
        <v>2788</v>
      </c>
      <c r="G92" s="331">
        <v>2397.319676267377</v>
      </c>
      <c r="H92" s="332">
        <v>2761.3800951661628</v>
      </c>
      <c r="I92" s="332">
        <v>2416.9940900000001</v>
      </c>
      <c r="J92" s="333">
        <v>2450.3803648934645</v>
      </c>
      <c r="K92" s="333">
        <v>2331.1226537924636</v>
      </c>
      <c r="L92" s="332">
        <v>2434.0878562624562</v>
      </c>
      <c r="N92" s="335"/>
      <c r="O92" s="335"/>
      <c r="P92" s="335"/>
      <c r="Q92" s="335"/>
    </row>
    <row r="93" spans="1:17" ht="11" customHeight="1">
      <c r="A93" s="330" t="s">
        <v>459</v>
      </c>
      <c r="B93" s="331">
        <v>11994</v>
      </c>
      <c r="C93" s="331">
        <v>14537</v>
      </c>
      <c r="D93" s="331">
        <v>18519</v>
      </c>
      <c r="E93" s="331">
        <v>14906</v>
      </c>
      <c r="F93" s="331">
        <v>16536</v>
      </c>
      <c r="G93" s="331">
        <v>17643.475185891035</v>
      </c>
      <c r="H93" s="332">
        <v>16487.340785891032</v>
      </c>
      <c r="I93" s="332">
        <v>15159.249</v>
      </c>
      <c r="J93" s="333">
        <v>14190.624374695259</v>
      </c>
      <c r="K93" s="333">
        <v>16437.823011263517</v>
      </c>
      <c r="L93" s="332">
        <v>15170.196937211573</v>
      </c>
      <c r="N93" s="335"/>
      <c r="O93" s="335"/>
      <c r="P93" s="335"/>
      <c r="Q93" s="335"/>
    </row>
    <row r="94" spans="1:17" ht="11" customHeight="1">
      <c r="A94" s="330" t="s">
        <v>460</v>
      </c>
      <c r="B94" s="331">
        <v>2661</v>
      </c>
      <c r="C94" s="331">
        <v>3227</v>
      </c>
      <c r="D94" s="331">
        <v>3630</v>
      </c>
      <c r="E94" s="331">
        <v>4318</v>
      </c>
      <c r="F94" s="331">
        <v>4769</v>
      </c>
      <c r="G94" s="331">
        <v>5537.4619871200011</v>
      </c>
      <c r="H94" s="332">
        <v>6407.0661319999981</v>
      </c>
      <c r="I94" s="332">
        <v>6893.6605899999959</v>
      </c>
      <c r="J94" s="333">
        <v>7009.668099600005</v>
      </c>
      <c r="K94" s="333">
        <v>7588.9023000000025</v>
      </c>
      <c r="L94" s="332">
        <v>7703.5211838240002</v>
      </c>
      <c r="N94" s="335"/>
      <c r="O94" s="335"/>
      <c r="P94" s="335"/>
      <c r="Q94" s="335"/>
    </row>
    <row r="95" spans="1:17" ht="11" customHeight="1" thickBot="1">
      <c r="A95" s="330" t="s">
        <v>461</v>
      </c>
      <c r="B95" s="331">
        <v>4237</v>
      </c>
      <c r="C95" s="331">
        <v>4312</v>
      </c>
      <c r="D95" s="331">
        <v>4401</v>
      </c>
      <c r="E95" s="331">
        <v>3577</v>
      </c>
      <c r="F95" s="331">
        <v>3719</v>
      </c>
      <c r="G95" s="331">
        <v>3800.4731378415877</v>
      </c>
      <c r="H95" s="332">
        <v>3061.8609048338367</v>
      </c>
      <c r="I95" s="332">
        <v>3675.8783499999995</v>
      </c>
      <c r="J95" s="333">
        <v>3371.4059604112795</v>
      </c>
      <c r="K95" s="333">
        <v>2742.1051059440215</v>
      </c>
      <c r="L95" s="332">
        <v>2292.9094265259737</v>
      </c>
      <c r="N95" s="335"/>
      <c r="O95" s="335"/>
      <c r="P95" s="335"/>
      <c r="Q95" s="335"/>
    </row>
    <row r="96" spans="1:17" ht="11" customHeight="1" thickTop="1" thickBot="1">
      <c r="A96" s="378"/>
      <c r="B96" s="379"/>
      <c r="C96" s="379"/>
      <c r="D96" s="379"/>
      <c r="E96" s="379"/>
      <c r="F96" s="379"/>
      <c r="G96" s="379"/>
      <c r="H96" s="380"/>
      <c r="I96" s="380"/>
      <c r="J96" s="380"/>
      <c r="K96" s="381"/>
      <c r="L96" s="381"/>
      <c r="N96" s="335"/>
      <c r="O96" s="335"/>
      <c r="P96" s="335"/>
      <c r="Q96" s="335"/>
    </row>
    <row r="97" spans="1:17" s="342" customFormat="1" ht="11" customHeight="1" thickTop="1">
      <c r="A97" s="382" t="s">
        <v>462</v>
      </c>
      <c r="B97" s="383"/>
      <c r="C97" s="383"/>
      <c r="D97" s="383"/>
      <c r="E97" s="383"/>
      <c r="F97" s="383"/>
      <c r="G97" s="383"/>
      <c r="H97" s="384"/>
      <c r="I97" s="384"/>
      <c r="J97" s="384"/>
      <c r="N97" s="335"/>
      <c r="O97" s="335"/>
      <c r="P97" s="335"/>
      <c r="Q97" s="335"/>
    </row>
    <row r="98" spans="1:17" ht="11" customHeight="1">
      <c r="A98" s="330" t="s">
        <v>0</v>
      </c>
      <c r="B98" s="331">
        <v>99486</v>
      </c>
      <c r="C98" s="331">
        <v>95133</v>
      </c>
      <c r="D98" s="331">
        <v>85063</v>
      </c>
      <c r="E98" s="331">
        <v>90093</v>
      </c>
      <c r="F98" s="331">
        <v>87848</v>
      </c>
      <c r="G98" s="331">
        <v>88686.265908960006</v>
      </c>
      <c r="H98" s="332">
        <v>79999.105642214723</v>
      </c>
      <c r="I98" s="332">
        <v>81618.102843119996</v>
      </c>
      <c r="J98" s="332">
        <v>75450.656932527199</v>
      </c>
      <c r="K98" s="332">
        <v>63028.342696935004</v>
      </c>
      <c r="L98" s="332">
        <v>52485.808334757006</v>
      </c>
      <c r="N98" s="335"/>
      <c r="O98" s="335"/>
      <c r="P98" s="335"/>
      <c r="Q98" s="335"/>
    </row>
    <row r="99" spans="1:17" ht="11" customHeight="1">
      <c r="A99" s="330" t="s">
        <v>19</v>
      </c>
      <c r="B99" s="331">
        <v>5117</v>
      </c>
      <c r="C99" s="331">
        <v>5336</v>
      </c>
      <c r="D99" s="331">
        <v>5085</v>
      </c>
      <c r="E99" s="331">
        <v>4055</v>
      </c>
      <c r="F99" s="331">
        <v>4788</v>
      </c>
      <c r="G99" s="331">
        <v>3227.6690000000003</v>
      </c>
      <c r="H99" s="332">
        <v>4844</v>
      </c>
      <c r="I99" s="332">
        <v>4921.491</v>
      </c>
      <c r="J99" s="332">
        <v>4593.1547463905999</v>
      </c>
      <c r="K99" s="332">
        <v>5088.3943400000007</v>
      </c>
      <c r="L99" s="332">
        <v>5167.7919067199991</v>
      </c>
      <c r="N99" s="335"/>
      <c r="O99" s="335"/>
      <c r="P99" s="335"/>
      <c r="Q99" s="335"/>
    </row>
    <row r="100" spans="1:17" ht="11" customHeight="1">
      <c r="A100" s="330" t="s">
        <v>463</v>
      </c>
      <c r="B100" s="331">
        <v>877</v>
      </c>
      <c r="C100" s="331">
        <v>851</v>
      </c>
      <c r="D100" s="331">
        <v>947</v>
      </c>
      <c r="E100" s="331">
        <v>965</v>
      </c>
      <c r="F100" s="331">
        <v>1259</v>
      </c>
      <c r="G100" s="331">
        <v>1288.29424288</v>
      </c>
      <c r="H100" s="332">
        <v>1939.1148680000001</v>
      </c>
      <c r="I100" s="332">
        <v>2912.0966100000005</v>
      </c>
      <c r="J100" s="332">
        <v>4235.7526003999992</v>
      </c>
      <c r="K100" s="333">
        <v>5287.8714849999997</v>
      </c>
      <c r="L100" s="332">
        <v>7114.2523684669986</v>
      </c>
      <c r="N100" s="335"/>
      <c r="O100" s="335"/>
      <c r="P100" s="335"/>
      <c r="Q100" s="335"/>
    </row>
    <row r="101" spans="1:17" ht="11" customHeight="1">
      <c r="A101" s="330" t="s">
        <v>125</v>
      </c>
      <c r="B101" s="331">
        <v>122971</v>
      </c>
      <c r="C101" s="331">
        <v>106180</v>
      </c>
      <c r="D101" s="331">
        <v>119950</v>
      </c>
      <c r="E101" s="331">
        <v>131461</v>
      </c>
      <c r="F101" s="331">
        <v>124279</v>
      </c>
      <c r="G101" s="331">
        <v>138305.04433377</v>
      </c>
      <c r="H101" s="332">
        <v>131787.64339997381</v>
      </c>
      <c r="I101" s="332">
        <v>134841.12802656283</v>
      </c>
      <c r="J101" s="333">
        <v>149213.73519007739</v>
      </c>
      <c r="K101" s="332">
        <v>136545.08220978279</v>
      </c>
      <c r="L101" s="332">
        <v>125314.63098201941</v>
      </c>
      <c r="N101" s="335"/>
      <c r="O101" s="335"/>
      <c r="P101" s="335"/>
      <c r="Q101" s="335"/>
    </row>
    <row r="102" spans="1:17" ht="11" customHeight="1">
      <c r="A102" s="330" t="s">
        <v>186</v>
      </c>
      <c r="B102" s="331">
        <v>7355</v>
      </c>
      <c r="C102" s="331">
        <v>6549</v>
      </c>
      <c r="D102" s="331">
        <v>6524</v>
      </c>
      <c r="E102" s="331">
        <v>5253</v>
      </c>
      <c r="F102" s="331">
        <v>4799</v>
      </c>
      <c r="G102" s="331">
        <v>4594.4318006129242</v>
      </c>
      <c r="H102" s="332">
        <v>4644.1596400954295</v>
      </c>
      <c r="I102" s="332">
        <v>5132.9042254587803</v>
      </c>
      <c r="J102" s="333">
        <v>5809.0243326471809</v>
      </c>
      <c r="K102" s="333">
        <v>4731.8853459449274</v>
      </c>
      <c r="L102" s="332">
        <v>6101.0614757591793</v>
      </c>
      <c r="N102" s="335"/>
      <c r="O102" s="335"/>
      <c r="P102" s="335"/>
      <c r="Q102" s="335"/>
    </row>
    <row r="103" spans="1:17" ht="11" customHeight="1">
      <c r="A103" s="330" t="s">
        <v>14</v>
      </c>
      <c r="B103" s="331">
        <v>117798</v>
      </c>
      <c r="C103" s="331">
        <v>142902</v>
      </c>
      <c r="D103" s="331">
        <v>148077</v>
      </c>
      <c r="E103" s="331">
        <v>141905</v>
      </c>
      <c r="F103" s="331">
        <v>152277</v>
      </c>
      <c r="G103" s="331">
        <v>148881.34831044011</v>
      </c>
      <c r="H103" s="332">
        <v>157064.30779367784</v>
      </c>
      <c r="I103" s="332">
        <v>152641.99112305598</v>
      </c>
      <c r="J103" s="333">
        <v>140827.86401709815</v>
      </c>
      <c r="K103" s="333">
        <v>165783.76898567128</v>
      </c>
      <c r="L103" s="332">
        <v>176748.9534153576</v>
      </c>
      <c r="N103" s="335"/>
      <c r="O103" s="335"/>
      <c r="P103" s="335"/>
      <c r="Q103" s="335"/>
    </row>
    <row r="104" spans="1:17" ht="11" customHeight="1">
      <c r="A104" s="330" t="s">
        <v>464</v>
      </c>
      <c r="B104" s="331">
        <v>3237</v>
      </c>
      <c r="C104" s="331">
        <v>3987</v>
      </c>
      <c r="D104" s="331">
        <v>4328</v>
      </c>
      <c r="E104" s="331">
        <v>5048</v>
      </c>
      <c r="F104" s="331">
        <v>5625</v>
      </c>
      <c r="G104" s="331">
        <v>6691.6878463879375</v>
      </c>
      <c r="H104" s="332">
        <v>7878.4954607499985</v>
      </c>
      <c r="I104" s="332">
        <v>9639.2545899999968</v>
      </c>
      <c r="J104" s="333">
        <v>9938.1510748862565</v>
      </c>
      <c r="K104" s="333">
        <v>9976.8885899598426</v>
      </c>
      <c r="L104" s="332">
        <v>10334.817038699141</v>
      </c>
      <c r="N104" s="335"/>
      <c r="O104" s="335"/>
      <c r="P104" s="335"/>
      <c r="Q104" s="335"/>
    </row>
    <row r="105" spans="1:17" ht="11" customHeight="1">
      <c r="A105" s="330" t="s">
        <v>113</v>
      </c>
      <c r="B105" s="331">
        <v>4237</v>
      </c>
      <c r="C105" s="331">
        <v>4312</v>
      </c>
      <c r="D105" s="331">
        <v>4401</v>
      </c>
      <c r="E105" s="331">
        <v>3577</v>
      </c>
      <c r="F105" s="331">
        <v>3719</v>
      </c>
      <c r="G105" s="331">
        <v>3800.4731378415877</v>
      </c>
      <c r="H105" s="332">
        <v>3061.8609048338367</v>
      </c>
      <c r="I105" s="332">
        <v>3675.8783499999995</v>
      </c>
      <c r="J105" s="333">
        <v>3371.4059604112795</v>
      </c>
      <c r="K105" s="333">
        <v>2742.1051059440215</v>
      </c>
      <c r="L105" s="332">
        <v>2292.9094265259737</v>
      </c>
      <c r="N105" s="335"/>
      <c r="O105" s="335"/>
      <c r="P105" s="335"/>
      <c r="Q105" s="335"/>
    </row>
    <row r="106" spans="1:17" s="342" customFormat="1" ht="11.25" customHeight="1" thickBot="1">
      <c r="A106" s="385" t="s">
        <v>465</v>
      </c>
      <c r="B106" s="386">
        <v>361078</v>
      </c>
      <c r="C106" s="386">
        <v>365250</v>
      </c>
      <c r="D106" s="386">
        <v>374375</v>
      </c>
      <c r="E106" s="386">
        <v>382356</v>
      </c>
      <c r="F106" s="386">
        <v>384594</v>
      </c>
      <c r="G106" s="386">
        <v>395475.21458089253</v>
      </c>
      <c r="H106" s="387">
        <v>391218.68770954566</v>
      </c>
      <c r="I106" s="387">
        <v>395382.8467681976</v>
      </c>
      <c r="J106" s="388">
        <v>393439.74485443818</v>
      </c>
      <c r="K106" s="388">
        <v>393184.33875923784</v>
      </c>
      <c r="L106" s="387">
        <v>385560.22494830535</v>
      </c>
      <c r="N106" s="335"/>
      <c r="O106" s="335"/>
      <c r="P106" s="335"/>
      <c r="Q106" s="335"/>
    </row>
    <row r="107" spans="1:17" ht="6" customHeight="1" thickTop="1">
      <c r="A107" s="389"/>
      <c r="B107" s="336"/>
      <c r="C107" s="336"/>
      <c r="D107" s="336"/>
      <c r="E107" s="336"/>
      <c r="N107" s="335"/>
      <c r="O107" s="335"/>
      <c r="P107" s="335"/>
      <c r="Q107" s="335"/>
    </row>
    <row r="108" spans="1:17" s="308" customFormat="1" ht="10.5" customHeight="1">
      <c r="A108" s="390" t="s">
        <v>466</v>
      </c>
      <c r="B108" s="330"/>
      <c r="C108" s="330"/>
      <c r="E108" s="391"/>
      <c r="G108" s="391"/>
      <c r="N108" s="335"/>
      <c r="O108" s="335"/>
      <c r="P108" s="335"/>
      <c r="Q108" s="335"/>
    </row>
    <row r="109" spans="1:17" s="308" customFormat="1" ht="10.5" customHeight="1">
      <c r="A109" s="390" t="s">
        <v>467</v>
      </c>
      <c r="B109" s="330"/>
      <c r="C109" s="330"/>
      <c r="E109" s="330"/>
      <c r="G109" s="330"/>
    </row>
    <row r="110" spans="1:17" s="312" customFormat="1" ht="10.5" customHeight="1">
      <c r="A110" s="390" t="s">
        <v>468</v>
      </c>
      <c r="B110" s="392"/>
      <c r="C110" s="392"/>
      <c r="E110" s="392"/>
      <c r="G110" s="392"/>
    </row>
    <row r="111" spans="1:17" s="308" customFormat="1" ht="10.5" customHeight="1">
      <c r="A111" s="390" t="s">
        <v>469</v>
      </c>
      <c r="B111" s="330"/>
      <c r="C111" s="330"/>
      <c r="D111" s="330"/>
      <c r="E111" s="330"/>
      <c r="F111" s="330"/>
      <c r="G111" s="330"/>
    </row>
    <row r="112" spans="1:17" s="308" customFormat="1" ht="10.5" customHeight="1">
      <c r="A112" s="390" t="s">
        <v>470</v>
      </c>
      <c r="B112" s="330"/>
      <c r="C112" s="330"/>
      <c r="D112" s="330"/>
      <c r="E112" s="330"/>
      <c r="F112" s="330"/>
      <c r="G112" s="330"/>
    </row>
    <row r="113" spans="1:7" s="308" customFormat="1" ht="10.5" customHeight="1">
      <c r="A113" s="390" t="s">
        <v>471</v>
      </c>
      <c r="B113" s="330"/>
      <c r="C113" s="330"/>
      <c r="D113" s="330"/>
      <c r="E113" s="330"/>
      <c r="F113" s="330"/>
      <c r="G113" s="330"/>
    </row>
    <row r="114" spans="1:7" s="308" customFormat="1" ht="10.5" customHeight="1">
      <c r="A114" s="390" t="s">
        <v>472</v>
      </c>
      <c r="B114" s="330"/>
      <c r="C114" s="330"/>
      <c r="D114" s="330"/>
      <c r="E114" s="330"/>
      <c r="F114" s="330"/>
      <c r="G114" s="330"/>
    </row>
    <row r="115" spans="1:7" s="308" customFormat="1" ht="10.5" customHeight="1">
      <c r="A115" s="390" t="s">
        <v>473</v>
      </c>
      <c r="B115" s="330"/>
      <c r="C115" s="330"/>
      <c r="D115" s="330"/>
      <c r="E115" s="330"/>
      <c r="F115" s="330"/>
      <c r="G115" s="330"/>
    </row>
    <row r="116" spans="1:7" s="312" customFormat="1" ht="10.5" customHeight="1">
      <c r="A116" s="390" t="s">
        <v>474</v>
      </c>
      <c r="B116" s="392"/>
      <c r="C116" s="393"/>
      <c r="D116" s="393"/>
      <c r="E116" s="392"/>
      <c r="F116" s="392"/>
      <c r="G116" s="392"/>
    </row>
    <row r="117" spans="1:7" s="312" customFormat="1" ht="10.5" customHeight="1">
      <c r="A117" s="390" t="s">
        <v>475</v>
      </c>
      <c r="B117" s="392"/>
      <c r="C117" s="392"/>
      <c r="D117" s="392"/>
      <c r="E117" s="392"/>
      <c r="F117" s="392"/>
      <c r="G117" s="392"/>
    </row>
    <row r="118" spans="1:7">
      <c r="A118" s="390" t="s">
        <v>476</v>
      </c>
    </row>
    <row r="119" spans="1:7">
      <c r="A119" s="390" t="s">
        <v>477</v>
      </c>
    </row>
  </sheetData>
  <pageMargins left="0.6692913385826772" right="0.6692913385826772" top="0.51181102362204722" bottom="0.51181102362204722" header="0.27559055118110237" footer="0.27559055118110237"/>
  <pageSetup paperSize="9" scale="47" orientation="portrait"/>
  <headerFooter alignWithMargins="0">
    <oddFooter>&amp;C&amp;P</oddFooter>
  </headerFooter>
  <rowBreaks count="1" manualBreakCount="1">
    <brk id="65" max="11" man="1"/>
  </rowBreaks>
  <colBreaks count="1" manualBreakCount="1">
    <brk id="8" max="119"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enableFormatConditionsCalculation="0">
    <pageSetUpPr fitToPage="1"/>
  </sheetPr>
  <dimension ref="A1:AK305"/>
  <sheetViews>
    <sheetView workbookViewId="0"/>
  </sheetViews>
  <sheetFormatPr baseColWidth="10" defaultColWidth="8.83203125" defaultRowHeight="13" x14ac:dyDescent="0"/>
  <cols>
    <col min="1" max="1" width="23.6640625" style="336" customWidth="1"/>
    <col min="2" max="2" width="7.6640625" style="315" customWidth="1"/>
    <col min="3" max="3" width="7" style="315" customWidth="1"/>
    <col min="4" max="4" width="8.5" style="315" customWidth="1"/>
    <col min="5" max="7" width="6.83203125" style="315" customWidth="1"/>
    <col min="8" max="8" width="8.1640625" style="315" customWidth="1"/>
    <col min="9" max="9" width="1" style="315" customWidth="1"/>
    <col min="10" max="10" width="7.1640625" style="315" customWidth="1"/>
    <col min="11" max="12" width="7.33203125" style="315" customWidth="1"/>
    <col min="13" max="13" width="8.6640625" style="315" customWidth="1"/>
    <col min="14" max="14" width="7.33203125" style="315" customWidth="1"/>
    <col min="15" max="15" width="8.6640625" style="315" customWidth="1"/>
    <col min="16" max="17" width="7.1640625" style="315" customWidth="1"/>
    <col min="18" max="18" width="7.5" style="315" customWidth="1"/>
    <col min="19" max="19" width="7.1640625" style="315" customWidth="1"/>
    <col min="20" max="20" width="8.83203125" style="315" customWidth="1"/>
    <col min="21" max="21" width="9.5" style="315" customWidth="1"/>
    <col min="22" max="22" width="5.6640625" style="315" customWidth="1"/>
    <col min="23" max="23" width="7.1640625" style="315" customWidth="1"/>
    <col min="24" max="24" width="5.6640625" style="315" customWidth="1"/>
    <col min="25" max="25" width="9.5" style="315" customWidth="1"/>
    <col min="26" max="26" width="9.6640625" style="315" customWidth="1"/>
    <col min="27" max="256" width="8.83203125" style="315"/>
    <col min="257" max="257" width="13" style="315" customWidth="1"/>
    <col min="258" max="258" width="7.6640625" style="315" customWidth="1"/>
    <col min="259" max="259" width="7" style="315" customWidth="1"/>
    <col min="260" max="260" width="8.5" style="315" customWidth="1"/>
    <col min="261" max="263" width="6.83203125" style="315" customWidth="1"/>
    <col min="264" max="264" width="8.1640625" style="315" customWidth="1"/>
    <col min="265" max="265" width="1" style="315" customWidth="1"/>
    <col min="266" max="266" width="7.1640625" style="315" customWidth="1"/>
    <col min="267" max="268" width="7.33203125" style="315" customWidth="1"/>
    <col min="269" max="269" width="8.6640625" style="315" customWidth="1"/>
    <col min="270" max="270" width="7.33203125" style="315" customWidth="1"/>
    <col min="271" max="271" width="8.6640625" style="315" customWidth="1"/>
    <col min="272" max="273" width="7.1640625" style="315" customWidth="1"/>
    <col min="274" max="274" width="7.5" style="315" customWidth="1"/>
    <col min="275" max="275" width="7.1640625" style="315" customWidth="1"/>
    <col min="276" max="276" width="8.83203125" style="315" customWidth="1"/>
    <col min="277" max="277" width="9.5" style="315" customWidth="1"/>
    <col min="278" max="278" width="5.6640625" style="315" customWidth="1"/>
    <col min="279" max="279" width="7.1640625" style="315" customWidth="1"/>
    <col min="280" max="280" width="5.6640625" style="315" customWidth="1"/>
    <col min="281" max="281" width="9.5" style="315" customWidth="1"/>
    <col min="282" max="282" width="9.6640625" style="315" customWidth="1"/>
    <col min="283" max="512" width="8.83203125" style="315"/>
    <col min="513" max="513" width="13" style="315" customWidth="1"/>
    <col min="514" max="514" width="7.6640625" style="315" customWidth="1"/>
    <col min="515" max="515" width="7" style="315" customWidth="1"/>
    <col min="516" max="516" width="8.5" style="315" customWidth="1"/>
    <col min="517" max="519" width="6.83203125" style="315" customWidth="1"/>
    <col min="520" max="520" width="8.1640625" style="315" customWidth="1"/>
    <col min="521" max="521" width="1" style="315" customWidth="1"/>
    <col min="522" max="522" width="7.1640625" style="315" customWidth="1"/>
    <col min="523" max="524" width="7.33203125" style="315" customWidth="1"/>
    <col min="525" max="525" width="8.6640625" style="315" customWidth="1"/>
    <col min="526" max="526" width="7.33203125" style="315" customWidth="1"/>
    <col min="527" max="527" width="8.6640625" style="315" customWidth="1"/>
    <col min="528" max="529" width="7.1640625" style="315" customWidth="1"/>
    <col min="530" max="530" width="7.5" style="315" customWidth="1"/>
    <col min="531" max="531" width="7.1640625" style="315" customWidth="1"/>
    <col min="532" max="532" width="8.83203125" style="315" customWidth="1"/>
    <col min="533" max="533" width="9.5" style="315" customWidth="1"/>
    <col min="534" max="534" width="5.6640625" style="315" customWidth="1"/>
    <col min="535" max="535" width="7.1640625" style="315" customWidth="1"/>
    <col min="536" max="536" width="5.6640625" style="315" customWidth="1"/>
    <col min="537" max="537" width="9.5" style="315" customWidth="1"/>
    <col min="538" max="538" width="9.6640625" style="315" customWidth="1"/>
    <col min="539" max="768" width="8.83203125" style="315"/>
    <col min="769" max="769" width="13" style="315" customWidth="1"/>
    <col min="770" max="770" width="7.6640625" style="315" customWidth="1"/>
    <col min="771" max="771" width="7" style="315" customWidth="1"/>
    <col min="772" max="772" width="8.5" style="315" customWidth="1"/>
    <col min="773" max="775" width="6.83203125" style="315" customWidth="1"/>
    <col min="776" max="776" width="8.1640625" style="315" customWidth="1"/>
    <col min="777" max="777" width="1" style="315" customWidth="1"/>
    <col min="778" max="778" width="7.1640625" style="315" customWidth="1"/>
    <col min="779" max="780" width="7.33203125" style="315" customWidth="1"/>
    <col min="781" max="781" width="8.6640625" style="315" customWidth="1"/>
    <col min="782" max="782" width="7.33203125" style="315" customWidth="1"/>
    <col min="783" max="783" width="8.6640625" style="315" customWidth="1"/>
    <col min="784" max="785" width="7.1640625" style="315" customWidth="1"/>
    <col min="786" max="786" width="7.5" style="315" customWidth="1"/>
    <col min="787" max="787" width="7.1640625" style="315" customWidth="1"/>
    <col min="788" max="788" width="8.83203125" style="315" customWidth="1"/>
    <col min="789" max="789" width="9.5" style="315" customWidth="1"/>
    <col min="790" max="790" width="5.6640625" style="315" customWidth="1"/>
    <col min="791" max="791" width="7.1640625" style="315" customWidth="1"/>
    <col min="792" max="792" width="5.6640625" style="315" customWidth="1"/>
    <col min="793" max="793" width="9.5" style="315" customWidth="1"/>
    <col min="794" max="794" width="9.6640625" style="315" customWidth="1"/>
    <col min="795" max="1024" width="8.83203125" style="315"/>
    <col min="1025" max="1025" width="13" style="315" customWidth="1"/>
    <col min="1026" max="1026" width="7.6640625" style="315" customWidth="1"/>
    <col min="1027" max="1027" width="7" style="315" customWidth="1"/>
    <col min="1028" max="1028" width="8.5" style="315" customWidth="1"/>
    <col min="1029" max="1031" width="6.83203125" style="315" customWidth="1"/>
    <col min="1032" max="1032" width="8.1640625" style="315" customWidth="1"/>
    <col min="1033" max="1033" width="1" style="315" customWidth="1"/>
    <col min="1034" max="1034" width="7.1640625" style="315" customWidth="1"/>
    <col min="1035" max="1036" width="7.33203125" style="315" customWidth="1"/>
    <col min="1037" max="1037" width="8.6640625" style="315" customWidth="1"/>
    <col min="1038" max="1038" width="7.33203125" style="315" customWidth="1"/>
    <col min="1039" max="1039" width="8.6640625" style="315" customWidth="1"/>
    <col min="1040" max="1041" width="7.1640625" style="315" customWidth="1"/>
    <col min="1042" max="1042" width="7.5" style="315" customWidth="1"/>
    <col min="1043" max="1043" width="7.1640625" style="315" customWidth="1"/>
    <col min="1044" max="1044" width="8.83203125" style="315" customWidth="1"/>
    <col min="1045" max="1045" width="9.5" style="315" customWidth="1"/>
    <col min="1046" max="1046" width="5.6640625" style="315" customWidth="1"/>
    <col min="1047" max="1047" width="7.1640625" style="315" customWidth="1"/>
    <col min="1048" max="1048" width="5.6640625" style="315" customWidth="1"/>
    <col min="1049" max="1049" width="9.5" style="315" customWidth="1"/>
    <col min="1050" max="1050" width="9.6640625" style="315" customWidth="1"/>
    <col min="1051" max="1280" width="8.83203125" style="315"/>
    <col min="1281" max="1281" width="13" style="315" customWidth="1"/>
    <col min="1282" max="1282" width="7.6640625" style="315" customWidth="1"/>
    <col min="1283" max="1283" width="7" style="315" customWidth="1"/>
    <col min="1284" max="1284" width="8.5" style="315" customWidth="1"/>
    <col min="1285" max="1287" width="6.83203125" style="315" customWidth="1"/>
    <col min="1288" max="1288" width="8.1640625" style="315" customWidth="1"/>
    <col min="1289" max="1289" width="1" style="315" customWidth="1"/>
    <col min="1290" max="1290" width="7.1640625" style="315" customWidth="1"/>
    <col min="1291" max="1292" width="7.33203125" style="315" customWidth="1"/>
    <col min="1293" max="1293" width="8.6640625" style="315" customWidth="1"/>
    <col min="1294" max="1294" width="7.33203125" style="315" customWidth="1"/>
    <col min="1295" max="1295" width="8.6640625" style="315" customWidth="1"/>
    <col min="1296" max="1297" width="7.1640625" style="315" customWidth="1"/>
    <col min="1298" max="1298" width="7.5" style="315" customWidth="1"/>
    <col min="1299" max="1299" width="7.1640625" style="315" customWidth="1"/>
    <col min="1300" max="1300" width="8.83203125" style="315" customWidth="1"/>
    <col min="1301" max="1301" width="9.5" style="315" customWidth="1"/>
    <col min="1302" max="1302" width="5.6640625" style="315" customWidth="1"/>
    <col min="1303" max="1303" width="7.1640625" style="315" customWidth="1"/>
    <col min="1304" max="1304" width="5.6640625" style="315" customWidth="1"/>
    <col min="1305" max="1305" width="9.5" style="315" customWidth="1"/>
    <col min="1306" max="1306" width="9.6640625" style="315" customWidth="1"/>
    <col min="1307" max="1536" width="8.83203125" style="315"/>
    <col min="1537" max="1537" width="13" style="315" customWidth="1"/>
    <col min="1538" max="1538" width="7.6640625" style="315" customWidth="1"/>
    <col min="1539" max="1539" width="7" style="315" customWidth="1"/>
    <col min="1540" max="1540" width="8.5" style="315" customWidth="1"/>
    <col min="1541" max="1543" width="6.83203125" style="315" customWidth="1"/>
    <col min="1544" max="1544" width="8.1640625" style="315" customWidth="1"/>
    <col min="1545" max="1545" width="1" style="315" customWidth="1"/>
    <col min="1546" max="1546" width="7.1640625" style="315" customWidth="1"/>
    <col min="1547" max="1548" width="7.33203125" style="315" customWidth="1"/>
    <col min="1549" max="1549" width="8.6640625" style="315" customWidth="1"/>
    <col min="1550" max="1550" width="7.33203125" style="315" customWidth="1"/>
    <col min="1551" max="1551" width="8.6640625" style="315" customWidth="1"/>
    <col min="1552" max="1553" width="7.1640625" style="315" customWidth="1"/>
    <col min="1554" max="1554" width="7.5" style="315" customWidth="1"/>
    <col min="1555" max="1555" width="7.1640625" style="315" customWidth="1"/>
    <col min="1556" max="1556" width="8.83203125" style="315" customWidth="1"/>
    <col min="1557" max="1557" width="9.5" style="315" customWidth="1"/>
    <col min="1558" max="1558" width="5.6640625" style="315" customWidth="1"/>
    <col min="1559" max="1559" width="7.1640625" style="315" customWidth="1"/>
    <col min="1560" max="1560" width="5.6640625" style="315" customWidth="1"/>
    <col min="1561" max="1561" width="9.5" style="315" customWidth="1"/>
    <col min="1562" max="1562" width="9.6640625" style="315" customWidth="1"/>
    <col min="1563" max="1792" width="8.83203125" style="315"/>
    <col min="1793" max="1793" width="13" style="315" customWidth="1"/>
    <col min="1794" max="1794" width="7.6640625" style="315" customWidth="1"/>
    <col min="1795" max="1795" width="7" style="315" customWidth="1"/>
    <col min="1796" max="1796" width="8.5" style="315" customWidth="1"/>
    <col min="1797" max="1799" width="6.83203125" style="315" customWidth="1"/>
    <col min="1800" max="1800" width="8.1640625" style="315" customWidth="1"/>
    <col min="1801" max="1801" width="1" style="315" customWidth="1"/>
    <col min="1802" max="1802" width="7.1640625" style="315" customWidth="1"/>
    <col min="1803" max="1804" width="7.33203125" style="315" customWidth="1"/>
    <col min="1805" max="1805" width="8.6640625" style="315" customWidth="1"/>
    <col min="1806" max="1806" width="7.33203125" style="315" customWidth="1"/>
    <col min="1807" max="1807" width="8.6640625" style="315" customWidth="1"/>
    <col min="1808" max="1809" width="7.1640625" style="315" customWidth="1"/>
    <col min="1810" max="1810" width="7.5" style="315" customWidth="1"/>
    <col min="1811" max="1811" width="7.1640625" style="315" customWidth="1"/>
    <col min="1812" max="1812" width="8.83203125" style="315" customWidth="1"/>
    <col min="1813" max="1813" width="9.5" style="315" customWidth="1"/>
    <col min="1814" max="1814" width="5.6640625" style="315" customWidth="1"/>
    <col min="1815" max="1815" width="7.1640625" style="315" customWidth="1"/>
    <col min="1816" max="1816" width="5.6640625" style="315" customWidth="1"/>
    <col min="1817" max="1817" width="9.5" style="315" customWidth="1"/>
    <col min="1818" max="1818" width="9.6640625" style="315" customWidth="1"/>
    <col min="1819" max="2048" width="8.83203125" style="315"/>
    <col min="2049" max="2049" width="13" style="315" customWidth="1"/>
    <col min="2050" max="2050" width="7.6640625" style="315" customWidth="1"/>
    <col min="2051" max="2051" width="7" style="315" customWidth="1"/>
    <col min="2052" max="2052" width="8.5" style="315" customWidth="1"/>
    <col min="2053" max="2055" width="6.83203125" style="315" customWidth="1"/>
    <col min="2056" max="2056" width="8.1640625" style="315" customWidth="1"/>
    <col min="2057" max="2057" width="1" style="315" customWidth="1"/>
    <col min="2058" max="2058" width="7.1640625" style="315" customWidth="1"/>
    <col min="2059" max="2060" width="7.33203125" style="315" customWidth="1"/>
    <col min="2061" max="2061" width="8.6640625" style="315" customWidth="1"/>
    <col min="2062" max="2062" width="7.33203125" style="315" customWidth="1"/>
    <col min="2063" max="2063" width="8.6640625" style="315" customWidth="1"/>
    <col min="2064" max="2065" width="7.1640625" style="315" customWidth="1"/>
    <col min="2066" max="2066" width="7.5" style="315" customWidth="1"/>
    <col min="2067" max="2067" width="7.1640625" style="315" customWidth="1"/>
    <col min="2068" max="2068" width="8.83203125" style="315" customWidth="1"/>
    <col min="2069" max="2069" width="9.5" style="315" customWidth="1"/>
    <col min="2070" max="2070" width="5.6640625" style="315" customWidth="1"/>
    <col min="2071" max="2071" width="7.1640625" style="315" customWidth="1"/>
    <col min="2072" max="2072" width="5.6640625" style="315" customWidth="1"/>
    <col min="2073" max="2073" width="9.5" style="315" customWidth="1"/>
    <col min="2074" max="2074" width="9.6640625" style="315" customWidth="1"/>
    <col min="2075" max="2304" width="8.83203125" style="315"/>
    <col min="2305" max="2305" width="13" style="315" customWidth="1"/>
    <col min="2306" max="2306" width="7.6640625" style="315" customWidth="1"/>
    <col min="2307" max="2307" width="7" style="315" customWidth="1"/>
    <col min="2308" max="2308" width="8.5" style="315" customWidth="1"/>
    <col min="2309" max="2311" width="6.83203125" style="315" customWidth="1"/>
    <col min="2312" max="2312" width="8.1640625" style="315" customWidth="1"/>
    <col min="2313" max="2313" width="1" style="315" customWidth="1"/>
    <col min="2314" max="2314" width="7.1640625" style="315" customWidth="1"/>
    <col min="2315" max="2316" width="7.33203125" style="315" customWidth="1"/>
    <col min="2317" max="2317" width="8.6640625" style="315" customWidth="1"/>
    <col min="2318" max="2318" width="7.33203125" style="315" customWidth="1"/>
    <col min="2319" max="2319" width="8.6640625" style="315" customWidth="1"/>
    <col min="2320" max="2321" width="7.1640625" style="315" customWidth="1"/>
    <col min="2322" max="2322" width="7.5" style="315" customWidth="1"/>
    <col min="2323" max="2323" width="7.1640625" style="315" customWidth="1"/>
    <col min="2324" max="2324" width="8.83203125" style="315" customWidth="1"/>
    <col min="2325" max="2325" width="9.5" style="315" customWidth="1"/>
    <col min="2326" max="2326" width="5.6640625" style="315" customWidth="1"/>
    <col min="2327" max="2327" width="7.1640625" style="315" customWidth="1"/>
    <col min="2328" max="2328" width="5.6640625" style="315" customWidth="1"/>
    <col min="2329" max="2329" width="9.5" style="315" customWidth="1"/>
    <col min="2330" max="2330" width="9.6640625" style="315" customWidth="1"/>
    <col min="2331" max="2560" width="8.83203125" style="315"/>
    <col min="2561" max="2561" width="13" style="315" customWidth="1"/>
    <col min="2562" max="2562" width="7.6640625" style="315" customWidth="1"/>
    <col min="2563" max="2563" width="7" style="315" customWidth="1"/>
    <col min="2564" max="2564" width="8.5" style="315" customWidth="1"/>
    <col min="2565" max="2567" width="6.83203125" style="315" customWidth="1"/>
    <col min="2568" max="2568" width="8.1640625" style="315" customWidth="1"/>
    <col min="2569" max="2569" width="1" style="315" customWidth="1"/>
    <col min="2570" max="2570" width="7.1640625" style="315" customWidth="1"/>
    <col min="2571" max="2572" width="7.33203125" style="315" customWidth="1"/>
    <col min="2573" max="2573" width="8.6640625" style="315" customWidth="1"/>
    <col min="2574" max="2574" width="7.33203125" style="315" customWidth="1"/>
    <col min="2575" max="2575" width="8.6640625" style="315" customWidth="1"/>
    <col min="2576" max="2577" width="7.1640625" style="315" customWidth="1"/>
    <col min="2578" max="2578" width="7.5" style="315" customWidth="1"/>
    <col min="2579" max="2579" width="7.1640625" style="315" customWidth="1"/>
    <col min="2580" max="2580" width="8.83203125" style="315" customWidth="1"/>
    <col min="2581" max="2581" width="9.5" style="315" customWidth="1"/>
    <col min="2582" max="2582" width="5.6640625" style="315" customWidth="1"/>
    <col min="2583" max="2583" width="7.1640625" style="315" customWidth="1"/>
    <col min="2584" max="2584" width="5.6640625" style="315" customWidth="1"/>
    <col min="2585" max="2585" width="9.5" style="315" customWidth="1"/>
    <col min="2586" max="2586" width="9.6640625" style="315" customWidth="1"/>
    <col min="2587" max="2816" width="8.83203125" style="315"/>
    <col min="2817" max="2817" width="13" style="315" customWidth="1"/>
    <col min="2818" max="2818" width="7.6640625" style="315" customWidth="1"/>
    <col min="2819" max="2819" width="7" style="315" customWidth="1"/>
    <col min="2820" max="2820" width="8.5" style="315" customWidth="1"/>
    <col min="2821" max="2823" width="6.83203125" style="315" customWidth="1"/>
    <col min="2824" max="2824" width="8.1640625" style="315" customWidth="1"/>
    <col min="2825" max="2825" width="1" style="315" customWidth="1"/>
    <col min="2826" max="2826" width="7.1640625" style="315" customWidth="1"/>
    <col min="2827" max="2828" width="7.33203125" style="315" customWidth="1"/>
    <col min="2829" max="2829" width="8.6640625" style="315" customWidth="1"/>
    <col min="2830" max="2830" width="7.33203125" style="315" customWidth="1"/>
    <col min="2831" max="2831" width="8.6640625" style="315" customWidth="1"/>
    <col min="2832" max="2833" width="7.1640625" style="315" customWidth="1"/>
    <col min="2834" max="2834" width="7.5" style="315" customWidth="1"/>
    <col min="2835" max="2835" width="7.1640625" style="315" customWidth="1"/>
    <col min="2836" max="2836" width="8.83203125" style="315" customWidth="1"/>
    <col min="2837" max="2837" width="9.5" style="315" customWidth="1"/>
    <col min="2838" max="2838" width="5.6640625" style="315" customWidth="1"/>
    <col min="2839" max="2839" width="7.1640625" style="315" customWidth="1"/>
    <col min="2840" max="2840" width="5.6640625" style="315" customWidth="1"/>
    <col min="2841" max="2841" width="9.5" style="315" customWidth="1"/>
    <col min="2842" max="2842" width="9.6640625" style="315" customWidth="1"/>
    <col min="2843" max="3072" width="8.83203125" style="315"/>
    <col min="3073" max="3073" width="13" style="315" customWidth="1"/>
    <col min="3074" max="3074" width="7.6640625" style="315" customWidth="1"/>
    <col min="3075" max="3075" width="7" style="315" customWidth="1"/>
    <col min="3076" max="3076" width="8.5" style="315" customWidth="1"/>
    <col min="3077" max="3079" width="6.83203125" style="315" customWidth="1"/>
    <col min="3080" max="3080" width="8.1640625" style="315" customWidth="1"/>
    <col min="3081" max="3081" width="1" style="315" customWidth="1"/>
    <col min="3082" max="3082" width="7.1640625" style="315" customWidth="1"/>
    <col min="3083" max="3084" width="7.33203125" style="315" customWidth="1"/>
    <col min="3085" max="3085" width="8.6640625" style="315" customWidth="1"/>
    <col min="3086" max="3086" width="7.33203125" style="315" customWidth="1"/>
    <col min="3087" max="3087" width="8.6640625" style="315" customWidth="1"/>
    <col min="3088" max="3089" width="7.1640625" style="315" customWidth="1"/>
    <col min="3090" max="3090" width="7.5" style="315" customWidth="1"/>
    <col min="3091" max="3091" width="7.1640625" style="315" customWidth="1"/>
    <col min="3092" max="3092" width="8.83203125" style="315" customWidth="1"/>
    <col min="3093" max="3093" width="9.5" style="315" customWidth="1"/>
    <col min="3094" max="3094" width="5.6640625" style="315" customWidth="1"/>
    <col min="3095" max="3095" width="7.1640625" style="315" customWidth="1"/>
    <col min="3096" max="3096" width="5.6640625" style="315" customWidth="1"/>
    <col min="3097" max="3097" width="9.5" style="315" customWidth="1"/>
    <col min="3098" max="3098" width="9.6640625" style="315" customWidth="1"/>
    <col min="3099" max="3328" width="8.83203125" style="315"/>
    <col min="3329" max="3329" width="13" style="315" customWidth="1"/>
    <col min="3330" max="3330" width="7.6640625" style="315" customWidth="1"/>
    <col min="3331" max="3331" width="7" style="315" customWidth="1"/>
    <col min="3332" max="3332" width="8.5" style="315" customWidth="1"/>
    <col min="3333" max="3335" width="6.83203125" style="315" customWidth="1"/>
    <col min="3336" max="3336" width="8.1640625" style="315" customWidth="1"/>
    <col min="3337" max="3337" width="1" style="315" customWidth="1"/>
    <col min="3338" max="3338" width="7.1640625" style="315" customWidth="1"/>
    <col min="3339" max="3340" width="7.33203125" style="315" customWidth="1"/>
    <col min="3341" max="3341" width="8.6640625" style="315" customWidth="1"/>
    <col min="3342" max="3342" width="7.33203125" style="315" customWidth="1"/>
    <col min="3343" max="3343" width="8.6640625" style="315" customWidth="1"/>
    <col min="3344" max="3345" width="7.1640625" style="315" customWidth="1"/>
    <col min="3346" max="3346" width="7.5" style="315" customWidth="1"/>
    <col min="3347" max="3347" width="7.1640625" style="315" customWidth="1"/>
    <col min="3348" max="3348" width="8.83203125" style="315" customWidth="1"/>
    <col min="3349" max="3349" width="9.5" style="315" customWidth="1"/>
    <col min="3350" max="3350" width="5.6640625" style="315" customWidth="1"/>
    <col min="3351" max="3351" width="7.1640625" style="315" customWidth="1"/>
    <col min="3352" max="3352" width="5.6640625" style="315" customWidth="1"/>
    <col min="3353" max="3353" width="9.5" style="315" customWidth="1"/>
    <col min="3354" max="3354" width="9.6640625" style="315" customWidth="1"/>
    <col min="3355" max="3584" width="8.83203125" style="315"/>
    <col min="3585" max="3585" width="13" style="315" customWidth="1"/>
    <col min="3586" max="3586" width="7.6640625" style="315" customWidth="1"/>
    <col min="3587" max="3587" width="7" style="315" customWidth="1"/>
    <col min="3588" max="3588" width="8.5" style="315" customWidth="1"/>
    <col min="3589" max="3591" width="6.83203125" style="315" customWidth="1"/>
    <col min="3592" max="3592" width="8.1640625" style="315" customWidth="1"/>
    <col min="3593" max="3593" width="1" style="315" customWidth="1"/>
    <col min="3594" max="3594" width="7.1640625" style="315" customWidth="1"/>
    <col min="3595" max="3596" width="7.33203125" style="315" customWidth="1"/>
    <col min="3597" max="3597" width="8.6640625" style="315" customWidth="1"/>
    <col min="3598" max="3598" width="7.33203125" style="315" customWidth="1"/>
    <col min="3599" max="3599" width="8.6640625" style="315" customWidth="1"/>
    <col min="3600" max="3601" width="7.1640625" style="315" customWidth="1"/>
    <col min="3602" max="3602" width="7.5" style="315" customWidth="1"/>
    <col min="3603" max="3603" width="7.1640625" style="315" customWidth="1"/>
    <col min="3604" max="3604" width="8.83203125" style="315" customWidth="1"/>
    <col min="3605" max="3605" width="9.5" style="315" customWidth="1"/>
    <col min="3606" max="3606" width="5.6640625" style="315" customWidth="1"/>
    <col min="3607" max="3607" width="7.1640625" style="315" customWidth="1"/>
    <col min="3608" max="3608" width="5.6640625" style="315" customWidth="1"/>
    <col min="3609" max="3609" width="9.5" style="315" customWidth="1"/>
    <col min="3610" max="3610" width="9.6640625" style="315" customWidth="1"/>
    <col min="3611" max="3840" width="8.83203125" style="315"/>
    <col min="3841" max="3841" width="13" style="315" customWidth="1"/>
    <col min="3842" max="3842" width="7.6640625" style="315" customWidth="1"/>
    <col min="3843" max="3843" width="7" style="315" customWidth="1"/>
    <col min="3844" max="3844" width="8.5" style="315" customWidth="1"/>
    <col min="3845" max="3847" width="6.83203125" style="315" customWidth="1"/>
    <col min="3848" max="3848" width="8.1640625" style="315" customWidth="1"/>
    <col min="3849" max="3849" width="1" style="315" customWidth="1"/>
    <col min="3850" max="3850" width="7.1640625" style="315" customWidth="1"/>
    <col min="3851" max="3852" width="7.33203125" style="315" customWidth="1"/>
    <col min="3853" max="3853" width="8.6640625" style="315" customWidth="1"/>
    <col min="3854" max="3854" width="7.33203125" style="315" customWidth="1"/>
    <col min="3855" max="3855" width="8.6640625" style="315" customWidth="1"/>
    <col min="3856" max="3857" width="7.1640625" style="315" customWidth="1"/>
    <col min="3858" max="3858" width="7.5" style="315" customWidth="1"/>
    <col min="3859" max="3859" width="7.1640625" style="315" customWidth="1"/>
    <col min="3860" max="3860" width="8.83203125" style="315" customWidth="1"/>
    <col min="3861" max="3861" width="9.5" style="315" customWidth="1"/>
    <col min="3862" max="3862" width="5.6640625" style="315" customWidth="1"/>
    <col min="3863" max="3863" width="7.1640625" style="315" customWidth="1"/>
    <col min="3864" max="3864" width="5.6640625" style="315" customWidth="1"/>
    <col min="3865" max="3865" width="9.5" style="315" customWidth="1"/>
    <col min="3866" max="3866" width="9.6640625" style="315" customWidth="1"/>
    <col min="3867" max="4096" width="8.83203125" style="315"/>
    <col min="4097" max="4097" width="13" style="315" customWidth="1"/>
    <col min="4098" max="4098" width="7.6640625" style="315" customWidth="1"/>
    <col min="4099" max="4099" width="7" style="315" customWidth="1"/>
    <col min="4100" max="4100" width="8.5" style="315" customWidth="1"/>
    <col min="4101" max="4103" width="6.83203125" style="315" customWidth="1"/>
    <col min="4104" max="4104" width="8.1640625" style="315" customWidth="1"/>
    <col min="4105" max="4105" width="1" style="315" customWidth="1"/>
    <col min="4106" max="4106" width="7.1640625" style="315" customWidth="1"/>
    <col min="4107" max="4108" width="7.33203125" style="315" customWidth="1"/>
    <col min="4109" max="4109" width="8.6640625" style="315" customWidth="1"/>
    <col min="4110" max="4110" width="7.33203125" style="315" customWidth="1"/>
    <col min="4111" max="4111" width="8.6640625" style="315" customWidth="1"/>
    <col min="4112" max="4113" width="7.1640625" style="315" customWidth="1"/>
    <col min="4114" max="4114" width="7.5" style="315" customWidth="1"/>
    <col min="4115" max="4115" width="7.1640625" style="315" customWidth="1"/>
    <col min="4116" max="4116" width="8.83203125" style="315" customWidth="1"/>
    <col min="4117" max="4117" width="9.5" style="315" customWidth="1"/>
    <col min="4118" max="4118" width="5.6640625" style="315" customWidth="1"/>
    <col min="4119" max="4119" width="7.1640625" style="315" customWidth="1"/>
    <col min="4120" max="4120" width="5.6640625" style="315" customWidth="1"/>
    <col min="4121" max="4121" width="9.5" style="315" customWidth="1"/>
    <col min="4122" max="4122" width="9.6640625" style="315" customWidth="1"/>
    <col min="4123" max="4352" width="8.83203125" style="315"/>
    <col min="4353" max="4353" width="13" style="315" customWidth="1"/>
    <col min="4354" max="4354" width="7.6640625" style="315" customWidth="1"/>
    <col min="4355" max="4355" width="7" style="315" customWidth="1"/>
    <col min="4356" max="4356" width="8.5" style="315" customWidth="1"/>
    <col min="4357" max="4359" width="6.83203125" style="315" customWidth="1"/>
    <col min="4360" max="4360" width="8.1640625" style="315" customWidth="1"/>
    <col min="4361" max="4361" width="1" style="315" customWidth="1"/>
    <col min="4362" max="4362" width="7.1640625" style="315" customWidth="1"/>
    <col min="4363" max="4364" width="7.33203125" style="315" customWidth="1"/>
    <col min="4365" max="4365" width="8.6640625" style="315" customWidth="1"/>
    <col min="4366" max="4366" width="7.33203125" style="315" customWidth="1"/>
    <col min="4367" max="4367" width="8.6640625" style="315" customWidth="1"/>
    <col min="4368" max="4369" width="7.1640625" style="315" customWidth="1"/>
    <col min="4370" max="4370" width="7.5" style="315" customWidth="1"/>
    <col min="4371" max="4371" width="7.1640625" style="315" customWidth="1"/>
    <col min="4372" max="4372" width="8.83203125" style="315" customWidth="1"/>
    <col min="4373" max="4373" width="9.5" style="315" customWidth="1"/>
    <col min="4374" max="4374" width="5.6640625" style="315" customWidth="1"/>
    <col min="4375" max="4375" width="7.1640625" style="315" customWidth="1"/>
    <col min="4376" max="4376" width="5.6640625" style="315" customWidth="1"/>
    <col min="4377" max="4377" width="9.5" style="315" customWidth="1"/>
    <col min="4378" max="4378" width="9.6640625" style="315" customWidth="1"/>
    <col min="4379" max="4608" width="8.83203125" style="315"/>
    <col min="4609" max="4609" width="13" style="315" customWidth="1"/>
    <col min="4610" max="4610" width="7.6640625" style="315" customWidth="1"/>
    <col min="4611" max="4611" width="7" style="315" customWidth="1"/>
    <col min="4612" max="4612" width="8.5" style="315" customWidth="1"/>
    <col min="4613" max="4615" width="6.83203125" style="315" customWidth="1"/>
    <col min="4616" max="4616" width="8.1640625" style="315" customWidth="1"/>
    <col min="4617" max="4617" width="1" style="315" customWidth="1"/>
    <col min="4618" max="4618" width="7.1640625" style="315" customWidth="1"/>
    <col min="4619" max="4620" width="7.33203125" style="315" customWidth="1"/>
    <col min="4621" max="4621" width="8.6640625" style="315" customWidth="1"/>
    <col min="4622" max="4622" width="7.33203125" style="315" customWidth="1"/>
    <col min="4623" max="4623" width="8.6640625" style="315" customWidth="1"/>
    <col min="4624" max="4625" width="7.1640625" style="315" customWidth="1"/>
    <col min="4626" max="4626" width="7.5" style="315" customWidth="1"/>
    <col min="4627" max="4627" width="7.1640625" style="315" customWidth="1"/>
    <col min="4628" max="4628" width="8.83203125" style="315" customWidth="1"/>
    <col min="4629" max="4629" width="9.5" style="315" customWidth="1"/>
    <col min="4630" max="4630" width="5.6640625" style="315" customWidth="1"/>
    <col min="4631" max="4631" width="7.1640625" style="315" customWidth="1"/>
    <col min="4632" max="4632" width="5.6640625" style="315" customWidth="1"/>
    <col min="4633" max="4633" width="9.5" style="315" customWidth="1"/>
    <col min="4634" max="4634" width="9.6640625" style="315" customWidth="1"/>
    <col min="4635" max="4864" width="8.83203125" style="315"/>
    <col min="4865" max="4865" width="13" style="315" customWidth="1"/>
    <col min="4866" max="4866" width="7.6640625" style="315" customWidth="1"/>
    <col min="4867" max="4867" width="7" style="315" customWidth="1"/>
    <col min="4868" max="4868" width="8.5" style="315" customWidth="1"/>
    <col min="4869" max="4871" width="6.83203125" style="315" customWidth="1"/>
    <col min="4872" max="4872" width="8.1640625" style="315" customWidth="1"/>
    <col min="4873" max="4873" width="1" style="315" customWidth="1"/>
    <col min="4874" max="4874" width="7.1640625" style="315" customWidth="1"/>
    <col min="4875" max="4876" width="7.33203125" style="315" customWidth="1"/>
    <col min="4877" max="4877" width="8.6640625" style="315" customWidth="1"/>
    <col min="4878" max="4878" width="7.33203125" style="315" customWidth="1"/>
    <col min="4879" max="4879" width="8.6640625" style="315" customWidth="1"/>
    <col min="4880" max="4881" width="7.1640625" style="315" customWidth="1"/>
    <col min="4882" max="4882" width="7.5" style="315" customWidth="1"/>
    <col min="4883" max="4883" width="7.1640625" style="315" customWidth="1"/>
    <col min="4884" max="4884" width="8.83203125" style="315" customWidth="1"/>
    <col min="4885" max="4885" width="9.5" style="315" customWidth="1"/>
    <col min="4886" max="4886" width="5.6640625" style="315" customWidth="1"/>
    <col min="4887" max="4887" width="7.1640625" style="315" customWidth="1"/>
    <col min="4888" max="4888" width="5.6640625" style="315" customWidth="1"/>
    <col min="4889" max="4889" width="9.5" style="315" customWidth="1"/>
    <col min="4890" max="4890" width="9.6640625" style="315" customWidth="1"/>
    <col min="4891" max="5120" width="8.83203125" style="315"/>
    <col min="5121" max="5121" width="13" style="315" customWidth="1"/>
    <col min="5122" max="5122" width="7.6640625" style="315" customWidth="1"/>
    <col min="5123" max="5123" width="7" style="315" customWidth="1"/>
    <col min="5124" max="5124" width="8.5" style="315" customWidth="1"/>
    <col min="5125" max="5127" width="6.83203125" style="315" customWidth="1"/>
    <col min="5128" max="5128" width="8.1640625" style="315" customWidth="1"/>
    <col min="5129" max="5129" width="1" style="315" customWidth="1"/>
    <col min="5130" max="5130" width="7.1640625" style="315" customWidth="1"/>
    <col min="5131" max="5132" width="7.33203125" style="315" customWidth="1"/>
    <col min="5133" max="5133" width="8.6640625" style="315" customWidth="1"/>
    <col min="5134" max="5134" width="7.33203125" style="315" customWidth="1"/>
    <col min="5135" max="5135" width="8.6640625" style="315" customWidth="1"/>
    <col min="5136" max="5137" width="7.1640625" style="315" customWidth="1"/>
    <col min="5138" max="5138" width="7.5" style="315" customWidth="1"/>
    <col min="5139" max="5139" width="7.1640625" style="315" customWidth="1"/>
    <col min="5140" max="5140" width="8.83203125" style="315" customWidth="1"/>
    <col min="5141" max="5141" width="9.5" style="315" customWidth="1"/>
    <col min="5142" max="5142" width="5.6640625" style="315" customWidth="1"/>
    <col min="5143" max="5143" width="7.1640625" style="315" customWidth="1"/>
    <col min="5144" max="5144" width="5.6640625" style="315" customWidth="1"/>
    <col min="5145" max="5145" width="9.5" style="315" customWidth="1"/>
    <col min="5146" max="5146" width="9.6640625" style="315" customWidth="1"/>
    <col min="5147" max="5376" width="8.83203125" style="315"/>
    <col min="5377" max="5377" width="13" style="315" customWidth="1"/>
    <col min="5378" max="5378" width="7.6640625" style="315" customWidth="1"/>
    <col min="5379" max="5379" width="7" style="315" customWidth="1"/>
    <col min="5380" max="5380" width="8.5" style="315" customWidth="1"/>
    <col min="5381" max="5383" width="6.83203125" style="315" customWidth="1"/>
    <col min="5384" max="5384" width="8.1640625" style="315" customWidth="1"/>
    <col min="5385" max="5385" width="1" style="315" customWidth="1"/>
    <col min="5386" max="5386" width="7.1640625" style="315" customWidth="1"/>
    <col min="5387" max="5388" width="7.33203125" style="315" customWidth="1"/>
    <col min="5389" max="5389" width="8.6640625" style="315" customWidth="1"/>
    <col min="5390" max="5390" width="7.33203125" style="315" customWidth="1"/>
    <col min="5391" max="5391" width="8.6640625" style="315" customWidth="1"/>
    <col min="5392" max="5393" width="7.1640625" style="315" customWidth="1"/>
    <col min="5394" max="5394" width="7.5" style="315" customWidth="1"/>
    <col min="5395" max="5395" width="7.1640625" style="315" customWidth="1"/>
    <col min="5396" max="5396" width="8.83203125" style="315" customWidth="1"/>
    <col min="5397" max="5397" width="9.5" style="315" customWidth="1"/>
    <col min="5398" max="5398" width="5.6640625" style="315" customWidth="1"/>
    <col min="5399" max="5399" width="7.1640625" style="315" customWidth="1"/>
    <col min="5400" max="5400" width="5.6640625" style="315" customWidth="1"/>
    <col min="5401" max="5401" width="9.5" style="315" customWidth="1"/>
    <col min="5402" max="5402" width="9.6640625" style="315" customWidth="1"/>
    <col min="5403" max="5632" width="8.83203125" style="315"/>
    <col min="5633" max="5633" width="13" style="315" customWidth="1"/>
    <col min="5634" max="5634" width="7.6640625" style="315" customWidth="1"/>
    <col min="5635" max="5635" width="7" style="315" customWidth="1"/>
    <col min="5636" max="5636" width="8.5" style="315" customWidth="1"/>
    <col min="5637" max="5639" width="6.83203125" style="315" customWidth="1"/>
    <col min="5640" max="5640" width="8.1640625" style="315" customWidth="1"/>
    <col min="5641" max="5641" width="1" style="315" customWidth="1"/>
    <col min="5642" max="5642" width="7.1640625" style="315" customWidth="1"/>
    <col min="5643" max="5644" width="7.33203125" style="315" customWidth="1"/>
    <col min="5645" max="5645" width="8.6640625" style="315" customWidth="1"/>
    <col min="5646" max="5646" width="7.33203125" style="315" customWidth="1"/>
    <col min="5647" max="5647" width="8.6640625" style="315" customWidth="1"/>
    <col min="5648" max="5649" width="7.1640625" style="315" customWidth="1"/>
    <col min="5650" max="5650" width="7.5" style="315" customWidth="1"/>
    <col min="5651" max="5651" width="7.1640625" style="315" customWidth="1"/>
    <col min="5652" max="5652" width="8.83203125" style="315" customWidth="1"/>
    <col min="5653" max="5653" width="9.5" style="315" customWidth="1"/>
    <col min="5654" max="5654" width="5.6640625" style="315" customWidth="1"/>
    <col min="5655" max="5655" width="7.1640625" style="315" customWidth="1"/>
    <col min="5656" max="5656" width="5.6640625" style="315" customWidth="1"/>
    <col min="5657" max="5657" width="9.5" style="315" customWidth="1"/>
    <col min="5658" max="5658" width="9.6640625" style="315" customWidth="1"/>
    <col min="5659" max="5888" width="8.83203125" style="315"/>
    <col min="5889" max="5889" width="13" style="315" customWidth="1"/>
    <col min="5890" max="5890" width="7.6640625" style="315" customWidth="1"/>
    <col min="5891" max="5891" width="7" style="315" customWidth="1"/>
    <col min="5892" max="5892" width="8.5" style="315" customWidth="1"/>
    <col min="5893" max="5895" width="6.83203125" style="315" customWidth="1"/>
    <col min="5896" max="5896" width="8.1640625" style="315" customWidth="1"/>
    <col min="5897" max="5897" width="1" style="315" customWidth="1"/>
    <col min="5898" max="5898" width="7.1640625" style="315" customWidth="1"/>
    <col min="5899" max="5900" width="7.33203125" style="315" customWidth="1"/>
    <col min="5901" max="5901" width="8.6640625" style="315" customWidth="1"/>
    <col min="5902" max="5902" width="7.33203125" style="315" customWidth="1"/>
    <col min="5903" max="5903" width="8.6640625" style="315" customWidth="1"/>
    <col min="5904" max="5905" width="7.1640625" style="315" customWidth="1"/>
    <col min="5906" max="5906" width="7.5" style="315" customWidth="1"/>
    <col min="5907" max="5907" width="7.1640625" style="315" customWidth="1"/>
    <col min="5908" max="5908" width="8.83203125" style="315" customWidth="1"/>
    <col min="5909" max="5909" width="9.5" style="315" customWidth="1"/>
    <col min="5910" max="5910" width="5.6640625" style="315" customWidth="1"/>
    <col min="5911" max="5911" width="7.1640625" style="315" customWidth="1"/>
    <col min="5912" max="5912" width="5.6640625" style="315" customWidth="1"/>
    <col min="5913" max="5913" width="9.5" style="315" customWidth="1"/>
    <col min="5914" max="5914" width="9.6640625" style="315" customWidth="1"/>
    <col min="5915" max="6144" width="8.83203125" style="315"/>
    <col min="6145" max="6145" width="13" style="315" customWidth="1"/>
    <col min="6146" max="6146" width="7.6640625" style="315" customWidth="1"/>
    <col min="6147" max="6147" width="7" style="315" customWidth="1"/>
    <col min="6148" max="6148" width="8.5" style="315" customWidth="1"/>
    <col min="6149" max="6151" width="6.83203125" style="315" customWidth="1"/>
    <col min="6152" max="6152" width="8.1640625" style="315" customWidth="1"/>
    <col min="6153" max="6153" width="1" style="315" customWidth="1"/>
    <col min="6154" max="6154" width="7.1640625" style="315" customWidth="1"/>
    <col min="6155" max="6156" width="7.33203125" style="315" customWidth="1"/>
    <col min="6157" max="6157" width="8.6640625" style="315" customWidth="1"/>
    <col min="6158" max="6158" width="7.33203125" style="315" customWidth="1"/>
    <col min="6159" max="6159" width="8.6640625" style="315" customWidth="1"/>
    <col min="6160" max="6161" width="7.1640625" style="315" customWidth="1"/>
    <col min="6162" max="6162" width="7.5" style="315" customWidth="1"/>
    <col min="6163" max="6163" width="7.1640625" style="315" customWidth="1"/>
    <col min="6164" max="6164" width="8.83203125" style="315" customWidth="1"/>
    <col min="6165" max="6165" width="9.5" style="315" customWidth="1"/>
    <col min="6166" max="6166" width="5.6640625" style="315" customWidth="1"/>
    <col min="6167" max="6167" width="7.1640625" style="315" customWidth="1"/>
    <col min="6168" max="6168" width="5.6640625" style="315" customWidth="1"/>
    <col min="6169" max="6169" width="9.5" style="315" customWidth="1"/>
    <col min="6170" max="6170" width="9.6640625" style="315" customWidth="1"/>
    <col min="6171" max="6400" width="8.83203125" style="315"/>
    <col min="6401" max="6401" width="13" style="315" customWidth="1"/>
    <col min="6402" max="6402" width="7.6640625" style="315" customWidth="1"/>
    <col min="6403" max="6403" width="7" style="315" customWidth="1"/>
    <col min="6404" max="6404" width="8.5" style="315" customWidth="1"/>
    <col min="6405" max="6407" width="6.83203125" style="315" customWidth="1"/>
    <col min="6408" max="6408" width="8.1640625" style="315" customWidth="1"/>
    <col min="6409" max="6409" width="1" style="315" customWidth="1"/>
    <col min="6410" max="6410" width="7.1640625" style="315" customWidth="1"/>
    <col min="6411" max="6412" width="7.33203125" style="315" customWidth="1"/>
    <col min="6413" max="6413" width="8.6640625" style="315" customWidth="1"/>
    <col min="6414" max="6414" width="7.33203125" style="315" customWidth="1"/>
    <col min="6415" max="6415" width="8.6640625" style="315" customWidth="1"/>
    <col min="6416" max="6417" width="7.1640625" style="315" customWidth="1"/>
    <col min="6418" max="6418" width="7.5" style="315" customWidth="1"/>
    <col min="6419" max="6419" width="7.1640625" style="315" customWidth="1"/>
    <col min="6420" max="6420" width="8.83203125" style="315" customWidth="1"/>
    <col min="6421" max="6421" width="9.5" style="315" customWidth="1"/>
    <col min="6422" max="6422" width="5.6640625" style="315" customWidth="1"/>
    <col min="6423" max="6423" width="7.1640625" style="315" customWidth="1"/>
    <col min="6424" max="6424" width="5.6640625" style="315" customWidth="1"/>
    <col min="6425" max="6425" width="9.5" style="315" customWidth="1"/>
    <col min="6426" max="6426" width="9.6640625" style="315" customWidth="1"/>
    <col min="6427" max="6656" width="8.83203125" style="315"/>
    <col min="6657" max="6657" width="13" style="315" customWidth="1"/>
    <col min="6658" max="6658" width="7.6640625" style="315" customWidth="1"/>
    <col min="6659" max="6659" width="7" style="315" customWidth="1"/>
    <col min="6660" max="6660" width="8.5" style="315" customWidth="1"/>
    <col min="6661" max="6663" width="6.83203125" style="315" customWidth="1"/>
    <col min="6664" max="6664" width="8.1640625" style="315" customWidth="1"/>
    <col min="6665" max="6665" width="1" style="315" customWidth="1"/>
    <col min="6666" max="6666" width="7.1640625" style="315" customWidth="1"/>
    <col min="6667" max="6668" width="7.33203125" style="315" customWidth="1"/>
    <col min="6669" max="6669" width="8.6640625" style="315" customWidth="1"/>
    <col min="6670" max="6670" width="7.33203125" style="315" customWidth="1"/>
    <col min="6671" max="6671" width="8.6640625" style="315" customWidth="1"/>
    <col min="6672" max="6673" width="7.1640625" style="315" customWidth="1"/>
    <col min="6674" max="6674" width="7.5" style="315" customWidth="1"/>
    <col min="6675" max="6675" width="7.1640625" style="315" customWidth="1"/>
    <col min="6676" max="6676" width="8.83203125" style="315" customWidth="1"/>
    <col min="6677" max="6677" width="9.5" style="315" customWidth="1"/>
    <col min="6678" max="6678" width="5.6640625" style="315" customWidth="1"/>
    <col min="6679" max="6679" width="7.1640625" style="315" customWidth="1"/>
    <col min="6680" max="6680" width="5.6640625" style="315" customWidth="1"/>
    <col min="6681" max="6681" width="9.5" style="315" customWidth="1"/>
    <col min="6682" max="6682" width="9.6640625" style="315" customWidth="1"/>
    <col min="6683" max="6912" width="8.83203125" style="315"/>
    <col min="6913" max="6913" width="13" style="315" customWidth="1"/>
    <col min="6914" max="6914" width="7.6640625" style="315" customWidth="1"/>
    <col min="6915" max="6915" width="7" style="315" customWidth="1"/>
    <col min="6916" max="6916" width="8.5" style="315" customWidth="1"/>
    <col min="6917" max="6919" width="6.83203125" style="315" customWidth="1"/>
    <col min="6920" max="6920" width="8.1640625" style="315" customWidth="1"/>
    <col min="6921" max="6921" width="1" style="315" customWidth="1"/>
    <col min="6922" max="6922" width="7.1640625" style="315" customWidth="1"/>
    <col min="6923" max="6924" width="7.33203125" style="315" customWidth="1"/>
    <col min="6925" max="6925" width="8.6640625" style="315" customWidth="1"/>
    <col min="6926" max="6926" width="7.33203125" style="315" customWidth="1"/>
    <col min="6927" max="6927" width="8.6640625" style="315" customWidth="1"/>
    <col min="6928" max="6929" width="7.1640625" style="315" customWidth="1"/>
    <col min="6930" max="6930" width="7.5" style="315" customWidth="1"/>
    <col min="6931" max="6931" width="7.1640625" style="315" customWidth="1"/>
    <col min="6932" max="6932" width="8.83203125" style="315" customWidth="1"/>
    <col min="6933" max="6933" width="9.5" style="315" customWidth="1"/>
    <col min="6934" max="6934" width="5.6640625" style="315" customWidth="1"/>
    <col min="6935" max="6935" width="7.1640625" style="315" customWidth="1"/>
    <col min="6936" max="6936" width="5.6640625" style="315" customWidth="1"/>
    <col min="6937" max="6937" width="9.5" style="315" customWidth="1"/>
    <col min="6938" max="6938" width="9.6640625" style="315" customWidth="1"/>
    <col min="6939" max="7168" width="8.83203125" style="315"/>
    <col min="7169" max="7169" width="13" style="315" customWidth="1"/>
    <col min="7170" max="7170" width="7.6640625" style="315" customWidth="1"/>
    <col min="7171" max="7171" width="7" style="315" customWidth="1"/>
    <col min="7172" max="7172" width="8.5" style="315" customWidth="1"/>
    <col min="7173" max="7175" width="6.83203125" style="315" customWidth="1"/>
    <col min="7176" max="7176" width="8.1640625" style="315" customWidth="1"/>
    <col min="7177" max="7177" width="1" style="315" customWidth="1"/>
    <col min="7178" max="7178" width="7.1640625" style="315" customWidth="1"/>
    <col min="7179" max="7180" width="7.33203125" style="315" customWidth="1"/>
    <col min="7181" max="7181" width="8.6640625" style="315" customWidth="1"/>
    <col min="7182" max="7182" width="7.33203125" style="315" customWidth="1"/>
    <col min="7183" max="7183" width="8.6640625" style="315" customWidth="1"/>
    <col min="7184" max="7185" width="7.1640625" style="315" customWidth="1"/>
    <col min="7186" max="7186" width="7.5" style="315" customWidth="1"/>
    <col min="7187" max="7187" width="7.1640625" style="315" customWidth="1"/>
    <col min="7188" max="7188" width="8.83203125" style="315" customWidth="1"/>
    <col min="7189" max="7189" width="9.5" style="315" customWidth="1"/>
    <col min="7190" max="7190" width="5.6640625" style="315" customWidth="1"/>
    <col min="7191" max="7191" width="7.1640625" style="315" customWidth="1"/>
    <col min="7192" max="7192" width="5.6640625" style="315" customWidth="1"/>
    <col min="7193" max="7193" width="9.5" style="315" customWidth="1"/>
    <col min="7194" max="7194" width="9.6640625" style="315" customWidth="1"/>
    <col min="7195" max="7424" width="8.83203125" style="315"/>
    <col min="7425" max="7425" width="13" style="315" customWidth="1"/>
    <col min="7426" max="7426" width="7.6640625" style="315" customWidth="1"/>
    <col min="7427" max="7427" width="7" style="315" customWidth="1"/>
    <col min="7428" max="7428" width="8.5" style="315" customWidth="1"/>
    <col min="7429" max="7431" width="6.83203125" style="315" customWidth="1"/>
    <col min="7432" max="7432" width="8.1640625" style="315" customWidth="1"/>
    <col min="7433" max="7433" width="1" style="315" customWidth="1"/>
    <col min="7434" max="7434" width="7.1640625" style="315" customWidth="1"/>
    <col min="7435" max="7436" width="7.33203125" style="315" customWidth="1"/>
    <col min="7437" max="7437" width="8.6640625" style="315" customWidth="1"/>
    <col min="7438" max="7438" width="7.33203125" style="315" customWidth="1"/>
    <col min="7439" max="7439" width="8.6640625" style="315" customWidth="1"/>
    <col min="7440" max="7441" width="7.1640625" style="315" customWidth="1"/>
    <col min="7442" max="7442" width="7.5" style="315" customWidth="1"/>
    <col min="7443" max="7443" width="7.1640625" style="315" customWidth="1"/>
    <col min="7444" max="7444" width="8.83203125" style="315" customWidth="1"/>
    <col min="7445" max="7445" width="9.5" style="315" customWidth="1"/>
    <col min="7446" max="7446" width="5.6640625" style="315" customWidth="1"/>
    <col min="7447" max="7447" width="7.1640625" style="315" customWidth="1"/>
    <col min="7448" max="7448" width="5.6640625" style="315" customWidth="1"/>
    <col min="7449" max="7449" width="9.5" style="315" customWidth="1"/>
    <col min="7450" max="7450" width="9.6640625" style="315" customWidth="1"/>
    <col min="7451" max="7680" width="8.83203125" style="315"/>
    <col min="7681" max="7681" width="13" style="315" customWidth="1"/>
    <col min="7682" max="7682" width="7.6640625" style="315" customWidth="1"/>
    <col min="7683" max="7683" width="7" style="315" customWidth="1"/>
    <col min="7684" max="7684" width="8.5" style="315" customWidth="1"/>
    <col min="7685" max="7687" width="6.83203125" style="315" customWidth="1"/>
    <col min="7688" max="7688" width="8.1640625" style="315" customWidth="1"/>
    <col min="7689" max="7689" width="1" style="315" customWidth="1"/>
    <col min="7690" max="7690" width="7.1640625" style="315" customWidth="1"/>
    <col min="7691" max="7692" width="7.33203125" style="315" customWidth="1"/>
    <col min="7693" max="7693" width="8.6640625" style="315" customWidth="1"/>
    <col min="7694" max="7694" width="7.33203125" style="315" customWidth="1"/>
    <col min="7695" max="7695" width="8.6640625" style="315" customWidth="1"/>
    <col min="7696" max="7697" width="7.1640625" style="315" customWidth="1"/>
    <col min="7698" max="7698" width="7.5" style="315" customWidth="1"/>
    <col min="7699" max="7699" width="7.1640625" style="315" customWidth="1"/>
    <col min="7700" max="7700" width="8.83203125" style="315" customWidth="1"/>
    <col min="7701" max="7701" width="9.5" style="315" customWidth="1"/>
    <col min="7702" max="7702" width="5.6640625" style="315" customWidth="1"/>
    <col min="7703" max="7703" width="7.1640625" style="315" customWidth="1"/>
    <col min="7704" max="7704" width="5.6640625" style="315" customWidth="1"/>
    <col min="7705" max="7705" width="9.5" style="315" customWidth="1"/>
    <col min="7706" max="7706" width="9.6640625" style="315" customWidth="1"/>
    <col min="7707" max="7936" width="8.83203125" style="315"/>
    <col min="7937" max="7937" width="13" style="315" customWidth="1"/>
    <col min="7938" max="7938" width="7.6640625" style="315" customWidth="1"/>
    <col min="7939" max="7939" width="7" style="315" customWidth="1"/>
    <col min="7940" max="7940" width="8.5" style="315" customWidth="1"/>
    <col min="7941" max="7943" width="6.83203125" style="315" customWidth="1"/>
    <col min="7944" max="7944" width="8.1640625" style="315" customWidth="1"/>
    <col min="7945" max="7945" width="1" style="315" customWidth="1"/>
    <col min="7946" max="7946" width="7.1640625" style="315" customWidth="1"/>
    <col min="7947" max="7948" width="7.33203125" style="315" customWidth="1"/>
    <col min="7949" max="7949" width="8.6640625" style="315" customWidth="1"/>
    <col min="7950" max="7950" width="7.33203125" style="315" customWidth="1"/>
    <col min="7951" max="7951" width="8.6640625" style="315" customWidth="1"/>
    <col min="7952" max="7953" width="7.1640625" style="315" customWidth="1"/>
    <col min="7954" max="7954" width="7.5" style="315" customWidth="1"/>
    <col min="7955" max="7955" width="7.1640625" style="315" customWidth="1"/>
    <col min="7956" max="7956" width="8.83203125" style="315" customWidth="1"/>
    <col min="7957" max="7957" width="9.5" style="315" customWidth="1"/>
    <col min="7958" max="7958" width="5.6640625" style="315" customWidth="1"/>
    <col min="7959" max="7959" width="7.1640625" style="315" customWidth="1"/>
    <col min="7960" max="7960" width="5.6640625" style="315" customWidth="1"/>
    <col min="7961" max="7961" width="9.5" style="315" customWidth="1"/>
    <col min="7962" max="7962" width="9.6640625" style="315" customWidth="1"/>
    <col min="7963" max="8192" width="8.83203125" style="315"/>
    <col min="8193" max="8193" width="13" style="315" customWidth="1"/>
    <col min="8194" max="8194" width="7.6640625" style="315" customWidth="1"/>
    <col min="8195" max="8195" width="7" style="315" customWidth="1"/>
    <col min="8196" max="8196" width="8.5" style="315" customWidth="1"/>
    <col min="8197" max="8199" width="6.83203125" style="315" customWidth="1"/>
    <col min="8200" max="8200" width="8.1640625" style="315" customWidth="1"/>
    <col min="8201" max="8201" width="1" style="315" customWidth="1"/>
    <col min="8202" max="8202" width="7.1640625" style="315" customWidth="1"/>
    <col min="8203" max="8204" width="7.33203125" style="315" customWidth="1"/>
    <col min="8205" max="8205" width="8.6640625" style="315" customWidth="1"/>
    <col min="8206" max="8206" width="7.33203125" style="315" customWidth="1"/>
    <col min="8207" max="8207" width="8.6640625" style="315" customWidth="1"/>
    <col min="8208" max="8209" width="7.1640625" style="315" customWidth="1"/>
    <col min="8210" max="8210" width="7.5" style="315" customWidth="1"/>
    <col min="8211" max="8211" width="7.1640625" style="315" customWidth="1"/>
    <col min="8212" max="8212" width="8.83203125" style="315" customWidth="1"/>
    <col min="8213" max="8213" width="9.5" style="315" customWidth="1"/>
    <col min="8214" max="8214" width="5.6640625" style="315" customWidth="1"/>
    <col min="8215" max="8215" width="7.1640625" style="315" customWidth="1"/>
    <col min="8216" max="8216" width="5.6640625" style="315" customWidth="1"/>
    <col min="8217" max="8217" width="9.5" style="315" customWidth="1"/>
    <col min="8218" max="8218" width="9.6640625" style="315" customWidth="1"/>
    <col min="8219" max="8448" width="8.83203125" style="315"/>
    <col min="8449" max="8449" width="13" style="315" customWidth="1"/>
    <col min="8450" max="8450" width="7.6640625" style="315" customWidth="1"/>
    <col min="8451" max="8451" width="7" style="315" customWidth="1"/>
    <col min="8452" max="8452" width="8.5" style="315" customWidth="1"/>
    <col min="8453" max="8455" width="6.83203125" style="315" customWidth="1"/>
    <col min="8456" max="8456" width="8.1640625" style="315" customWidth="1"/>
    <col min="8457" max="8457" width="1" style="315" customWidth="1"/>
    <col min="8458" max="8458" width="7.1640625" style="315" customWidth="1"/>
    <col min="8459" max="8460" width="7.33203125" style="315" customWidth="1"/>
    <col min="8461" max="8461" width="8.6640625" style="315" customWidth="1"/>
    <col min="8462" max="8462" width="7.33203125" style="315" customWidth="1"/>
    <col min="8463" max="8463" width="8.6640625" style="315" customWidth="1"/>
    <col min="8464" max="8465" width="7.1640625" style="315" customWidth="1"/>
    <col min="8466" max="8466" width="7.5" style="315" customWidth="1"/>
    <col min="8467" max="8467" width="7.1640625" style="315" customWidth="1"/>
    <col min="8468" max="8468" width="8.83203125" style="315" customWidth="1"/>
    <col min="8469" max="8469" width="9.5" style="315" customWidth="1"/>
    <col min="8470" max="8470" width="5.6640625" style="315" customWidth="1"/>
    <col min="8471" max="8471" width="7.1640625" style="315" customWidth="1"/>
    <col min="8472" max="8472" width="5.6640625" style="315" customWidth="1"/>
    <col min="8473" max="8473" width="9.5" style="315" customWidth="1"/>
    <col min="8474" max="8474" width="9.6640625" style="315" customWidth="1"/>
    <col min="8475" max="8704" width="8.83203125" style="315"/>
    <col min="8705" max="8705" width="13" style="315" customWidth="1"/>
    <col min="8706" max="8706" width="7.6640625" style="315" customWidth="1"/>
    <col min="8707" max="8707" width="7" style="315" customWidth="1"/>
    <col min="8708" max="8708" width="8.5" style="315" customWidth="1"/>
    <col min="8709" max="8711" width="6.83203125" style="315" customWidth="1"/>
    <col min="8712" max="8712" width="8.1640625" style="315" customWidth="1"/>
    <col min="8713" max="8713" width="1" style="315" customWidth="1"/>
    <col min="8714" max="8714" width="7.1640625" style="315" customWidth="1"/>
    <col min="8715" max="8716" width="7.33203125" style="315" customWidth="1"/>
    <col min="8717" max="8717" width="8.6640625" style="315" customWidth="1"/>
    <col min="8718" max="8718" width="7.33203125" style="315" customWidth="1"/>
    <col min="8719" max="8719" width="8.6640625" style="315" customWidth="1"/>
    <col min="8720" max="8721" width="7.1640625" style="315" customWidth="1"/>
    <col min="8722" max="8722" width="7.5" style="315" customWidth="1"/>
    <col min="8723" max="8723" width="7.1640625" style="315" customWidth="1"/>
    <col min="8724" max="8724" width="8.83203125" style="315" customWidth="1"/>
    <col min="8725" max="8725" width="9.5" style="315" customWidth="1"/>
    <col min="8726" max="8726" width="5.6640625" style="315" customWidth="1"/>
    <col min="8727" max="8727" width="7.1640625" style="315" customWidth="1"/>
    <col min="8728" max="8728" width="5.6640625" style="315" customWidth="1"/>
    <col min="8729" max="8729" width="9.5" style="315" customWidth="1"/>
    <col min="8730" max="8730" width="9.6640625" style="315" customWidth="1"/>
    <col min="8731" max="8960" width="8.83203125" style="315"/>
    <col min="8961" max="8961" width="13" style="315" customWidth="1"/>
    <col min="8962" max="8962" width="7.6640625" style="315" customWidth="1"/>
    <col min="8963" max="8963" width="7" style="315" customWidth="1"/>
    <col min="8964" max="8964" width="8.5" style="315" customWidth="1"/>
    <col min="8965" max="8967" width="6.83203125" style="315" customWidth="1"/>
    <col min="8968" max="8968" width="8.1640625" style="315" customWidth="1"/>
    <col min="8969" max="8969" width="1" style="315" customWidth="1"/>
    <col min="8970" max="8970" width="7.1640625" style="315" customWidth="1"/>
    <col min="8971" max="8972" width="7.33203125" style="315" customWidth="1"/>
    <col min="8973" max="8973" width="8.6640625" style="315" customWidth="1"/>
    <col min="8974" max="8974" width="7.33203125" style="315" customWidth="1"/>
    <col min="8975" max="8975" width="8.6640625" style="315" customWidth="1"/>
    <col min="8976" max="8977" width="7.1640625" style="315" customWidth="1"/>
    <col min="8978" max="8978" width="7.5" style="315" customWidth="1"/>
    <col min="8979" max="8979" width="7.1640625" style="315" customWidth="1"/>
    <col min="8980" max="8980" width="8.83203125" style="315" customWidth="1"/>
    <col min="8981" max="8981" width="9.5" style="315" customWidth="1"/>
    <col min="8982" max="8982" width="5.6640625" style="315" customWidth="1"/>
    <col min="8983" max="8983" width="7.1640625" style="315" customWidth="1"/>
    <col min="8984" max="8984" width="5.6640625" style="315" customWidth="1"/>
    <col min="8985" max="8985" width="9.5" style="315" customWidth="1"/>
    <col min="8986" max="8986" width="9.6640625" style="315" customWidth="1"/>
    <col min="8987" max="9216" width="8.83203125" style="315"/>
    <col min="9217" max="9217" width="13" style="315" customWidth="1"/>
    <col min="9218" max="9218" width="7.6640625" style="315" customWidth="1"/>
    <col min="9219" max="9219" width="7" style="315" customWidth="1"/>
    <col min="9220" max="9220" width="8.5" style="315" customWidth="1"/>
    <col min="9221" max="9223" width="6.83203125" style="315" customWidth="1"/>
    <col min="9224" max="9224" width="8.1640625" style="315" customWidth="1"/>
    <col min="9225" max="9225" width="1" style="315" customWidth="1"/>
    <col min="9226" max="9226" width="7.1640625" style="315" customWidth="1"/>
    <col min="9227" max="9228" width="7.33203125" style="315" customWidth="1"/>
    <col min="9229" max="9229" width="8.6640625" style="315" customWidth="1"/>
    <col min="9230" max="9230" width="7.33203125" style="315" customWidth="1"/>
    <col min="9231" max="9231" width="8.6640625" style="315" customWidth="1"/>
    <col min="9232" max="9233" width="7.1640625" style="315" customWidth="1"/>
    <col min="9234" max="9234" width="7.5" style="315" customWidth="1"/>
    <col min="9235" max="9235" width="7.1640625" style="315" customWidth="1"/>
    <col min="9236" max="9236" width="8.83203125" style="315" customWidth="1"/>
    <col min="9237" max="9237" width="9.5" style="315" customWidth="1"/>
    <col min="9238" max="9238" width="5.6640625" style="315" customWidth="1"/>
    <col min="9239" max="9239" width="7.1640625" style="315" customWidth="1"/>
    <col min="9240" max="9240" width="5.6640625" style="315" customWidth="1"/>
    <col min="9241" max="9241" width="9.5" style="315" customWidth="1"/>
    <col min="9242" max="9242" width="9.6640625" style="315" customWidth="1"/>
    <col min="9243" max="9472" width="8.83203125" style="315"/>
    <col min="9473" max="9473" width="13" style="315" customWidth="1"/>
    <col min="9474" max="9474" width="7.6640625" style="315" customWidth="1"/>
    <col min="9475" max="9475" width="7" style="315" customWidth="1"/>
    <col min="9476" max="9476" width="8.5" style="315" customWidth="1"/>
    <col min="9477" max="9479" width="6.83203125" style="315" customWidth="1"/>
    <col min="9480" max="9480" width="8.1640625" style="315" customWidth="1"/>
    <col min="9481" max="9481" width="1" style="315" customWidth="1"/>
    <col min="9482" max="9482" width="7.1640625" style="315" customWidth="1"/>
    <col min="9483" max="9484" width="7.33203125" style="315" customWidth="1"/>
    <col min="9485" max="9485" width="8.6640625" style="315" customWidth="1"/>
    <col min="9486" max="9486" width="7.33203125" style="315" customWidth="1"/>
    <col min="9487" max="9487" width="8.6640625" style="315" customWidth="1"/>
    <col min="9488" max="9489" width="7.1640625" style="315" customWidth="1"/>
    <col min="9490" max="9490" width="7.5" style="315" customWidth="1"/>
    <col min="9491" max="9491" width="7.1640625" style="315" customWidth="1"/>
    <col min="9492" max="9492" width="8.83203125" style="315" customWidth="1"/>
    <col min="9493" max="9493" width="9.5" style="315" customWidth="1"/>
    <col min="9494" max="9494" width="5.6640625" style="315" customWidth="1"/>
    <col min="9495" max="9495" width="7.1640625" style="315" customWidth="1"/>
    <col min="9496" max="9496" width="5.6640625" style="315" customWidth="1"/>
    <col min="9497" max="9497" width="9.5" style="315" customWidth="1"/>
    <col min="9498" max="9498" width="9.6640625" style="315" customWidth="1"/>
    <col min="9499" max="9728" width="8.83203125" style="315"/>
    <col min="9729" max="9729" width="13" style="315" customWidth="1"/>
    <col min="9730" max="9730" width="7.6640625" style="315" customWidth="1"/>
    <col min="9731" max="9731" width="7" style="315" customWidth="1"/>
    <col min="9732" max="9732" width="8.5" style="315" customWidth="1"/>
    <col min="9733" max="9735" width="6.83203125" style="315" customWidth="1"/>
    <col min="9736" max="9736" width="8.1640625" style="315" customWidth="1"/>
    <col min="9737" max="9737" width="1" style="315" customWidth="1"/>
    <col min="9738" max="9738" width="7.1640625" style="315" customWidth="1"/>
    <col min="9739" max="9740" width="7.33203125" style="315" customWidth="1"/>
    <col min="9741" max="9741" width="8.6640625" style="315" customWidth="1"/>
    <col min="9742" max="9742" width="7.33203125" style="315" customWidth="1"/>
    <col min="9743" max="9743" width="8.6640625" style="315" customWidth="1"/>
    <col min="9744" max="9745" width="7.1640625" style="315" customWidth="1"/>
    <col min="9746" max="9746" width="7.5" style="315" customWidth="1"/>
    <col min="9747" max="9747" width="7.1640625" style="315" customWidth="1"/>
    <col min="9748" max="9748" width="8.83203125" style="315" customWidth="1"/>
    <col min="9749" max="9749" width="9.5" style="315" customWidth="1"/>
    <col min="9750" max="9750" width="5.6640625" style="315" customWidth="1"/>
    <col min="9751" max="9751" width="7.1640625" style="315" customWidth="1"/>
    <col min="9752" max="9752" width="5.6640625" style="315" customWidth="1"/>
    <col min="9753" max="9753" width="9.5" style="315" customWidth="1"/>
    <col min="9754" max="9754" width="9.6640625" style="315" customWidth="1"/>
    <col min="9755" max="9984" width="8.83203125" style="315"/>
    <col min="9985" max="9985" width="13" style="315" customWidth="1"/>
    <col min="9986" max="9986" width="7.6640625" style="315" customWidth="1"/>
    <col min="9987" max="9987" width="7" style="315" customWidth="1"/>
    <col min="9988" max="9988" width="8.5" style="315" customWidth="1"/>
    <col min="9989" max="9991" width="6.83203125" style="315" customWidth="1"/>
    <col min="9992" max="9992" width="8.1640625" style="315" customWidth="1"/>
    <col min="9993" max="9993" width="1" style="315" customWidth="1"/>
    <col min="9994" max="9994" width="7.1640625" style="315" customWidth="1"/>
    <col min="9995" max="9996" width="7.33203125" style="315" customWidth="1"/>
    <col min="9997" max="9997" width="8.6640625" style="315" customWidth="1"/>
    <col min="9998" max="9998" width="7.33203125" style="315" customWidth="1"/>
    <col min="9999" max="9999" width="8.6640625" style="315" customWidth="1"/>
    <col min="10000" max="10001" width="7.1640625" style="315" customWidth="1"/>
    <col min="10002" max="10002" width="7.5" style="315" customWidth="1"/>
    <col min="10003" max="10003" width="7.1640625" style="315" customWidth="1"/>
    <col min="10004" max="10004" width="8.83203125" style="315" customWidth="1"/>
    <col min="10005" max="10005" width="9.5" style="315" customWidth="1"/>
    <col min="10006" max="10006" width="5.6640625" style="315" customWidth="1"/>
    <col min="10007" max="10007" width="7.1640625" style="315" customWidth="1"/>
    <col min="10008" max="10008" width="5.6640625" style="315" customWidth="1"/>
    <col min="10009" max="10009" width="9.5" style="315" customWidth="1"/>
    <col min="10010" max="10010" width="9.6640625" style="315" customWidth="1"/>
    <col min="10011" max="10240" width="8.83203125" style="315"/>
    <col min="10241" max="10241" width="13" style="315" customWidth="1"/>
    <col min="10242" max="10242" width="7.6640625" style="315" customWidth="1"/>
    <col min="10243" max="10243" width="7" style="315" customWidth="1"/>
    <col min="10244" max="10244" width="8.5" style="315" customWidth="1"/>
    <col min="10245" max="10247" width="6.83203125" style="315" customWidth="1"/>
    <col min="10248" max="10248" width="8.1640625" style="315" customWidth="1"/>
    <col min="10249" max="10249" width="1" style="315" customWidth="1"/>
    <col min="10250" max="10250" width="7.1640625" style="315" customWidth="1"/>
    <col min="10251" max="10252" width="7.33203125" style="315" customWidth="1"/>
    <col min="10253" max="10253" width="8.6640625" style="315" customWidth="1"/>
    <col min="10254" max="10254" width="7.33203125" style="315" customWidth="1"/>
    <col min="10255" max="10255" width="8.6640625" style="315" customWidth="1"/>
    <col min="10256" max="10257" width="7.1640625" style="315" customWidth="1"/>
    <col min="10258" max="10258" width="7.5" style="315" customWidth="1"/>
    <col min="10259" max="10259" width="7.1640625" style="315" customWidth="1"/>
    <col min="10260" max="10260" width="8.83203125" style="315" customWidth="1"/>
    <col min="10261" max="10261" width="9.5" style="315" customWidth="1"/>
    <col min="10262" max="10262" width="5.6640625" style="315" customWidth="1"/>
    <col min="10263" max="10263" width="7.1640625" style="315" customWidth="1"/>
    <col min="10264" max="10264" width="5.6640625" style="315" customWidth="1"/>
    <col min="10265" max="10265" width="9.5" style="315" customWidth="1"/>
    <col min="10266" max="10266" width="9.6640625" style="315" customWidth="1"/>
    <col min="10267" max="10496" width="8.83203125" style="315"/>
    <col min="10497" max="10497" width="13" style="315" customWidth="1"/>
    <col min="10498" max="10498" width="7.6640625" style="315" customWidth="1"/>
    <col min="10499" max="10499" width="7" style="315" customWidth="1"/>
    <col min="10500" max="10500" width="8.5" style="315" customWidth="1"/>
    <col min="10501" max="10503" width="6.83203125" style="315" customWidth="1"/>
    <col min="10504" max="10504" width="8.1640625" style="315" customWidth="1"/>
    <col min="10505" max="10505" width="1" style="315" customWidth="1"/>
    <col min="10506" max="10506" width="7.1640625" style="315" customWidth="1"/>
    <col min="10507" max="10508" width="7.33203125" style="315" customWidth="1"/>
    <col min="10509" max="10509" width="8.6640625" style="315" customWidth="1"/>
    <col min="10510" max="10510" width="7.33203125" style="315" customWidth="1"/>
    <col min="10511" max="10511" width="8.6640625" style="315" customWidth="1"/>
    <col min="10512" max="10513" width="7.1640625" style="315" customWidth="1"/>
    <col min="10514" max="10514" width="7.5" style="315" customWidth="1"/>
    <col min="10515" max="10515" width="7.1640625" style="315" customWidth="1"/>
    <col min="10516" max="10516" width="8.83203125" style="315" customWidth="1"/>
    <col min="10517" max="10517" width="9.5" style="315" customWidth="1"/>
    <col min="10518" max="10518" width="5.6640625" style="315" customWidth="1"/>
    <col min="10519" max="10519" width="7.1640625" style="315" customWidth="1"/>
    <col min="10520" max="10520" width="5.6640625" style="315" customWidth="1"/>
    <col min="10521" max="10521" width="9.5" style="315" customWidth="1"/>
    <col min="10522" max="10522" width="9.6640625" style="315" customWidth="1"/>
    <col min="10523" max="10752" width="8.83203125" style="315"/>
    <col min="10753" max="10753" width="13" style="315" customWidth="1"/>
    <col min="10754" max="10754" width="7.6640625" style="315" customWidth="1"/>
    <col min="10755" max="10755" width="7" style="315" customWidth="1"/>
    <col min="10756" max="10756" width="8.5" style="315" customWidth="1"/>
    <col min="10757" max="10759" width="6.83203125" style="315" customWidth="1"/>
    <col min="10760" max="10760" width="8.1640625" style="315" customWidth="1"/>
    <col min="10761" max="10761" width="1" style="315" customWidth="1"/>
    <col min="10762" max="10762" width="7.1640625" style="315" customWidth="1"/>
    <col min="10763" max="10764" width="7.33203125" style="315" customWidth="1"/>
    <col min="10765" max="10765" width="8.6640625" style="315" customWidth="1"/>
    <col min="10766" max="10766" width="7.33203125" style="315" customWidth="1"/>
    <col min="10767" max="10767" width="8.6640625" style="315" customWidth="1"/>
    <col min="10768" max="10769" width="7.1640625" style="315" customWidth="1"/>
    <col min="10770" max="10770" width="7.5" style="315" customWidth="1"/>
    <col min="10771" max="10771" width="7.1640625" style="315" customWidth="1"/>
    <col min="10772" max="10772" width="8.83203125" style="315" customWidth="1"/>
    <col min="10773" max="10773" width="9.5" style="315" customWidth="1"/>
    <col min="10774" max="10774" width="5.6640625" style="315" customWidth="1"/>
    <col min="10775" max="10775" width="7.1640625" style="315" customWidth="1"/>
    <col min="10776" max="10776" width="5.6640625" style="315" customWidth="1"/>
    <col min="10777" max="10777" width="9.5" style="315" customWidth="1"/>
    <col min="10778" max="10778" width="9.6640625" style="315" customWidth="1"/>
    <col min="10779" max="11008" width="8.83203125" style="315"/>
    <col min="11009" max="11009" width="13" style="315" customWidth="1"/>
    <col min="11010" max="11010" width="7.6640625" style="315" customWidth="1"/>
    <col min="11011" max="11011" width="7" style="315" customWidth="1"/>
    <col min="11012" max="11012" width="8.5" style="315" customWidth="1"/>
    <col min="11013" max="11015" width="6.83203125" style="315" customWidth="1"/>
    <col min="11016" max="11016" width="8.1640625" style="315" customWidth="1"/>
    <col min="11017" max="11017" width="1" style="315" customWidth="1"/>
    <col min="11018" max="11018" width="7.1640625" style="315" customWidth="1"/>
    <col min="11019" max="11020" width="7.33203125" style="315" customWidth="1"/>
    <col min="11021" max="11021" width="8.6640625" style="315" customWidth="1"/>
    <col min="11022" max="11022" width="7.33203125" style="315" customWidth="1"/>
    <col min="11023" max="11023" width="8.6640625" style="315" customWidth="1"/>
    <col min="11024" max="11025" width="7.1640625" style="315" customWidth="1"/>
    <col min="11026" max="11026" width="7.5" style="315" customWidth="1"/>
    <col min="11027" max="11027" width="7.1640625" style="315" customWidth="1"/>
    <col min="11028" max="11028" width="8.83203125" style="315" customWidth="1"/>
    <col min="11029" max="11029" width="9.5" style="315" customWidth="1"/>
    <col min="11030" max="11030" width="5.6640625" style="315" customWidth="1"/>
    <col min="11031" max="11031" width="7.1640625" style="315" customWidth="1"/>
    <col min="11032" max="11032" width="5.6640625" style="315" customWidth="1"/>
    <col min="11033" max="11033" width="9.5" style="315" customWidth="1"/>
    <col min="11034" max="11034" width="9.6640625" style="315" customWidth="1"/>
    <col min="11035" max="11264" width="8.83203125" style="315"/>
    <col min="11265" max="11265" width="13" style="315" customWidth="1"/>
    <col min="11266" max="11266" width="7.6640625" style="315" customWidth="1"/>
    <col min="11267" max="11267" width="7" style="315" customWidth="1"/>
    <col min="11268" max="11268" width="8.5" style="315" customWidth="1"/>
    <col min="11269" max="11271" width="6.83203125" style="315" customWidth="1"/>
    <col min="11272" max="11272" width="8.1640625" style="315" customWidth="1"/>
    <col min="11273" max="11273" width="1" style="315" customWidth="1"/>
    <col min="11274" max="11274" width="7.1640625" style="315" customWidth="1"/>
    <col min="11275" max="11276" width="7.33203125" style="315" customWidth="1"/>
    <col min="11277" max="11277" width="8.6640625" style="315" customWidth="1"/>
    <col min="11278" max="11278" width="7.33203125" style="315" customWidth="1"/>
    <col min="11279" max="11279" width="8.6640625" style="315" customWidth="1"/>
    <col min="11280" max="11281" width="7.1640625" style="315" customWidth="1"/>
    <col min="11282" max="11282" width="7.5" style="315" customWidth="1"/>
    <col min="11283" max="11283" width="7.1640625" style="315" customWidth="1"/>
    <col min="11284" max="11284" width="8.83203125" style="315" customWidth="1"/>
    <col min="11285" max="11285" width="9.5" style="315" customWidth="1"/>
    <col min="11286" max="11286" width="5.6640625" style="315" customWidth="1"/>
    <col min="11287" max="11287" width="7.1640625" style="315" customWidth="1"/>
    <col min="11288" max="11288" width="5.6640625" style="315" customWidth="1"/>
    <col min="11289" max="11289" width="9.5" style="315" customWidth="1"/>
    <col min="11290" max="11290" width="9.6640625" style="315" customWidth="1"/>
    <col min="11291" max="11520" width="8.83203125" style="315"/>
    <col min="11521" max="11521" width="13" style="315" customWidth="1"/>
    <col min="11522" max="11522" width="7.6640625" style="315" customWidth="1"/>
    <col min="11523" max="11523" width="7" style="315" customWidth="1"/>
    <col min="11524" max="11524" width="8.5" style="315" customWidth="1"/>
    <col min="11525" max="11527" width="6.83203125" style="315" customWidth="1"/>
    <col min="11528" max="11528" width="8.1640625" style="315" customWidth="1"/>
    <col min="11529" max="11529" width="1" style="315" customWidth="1"/>
    <col min="11530" max="11530" width="7.1640625" style="315" customWidth="1"/>
    <col min="11531" max="11532" width="7.33203125" style="315" customWidth="1"/>
    <col min="11533" max="11533" width="8.6640625" style="315" customWidth="1"/>
    <col min="11534" max="11534" width="7.33203125" style="315" customWidth="1"/>
    <col min="11535" max="11535" width="8.6640625" style="315" customWidth="1"/>
    <col min="11536" max="11537" width="7.1640625" style="315" customWidth="1"/>
    <col min="11538" max="11538" width="7.5" style="315" customWidth="1"/>
    <col min="11539" max="11539" width="7.1640625" style="315" customWidth="1"/>
    <col min="11540" max="11540" width="8.83203125" style="315" customWidth="1"/>
    <col min="11541" max="11541" width="9.5" style="315" customWidth="1"/>
    <col min="11542" max="11542" width="5.6640625" style="315" customWidth="1"/>
    <col min="11543" max="11543" width="7.1640625" style="315" customWidth="1"/>
    <col min="11544" max="11544" width="5.6640625" style="315" customWidth="1"/>
    <col min="11545" max="11545" width="9.5" style="315" customWidth="1"/>
    <col min="11546" max="11546" width="9.6640625" style="315" customWidth="1"/>
    <col min="11547" max="11776" width="8.83203125" style="315"/>
    <col min="11777" max="11777" width="13" style="315" customWidth="1"/>
    <col min="11778" max="11778" width="7.6640625" style="315" customWidth="1"/>
    <col min="11779" max="11779" width="7" style="315" customWidth="1"/>
    <col min="11780" max="11780" width="8.5" style="315" customWidth="1"/>
    <col min="11781" max="11783" width="6.83203125" style="315" customWidth="1"/>
    <col min="11784" max="11784" width="8.1640625" style="315" customWidth="1"/>
    <col min="11785" max="11785" width="1" style="315" customWidth="1"/>
    <col min="11786" max="11786" width="7.1640625" style="315" customWidth="1"/>
    <col min="11787" max="11788" width="7.33203125" style="315" customWidth="1"/>
    <col min="11789" max="11789" width="8.6640625" style="315" customWidth="1"/>
    <col min="11790" max="11790" width="7.33203125" style="315" customWidth="1"/>
    <col min="11791" max="11791" width="8.6640625" style="315" customWidth="1"/>
    <col min="11792" max="11793" width="7.1640625" style="315" customWidth="1"/>
    <col min="11794" max="11794" width="7.5" style="315" customWidth="1"/>
    <col min="11795" max="11795" width="7.1640625" style="315" customWidth="1"/>
    <col min="11796" max="11796" width="8.83203125" style="315" customWidth="1"/>
    <col min="11797" max="11797" width="9.5" style="315" customWidth="1"/>
    <col min="11798" max="11798" width="5.6640625" style="315" customWidth="1"/>
    <col min="11799" max="11799" width="7.1640625" style="315" customWidth="1"/>
    <col min="11800" max="11800" width="5.6640625" style="315" customWidth="1"/>
    <col min="11801" max="11801" width="9.5" style="315" customWidth="1"/>
    <col min="11802" max="11802" width="9.6640625" style="315" customWidth="1"/>
    <col min="11803" max="12032" width="8.83203125" style="315"/>
    <col min="12033" max="12033" width="13" style="315" customWidth="1"/>
    <col min="12034" max="12034" width="7.6640625" style="315" customWidth="1"/>
    <col min="12035" max="12035" width="7" style="315" customWidth="1"/>
    <col min="12036" max="12036" width="8.5" style="315" customWidth="1"/>
    <col min="12037" max="12039" width="6.83203125" style="315" customWidth="1"/>
    <col min="12040" max="12040" width="8.1640625" style="315" customWidth="1"/>
    <col min="12041" max="12041" width="1" style="315" customWidth="1"/>
    <col min="12042" max="12042" width="7.1640625" style="315" customWidth="1"/>
    <col min="12043" max="12044" width="7.33203125" style="315" customWidth="1"/>
    <col min="12045" max="12045" width="8.6640625" style="315" customWidth="1"/>
    <col min="12046" max="12046" width="7.33203125" style="315" customWidth="1"/>
    <col min="12047" max="12047" width="8.6640625" style="315" customWidth="1"/>
    <col min="12048" max="12049" width="7.1640625" style="315" customWidth="1"/>
    <col min="12050" max="12050" width="7.5" style="315" customWidth="1"/>
    <col min="12051" max="12051" width="7.1640625" style="315" customWidth="1"/>
    <col min="12052" max="12052" width="8.83203125" style="315" customWidth="1"/>
    <col min="12053" max="12053" width="9.5" style="315" customWidth="1"/>
    <col min="12054" max="12054" width="5.6640625" style="315" customWidth="1"/>
    <col min="12055" max="12055" width="7.1640625" style="315" customWidth="1"/>
    <col min="12056" max="12056" width="5.6640625" style="315" customWidth="1"/>
    <col min="12057" max="12057" width="9.5" style="315" customWidth="1"/>
    <col min="12058" max="12058" width="9.6640625" style="315" customWidth="1"/>
    <col min="12059" max="12288" width="8.83203125" style="315"/>
    <col min="12289" max="12289" width="13" style="315" customWidth="1"/>
    <col min="12290" max="12290" width="7.6640625" style="315" customWidth="1"/>
    <col min="12291" max="12291" width="7" style="315" customWidth="1"/>
    <col min="12292" max="12292" width="8.5" style="315" customWidth="1"/>
    <col min="12293" max="12295" width="6.83203125" style="315" customWidth="1"/>
    <col min="12296" max="12296" width="8.1640625" style="315" customWidth="1"/>
    <col min="12297" max="12297" width="1" style="315" customWidth="1"/>
    <col min="12298" max="12298" width="7.1640625" style="315" customWidth="1"/>
    <col min="12299" max="12300" width="7.33203125" style="315" customWidth="1"/>
    <col min="12301" max="12301" width="8.6640625" style="315" customWidth="1"/>
    <col min="12302" max="12302" width="7.33203125" style="315" customWidth="1"/>
    <col min="12303" max="12303" width="8.6640625" style="315" customWidth="1"/>
    <col min="12304" max="12305" width="7.1640625" style="315" customWidth="1"/>
    <col min="12306" max="12306" width="7.5" style="315" customWidth="1"/>
    <col min="12307" max="12307" width="7.1640625" style="315" customWidth="1"/>
    <col min="12308" max="12308" width="8.83203125" style="315" customWidth="1"/>
    <col min="12309" max="12309" width="9.5" style="315" customWidth="1"/>
    <col min="12310" max="12310" width="5.6640625" style="315" customWidth="1"/>
    <col min="12311" max="12311" width="7.1640625" style="315" customWidth="1"/>
    <col min="12312" max="12312" width="5.6640625" style="315" customWidth="1"/>
    <col min="12313" max="12313" width="9.5" style="315" customWidth="1"/>
    <col min="12314" max="12314" width="9.6640625" style="315" customWidth="1"/>
    <col min="12315" max="12544" width="8.83203125" style="315"/>
    <col min="12545" max="12545" width="13" style="315" customWidth="1"/>
    <col min="12546" max="12546" width="7.6640625" style="315" customWidth="1"/>
    <col min="12547" max="12547" width="7" style="315" customWidth="1"/>
    <col min="12548" max="12548" width="8.5" style="315" customWidth="1"/>
    <col min="12549" max="12551" width="6.83203125" style="315" customWidth="1"/>
    <col min="12552" max="12552" width="8.1640625" style="315" customWidth="1"/>
    <col min="12553" max="12553" width="1" style="315" customWidth="1"/>
    <col min="12554" max="12554" width="7.1640625" style="315" customWidth="1"/>
    <col min="12555" max="12556" width="7.33203125" style="315" customWidth="1"/>
    <col min="12557" max="12557" width="8.6640625" style="315" customWidth="1"/>
    <col min="12558" max="12558" width="7.33203125" style="315" customWidth="1"/>
    <col min="12559" max="12559" width="8.6640625" style="315" customWidth="1"/>
    <col min="12560" max="12561" width="7.1640625" style="315" customWidth="1"/>
    <col min="12562" max="12562" width="7.5" style="315" customWidth="1"/>
    <col min="12563" max="12563" width="7.1640625" style="315" customWidth="1"/>
    <col min="12564" max="12564" width="8.83203125" style="315" customWidth="1"/>
    <col min="12565" max="12565" width="9.5" style="315" customWidth="1"/>
    <col min="12566" max="12566" width="5.6640625" style="315" customWidth="1"/>
    <col min="12567" max="12567" width="7.1640625" style="315" customWidth="1"/>
    <col min="12568" max="12568" width="5.6640625" style="315" customWidth="1"/>
    <col min="12569" max="12569" width="9.5" style="315" customWidth="1"/>
    <col min="12570" max="12570" width="9.6640625" style="315" customWidth="1"/>
    <col min="12571" max="12800" width="8.83203125" style="315"/>
    <col min="12801" max="12801" width="13" style="315" customWidth="1"/>
    <col min="12802" max="12802" width="7.6640625" style="315" customWidth="1"/>
    <col min="12803" max="12803" width="7" style="315" customWidth="1"/>
    <col min="12804" max="12804" width="8.5" style="315" customWidth="1"/>
    <col min="12805" max="12807" width="6.83203125" style="315" customWidth="1"/>
    <col min="12808" max="12808" width="8.1640625" style="315" customWidth="1"/>
    <col min="12809" max="12809" width="1" style="315" customWidth="1"/>
    <col min="12810" max="12810" width="7.1640625" style="315" customWidth="1"/>
    <col min="12811" max="12812" width="7.33203125" style="315" customWidth="1"/>
    <col min="12813" max="12813" width="8.6640625" style="315" customWidth="1"/>
    <col min="12814" max="12814" width="7.33203125" style="315" customWidth="1"/>
    <col min="12815" max="12815" width="8.6640625" style="315" customWidth="1"/>
    <col min="12816" max="12817" width="7.1640625" style="315" customWidth="1"/>
    <col min="12818" max="12818" width="7.5" style="315" customWidth="1"/>
    <col min="12819" max="12819" width="7.1640625" style="315" customWidth="1"/>
    <col min="12820" max="12820" width="8.83203125" style="315" customWidth="1"/>
    <col min="12821" max="12821" width="9.5" style="315" customWidth="1"/>
    <col min="12822" max="12822" width="5.6640625" style="315" customWidth="1"/>
    <col min="12823" max="12823" width="7.1640625" style="315" customWidth="1"/>
    <col min="12824" max="12824" width="5.6640625" style="315" customWidth="1"/>
    <col min="12825" max="12825" width="9.5" style="315" customWidth="1"/>
    <col min="12826" max="12826" width="9.6640625" style="315" customWidth="1"/>
    <col min="12827" max="13056" width="8.83203125" style="315"/>
    <col min="13057" max="13057" width="13" style="315" customWidth="1"/>
    <col min="13058" max="13058" width="7.6640625" style="315" customWidth="1"/>
    <col min="13059" max="13059" width="7" style="315" customWidth="1"/>
    <col min="13060" max="13060" width="8.5" style="315" customWidth="1"/>
    <col min="13061" max="13063" width="6.83203125" style="315" customWidth="1"/>
    <col min="13064" max="13064" width="8.1640625" style="315" customWidth="1"/>
    <col min="13065" max="13065" width="1" style="315" customWidth="1"/>
    <col min="13066" max="13066" width="7.1640625" style="315" customWidth="1"/>
    <col min="13067" max="13068" width="7.33203125" style="315" customWidth="1"/>
    <col min="13069" max="13069" width="8.6640625" style="315" customWidth="1"/>
    <col min="13070" max="13070" width="7.33203125" style="315" customWidth="1"/>
    <col min="13071" max="13071" width="8.6640625" style="315" customWidth="1"/>
    <col min="13072" max="13073" width="7.1640625" style="315" customWidth="1"/>
    <col min="13074" max="13074" width="7.5" style="315" customWidth="1"/>
    <col min="13075" max="13075" width="7.1640625" style="315" customWidth="1"/>
    <col min="13076" max="13076" width="8.83203125" style="315" customWidth="1"/>
    <col min="13077" max="13077" width="9.5" style="315" customWidth="1"/>
    <col min="13078" max="13078" width="5.6640625" style="315" customWidth="1"/>
    <col min="13079" max="13079" width="7.1640625" style="315" customWidth="1"/>
    <col min="13080" max="13080" width="5.6640625" style="315" customWidth="1"/>
    <col min="13081" max="13081" width="9.5" style="315" customWidth="1"/>
    <col min="13082" max="13082" width="9.6640625" style="315" customWidth="1"/>
    <col min="13083" max="13312" width="8.83203125" style="315"/>
    <col min="13313" max="13313" width="13" style="315" customWidth="1"/>
    <col min="13314" max="13314" width="7.6640625" style="315" customWidth="1"/>
    <col min="13315" max="13315" width="7" style="315" customWidth="1"/>
    <col min="13316" max="13316" width="8.5" style="315" customWidth="1"/>
    <col min="13317" max="13319" width="6.83203125" style="315" customWidth="1"/>
    <col min="13320" max="13320" width="8.1640625" style="315" customWidth="1"/>
    <col min="13321" max="13321" width="1" style="315" customWidth="1"/>
    <col min="13322" max="13322" width="7.1640625" style="315" customWidth="1"/>
    <col min="13323" max="13324" width="7.33203125" style="315" customWidth="1"/>
    <col min="13325" max="13325" width="8.6640625" style="315" customWidth="1"/>
    <col min="13326" max="13326" width="7.33203125" style="315" customWidth="1"/>
    <col min="13327" max="13327" width="8.6640625" style="315" customWidth="1"/>
    <col min="13328" max="13329" width="7.1640625" style="315" customWidth="1"/>
    <col min="13330" max="13330" width="7.5" style="315" customWidth="1"/>
    <col min="13331" max="13331" width="7.1640625" style="315" customWidth="1"/>
    <col min="13332" max="13332" width="8.83203125" style="315" customWidth="1"/>
    <col min="13333" max="13333" width="9.5" style="315" customWidth="1"/>
    <col min="13334" max="13334" width="5.6640625" style="315" customWidth="1"/>
    <col min="13335" max="13335" width="7.1640625" style="315" customWidth="1"/>
    <col min="13336" max="13336" width="5.6640625" style="315" customWidth="1"/>
    <col min="13337" max="13337" width="9.5" style="315" customWidth="1"/>
    <col min="13338" max="13338" width="9.6640625" style="315" customWidth="1"/>
    <col min="13339" max="13568" width="8.83203125" style="315"/>
    <col min="13569" max="13569" width="13" style="315" customWidth="1"/>
    <col min="13570" max="13570" width="7.6640625" style="315" customWidth="1"/>
    <col min="13571" max="13571" width="7" style="315" customWidth="1"/>
    <col min="13572" max="13572" width="8.5" style="315" customWidth="1"/>
    <col min="13573" max="13575" width="6.83203125" style="315" customWidth="1"/>
    <col min="13576" max="13576" width="8.1640625" style="315" customWidth="1"/>
    <col min="13577" max="13577" width="1" style="315" customWidth="1"/>
    <col min="13578" max="13578" width="7.1640625" style="315" customWidth="1"/>
    <col min="13579" max="13580" width="7.33203125" style="315" customWidth="1"/>
    <col min="13581" max="13581" width="8.6640625" style="315" customWidth="1"/>
    <col min="13582" max="13582" width="7.33203125" style="315" customWidth="1"/>
    <col min="13583" max="13583" width="8.6640625" style="315" customWidth="1"/>
    <col min="13584" max="13585" width="7.1640625" style="315" customWidth="1"/>
    <col min="13586" max="13586" width="7.5" style="315" customWidth="1"/>
    <col min="13587" max="13587" width="7.1640625" style="315" customWidth="1"/>
    <col min="13588" max="13588" width="8.83203125" style="315" customWidth="1"/>
    <col min="13589" max="13589" width="9.5" style="315" customWidth="1"/>
    <col min="13590" max="13590" width="5.6640625" style="315" customWidth="1"/>
    <col min="13591" max="13591" width="7.1640625" style="315" customWidth="1"/>
    <col min="13592" max="13592" width="5.6640625" style="315" customWidth="1"/>
    <col min="13593" max="13593" width="9.5" style="315" customWidth="1"/>
    <col min="13594" max="13594" width="9.6640625" style="315" customWidth="1"/>
    <col min="13595" max="13824" width="8.83203125" style="315"/>
    <col min="13825" max="13825" width="13" style="315" customWidth="1"/>
    <col min="13826" max="13826" width="7.6640625" style="315" customWidth="1"/>
    <col min="13827" max="13827" width="7" style="315" customWidth="1"/>
    <col min="13828" max="13828" width="8.5" style="315" customWidth="1"/>
    <col min="13829" max="13831" width="6.83203125" style="315" customWidth="1"/>
    <col min="13832" max="13832" width="8.1640625" style="315" customWidth="1"/>
    <col min="13833" max="13833" width="1" style="315" customWidth="1"/>
    <col min="13834" max="13834" width="7.1640625" style="315" customWidth="1"/>
    <col min="13835" max="13836" width="7.33203125" style="315" customWidth="1"/>
    <col min="13837" max="13837" width="8.6640625" style="315" customWidth="1"/>
    <col min="13838" max="13838" width="7.33203125" style="315" customWidth="1"/>
    <col min="13839" max="13839" width="8.6640625" style="315" customWidth="1"/>
    <col min="13840" max="13841" width="7.1640625" style="315" customWidth="1"/>
    <col min="13842" max="13842" width="7.5" style="315" customWidth="1"/>
    <col min="13843" max="13843" width="7.1640625" style="315" customWidth="1"/>
    <col min="13844" max="13844" width="8.83203125" style="315" customWidth="1"/>
    <col min="13845" max="13845" width="9.5" style="315" customWidth="1"/>
    <col min="13846" max="13846" width="5.6640625" style="315" customWidth="1"/>
    <col min="13847" max="13847" width="7.1640625" style="315" customWidth="1"/>
    <col min="13848" max="13848" width="5.6640625" style="315" customWidth="1"/>
    <col min="13849" max="13849" width="9.5" style="315" customWidth="1"/>
    <col min="13850" max="13850" width="9.6640625" style="315" customWidth="1"/>
    <col min="13851" max="14080" width="8.83203125" style="315"/>
    <col min="14081" max="14081" width="13" style="315" customWidth="1"/>
    <col min="14082" max="14082" width="7.6640625" style="315" customWidth="1"/>
    <col min="14083" max="14083" width="7" style="315" customWidth="1"/>
    <col min="14084" max="14084" width="8.5" style="315" customWidth="1"/>
    <col min="14085" max="14087" width="6.83203125" style="315" customWidth="1"/>
    <col min="14088" max="14088" width="8.1640625" style="315" customWidth="1"/>
    <col min="14089" max="14089" width="1" style="315" customWidth="1"/>
    <col min="14090" max="14090" width="7.1640625" style="315" customWidth="1"/>
    <col min="14091" max="14092" width="7.33203125" style="315" customWidth="1"/>
    <col min="14093" max="14093" width="8.6640625" style="315" customWidth="1"/>
    <col min="14094" max="14094" width="7.33203125" style="315" customWidth="1"/>
    <col min="14095" max="14095" width="8.6640625" style="315" customWidth="1"/>
    <col min="14096" max="14097" width="7.1640625" style="315" customWidth="1"/>
    <col min="14098" max="14098" width="7.5" style="315" customWidth="1"/>
    <col min="14099" max="14099" width="7.1640625" style="315" customWidth="1"/>
    <col min="14100" max="14100" width="8.83203125" style="315" customWidth="1"/>
    <col min="14101" max="14101" width="9.5" style="315" customWidth="1"/>
    <col min="14102" max="14102" width="5.6640625" style="315" customWidth="1"/>
    <col min="14103" max="14103" width="7.1640625" style="315" customWidth="1"/>
    <col min="14104" max="14104" width="5.6640625" style="315" customWidth="1"/>
    <col min="14105" max="14105" width="9.5" style="315" customWidth="1"/>
    <col min="14106" max="14106" width="9.6640625" style="315" customWidth="1"/>
    <col min="14107" max="14336" width="8.83203125" style="315"/>
    <col min="14337" max="14337" width="13" style="315" customWidth="1"/>
    <col min="14338" max="14338" width="7.6640625" style="315" customWidth="1"/>
    <col min="14339" max="14339" width="7" style="315" customWidth="1"/>
    <col min="14340" max="14340" width="8.5" style="315" customWidth="1"/>
    <col min="14341" max="14343" width="6.83203125" style="315" customWidth="1"/>
    <col min="14344" max="14344" width="8.1640625" style="315" customWidth="1"/>
    <col min="14345" max="14345" width="1" style="315" customWidth="1"/>
    <col min="14346" max="14346" width="7.1640625" style="315" customWidth="1"/>
    <col min="14347" max="14348" width="7.33203125" style="315" customWidth="1"/>
    <col min="14349" max="14349" width="8.6640625" style="315" customWidth="1"/>
    <col min="14350" max="14350" width="7.33203125" style="315" customWidth="1"/>
    <col min="14351" max="14351" width="8.6640625" style="315" customWidth="1"/>
    <col min="14352" max="14353" width="7.1640625" style="315" customWidth="1"/>
    <col min="14354" max="14354" width="7.5" style="315" customWidth="1"/>
    <col min="14355" max="14355" width="7.1640625" style="315" customWidth="1"/>
    <col min="14356" max="14356" width="8.83203125" style="315" customWidth="1"/>
    <col min="14357" max="14357" width="9.5" style="315" customWidth="1"/>
    <col min="14358" max="14358" width="5.6640625" style="315" customWidth="1"/>
    <col min="14359" max="14359" width="7.1640625" style="315" customWidth="1"/>
    <col min="14360" max="14360" width="5.6640625" style="315" customWidth="1"/>
    <col min="14361" max="14361" width="9.5" style="315" customWidth="1"/>
    <col min="14362" max="14362" width="9.6640625" style="315" customWidth="1"/>
    <col min="14363" max="14592" width="8.83203125" style="315"/>
    <col min="14593" max="14593" width="13" style="315" customWidth="1"/>
    <col min="14594" max="14594" width="7.6640625" style="315" customWidth="1"/>
    <col min="14595" max="14595" width="7" style="315" customWidth="1"/>
    <col min="14596" max="14596" width="8.5" style="315" customWidth="1"/>
    <col min="14597" max="14599" width="6.83203125" style="315" customWidth="1"/>
    <col min="14600" max="14600" width="8.1640625" style="315" customWidth="1"/>
    <col min="14601" max="14601" width="1" style="315" customWidth="1"/>
    <col min="14602" max="14602" width="7.1640625" style="315" customWidth="1"/>
    <col min="14603" max="14604" width="7.33203125" style="315" customWidth="1"/>
    <col min="14605" max="14605" width="8.6640625" style="315" customWidth="1"/>
    <col min="14606" max="14606" width="7.33203125" style="315" customWidth="1"/>
    <col min="14607" max="14607" width="8.6640625" style="315" customWidth="1"/>
    <col min="14608" max="14609" width="7.1640625" style="315" customWidth="1"/>
    <col min="14610" max="14610" width="7.5" style="315" customWidth="1"/>
    <col min="14611" max="14611" width="7.1640625" style="315" customWidth="1"/>
    <col min="14612" max="14612" width="8.83203125" style="315" customWidth="1"/>
    <col min="14613" max="14613" width="9.5" style="315" customWidth="1"/>
    <col min="14614" max="14614" width="5.6640625" style="315" customWidth="1"/>
    <col min="14615" max="14615" width="7.1640625" style="315" customWidth="1"/>
    <col min="14616" max="14616" width="5.6640625" style="315" customWidth="1"/>
    <col min="14617" max="14617" width="9.5" style="315" customWidth="1"/>
    <col min="14618" max="14618" width="9.6640625" style="315" customWidth="1"/>
    <col min="14619" max="14848" width="8.83203125" style="315"/>
    <col min="14849" max="14849" width="13" style="315" customWidth="1"/>
    <col min="14850" max="14850" width="7.6640625" style="315" customWidth="1"/>
    <col min="14851" max="14851" width="7" style="315" customWidth="1"/>
    <col min="14852" max="14852" width="8.5" style="315" customWidth="1"/>
    <col min="14853" max="14855" width="6.83203125" style="315" customWidth="1"/>
    <col min="14856" max="14856" width="8.1640625" style="315" customWidth="1"/>
    <col min="14857" max="14857" width="1" style="315" customWidth="1"/>
    <col min="14858" max="14858" width="7.1640625" style="315" customWidth="1"/>
    <col min="14859" max="14860" width="7.33203125" style="315" customWidth="1"/>
    <col min="14861" max="14861" width="8.6640625" style="315" customWidth="1"/>
    <col min="14862" max="14862" width="7.33203125" style="315" customWidth="1"/>
    <col min="14863" max="14863" width="8.6640625" style="315" customWidth="1"/>
    <col min="14864" max="14865" width="7.1640625" style="315" customWidth="1"/>
    <col min="14866" max="14866" width="7.5" style="315" customWidth="1"/>
    <col min="14867" max="14867" width="7.1640625" style="315" customWidth="1"/>
    <col min="14868" max="14868" width="8.83203125" style="315" customWidth="1"/>
    <col min="14869" max="14869" width="9.5" style="315" customWidth="1"/>
    <col min="14870" max="14870" width="5.6640625" style="315" customWidth="1"/>
    <col min="14871" max="14871" width="7.1640625" style="315" customWidth="1"/>
    <col min="14872" max="14872" width="5.6640625" style="315" customWidth="1"/>
    <col min="14873" max="14873" width="9.5" style="315" customWidth="1"/>
    <col min="14874" max="14874" width="9.6640625" style="315" customWidth="1"/>
    <col min="14875" max="15104" width="8.83203125" style="315"/>
    <col min="15105" max="15105" width="13" style="315" customWidth="1"/>
    <col min="15106" max="15106" width="7.6640625" style="315" customWidth="1"/>
    <col min="15107" max="15107" width="7" style="315" customWidth="1"/>
    <col min="15108" max="15108" width="8.5" style="315" customWidth="1"/>
    <col min="15109" max="15111" width="6.83203125" style="315" customWidth="1"/>
    <col min="15112" max="15112" width="8.1640625" style="315" customWidth="1"/>
    <col min="15113" max="15113" width="1" style="315" customWidth="1"/>
    <col min="15114" max="15114" width="7.1640625" style="315" customWidth="1"/>
    <col min="15115" max="15116" width="7.33203125" style="315" customWidth="1"/>
    <col min="15117" max="15117" width="8.6640625" style="315" customWidth="1"/>
    <col min="15118" max="15118" width="7.33203125" style="315" customWidth="1"/>
    <col min="15119" max="15119" width="8.6640625" style="315" customWidth="1"/>
    <col min="15120" max="15121" width="7.1640625" style="315" customWidth="1"/>
    <col min="15122" max="15122" width="7.5" style="315" customWidth="1"/>
    <col min="15123" max="15123" width="7.1640625" style="315" customWidth="1"/>
    <col min="15124" max="15124" width="8.83203125" style="315" customWidth="1"/>
    <col min="15125" max="15125" width="9.5" style="315" customWidth="1"/>
    <col min="15126" max="15126" width="5.6640625" style="315" customWidth="1"/>
    <col min="15127" max="15127" width="7.1640625" style="315" customWidth="1"/>
    <col min="15128" max="15128" width="5.6640625" style="315" customWidth="1"/>
    <col min="15129" max="15129" width="9.5" style="315" customWidth="1"/>
    <col min="15130" max="15130" width="9.6640625" style="315" customWidth="1"/>
    <col min="15131" max="15360" width="8.83203125" style="315"/>
    <col min="15361" max="15361" width="13" style="315" customWidth="1"/>
    <col min="15362" max="15362" width="7.6640625" style="315" customWidth="1"/>
    <col min="15363" max="15363" width="7" style="315" customWidth="1"/>
    <col min="15364" max="15364" width="8.5" style="315" customWidth="1"/>
    <col min="15365" max="15367" width="6.83203125" style="315" customWidth="1"/>
    <col min="15368" max="15368" width="8.1640625" style="315" customWidth="1"/>
    <col min="15369" max="15369" width="1" style="315" customWidth="1"/>
    <col min="15370" max="15370" width="7.1640625" style="315" customWidth="1"/>
    <col min="15371" max="15372" width="7.33203125" style="315" customWidth="1"/>
    <col min="15373" max="15373" width="8.6640625" style="315" customWidth="1"/>
    <col min="15374" max="15374" width="7.33203125" style="315" customWidth="1"/>
    <col min="15375" max="15375" width="8.6640625" style="315" customWidth="1"/>
    <col min="15376" max="15377" width="7.1640625" style="315" customWidth="1"/>
    <col min="15378" max="15378" width="7.5" style="315" customWidth="1"/>
    <col min="15379" max="15379" width="7.1640625" style="315" customWidth="1"/>
    <col min="15380" max="15380" width="8.83203125" style="315" customWidth="1"/>
    <col min="15381" max="15381" width="9.5" style="315" customWidth="1"/>
    <col min="15382" max="15382" width="5.6640625" style="315" customWidth="1"/>
    <col min="15383" max="15383" width="7.1640625" style="315" customWidth="1"/>
    <col min="15384" max="15384" width="5.6640625" style="315" customWidth="1"/>
    <col min="15385" max="15385" width="9.5" style="315" customWidth="1"/>
    <col min="15386" max="15386" width="9.6640625" style="315" customWidth="1"/>
    <col min="15387" max="15616" width="8.83203125" style="315"/>
    <col min="15617" max="15617" width="13" style="315" customWidth="1"/>
    <col min="15618" max="15618" width="7.6640625" style="315" customWidth="1"/>
    <col min="15619" max="15619" width="7" style="315" customWidth="1"/>
    <col min="15620" max="15620" width="8.5" style="315" customWidth="1"/>
    <col min="15621" max="15623" width="6.83203125" style="315" customWidth="1"/>
    <col min="15624" max="15624" width="8.1640625" style="315" customWidth="1"/>
    <col min="15625" max="15625" width="1" style="315" customWidth="1"/>
    <col min="15626" max="15626" width="7.1640625" style="315" customWidth="1"/>
    <col min="15627" max="15628" width="7.33203125" style="315" customWidth="1"/>
    <col min="15629" max="15629" width="8.6640625" style="315" customWidth="1"/>
    <col min="15630" max="15630" width="7.33203125" style="315" customWidth="1"/>
    <col min="15631" max="15631" width="8.6640625" style="315" customWidth="1"/>
    <col min="15632" max="15633" width="7.1640625" style="315" customWidth="1"/>
    <col min="15634" max="15634" width="7.5" style="315" customWidth="1"/>
    <col min="15635" max="15635" width="7.1640625" style="315" customWidth="1"/>
    <col min="15636" max="15636" width="8.83203125" style="315" customWidth="1"/>
    <col min="15637" max="15637" width="9.5" style="315" customWidth="1"/>
    <col min="15638" max="15638" width="5.6640625" style="315" customWidth="1"/>
    <col min="15639" max="15639" width="7.1640625" style="315" customWidth="1"/>
    <col min="15640" max="15640" width="5.6640625" style="315" customWidth="1"/>
    <col min="15641" max="15641" width="9.5" style="315" customWidth="1"/>
    <col min="15642" max="15642" width="9.6640625" style="315" customWidth="1"/>
    <col min="15643" max="15872" width="8.83203125" style="315"/>
    <col min="15873" max="15873" width="13" style="315" customWidth="1"/>
    <col min="15874" max="15874" width="7.6640625" style="315" customWidth="1"/>
    <col min="15875" max="15875" width="7" style="315" customWidth="1"/>
    <col min="15876" max="15876" width="8.5" style="315" customWidth="1"/>
    <col min="15877" max="15879" width="6.83203125" style="315" customWidth="1"/>
    <col min="15880" max="15880" width="8.1640625" style="315" customWidth="1"/>
    <col min="15881" max="15881" width="1" style="315" customWidth="1"/>
    <col min="15882" max="15882" width="7.1640625" style="315" customWidth="1"/>
    <col min="15883" max="15884" width="7.33203125" style="315" customWidth="1"/>
    <col min="15885" max="15885" width="8.6640625" style="315" customWidth="1"/>
    <col min="15886" max="15886" width="7.33203125" style="315" customWidth="1"/>
    <col min="15887" max="15887" width="8.6640625" style="315" customWidth="1"/>
    <col min="15888" max="15889" width="7.1640625" style="315" customWidth="1"/>
    <col min="15890" max="15890" width="7.5" style="315" customWidth="1"/>
    <col min="15891" max="15891" width="7.1640625" style="315" customWidth="1"/>
    <col min="15892" max="15892" width="8.83203125" style="315" customWidth="1"/>
    <col min="15893" max="15893" width="9.5" style="315" customWidth="1"/>
    <col min="15894" max="15894" width="5.6640625" style="315" customWidth="1"/>
    <col min="15895" max="15895" width="7.1640625" style="315" customWidth="1"/>
    <col min="15896" max="15896" width="5.6640625" style="315" customWidth="1"/>
    <col min="15897" max="15897" width="9.5" style="315" customWidth="1"/>
    <col min="15898" max="15898" width="9.6640625" style="315" customWidth="1"/>
    <col min="15899" max="16128" width="8.83203125" style="315"/>
    <col min="16129" max="16129" width="13" style="315" customWidth="1"/>
    <col min="16130" max="16130" width="7.6640625" style="315" customWidth="1"/>
    <col min="16131" max="16131" width="7" style="315" customWidth="1"/>
    <col min="16132" max="16132" width="8.5" style="315" customWidth="1"/>
    <col min="16133" max="16135" width="6.83203125" style="315" customWidth="1"/>
    <col min="16136" max="16136" width="8.1640625" style="315" customWidth="1"/>
    <col min="16137" max="16137" width="1" style="315" customWidth="1"/>
    <col min="16138" max="16138" width="7.1640625" style="315" customWidth="1"/>
    <col min="16139" max="16140" width="7.33203125" style="315" customWidth="1"/>
    <col min="16141" max="16141" width="8.6640625" style="315" customWidth="1"/>
    <col min="16142" max="16142" width="7.33203125" style="315" customWidth="1"/>
    <col min="16143" max="16143" width="8.6640625" style="315" customWidth="1"/>
    <col min="16144" max="16145" width="7.1640625" style="315" customWidth="1"/>
    <col min="16146" max="16146" width="7.5" style="315" customWidth="1"/>
    <col min="16147" max="16147" width="7.1640625" style="315" customWidth="1"/>
    <col min="16148" max="16148" width="8.83203125" style="315" customWidth="1"/>
    <col min="16149" max="16149" width="9.5" style="315" customWidth="1"/>
    <col min="16150" max="16150" width="5.6640625" style="315" customWidth="1"/>
    <col min="16151" max="16151" width="7.1640625" style="315" customWidth="1"/>
    <col min="16152" max="16152" width="5.6640625" style="315" customWidth="1"/>
    <col min="16153" max="16153" width="9.5" style="315" customWidth="1"/>
    <col min="16154" max="16154" width="9.6640625" style="315" customWidth="1"/>
    <col min="16155" max="16384" width="8.83203125" style="315"/>
  </cols>
  <sheetData>
    <row r="1" spans="1:29" s="394" customFormat="1" ht="26">
      <c r="A1" s="306" t="s">
        <v>478</v>
      </c>
      <c r="N1" s="395"/>
      <c r="O1" s="395"/>
      <c r="P1" s="395"/>
      <c r="Q1" s="395"/>
      <c r="R1" s="395"/>
      <c r="S1" s="395"/>
      <c r="T1" s="395"/>
      <c r="U1" s="395"/>
      <c r="V1" s="395"/>
      <c r="W1" s="395"/>
      <c r="X1" s="395"/>
      <c r="Y1" s="395"/>
      <c r="Z1" s="395"/>
    </row>
    <row r="2" spans="1:29" ht="18.75" customHeight="1" thickBot="1">
      <c r="A2" s="396"/>
      <c r="B2" s="319"/>
      <c r="C2" s="319"/>
      <c r="D2" s="319"/>
      <c r="E2" s="319"/>
      <c r="F2" s="319"/>
      <c r="G2" s="319"/>
      <c r="H2" s="319"/>
      <c r="I2" s="319"/>
      <c r="J2" s="319"/>
      <c r="K2" s="319"/>
      <c r="L2" s="319"/>
      <c r="M2" s="319" t="s">
        <v>372</v>
      </c>
      <c r="N2" s="397"/>
      <c r="O2" s="397"/>
      <c r="P2" s="397"/>
      <c r="Q2" s="397"/>
      <c r="R2" s="397"/>
      <c r="S2" s="397"/>
      <c r="T2" s="397"/>
      <c r="U2" s="397"/>
      <c r="V2" s="397"/>
      <c r="W2" s="397"/>
      <c r="X2" s="397"/>
      <c r="Y2" s="397"/>
      <c r="Z2" s="397"/>
    </row>
    <row r="3" spans="1:29" ht="11" customHeight="1" thickTop="1">
      <c r="A3" s="398"/>
      <c r="B3" s="2225" t="s">
        <v>479</v>
      </c>
      <c r="C3" s="2225"/>
      <c r="D3" s="2225"/>
      <c r="E3" s="2225"/>
      <c r="F3" s="2225"/>
      <c r="G3" s="2225"/>
      <c r="H3" s="2225"/>
      <c r="I3" s="399"/>
      <c r="J3" s="2225" t="s">
        <v>480</v>
      </c>
      <c r="K3" s="2225"/>
      <c r="L3" s="2225"/>
      <c r="M3" s="2225"/>
      <c r="N3" s="2229"/>
      <c r="O3" s="2229"/>
      <c r="P3" s="2229"/>
      <c r="Q3" s="2229"/>
      <c r="R3" s="2229"/>
      <c r="S3" s="2229"/>
      <c r="T3" s="2229"/>
      <c r="U3" s="2229"/>
      <c r="V3" s="2229"/>
      <c r="W3" s="2229"/>
      <c r="X3" s="2229"/>
      <c r="Y3" s="2229"/>
      <c r="Z3" s="2229"/>
      <c r="AA3" s="336"/>
      <c r="AB3" s="336"/>
      <c r="AC3" s="336"/>
    </row>
    <row r="4" spans="1:29" s="342" customFormat="1" ht="11.25" customHeight="1">
      <c r="A4" s="400"/>
      <c r="B4" s="401" t="s">
        <v>125</v>
      </c>
      <c r="C4" s="401" t="s">
        <v>186</v>
      </c>
      <c r="D4" s="401" t="s">
        <v>14</v>
      </c>
      <c r="E4" s="401" t="s">
        <v>0</v>
      </c>
      <c r="F4" s="401" t="s">
        <v>481</v>
      </c>
      <c r="G4" s="401" t="s">
        <v>373</v>
      </c>
      <c r="H4" s="401" t="s">
        <v>132</v>
      </c>
      <c r="I4" s="401"/>
      <c r="J4" s="401" t="s">
        <v>482</v>
      </c>
      <c r="K4" s="401" t="s">
        <v>482</v>
      </c>
      <c r="L4" s="402" t="s">
        <v>113</v>
      </c>
      <c r="M4" s="403" t="s">
        <v>132</v>
      </c>
      <c r="N4" s="404"/>
      <c r="O4" s="2230"/>
      <c r="P4" s="2230"/>
      <c r="Q4" s="2230"/>
      <c r="R4" s="2230"/>
      <c r="S4" s="2230"/>
      <c r="T4" s="2230"/>
      <c r="U4" s="2230"/>
      <c r="V4" s="404"/>
      <c r="W4" s="2230"/>
      <c r="X4" s="2230"/>
      <c r="Y4" s="2230"/>
      <c r="Z4" s="405"/>
      <c r="AA4" s="400"/>
      <c r="AB4" s="400"/>
      <c r="AC4" s="400"/>
    </row>
    <row r="5" spans="1:29" s="342" customFormat="1" ht="11.25" customHeight="1">
      <c r="A5" s="400"/>
      <c r="B5" s="406"/>
      <c r="C5" s="407"/>
      <c r="D5" s="407"/>
      <c r="E5" s="407"/>
      <c r="F5" s="401" t="s">
        <v>483</v>
      </c>
      <c r="G5" s="408" t="s">
        <v>484</v>
      </c>
      <c r="H5" s="407"/>
      <c r="I5" s="407"/>
      <c r="J5" s="401" t="s">
        <v>485</v>
      </c>
      <c r="K5" s="401" t="s">
        <v>486</v>
      </c>
      <c r="L5" s="409" t="s">
        <v>487</v>
      </c>
      <c r="M5" s="402" t="s">
        <v>488</v>
      </c>
      <c r="N5" s="404"/>
      <c r="O5" s="410"/>
      <c r="P5" s="410"/>
      <c r="Q5" s="410"/>
      <c r="R5" s="410"/>
      <c r="S5" s="410"/>
      <c r="T5" s="410"/>
      <c r="U5" s="410"/>
      <c r="V5" s="410"/>
      <c r="W5" s="410"/>
      <c r="X5" s="410"/>
      <c r="Y5" s="410"/>
      <c r="Z5" s="410"/>
      <c r="AA5" s="400"/>
      <c r="AB5" s="400"/>
      <c r="AC5" s="400"/>
    </row>
    <row r="6" spans="1:29" s="342" customFormat="1" ht="9.75" customHeight="1">
      <c r="A6" s="411"/>
      <c r="B6" s="412"/>
      <c r="C6" s="412"/>
      <c r="D6" s="413"/>
      <c r="E6" s="413"/>
      <c r="F6" s="414" t="s">
        <v>489</v>
      </c>
      <c r="G6" s="413"/>
      <c r="H6" s="413"/>
      <c r="I6" s="413"/>
      <c r="J6" s="415" t="s">
        <v>490</v>
      </c>
      <c r="K6" s="415" t="s">
        <v>491</v>
      </c>
      <c r="L6" s="416"/>
      <c r="M6" s="417" t="s">
        <v>492</v>
      </c>
      <c r="N6" s="404"/>
      <c r="O6" s="410"/>
      <c r="P6" s="410"/>
      <c r="Q6" s="410"/>
      <c r="R6" s="410"/>
      <c r="S6" s="410"/>
      <c r="T6" s="418"/>
      <c r="U6" s="410"/>
      <c r="V6" s="410"/>
      <c r="W6" s="410"/>
      <c r="X6" s="410"/>
      <c r="Y6" s="418"/>
      <c r="Z6" s="410"/>
      <c r="AA6" s="400"/>
      <c r="AB6" s="400"/>
      <c r="AC6" s="400"/>
    </row>
    <row r="7" spans="1:29" ht="14.25" hidden="1" customHeight="1">
      <c r="A7" s="419">
        <v>1996</v>
      </c>
      <c r="B7" s="308"/>
      <c r="C7" s="308"/>
      <c r="D7" s="308"/>
      <c r="E7" s="308"/>
      <c r="F7" s="308"/>
      <c r="G7" s="308"/>
      <c r="H7" s="308"/>
      <c r="I7" s="308"/>
      <c r="J7" s="308"/>
      <c r="K7" s="308"/>
      <c r="L7" s="308"/>
      <c r="M7" s="308"/>
      <c r="N7" s="328"/>
      <c r="O7" s="420"/>
      <c r="P7" s="420"/>
      <c r="Q7" s="420"/>
      <c r="R7" s="420"/>
      <c r="S7" s="421"/>
      <c r="T7" s="420"/>
      <c r="U7" s="420"/>
      <c r="V7" s="420"/>
      <c r="W7" s="420"/>
      <c r="X7" s="420"/>
      <c r="Y7" s="420"/>
      <c r="Z7" s="420"/>
    </row>
    <row r="8" spans="1:29" ht="10.5" hidden="1" customHeight="1">
      <c r="A8" s="325" t="s">
        <v>493</v>
      </c>
      <c r="B8" s="308"/>
      <c r="C8" s="308"/>
      <c r="D8" s="308"/>
      <c r="E8" s="308"/>
      <c r="F8" s="308"/>
      <c r="G8" s="308"/>
      <c r="H8" s="308"/>
      <c r="I8" s="308"/>
      <c r="J8" s="308"/>
      <c r="K8" s="308"/>
      <c r="L8" s="308"/>
      <c r="M8" s="308"/>
      <c r="N8" s="422"/>
      <c r="O8" s="318"/>
      <c r="P8" s="318"/>
      <c r="Q8" s="318"/>
      <c r="R8" s="318"/>
      <c r="S8" s="318"/>
      <c r="T8" s="318"/>
      <c r="U8" s="318"/>
      <c r="V8" s="318"/>
      <c r="W8" s="318"/>
      <c r="X8" s="318"/>
      <c r="Y8" s="318"/>
      <c r="Z8" s="318"/>
    </row>
    <row r="9" spans="1:29" ht="10.5" hidden="1" customHeight="1">
      <c r="A9" s="330" t="s">
        <v>494</v>
      </c>
      <c r="B9" s="332">
        <v>376812</v>
      </c>
      <c r="C9" s="332">
        <v>35099</v>
      </c>
      <c r="D9" s="332">
        <v>176702</v>
      </c>
      <c r="E9" s="332">
        <v>257953</v>
      </c>
      <c r="F9" s="332">
        <v>1524</v>
      </c>
      <c r="G9" s="332">
        <v>0</v>
      </c>
      <c r="H9" s="332">
        <v>848090</v>
      </c>
      <c r="I9" s="332"/>
      <c r="J9" s="332">
        <v>2801</v>
      </c>
      <c r="K9" s="332">
        <v>1556</v>
      </c>
      <c r="L9" s="332">
        <v>0</v>
      </c>
      <c r="M9" s="332">
        <v>852447</v>
      </c>
      <c r="N9" s="367"/>
      <c r="O9" s="318"/>
      <c r="P9" s="318"/>
      <c r="Q9" s="318"/>
      <c r="R9" s="318"/>
      <c r="S9" s="318"/>
      <c r="T9" s="318"/>
      <c r="U9" s="318"/>
      <c r="V9" s="318"/>
      <c r="W9" s="318"/>
      <c r="X9" s="318"/>
      <c r="Y9" s="318"/>
      <c r="Z9" s="318"/>
    </row>
    <row r="10" spans="1:29" ht="10.5" hidden="1" customHeight="1">
      <c r="A10" s="330" t="s">
        <v>495</v>
      </c>
      <c r="B10" s="332">
        <v>140238</v>
      </c>
      <c r="C10" s="332">
        <v>11132</v>
      </c>
      <c r="D10" s="332">
        <v>75301</v>
      </c>
      <c r="E10" s="332">
        <v>94671</v>
      </c>
      <c r="F10" s="332">
        <v>536</v>
      </c>
      <c r="G10" s="332">
        <v>0</v>
      </c>
      <c r="H10" s="332">
        <v>321878</v>
      </c>
      <c r="I10" s="332"/>
      <c r="J10" s="332">
        <v>2801</v>
      </c>
      <c r="K10" s="332">
        <v>1556</v>
      </c>
      <c r="L10" s="332">
        <v>0</v>
      </c>
      <c r="M10" s="332">
        <v>326235</v>
      </c>
      <c r="N10" s="328"/>
      <c r="O10" s="423"/>
      <c r="P10" s="423"/>
      <c r="Q10" s="423"/>
      <c r="R10" s="423"/>
      <c r="S10" s="423"/>
      <c r="T10" s="423"/>
      <c r="U10" s="423"/>
      <c r="V10" s="423"/>
      <c r="W10" s="423"/>
      <c r="X10" s="424"/>
      <c r="Y10" s="423"/>
      <c r="Z10" s="423"/>
    </row>
    <row r="11" spans="1:29" ht="10.5" hidden="1" customHeight="1">
      <c r="A11" s="330" t="s">
        <v>496</v>
      </c>
      <c r="B11" s="332">
        <v>4244</v>
      </c>
      <c r="C11" s="332">
        <v>800</v>
      </c>
      <c r="D11" s="332">
        <v>937</v>
      </c>
      <c r="E11" s="332">
        <v>8851</v>
      </c>
      <c r="F11" s="332">
        <v>48</v>
      </c>
      <c r="G11" s="332">
        <v>0</v>
      </c>
      <c r="H11" s="332">
        <v>14880</v>
      </c>
      <c r="I11" s="332"/>
      <c r="J11" s="332">
        <v>38</v>
      </c>
      <c r="K11" s="332">
        <v>49</v>
      </c>
      <c r="L11" s="332">
        <v>0</v>
      </c>
      <c r="M11" s="332">
        <v>14967</v>
      </c>
      <c r="N11" s="328"/>
      <c r="O11" s="423"/>
      <c r="P11" s="423"/>
      <c r="Q11" s="423"/>
      <c r="R11" s="423"/>
      <c r="S11" s="423"/>
      <c r="T11" s="423"/>
      <c r="U11" s="423"/>
      <c r="V11" s="423"/>
      <c r="W11" s="423"/>
      <c r="X11" s="424"/>
      <c r="Y11" s="423"/>
      <c r="Z11" s="423"/>
    </row>
    <row r="12" spans="1:29" ht="10.5" hidden="1" customHeight="1">
      <c r="A12" s="330" t="s">
        <v>497</v>
      </c>
      <c r="B12" s="332">
        <v>135994</v>
      </c>
      <c r="C12" s="332">
        <v>10332</v>
      </c>
      <c r="D12" s="332">
        <v>74364</v>
      </c>
      <c r="E12" s="332">
        <v>85820</v>
      </c>
      <c r="F12" s="332">
        <v>488</v>
      </c>
      <c r="G12" s="332">
        <v>0</v>
      </c>
      <c r="H12" s="332">
        <v>306998</v>
      </c>
      <c r="I12" s="332"/>
      <c r="J12" s="332">
        <v>2763</v>
      </c>
      <c r="K12" s="332">
        <v>1507</v>
      </c>
      <c r="L12" s="332">
        <v>0</v>
      </c>
      <c r="M12" s="332">
        <v>311268</v>
      </c>
      <c r="N12" s="328"/>
      <c r="O12" s="423"/>
      <c r="P12" s="423"/>
      <c r="Q12" s="423"/>
      <c r="R12" s="423"/>
      <c r="S12" s="423"/>
      <c r="T12" s="423"/>
      <c r="U12" s="423"/>
      <c r="V12" s="423"/>
      <c r="W12" s="423"/>
      <c r="X12" s="423"/>
      <c r="Y12" s="423"/>
      <c r="Z12" s="423"/>
    </row>
    <row r="13" spans="1:29" ht="10.5" hidden="1" customHeight="1">
      <c r="A13" s="330" t="s">
        <v>498</v>
      </c>
      <c r="B13" s="332"/>
      <c r="C13" s="332"/>
      <c r="D13" s="332"/>
      <c r="E13" s="332"/>
      <c r="F13" s="332"/>
      <c r="G13" s="332"/>
      <c r="H13" s="332"/>
      <c r="I13" s="332"/>
      <c r="J13" s="332"/>
      <c r="K13" s="332"/>
      <c r="L13" s="332"/>
      <c r="M13" s="332">
        <v>2430</v>
      </c>
      <c r="N13" s="328"/>
      <c r="O13" s="423"/>
      <c r="P13" s="423"/>
      <c r="Q13" s="424"/>
      <c r="R13" s="424"/>
      <c r="S13" s="423"/>
      <c r="T13" s="423"/>
      <c r="U13" s="423"/>
      <c r="V13" s="423"/>
      <c r="W13" s="423"/>
      <c r="X13" s="424"/>
      <c r="Y13" s="423"/>
      <c r="Z13" s="423"/>
    </row>
    <row r="14" spans="1:29" hidden="1">
      <c r="A14" s="425" t="s">
        <v>499</v>
      </c>
      <c r="B14" s="337"/>
      <c r="C14" s="337"/>
      <c r="D14" s="337"/>
      <c r="E14" s="337"/>
      <c r="F14" s="337"/>
      <c r="G14" s="337"/>
      <c r="H14" s="337"/>
      <c r="I14" s="337"/>
      <c r="J14" s="337"/>
      <c r="K14" s="337"/>
      <c r="L14" s="337"/>
      <c r="M14" s="337">
        <v>308838</v>
      </c>
      <c r="N14" s="328"/>
      <c r="O14" s="423"/>
      <c r="P14" s="423"/>
      <c r="Q14" s="423"/>
      <c r="R14" s="423"/>
      <c r="S14" s="423"/>
      <c r="T14" s="423"/>
      <c r="U14" s="423"/>
      <c r="V14" s="423"/>
      <c r="W14" s="423"/>
      <c r="X14" s="423"/>
      <c r="Y14" s="423"/>
      <c r="Z14" s="424"/>
    </row>
    <row r="15" spans="1:29" ht="10.5" hidden="1" customHeight="1">
      <c r="A15" s="325" t="s">
        <v>500</v>
      </c>
      <c r="B15" s="426"/>
      <c r="C15" s="426"/>
      <c r="D15" s="426"/>
      <c r="E15" s="426"/>
      <c r="F15" s="426"/>
      <c r="G15" s="426"/>
      <c r="H15" s="426"/>
      <c r="I15" s="426"/>
      <c r="J15" s="426"/>
      <c r="K15" s="426"/>
      <c r="L15" s="426"/>
      <c r="M15" s="426"/>
      <c r="N15" s="328"/>
      <c r="O15" s="423"/>
      <c r="P15" s="423"/>
      <c r="Q15" s="423"/>
      <c r="R15" s="423"/>
      <c r="S15" s="423"/>
      <c r="T15" s="423"/>
      <c r="U15" s="423"/>
      <c r="V15" s="423"/>
      <c r="W15" s="423"/>
      <c r="X15" s="423"/>
      <c r="Y15" s="423"/>
      <c r="Z15" s="423"/>
    </row>
    <row r="16" spans="1:29" ht="10.5" hidden="1" customHeight="1">
      <c r="A16" s="330" t="s">
        <v>494</v>
      </c>
      <c r="B16" s="332">
        <v>14126</v>
      </c>
      <c r="C16" s="332">
        <v>10856</v>
      </c>
      <c r="D16" s="332">
        <v>25227</v>
      </c>
      <c r="E16" s="332">
        <v>0</v>
      </c>
      <c r="F16" s="332">
        <v>7140</v>
      </c>
      <c r="G16" s="332">
        <v>16066</v>
      </c>
      <c r="H16" s="332">
        <v>73415</v>
      </c>
      <c r="I16" s="332"/>
      <c r="J16" s="332">
        <v>592</v>
      </c>
      <c r="K16" s="332">
        <v>0</v>
      </c>
      <c r="L16" s="332">
        <v>486</v>
      </c>
      <c r="M16" s="332">
        <v>74492</v>
      </c>
      <c r="N16" s="367"/>
      <c r="O16" s="423"/>
      <c r="P16" s="423"/>
      <c r="Q16" s="423"/>
      <c r="R16" s="423"/>
      <c r="S16" s="423"/>
      <c r="T16" s="423"/>
      <c r="U16" s="423"/>
      <c r="V16" s="423"/>
      <c r="W16" s="423"/>
      <c r="X16" s="423"/>
      <c r="Y16" s="423"/>
      <c r="Z16" s="423"/>
    </row>
    <row r="17" spans="1:26" ht="10.5" hidden="1" customHeight="1">
      <c r="A17" s="330" t="s">
        <v>501</v>
      </c>
      <c r="B17" s="332">
        <v>4978</v>
      </c>
      <c r="C17" s="332">
        <v>3823</v>
      </c>
      <c r="D17" s="332">
        <v>8785</v>
      </c>
      <c r="E17" s="332">
        <v>0</v>
      </c>
      <c r="F17" s="332">
        <v>1685</v>
      </c>
      <c r="G17" s="332">
        <v>4283</v>
      </c>
      <c r="H17" s="332">
        <v>23554</v>
      </c>
      <c r="I17" s="332"/>
      <c r="J17" s="332">
        <v>592</v>
      </c>
      <c r="K17" s="332">
        <v>0</v>
      </c>
      <c r="L17" s="332">
        <v>486</v>
      </c>
      <c r="M17" s="332">
        <v>24632</v>
      </c>
      <c r="N17" s="328"/>
      <c r="O17" s="423"/>
      <c r="P17" s="423"/>
      <c r="Q17" s="423"/>
      <c r="R17" s="423"/>
      <c r="S17" s="423"/>
      <c r="T17" s="423"/>
      <c r="U17" s="423"/>
      <c r="V17" s="423"/>
      <c r="W17" s="423"/>
      <c r="X17" s="423"/>
      <c r="Y17" s="423"/>
      <c r="Z17" s="423"/>
    </row>
    <row r="18" spans="1:26" ht="10.5" hidden="1" customHeight="1">
      <c r="A18" s="330" t="s">
        <v>496</v>
      </c>
      <c r="B18" s="332">
        <v>252</v>
      </c>
      <c r="C18" s="332">
        <v>274</v>
      </c>
      <c r="D18" s="332">
        <v>294</v>
      </c>
      <c r="E18" s="332">
        <v>0</v>
      </c>
      <c r="F18" s="332">
        <v>86</v>
      </c>
      <c r="G18" s="332">
        <v>197</v>
      </c>
      <c r="H18" s="332">
        <v>1103</v>
      </c>
      <c r="I18" s="332"/>
      <c r="J18" s="332">
        <v>8</v>
      </c>
      <c r="K18" s="332">
        <v>0</v>
      </c>
      <c r="L18" s="332">
        <v>0</v>
      </c>
      <c r="M18" s="332">
        <v>1111</v>
      </c>
      <c r="N18" s="328"/>
      <c r="O18" s="423"/>
      <c r="P18" s="423"/>
      <c r="Q18" s="423"/>
      <c r="R18" s="423"/>
      <c r="S18" s="424"/>
      <c r="T18" s="423"/>
      <c r="U18" s="423"/>
      <c r="V18" s="423"/>
      <c r="W18" s="423"/>
      <c r="X18" s="423"/>
      <c r="Y18" s="423"/>
      <c r="Z18" s="423"/>
    </row>
    <row r="19" spans="1:26" ht="10.5" hidden="1" customHeight="1">
      <c r="A19" s="425" t="s">
        <v>502</v>
      </c>
      <c r="B19" s="337">
        <v>4726</v>
      </c>
      <c r="C19" s="337">
        <v>3549</v>
      </c>
      <c r="D19" s="337">
        <v>8491</v>
      </c>
      <c r="E19" s="337">
        <v>0</v>
      </c>
      <c r="F19" s="337">
        <v>1599</v>
      </c>
      <c r="G19" s="337">
        <v>4086</v>
      </c>
      <c r="H19" s="337">
        <v>22451</v>
      </c>
      <c r="I19" s="337"/>
      <c r="J19" s="337">
        <v>584</v>
      </c>
      <c r="K19" s="337">
        <v>0</v>
      </c>
      <c r="L19" s="337">
        <v>486</v>
      </c>
      <c r="M19" s="337">
        <v>23521</v>
      </c>
      <c r="N19" s="328"/>
      <c r="O19" s="423"/>
      <c r="P19" s="423"/>
      <c r="Q19" s="423"/>
      <c r="R19" s="423"/>
      <c r="S19" s="423"/>
      <c r="T19" s="423"/>
      <c r="U19" s="423"/>
      <c r="V19" s="423"/>
      <c r="W19" s="423"/>
      <c r="X19" s="423"/>
      <c r="Y19" s="423"/>
      <c r="Z19" s="423"/>
    </row>
    <row r="20" spans="1:26" ht="10.5" hidden="1" customHeight="1">
      <c r="A20" s="325" t="s">
        <v>503</v>
      </c>
      <c r="B20" s="332"/>
      <c r="C20" s="333"/>
      <c r="D20" s="333"/>
      <c r="E20" s="332"/>
      <c r="F20" s="332"/>
      <c r="G20" s="332"/>
      <c r="H20" s="332"/>
      <c r="I20" s="332"/>
      <c r="J20" s="332"/>
      <c r="K20" s="332"/>
      <c r="L20" s="332"/>
      <c r="M20" s="332"/>
      <c r="N20" s="328"/>
      <c r="O20" s="423"/>
      <c r="P20" s="423"/>
      <c r="Q20" s="423"/>
      <c r="R20" s="423"/>
      <c r="S20" s="423"/>
      <c r="T20" s="423"/>
      <c r="U20" s="423"/>
      <c r="V20" s="423"/>
      <c r="W20" s="423"/>
      <c r="X20" s="423"/>
      <c r="Y20" s="423"/>
      <c r="Z20" s="424"/>
    </row>
    <row r="21" spans="1:26" ht="10.5" hidden="1" customHeight="1">
      <c r="A21" s="330" t="s">
        <v>504</v>
      </c>
      <c r="B21" s="332">
        <v>390938</v>
      </c>
      <c r="C21" s="332">
        <v>45955</v>
      </c>
      <c r="D21" s="332">
        <v>201929</v>
      </c>
      <c r="E21" s="332">
        <v>257953</v>
      </c>
      <c r="F21" s="332">
        <v>8664</v>
      </c>
      <c r="G21" s="332">
        <v>16066</v>
      </c>
      <c r="H21" s="332">
        <v>921505</v>
      </c>
      <c r="I21" s="332"/>
      <c r="J21" s="332">
        <v>3393</v>
      </c>
      <c r="K21" s="332">
        <v>1556</v>
      </c>
      <c r="L21" s="332">
        <v>486</v>
      </c>
      <c r="M21" s="332">
        <v>926939</v>
      </c>
      <c r="N21" s="367"/>
      <c r="O21" s="423"/>
      <c r="P21" s="423"/>
      <c r="Q21" s="423"/>
      <c r="R21" s="423"/>
      <c r="S21" s="423"/>
      <c r="T21" s="423"/>
      <c r="U21" s="423"/>
      <c r="V21" s="423"/>
      <c r="W21" s="423"/>
      <c r="X21" s="423"/>
      <c r="Y21" s="423"/>
      <c r="Z21" s="423"/>
    </row>
    <row r="22" spans="1:26" ht="10.5" hidden="1" customHeight="1">
      <c r="A22" s="330" t="s">
        <v>501</v>
      </c>
      <c r="B22" s="332">
        <v>145216</v>
      </c>
      <c r="C22" s="332">
        <v>14955</v>
      </c>
      <c r="D22" s="332">
        <v>84086</v>
      </c>
      <c r="E22" s="332">
        <v>94671</v>
      </c>
      <c r="F22" s="332">
        <v>2221</v>
      </c>
      <c r="G22" s="332">
        <v>4283</v>
      </c>
      <c r="H22" s="332">
        <v>345432</v>
      </c>
      <c r="I22" s="332"/>
      <c r="J22" s="332">
        <v>3393</v>
      </c>
      <c r="K22" s="332">
        <v>1556</v>
      </c>
      <c r="L22" s="332">
        <v>486</v>
      </c>
      <c r="M22" s="332">
        <v>350867</v>
      </c>
      <c r="N22" s="328"/>
      <c r="O22" s="423"/>
      <c r="P22" s="423"/>
      <c r="Q22" s="423"/>
      <c r="R22" s="423"/>
      <c r="S22" s="423"/>
      <c r="T22" s="423"/>
      <c r="U22" s="423"/>
      <c r="V22" s="423"/>
      <c r="W22" s="423"/>
      <c r="X22" s="424"/>
      <c r="Y22" s="423"/>
      <c r="Z22" s="423"/>
    </row>
    <row r="23" spans="1:26" ht="10.5" hidden="1" customHeight="1">
      <c r="A23" s="330" t="s">
        <v>496</v>
      </c>
      <c r="B23" s="332">
        <v>4496</v>
      </c>
      <c r="C23" s="332">
        <v>1074</v>
      </c>
      <c r="D23" s="332">
        <v>1231</v>
      </c>
      <c r="E23" s="332">
        <v>8851</v>
      </c>
      <c r="F23" s="332">
        <v>134</v>
      </c>
      <c r="G23" s="332">
        <v>197</v>
      </c>
      <c r="H23" s="332">
        <v>15983</v>
      </c>
      <c r="I23" s="332"/>
      <c r="J23" s="332">
        <v>46</v>
      </c>
      <c r="K23" s="332">
        <v>49</v>
      </c>
      <c r="L23" s="332">
        <v>0</v>
      </c>
      <c r="M23" s="332">
        <v>16078</v>
      </c>
      <c r="N23" s="328"/>
      <c r="O23" s="423"/>
      <c r="P23" s="423"/>
      <c r="Q23" s="423"/>
      <c r="R23" s="423"/>
      <c r="S23" s="423"/>
      <c r="T23" s="423"/>
      <c r="U23" s="423"/>
      <c r="V23" s="423"/>
      <c r="W23" s="423"/>
      <c r="X23" s="424"/>
      <c r="Y23" s="423"/>
      <c r="Z23" s="423"/>
    </row>
    <row r="24" spans="1:26" ht="10.5" hidden="1" customHeight="1">
      <c r="A24" s="330" t="s">
        <v>497</v>
      </c>
      <c r="B24" s="335">
        <v>140720</v>
      </c>
      <c r="C24" s="335">
        <v>13881</v>
      </c>
      <c r="D24" s="335">
        <v>82855</v>
      </c>
      <c r="E24" s="335">
        <v>85820</v>
      </c>
      <c r="F24" s="335">
        <v>2087</v>
      </c>
      <c r="G24" s="335">
        <v>4086</v>
      </c>
      <c r="H24" s="335">
        <v>329449</v>
      </c>
      <c r="I24" s="335"/>
      <c r="J24" s="335">
        <v>3347</v>
      </c>
      <c r="K24" s="335">
        <v>1507</v>
      </c>
      <c r="L24" s="335">
        <v>486</v>
      </c>
      <c r="M24" s="335">
        <v>334789</v>
      </c>
      <c r="N24" s="328"/>
      <c r="O24" s="423"/>
      <c r="P24" s="423"/>
      <c r="Q24" s="423"/>
      <c r="R24" s="423"/>
      <c r="S24" s="423"/>
      <c r="T24" s="423"/>
      <c r="U24" s="424"/>
      <c r="V24" s="423"/>
      <c r="W24" s="423"/>
      <c r="X24" s="423"/>
      <c r="Y24" s="423"/>
      <c r="Z24" s="423"/>
    </row>
    <row r="25" spans="1:26" ht="10.5" hidden="1" customHeight="1">
      <c r="A25" s="330" t="s">
        <v>498</v>
      </c>
      <c r="B25" s="332"/>
      <c r="C25" s="332"/>
      <c r="D25" s="332"/>
      <c r="E25" s="332"/>
      <c r="F25" s="332"/>
      <c r="G25" s="332"/>
      <c r="H25" s="332"/>
      <c r="I25" s="332"/>
      <c r="J25" s="332"/>
      <c r="K25" s="332"/>
      <c r="L25" s="332"/>
      <c r="M25" s="332">
        <v>2430</v>
      </c>
      <c r="N25" s="328"/>
      <c r="O25" s="423"/>
      <c r="P25" s="423"/>
      <c r="Q25" s="423"/>
      <c r="R25" s="424"/>
      <c r="S25" s="423"/>
      <c r="T25" s="423"/>
      <c r="U25" s="423"/>
      <c r="V25" s="423"/>
      <c r="W25" s="423"/>
      <c r="X25" s="424"/>
      <c r="Y25" s="423"/>
      <c r="Z25" s="423"/>
    </row>
    <row r="26" spans="1:26" ht="10.5" hidden="1" customHeight="1" thickBot="1">
      <c r="A26" s="427" t="s">
        <v>499</v>
      </c>
      <c r="B26" s="428"/>
      <c r="C26" s="428"/>
      <c r="D26" s="428"/>
      <c r="E26" s="428"/>
      <c r="F26" s="428"/>
      <c r="G26" s="428"/>
      <c r="H26" s="428"/>
      <c r="I26" s="428"/>
      <c r="J26" s="428"/>
      <c r="K26" s="428"/>
      <c r="L26" s="428"/>
      <c r="M26" s="428">
        <v>332359</v>
      </c>
      <c r="N26" s="328"/>
      <c r="O26" s="423"/>
      <c r="P26" s="423"/>
      <c r="Q26" s="423"/>
      <c r="R26" s="423"/>
      <c r="S26" s="423"/>
      <c r="T26" s="423"/>
      <c r="U26" s="423"/>
      <c r="V26" s="423"/>
      <c r="W26" s="423"/>
      <c r="X26" s="423"/>
      <c r="Y26" s="423"/>
      <c r="Z26" s="424"/>
    </row>
    <row r="27" spans="1:26" ht="14.25" hidden="1" customHeight="1" thickTop="1">
      <c r="A27" s="419">
        <v>1997</v>
      </c>
      <c r="B27" s="332"/>
      <c r="C27" s="332"/>
      <c r="D27" s="332"/>
      <c r="E27" s="332"/>
      <c r="F27" s="332"/>
      <c r="G27" s="332"/>
      <c r="H27" s="332"/>
      <c r="I27" s="332"/>
      <c r="J27" s="332"/>
      <c r="K27" s="332"/>
      <c r="L27" s="332"/>
      <c r="M27" s="332"/>
      <c r="N27" s="328"/>
      <c r="O27" s="423"/>
      <c r="P27" s="423"/>
      <c r="Q27" s="423"/>
      <c r="R27" s="423"/>
      <c r="S27" s="423"/>
      <c r="T27" s="423"/>
      <c r="U27" s="423"/>
      <c r="V27" s="423"/>
      <c r="W27" s="423"/>
      <c r="X27" s="423"/>
      <c r="Y27" s="423"/>
      <c r="Z27" s="423"/>
    </row>
    <row r="28" spans="1:26" ht="10.5" hidden="1" customHeight="1">
      <c r="A28" s="325" t="s">
        <v>493</v>
      </c>
      <c r="B28" s="332"/>
      <c r="C28" s="332"/>
      <c r="D28" s="332"/>
      <c r="E28" s="332"/>
      <c r="F28" s="332"/>
      <c r="G28" s="332"/>
      <c r="H28" s="332"/>
      <c r="I28" s="332"/>
      <c r="J28" s="332"/>
      <c r="K28" s="332"/>
      <c r="L28" s="332"/>
      <c r="M28" s="332"/>
      <c r="N28" s="422"/>
      <c r="O28" s="423"/>
      <c r="P28" s="423"/>
      <c r="Q28" s="423"/>
      <c r="R28" s="423"/>
      <c r="S28" s="423"/>
      <c r="T28" s="423"/>
      <c r="U28" s="423"/>
      <c r="V28" s="423"/>
      <c r="W28" s="423"/>
      <c r="X28" s="423"/>
      <c r="Y28" s="423"/>
      <c r="Z28" s="423"/>
    </row>
    <row r="29" spans="1:26" ht="10.5" hidden="1" customHeight="1">
      <c r="A29" s="330" t="s">
        <v>494</v>
      </c>
      <c r="B29" s="332">
        <v>322302</v>
      </c>
      <c r="C29" s="332">
        <v>16015</v>
      </c>
      <c r="D29" s="332">
        <v>223691</v>
      </c>
      <c r="E29" s="332">
        <v>267428</v>
      </c>
      <c r="F29" s="332">
        <v>1617</v>
      </c>
      <c r="G29" s="332">
        <v>0</v>
      </c>
      <c r="H29" s="332">
        <v>831053</v>
      </c>
      <c r="I29" s="332"/>
      <c r="J29" s="332">
        <v>3337</v>
      </c>
      <c r="K29" s="332">
        <v>1486</v>
      </c>
      <c r="L29" s="332">
        <v>0</v>
      </c>
      <c r="M29" s="332">
        <v>835876</v>
      </c>
      <c r="N29" s="367"/>
      <c r="O29" s="423"/>
      <c r="P29" s="423"/>
      <c r="Q29" s="423"/>
      <c r="R29" s="423"/>
      <c r="S29" s="423"/>
      <c r="T29" s="423"/>
      <c r="U29" s="423"/>
      <c r="V29" s="423"/>
      <c r="W29" s="423"/>
      <c r="X29" s="423"/>
      <c r="Y29" s="423"/>
      <c r="Z29" s="423"/>
    </row>
    <row r="30" spans="1:26" ht="10.5" hidden="1" customHeight="1">
      <c r="A30" s="330" t="s">
        <v>495</v>
      </c>
      <c r="B30" s="332">
        <v>114968</v>
      </c>
      <c r="C30" s="332">
        <v>5267</v>
      </c>
      <c r="D30" s="332">
        <v>100330</v>
      </c>
      <c r="E30" s="332">
        <v>98146</v>
      </c>
      <c r="F30" s="332">
        <v>599</v>
      </c>
      <c r="G30" s="332">
        <v>0</v>
      </c>
      <c r="H30" s="332">
        <v>319310</v>
      </c>
      <c r="I30" s="332"/>
      <c r="J30" s="332">
        <v>3337</v>
      </c>
      <c r="K30" s="332">
        <v>1486</v>
      </c>
      <c r="L30" s="332">
        <v>0</v>
      </c>
      <c r="M30" s="332">
        <v>324133</v>
      </c>
      <c r="N30" s="328"/>
      <c r="O30" s="424"/>
      <c r="P30" s="424"/>
      <c r="Q30" s="424"/>
      <c r="R30" s="424"/>
      <c r="S30" s="424"/>
      <c r="T30" s="423"/>
      <c r="U30" s="424"/>
      <c r="V30" s="423"/>
      <c r="W30" s="424"/>
      <c r="X30" s="424"/>
      <c r="Y30" s="423"/>
      <c r="Z30" s="424"/>
    </row>
    <row r="31" spans="1:26" ht="10.5" hidden="1" customHeight="1">
      <c r="A31" s="330" t="s">
        <v>496</v>
      </c>
      <c r="B31" s="332">
        <v>4909</v>
      </c>
      <c r="C31" s="332">
        <v>378</v>
      </c>
      <c r="D31" s="332">
        <v>1177</v>
      </c>
      <c r="E31" s="332">
        <v>8805</v>
      </c>
      <c r="F31" s="332">
        <v>57</v>
      </c>
      <c r="G31" s="332">
        <v>0</v>
      </c>
      <c r="H31" s="332">
        <v>15326</v>
      </c>
      <c r="I31" s="332"/>
      <c r="J31" s="332">
        <v>38</v>
      </c>
      <c r="K31" s="332">
        <v>47</v>
      </c>
      <c r="L31" s="332">
        <v>0</v>
      </c>
      <c r="M31" s="332">
        <v>15411</v>
      </c>
      <c r="N31" s="328"/>
      <c r="O31" s="424"/>
      <c r="P31" s="424"/>
      <c r="Q31" s="424"/>
      <c r="R31" s="424"/>
      <c r="S31" s="423"/>
      <c r="T31" s="423"/>
      <c r="U31" s="424"/>
      <c r="V31" s="423"/>
      <c r="W31" s="424"/>
      <c r="X31" s="424"/>
      <c r="Y31" s="423"/>
      <c r="Z31" s="424"/>
    </row>
    <row r="32" spans="1:26" ht="10.5" hidden="1" customHeight="1">
      <c r="A32" s="330" t="s">
        <v>497</v>
      </c>
      <c r="B32" s="332">
        <v>110059</v>
      </c>
      <c r="C32" s="332">
        <v>4889</v>
      </c>
      <c r="D32" s="332">
        <v>99153</v>
      </c>
      <c r="E32" s="332">
        <v>89341</v>
      </c>
      <c r="F32" s="332">
        <v>542</v>
      </c>
      <c r="G32" s="332">
        <v>0</v>
      </c>
      <c r="H32" s="332">
        <v>303984</v>
      </c>
      <c r="I32" s="332"/>
      <c r="J32" s="332">
        <v>3299</v>
      </c>
      <c r="K32" s="332">
        <v>1439</v>
      </c>
      <c r="L32" s="332">
        <v>0</v>
      </c>
      <c r="M32" s="332">
        <v>308722</v>
      </c>
      <c r="N32" s="328"/>
      <c r="O32" s="424"/>
      <c r="P32" s="423"/>
      <c r="Q32" s="424"/>
      <c r="R32" s="424"/>
      <c r="S32" s="423"/>
      <c r="T32" s="423"/>
      <c r="U32" s="424"/>
      <c r="V32" s="423"/>
      <c r="W32" s="423"/>
      <c r="X32" s="423"/>
      <c r="Y32" s="423"/>
      <c r="Z32" s="424"/>
    </row>
    <row r="33" spans="1:26" ht="10.5" hidden="1" customHeight="1">
      <c r="A33" s="330" t="s">
        <v>498</v>
      </c>
      <c r="B33" s="332"/>
      <c r="C33" s="332"/>
      <c r="D33" s="332"/>
      <c r="E33" s="332"/>
      <c r="F33" s="332"/>
      <c r="G33" s="332"/>
      <c r="H33" s="332"/>
      <c r="I33" s="332"/>
      <c r="J33" s="332"/>
      <c r="K33" s="332"/>
      <c r="L33" s="332"/>
      <c r="M33" s="332">
        <v>2477</v>
      </c>
      <c r="N33" s="328"/>
      <c r="O33" s="424"/>
      <c r="P33" s="424"/>
      <c r="Q33" s="424"/>
      <c r="R33" s="424"/>
      <c r="S33" s="423"/>
      <c r="T33" s="423"/>
      <c r="U33" s="424"/>
      <c r="V33" s="423"/>
      <c r="W33" s="424"/>
      <c r="X33" s="424"/>
      <c r="Y33" s="423"/>
      <c r="Z33" s="424"/>
    </row>
    <row r="34" spans="1:26" ht="10.5" hidden="1" customHeight="1">
      <c r="A34" s="425" t="s">
        <v>499</v>
      </c>
      <c r="B34" s="337"/>
      <c r="C34" s="337"/>
      <c r="D34" s="337"/>
      <c r="E34" s="337"/>
      <c r="F34" s="337"/>
      <c r="G34" s="337"/>
      <c r="H34" s="337"/>
      <c r="I34" s="337"/>
      <c r="J34" s="337"/>
      <c r="K34" s="337"/>
      <c r="L34" s="337"/>
      <c r="M34" s="337">
        <v>306245</v>
      </c>
      <c r="N34" s="328"/>
      <c r="O34" s="423"/>
      <c r="P34" s="423"/>
      <c r="Q34" s="423"/>
      <c r="R34" s="423"/>
      <c r="S34" s="423"/>
      <c r="T34" s="423"/>
      <c r="U34" s="423"/>
      <c r="V34" s="423"/>
      <c r="W34" s="423"/>
      <c r="X34" s="423"/>
      <c r="Y34" s="423"/>
      <c r="Z34" s="424"/>
    </row>
    <row r="35" spans="1:26" s="342" customFormat="1" ht="11.5" hidden="1" customHeight="1">
      <c r="A35" s="382" t="s">
        <v>500</v>
      </c>
      <c r="B35" s="384"/>
      <c r="C35" s="384"/>
      <c r="D35" s="384"/>
      <c r="E35" s="384"/>
      <c r="F35" s="384"/>
      <c r="G35" s="384"/>
      <c r="H35" s="384"/>
      <c r="I35" s="384"/>
      <c r="J35" s="384"/>
      <c r="K35" s="384"/>
      <c r="L35" s="384"/>
      <c r="M35" s="384"/>
      <c r="N35" s="404"/>
      <c r="O35" s="429"/>
      <c r="P35" s="429"/>
      <c r="Q35" s="429"/>
      <c r="R35" s="429"/>
      <c r="S35" s="429"/>
      <c r="T35" s="429"/>
      <c r="U35" s="429"/>
      <c r="V35" s="429"/>
      <c r="W35" s="429"/>
      <c r="X35" s="429"/>
      <c r="Y35" s="429"/>
      <c r="Z35" s="430"/>
    </row>
    <row r="36" spans="1:26" ht="10.5" hidden="1" customHeight="1">
      <c r="A36" s="330" t="s">
        <v>494</v>
      </c>
      <c r="B36" s="332">
        <v>14312</v>
      </c>
      <c r="C36" s="332">
        <v>9238</v>
      </c>
      <c r="D36" s="332">
        <v>28096</v>
      </c>
      <c r="E36" s="332">
        <v>0</v>
      </c>
      <c r="F36" s="332">
        <v>8695</v>
      </c>
      <c r="G36" s="332">
        <v>16066</v>
      </c>
      <c r="H36" s="332">
        <v>76407</v>
      </c>
      <c r="I36" s="332"/>
      <c r="J36" s="332">
        <v>832</v>
      </c>
      <c r="K36" s="332">
        <v>0</v>
      </c>
      <c r="L36" s="332">
        <v>667</v>
      </c>
      <c r="M36" s="332">
        <v>77907</v>
      </c>
      <c r="N36" s="367"/>
      <c r="O36" s="423"/>
      <c r="P36" s="423"/>
      <c r="Q36" s="423"/>
      <c r="R36" s="423"/>
      <c r="S36" s="423"/>
      <c r="T36" s="423"/>
      <c r="U36" s="423"/>
      <c r="V36" s="423"/>
      <c r="W36" s="423"/>
      <c r="X36" s="423"/>
      <c r="Y36" s="423"/>
      <c r="Z36" s="423"/>
    </row>
    <row r="37" spans="1:26" ht="10.5" hidden="1" customHeight="1">
      <c r="A37" s="330" t="s">
        <v>501</v>
      </c>
      <c r="B37" s="332">
        <v>4750</v>
      </c>
      <c r="C37" s="332">
        <v>3419</v>
      </c>
      <c r="D37" s="332">
        <v>10633</v>
      </c>
      <c r="E37" s="332">
        <v>0</v>
      </c>
      <c r="F37" s="332">
        <v>1994</v>
      </c>
      <c r="G37" s="332">
        <v>4239</v>
      </c>
      <c r="H37" s="332">
        <v>25035</v>
      </c>
      <c r="I37" s="332"/>
      <c r="J37" s="332">
        <v>832</v>
      </c>
      <c r="K37" s="332">
        <v>0</v>
      </c>
      <c r="L37" s="332">
        <v>667</v>
      </c>
      <c r="M37" s="332">
        <v>26534</v>
      </c>
      <c r="N37" s="328"/>
      <c r="O37" s="424"/>
      <c r="P37" s="424"/>
      <c r="Q37" s="424"/>
      <c r="R37" s="423"/>
      <c r="S37" s="424"/>
      <c r="T37" s="424"/>
      <c r="U37" s="424"/>
      <c r="V37" s="423"/>
      <c r="W37" s="423"/>
      <c r="X37" s="423"/>
      <c r="Y37" s="423"/>
      <c r="Z37" s="424"/>
    </row>
    <row r="38" spans="1:26" ht="10.5" hidden="1" customHeight="1">
      <c r="A38" s="330" t="s">
        <v>496</v>
      </c>
      <c r="B38" s="332">
        <v>242</v>
      </c>
      <c r="C38" s="332">
        <v>245</v>
      </c>
      <c r="D38" s="332">
        <v>351</v>
      </c>
      <c r="E38" s="332">
        <v>0</v>
      </c>
      <c r="F38" s="332">
        <v>106</v>
      </c>
      <c r="G38" s="332">
        <v>195</v>
      </c>
      <c r="H38" s="332">
        <v>1139</v>
      </c>
      <c r="I38" s="332"/>
      <c r="J38" s="332">
        <v>10</v>
      </c>
      <c r="K38" s="332">
        <v>0</v>
      </c>
      <c r="L38" s="332">
        <v>0</v>
      </c>
      <c r="M38" s="332">
        <v>1149</v>
      </c>
      <c r="N38" s="328"/>
      <c r="O38" s="424"/>
      <c r="P38" s="424"/>
      <c r="Q38" s="424"/>
      <c r="R38" s="423"/>
      <c r="S38" s="424"/>
      <c r="T38" s="424"/>
      <c r="U38" s="424"/>
      <c r="V38" s="423"/>
      <c r="W38" s="423"/>
      <c r="X38" s="423"/>
      <c r="Y38" s="423"/>
      <c r="Z38" s="424"/>
    </row>
    <row r="39" spans="1:26" ht="10.5" hidden="1" customHeight="1">
      <c r="A39" s="425" t="s">
        <v>502</v>
      </c>
      <c r="B39" s="337">
        <v>4508</v>
      </c>
      <c r="C39" s="337">
        <v>3174</v>
      </c>
      <c r="D39" s="337">
        <v>10282</v>
      </c>
      <c r="E39" s="337">
        <v>0</v>
      </c>
      <c r="F39" s="337">
        <v>1888</v>
      </c>
      <c r="G39" s="337">
        <v>4044</v>
      </c>
      <c r="H39" s="337">
        <v>23896</v>
      </c>
      <c r="I39" s="337"/>
      <c r="J39" s="337">
        <v>822</v>
      </c>
      <c r="K39" s="337">
        <v>0</v>
      </c>
      <c r="L39" s="337">
        <v>667</v>
      </c>
      <c r="M39" s="337">
        <v>25385</v>
      </c>
      <c r="N39" s="328"/>
      <c r="O39" s="423"/>
      <c r="P39" s="423"/>
      <c r="Q39" s="423"/>
      <c r="R39" s="423"/>
      <c r="S39" s="423"/>
      <c r="T39" s="423"/>
      <c r="U39" s="424"/>
      <c r="V39" s="423"/>
      <c r="W39" s="423"/>
      <c r="X39" s="423"/>
      <c r="Y39" s="423"/>
      <c r="Z39" s="424"/>
    </row>
    <row r="40" spans="1:26" ht="10.5" hidden="1" customHeight="1">
      <c r="A40" s="325" t="s">
        <v>503</v>
      </c>
      <c r="B40" s="332"/>
      <c r="C40" s="332"/>
      <c r="D40" s="332"/>
      <c r="E40" s="332"/>
      <c r="F40" s="332"/>
      <c r="G40" s="332"/>
      <c r="H40" s="332"/>
      <c r="I40" s="332"/>
      <c r="J40" s="332"/>
      <c r="K40" s="332"/>
      <c r="L40" s="332"/>
      <c r="M40" s="332"/>
      <c r="N40" s="328"/>
      <c r="O40" s="424"/>
      <c r="P40" s="424"/>
      <c r="Q40" s="424"/>
      <c r="R40" s="423"/>
      <c r="S40" s="424"/>
      <c r="T40" s="424"/>
      <c r="U40" s="424"/>
      <c r="V40" s="423"/>
      <c r="W40" s="423"/>
      <c r="X40" s="423"/>
      <c r="Y40" s="423"/>
      <c r="Z40" s="424"/>
    </row>
    <row r="41" spans="1:26" ht="10.5" hidden="1" customHeight="1">
      <c r="A41" s="330" t="s">
        <v>504</v>
      </c>
      <c r="B41" s="332">
        <v>336614</v>
      </c>
      <c r="C41" s="332">
        <v>25253</v>
      </c>
      <c r="D41" s="332">
        <v>251787</v>
      </c>
      <c r="E41" s="332">
        <v>267428</v>
      </c>
      <c r="F41" s="332">
        <v>10312</v>
      </c>
      <c r="G41" s="332">
        <v>16066</v>
      </c>
      <c r="H41" s="332">
        <v>907460</v>
      </c>
      <c r="I41" s="332"/>
      <c r="J41" s="332">
        <v>4169</v>
      </c>
      <c r="K41" s="332">
        <v>1486</v>
      </c>
      <c r="L41" s="332">
        <v>667</v>
      </c>
      <c r="M41" s="332">
        <v>913783</v>
      </c>
      <c r="N41" s="367"/>
      <c r="O41" s="423"/>
      <c r="P41" s="423"/>
      <c r="Q41" s="423"/>
      <c r="R41" s="423"/>
      <c r="S41" s="423"/>
      <c r="T41" s="423"/>
      <c r="U41" s="423"/>
      <c r="V41" s="423"/>
      <c r="W41" s="423"/>
      <c r="X41" s="423"/>
      <c r="Y41" s="423"/>
      <c r="Z41" s="423"/>
    </row>
    <row r="42" spans="1:26" ht="10.5" hidden="1" customHeight="1">
      <c r="A42" s="330" t="s">
        <v>501</v>
      </c>
      <c r="B42" s="332">
        <v>119718</v>
      </c>
      <c r="C42" s="332">
        <v>8686</v>
      </c>
      <c r="D42" s="332">
        <v>110963</v>
      </c>
      <c r="E42" s="332">
        <v>98146</v>
      </c>
      <c r="F42" s="332">
        <v>2593</v>
      </c>
      <c r="G42" s="332">
        <v>4239</v>
      </c>
      <c r="H42" s="332">
        <v>344345</v>
      </c>
      <c r="I42" s="332"/>
      <c r="J42" s="332">
        <v>4169</v>
      </c>
      <c r="K42" s="332">
        <v>1486</v>
      </c>
      <c r="L42" s="332">
        <v>667</v>
      </c>
      <c r="M42" s="332">
        <v>350667</v>
      </c>
      <c r="N42" s="328"/>
      <c r="O42" s="424"/>
      <c r="P42" s="424"/>
      <c r="Q42" s="424"/>
      <c r="R42" s="424"/>
      <c r="S42" s="424"/>
      <c r="T42" s="424"/>
      <c r="U42" s="424"/>
      <c r="V42" s="423"/>
      <c r="W42" s="424"/>
      <c r="X42" s="424"/>
      <c r="Y42" s="423"/>
      <c r="Z42" s="424"/>
    </row>
    <row r="43" spans="1:26" ht="10.5" hidden="1" customHeight="1">
      <c r="A43" s="330" t="s">
        <v>496</v>
      </c>
      <c r="B43" s="332">
        <v>5151</v>
      </c>
      <c r="C43" s="332">
        <v>623</v>
      </c>
      <c r="D43" s="332">
        <v>1528</v>
      </c>
      <c r="E43" s="332">
        <v>8805</v>
      </c>
      <c r="F43" s="332">
        <v>163</v>
      </c>
      <c r="G43" s="332">
        <v>195</v>
      </c>
      <c r="H43" s="332">
        <v>16465</v>
      </c>
      <c r="I43" s="332"/>
      <c r="J43" s="332">
        <v>48</v>
      </c>
      <c r="K43" s="332">
        <v>47</v>
      </c>
      <c r="L43" s="332">
        <v>0</v>
      </c>
      <c r="M43" s="332">
        <v>16560</v>
      </c>
      <c r="N43" s="328"/>
      <c r="O43" s="424"/>
      <c r="P43" s="424"/>
      <c r="Q43" s="424"/>
      <c r="R43" s="424"/>
      <c r="S43" s="424"/>
      <c r="T43" s="424"/>
      <c r="U43" s="424"/>
      <c r="V43" s="423"/>
      <c r="W43" s="424"/>
      <c r="X43" s="424"/>
      <c r="Y43" s="423"/>
      <c r="Z43" s="424"/>
    </row>
    <row r="44" spans="1:26" ht="10.5" hidden="1" customHeight="1">
      <c r="A44" s="330" t="s">
        <v>497</v>
      </c>
      <c r="B44" s="335">
        <v>114567</v>
      </c>
      <c r="C44" s="335">
        <v>8063</v>
      </c>
      <c r="D44" s="335">
        <v>109435</v>
      </c>
      <c r="E44" s="335">
        <v>89341</v>
      </c>
      <c r="F44" s="335">
        <v>2430</v>
      </c>
      <c r="G44" s="335">
        <v>4044</v>
      </c>
      <c r="H44" s="335">
        <v>327880</v>
      </c>
      <c r="I44" s="335"/>
      <c r="J44" s="335">
        <v>4121</v>
      </c>
      <c r="K44" s="335">
        <v>1439</v>
      </c>
      <c r="L44" s="335">
        <v>667</v>
      </c>
      <c r="M44" s="335">
        <v>334107</v>
      </c>
      <c r="N44" s="328"/>
      <c r="O44" s="424"/>
      <c r="P44" s="423"/>
      <c r="Q44" s="424"/>
      <c r="R44" s="424"/>
      <c r="S44" s="423"/>
      <c r="T44" s="423"/>
      <c r="U44" s="424"/>
      <c r="V44" s="423"/>
      <c r="W44" s="423"/>
      <c r="X44" s="423"/>
      <c r="Y44" s="423"/>
      <c r="Z44" s="424"/>
    </row>
    <row r="45" spans="1:26" ht="10.5" hidden="1" customHeight="1">
      <c r="A45" s="330" t="s">
        <v>498</v>
      </c>
      <c r="B45" s="332"/>
      <c r="C45" s="332"/>
      <c r="D45" s="332"/>
      <c r="E45" s="332"/>
      <c r="F45" s="332"/>
      <c r="G45" s="332"/>
      <c r="H45" s="332"/>
      <c r="I45" s="332"/>
      <c r="J45" s="332"/>
      <c r="K45" s="332"/>
      <c r="L45" s="332"/>
      <c r="M45" s="332">
        <v>2477</v>
      </c>
      <c r="N45" s="328"/>
      <c r="O45" s="424"/>
      <c r="P45" s="424"/>
      <c r="Q45" s="424"/>
      <c r="R45" s="424"/>
      <c r="S45" s="424"/>
      <c r="T45" s="424"/>
      <c r="U45" s="424"/>
      <c r="V45" s="423"/>
      <c r="W45" s="424"/>
      <c r="X45" s="424"/>
      <c r="Y45" s="423"/>
      <c r="Z45" s="424"/>
    </row>
    <row r="46" spans="1:26" ht="10.5" hidden="1" customHeight="1" thickBot="1">
      <c r="A46" s="427" t="s">
        <v>499</v>
      </c>
      <c r="B46" s="428"/>
      <c r="C46" s="428"/>
      <c r="D46" s="428"/>
      <c r="E46" s="428"/>
      <c r="F46" s="428"/>
      <c r="G46" s="428"/>
      <c r="H46" s="428"/>
      <c r="I46" s="428"/>
      <c r="J46" s="428"/>
      <c r="K46" s="428"/>
      <c r="L46" s="428"/>
      <c r="M46" s="428">
        <v>331630</v>
      </c>
      <c r="N46" s="328"/>
      <c r="O46" s="423"/>
      <c r="P46" s="423"/>
      <c r="Q46" s="423"/>
      <c r="R46" s="423"/>
      <c r="S46" s="423"/>
      <c r="T46" s="423"/>
      <c r="U46" s="423"/>
      <c r="V46" s="423"/>
      <c r="W46" s="423"/>
      <c r="X46" s="423"/>
      <c r="Y46" s="423"/>
      <c r="Z46" s="424"/>
    </row>
    <row r="47" spans="1:26" ht="14.25" hidden="1" customHeight="1" thickTop="1">
      <c r="A47" s="419">
        <v>1998</v>
      </c>
      <c r="B47" s="332"/>
      <c r="C47" s="332"/>
      <c r="D47" s="332"/>
      <c r="E47" s="332"/>
      <c r="F47" s="332"/>
      <c r="G47" s="332"/>
      <c r="H47" s="332"/>
      <c r="I47" s="332"/>
      <c r="J47" s="332"/>
      <c r="K47" s="332"/>
      <c r="L47" s="332"/>
      <c r="M47" s="332"/>
      <c r="N47" s="328"/>
      <c r="O47" s="423"/>
      <c r="P47" s="423"/>
      <c r="Q47" s="423"/>
      <c r="R47" s="423"/>
      <c r="S47" s="423"/>
      <c r="T47" s="423"/>
      <c r="U47" s="423"/>
      <c r="V47" s="423"/>
      <c r="W47" s="423"/>
      <c r="X47" s="423"/>
      <c r="Y47" s="423"/>
      <c r="Z47" s="424"/>
    </row>
    <row r="48" spans="1:26" ht="10.5" hidden="1" customHeight="1">
      <c r="A48" s="325" t="s">
        <v>493</v>
      </c>
      <c r="B48" s="332"/>
      <c r="C48" s="332"/>
      <c r="D48" s="332"/>
      <c r="E48" s="332"/>
      <c r="F48" s="332"/>
      <c r="G48" s="332"/>
      <c r="H48" s="332"/>
      <c r="I48" s="332"/>
      <c r="J48" s="332"/>
      <c r="K48" s="332"/>
      <c r="L48" s="332"/>
      <c r="M48" s="332"/>
      <c r="N48" s="328"/>
      <c r="O48" s="423"/>
      <c r="P48" s="423"/>
      <c r="Q48" s="423"/>
      <c r="R48" s="423"/>
      <c r="S48" s="423"/>
      <c r="T48" s="423"/>
      <c r="U48" s="423"/>
      <c r="V48" s="423"/>
      <c r="W48" s="423"/>
      <c r="X48" s="423"/>
      <c r="Y48" s="423"/>
      <c r="Z48" s="423"/>
    </row>
    <row r="49" spans="1:26" ht="10.5" hidden="1" customHeight="1">
      <c r="A49" s="330" t="s">
        <v>494</v>
      </c>
      <c r="B49" s="332">
        <v>334037</v>
      </c>
      <c r="C49" s="332">
        <v>9827</v>
      </c>
      <c r="D49" s="332">
        <v>236298</v>
      </c>
      <c r="E49" s="332">
        <v>272642</v>
      </c>
      <c r="F49" s="332">
        <v>2338</v>
      </c>
      <c r="G49" s="332">
        <v>0</v>
      </c>
      <c r="H49" s="332">
        <v>855142</v>
      </c>
      <c r="I49" s="332"/>
      <c r="J49" s="332">
        <v>4237</v>
      </c>
      <c r="K49" s="332">
        <v>1624</v>
      </c>
      <c r="L49" s="332">
        <v>0</v>
      </c>
      <c r="M49" s="332">
        <v>861003</v>
      </c>
      <c r="N49" s="328"/>
      <c r="O49" s="423"/>
      <c r="P49" s="431"/>
      <c r="Q49" s="423"/>
      <c r="R49" s="431"/>
      <c r="S49" s="423"/>
      <c r="T49" s="431"/>
      <c r="U49" s="423"/>
      <c r="V49" s="431"/>
      <c r="W49" s="423"/>
      <c r="X49" s="431"/>
      <c r="Y49" s="431"/>
      <c r="Z49" s="423"/>
    </row>
    <row r="50" spans="1:26" ht="10.5" hidden="1" customHeight="1">
      <c r="A50" s="330" t="s">
        <v>495</v>
      </c>
      <c r="B50" s="332">
        <v>118595</v>
      </c>
      <c r="C50" s="332">
        <v>3442</v>
      </c>
      <c r="D50" s="332">
        <v>105804</v>
      </c>
      <c r="E50" s="332">
        <v>99486</v>
      </c>
      <c r="F50" s="332">
        <v>576</v>
      </c>
      <c r="G50" s="332">
        <v>0</v>
      </c>
      <c r="H50" s="332">
        <v>327903</v>
      </c>
      <c r="I50" s="332"/>
      <c r="J50" s="332">
        <v>4237</v>
      </c>
      <c r="K50" s="332">
        <v>1624</v>
      </c>
      <c r="L50" s="332">
        <v>0</v>
      </c>
      <c r="M50" s="332">
        <v>333764</v>
      </c>
      <c r="N50" s="328"/>
      <c r="O50" s="432"/>
      <c r="P50" s="433"/>
      <c r="Q50" s="432"/>
      <c r="R50" s="433"/>
      <c r="S50" s="432"/>
      <c r="T50" s="433"/>
      <c r="U50" s="432"/>
      <c r="V50" s="433"/>
      <c r="W50" s="432"/>
      <c r="X50" s="433"/>
      <c r="Y50" s="431"/>
      <c r="Z50" s="423"/>
    </row>
    <row r="51" spans="1:26" ht="10.5" hidden="1" customHeight="1">
      <c r="A51" s="330" t="s">
        <v>496</v>
      </c>
      <c r="B51" s="332">
        <v>5701</v>
      </c>
      <c r="C51" s="332">
        <v>231</v>
      </c>
      <c r="D51" s="332">
        <v>1116</v>
      </c>
      <c r="E51" s="332">
        <v>8896</v>
      </c>
      <c r="F51" s="332">
        <v>129</v>
      </c>
      <c r="G51" s="332">
        <v>0</v>
      </c>
      <c r="H51" s="332">
        <v>16072</v>
      </c>
      <c r="I51" s="332"/>
      <c r="J51" s="332">
        <v>12</v>
      </c>
      <c r="K51" s="332">
        <v>55</v>
      </c>
      <c r="L51" s="332">
        <v>0</v>
      </c>
      <c r="M51" s="332">
        <v>16140</v>
      </c>
      <c r="N51" s="328"/>
      <c r="O51" s="432"/>
      <c r="P51" s="431"/>
      <c r="Q51" s="432"/>
      <c r="R51" s="431"/>
      <c r="S51" s="432"/>
      <c r="T51" s="431"/>
      <c r="U51" s="432"/>
      <c r="V51" s="431"/>
      <c r="W51" s="432"/>
      <c r="X51" s="431"/>
      <c r="Y51" s="431"/>
      <c r="Z51" s="423"/>
    </row>
    <row r="52" spans="1:26" ht="10.5" hidden="1" customHeight="1">
      <c r="A52" s="330" t="s">
        <v>497</v>
      </c>
      <c r="B52" s="332">
        <v>112894</v>
      </c>
      <c r="C52" s="332">
        <v>3211</v>
      </c>
      <c r="D52" s="332">
        <v>104688</v>
      </c>
      <c r="E52" s="332">
        <v>90590</v>
      </c>
      <c r="F52" s="332">
        <v>447</v>
      </c>
      <c r="G52" s="332">
        <v>0</v>
      </c>
      <c r="H52" s="332">
        <v>311830</v>
      </c>
      <c r="I52" s="332"/>
      <c r="J52" s="332">
        <v>4225</v>
      </c>
      <c r="K52" s="332">
        <v>1569</v>
      </c>
      <c r="L52" s="332">
        <v>0</v>
      </c>
      <c r="M52" s="332">
        <v>317624</v>
      </c>
      <c r="N52" s="328"/>
      <c r="O52" s="432"/>
      <c r="P52" s="431"/>
      <c r="Q52" s="432"/>
      <c r="R52" s="431"/>
      <c r="S52" s="432"/>
      <c r="T52" s="431"/>
      <c r="U52" s="432"/>
      <c r="V52" s="431"/>
      <c r="W52" s="432"/>
      <c r="X52" s="431"/>
      <c r="Y52" s="431"/>
      <c r="Z52" s="423"/>
    </row>
    <row r="53" spans="1:26" ht="10.5" hidden="1" customHeight="1">
      <c r="A53" s="330" t="s">
        <v>498</v>
      </c>
      <c r="B53" s="332"/>
      <c r="C53" s="332"/>
      <c r="D53" s="332"/>
      <c r="E53" s="332"/>
      <c r="F53" s="332"/>
      <c r="G53" s="332"/>
      <c r="H53" s="332"/>
      <c r="I53" s="332"/>
      <c r="J53" s="332"/>
      <c r="K53" s="332"/>
      <c r="L53" s="332"/>
      <c r="M53" s="332">
        <v>2594</v>
      </c>
      <c r="N53" s="328"/>
      <c r="O53" s="434"/>
      <c r="P53" s="431"/>
      <c r="Q53" s="434"/>
      <c r="R53" s="431"/>
      <c r="S53" s="434"/>
      <c r="T53" s="431"/>
      <c r="U53" s="434"/>
      <c r="V53" s="431"/>
      <c r="W53" s="434"/>
      <c r="X53" s="431"/>
      <c r="Y53" s="431"/>
      <c r="Z53" s="423"/>
    </row>
    <row r="54" spans="1:26" ht="10.5" hidden="1" customHeight="1">
      <c r="A54" s="425" t="s">
        <v>499</v>
      </c>
      <c r="B54" s="337"/>
      <c r="C54" s="337"/>
      <c r="D54" s="337"/>
      <c r="E54" s="337"/>
      <c r="F54" s="337"/>
      <c r="G54" s="337"/>
      <c r="H54" s="337"/>
      <c r="I54" s="337"/>
      <c r="J54" s="337"/>
      <c r="K54" s="337"/>
      <c r="L54" s="337"/>
      <c r="M54" s="337">
        <v>315030</v>
      </c>
      <c r="N54" s="367"/>
      <c r="O54" s="423"/>
      <c r="P54" s="423"/>
      <c r="Q54" s="423"/>
      <c r="R54" s="423"/>
      <c r="S54" s="423"/>
      <c r="T54" s="423"/>
      <c r="U54" s="423"/>
      <c r="V54" s="423"/>
      <c r="W54" s="431"/>
      <c r="X54" s="431"/>
      <c r="Y54" s="431"/>
      <c r="Z54" s="423"/>
    </row>
    <row r="55" spans="1:26" s="342" customFormat="1" ht="11.5" hidden="1" customHeight="1">
      <c r="A55" s="382" t="s">
        <v>500</v>
      </c>
      <c r="B55" s="384"/>
      <c r="C55" s="384"/>
      <c r="D55" s="384"/>
      <c r="E55" s="384"/>
      <c r="F55" s="384"/>
      <c r="G55" s="384"/>
      <c r="H55" s="384"/>
      <c r="I55" s="384"/>
      <c r="J55" s="384"/>
      <c r="K55" s="384"/>
      <c r="L55" s="384"/>
      <c r="M55" s="384"/>
      <c r="N55" s="404"/>
      <c r="O55" s="430"/>
      <c r="P55" s="430"/>
      <c r="Q55" s="430"/>
      <c r="R55" s="430"/>
      <c r="S55" s="430"/>
      <c r="T55" s="430"/>
      <c r="U55" s="430"/>
      <c r="V55" s="430"/>
      <c r="W55" s="435"/>
      <c r="X55" s="435"/>
      <c r="Y55" s="436"/>
      <c r="Z55" s="429"/>
    </row>
    <row r="56" spans="1:26" ht="10.5" hidden="1" customHeight="1">
      <c r="A56" s="330" t="s">
        <v>494</v>
      </c>
      <c r="B56" s="332">
        <v>13659</v>
      </c>
      <c r="C56" s="332">
        <v>7966</v>
      </c>
      <c r="D56" s="332">
        <v>31433</v>
      </c>
      <c r="E56" s="332">
        <v>0</v>
      </c>
      <c r="F56" s="332">
        <v>11221</v>
      </c>
      <c r="G56" s="332">
        <v>16046</v>
      </c>
      <c r="H56" s="332">
        <v>80325</v>
      </c>
      <c r="I56" s="332"/>
      <c r="J56" s="332">
        <v>881</v>
      </c>
      <c r="K56" s="332">
        <v>0</v>
      </c>
      <c r="L56" s="332">
        <v>877</v>
      </c>
      <c r="M56" s="332">
        <v>82083</v>
      </c>
      <c r="N56" s="328"/>
      <c r="O56" s="424"/>
      <c r="P56" s="424"/>
      <c r="Q56" s="424"/>
      <c r="R56" s="424"/>
      <c r="S56" s="424"/>
      <c r="T56" s="424"/>
      <c r="U56" s="424"/>
      <c r="V56" s="424"/>
      <c r="W56" s="437"/>
      <c r="X56" s="437"/>
      <c r="Y56" s="431"/>
      <c r="Z56" s="423"/>
    </row>
    <row r="57" spans="1:26" ht="10.5" hidden="1" customHeight="1">
      <c r="A57" s="330" t="s">
        <v>501</v>
      </c>
      <c r="B57" s="332">
        <v>4376</v>
      </c>
      <c r="C57" s="332">
        <v>3913</v>
      </c>
      <c r="D57" s="332">
        <v>11994</v>
      </c>
      <c r="E57" s="332">
        <v>0</v>
      </c>
      <c r="F57" s="332">
        <v>2661</v>
      </c>
      <c r="G57" s="332">
        <v>4236</v>
      </c>
      <c r="H57" s="332">
        <v>27180</v>
      </c>
      <c r="I57" s="332"/>
      <c r="J57" s="332">
        <v>881</v>
      </c>
      <c r="K57" s="332">
        <v>0</v>
      </c>
      <c r="L57" s="332">
        <v>877</v>
      </c>
      <c r="M57" s="332">
        <v>28938</v>
      </c>
      <c r="N57" s="367"/>
      <c r="O57" s="423"/>
      <c r="P57" s="423"/>
      <c r="Q57" s="423"/>
      <c r="R57" s="423"/>
      <c r="S57" s="423"/>
      <c r="T57" s="423"/>
      <c r="U57" s="423"/>
      <c r="V57" s="423"/>
      <c r="W57" s="431"/>
      <c r="X57" s="431"/>
      <c r="Y57" s="431"/>
      <c r="Z57" s="423"/>
    </row>
    <row r="58" spans="1:26" ht="10.5" hidden="1" customHeight="1">
      <c r="A58" s="330" t="s">
        <v>496</v>
      </c>
      <c r="B58" s="332">
        <v>235</v>
      </c>
      <c r="C58" s="332">
        <v>290</v>
      </c>
      <c r="D58" s="332">
        <v>392</v>
      </c>
      <c r="E58" s="332">
        <v>0</v>
      </c>
      <c r="F58" s="332">
        <v>145</v>
      </c>
      <c r="G58" s="332">
        <v>194</v>
      </c>
      <c r="H58" s="332">
        <v>1256</v>
      </c>
      <c r="I58" s="332"/>
      <c r="J58" s="332">
        <v>12</v>
      </c>
      <c r="K58" s="332">
        <v>0</v>
      </c>
      <c r="L58" s="332">
        <v>0</v>
      </c>
      <c r="M58" s="332">
        <v>1268</v>
      </c>
      <c r="N58" s="328"/>
      <c r="O58" s="424"/>
      <c r="P58" s="424"/>
      <c r="Q58" s="424"/>
      <c r="R58" s="424"/>
      <c r="S58" s="424"/>
      <c r="T58" s="424"/>
      <c r="U58" s="424"/>
      <c r="V58" s="424"/>
      <c r="W58" s="437"/>
      <c r="X58" s="437"/>
      <c r="Y58" s="431"/>
      <c r="Z58" s="423"/>
    </row>
    <row r="59" spans="1:26" ht="10.5" hidden="1" customHeight="1">
      <c r="A59" s="425" t="s">
        <v>502</v>
      </c>
      <c r="B59" s="337">
        <v>4141</v>
      </c>
      <c r="C59" s="337">
        <v>3623</v>
      </c>
      <c r="D59" s="337">
        <v>11602</v>
      </c>
      <c r="E59" s="337">
        <v>0</v>
      </c>
      <c r="F59" s="337">
        <v>2516</v>
      </c>
      <c r="G59" s="337">
        <v>4042</v>
      </c>
      <c r="H59" s="337">
        <v>25924</v>
      </c>
      <c r="I59" s="337"/>
      <c r="J59" s="337">
        <v>869</v>
      </c>
      <c r="K59" s="337">
        <v>0</v>
      </c>
      <c r="L59" s="337">
        <v>877</v>
      </c>
      <c r="M59" s="337">
        <v>27670</v>
      </c>
      <c r="N59" s="328"/>
      <c r="O59" s="424"/>
      <c r="P59" s="424"/>
      <c r="Q59" s="424"/>
      <c r="R59" s="424"/>
      <c r="S59" s="424"/>
      <c r="T59" s="424"/>
      <c r="U59" s="424"/>
      <c r="V59" s="424"/>
      <c r="W59" s="437"/>
      <c r="X59" s="437"/>
      <c r="Y59" s="431"/>
      <c r="Z59" s="423"/>
    </row>
    <row r="60" spans="1:26" ht="10.5" hidden="1" customHeight="1">
      <c r="A60" s="325" t="s">
        <v>503</v>
      </c>
      <c r="B60" s="332"/>
      <c r="C60" s="332"/>
      <c r="D60" s="332"/>
      <c r="E60" s="332"/>
      <c r="F60" s="332"/>
      <c r="G60" s="332"/>
      <c r="H60" s="332"/>
      <c r="I60" s="332"/>
      <c r="J60" s="332"/>
      <c r="K60" s="332"/>
      <c r="L60" s="332"/>
      <c r="M60" s="332"/>
      <c r="N60" s="367"/>
      <c r="O60" s="423"/>
      <c r="P60" s="423"/>
      <c r="Q60" s="423"/>
      <c r="R60" s="423"/>
      <c r="S60" s="423"/>
      <c r="T60" s="423"/>
      <c r="U60" s="423"/>
      <c r="V60" s="423"/>
      <c r="W60" s="431"/>
      <c r="X60" s="431"/>
      <c r="Y60" s="431"/>
      <c r="Z60" s="423"/>
    </row>
    <row r="61" spans="1:26" ht="10.5" hidden="1" customHeight="1">
      <c r="A61" s="330" t="s">
        <v>504</v>
      </c>
      <c r="B61" s="332">
        <v>347696</v>
      </c>
      <c r="C61" s="332">
        <v>17793</v>
      </c>
      <c r="D61" s="332">
        <v>267731</v>
      </c>
      <c r="E61" s="332">
        <v>272642</v>
      </c>
      <c r="F61" s="332">
        <v>13559</v>
      </c>
      <c r="G61" s="332">
        <v>16046</v>
      </c>
      <c r="H61" s="332">
        <v>935467</v>
      </c>
      <c r="I61" s="332"/>
      <c r="J61" s="332">
        <v>5118</v>
      </c>
      <c r="K61" s="332">
        <v>1624</v>
      </c>
      <c r="L61" s="332">
        <v>877</v>
      </c>
      <c r="M61" s="332">
        <v>943086</v>
      </c>
      <c r="N61" s="328"/>
      <c r="O61" s="424"/>
      <c r="P61" s="424"/>
      <c r="Q61" s="424"/>
      <c r="R61" s="424"/>
      <c r="S61" s="424"/>
      <c r="T61" s="424"/>
      <c r="U61" s="424"/>
      <c r="V61" s="424"/>
      <c r="W61" s="437"/>
      <c r="X61" s="437"/>
      <c r="Y61" s="431"/>
      <c r="Z61" s="423"/>
    </row>
    <row r="62" spans="1:26" ht="10.5" hidden="1" customHeight="1">
      <c r="A62" s="330" t="s">
        <v>501</v>
      </c>
      <c r="B62" s="332">
        <v>122971</v>
      </c>
      <c r="C62" s="332">
        <v>7355</v>
      </c>
      <c r="D62" s="332">
        <v>117798</v>
      </c>
      <c r="E62" s="332">
        <v>99486</v>
      </c>
      <c r="F62" s="332">
        <v>3237</v>
      </c>
      <c r="G62" s="332">
        <v>4236</v>
      </c>
      <c r="H62" s="332">
        <v>355083</v>
      </c>
      <c r="I62" s="332"/>
      <c r="J62" s="332">
        <v>5118</v>
      </c>
      <c r="K62" s="332">
        <v>1624</v>
      </c>
      <c r="L62" s="332">
        <v>877</v>
      </c>
      <c r="M62" s="332">
        <v>362702</v>
      </c>
      <c r="N62" s="328"/>
      <c r="O62" s="424"/>
      <c r="P62" s="424"/>
      <c r="Q62" s="424"/>
      <c r="R62" s="424"/>
      <c r="S62" s="424"/>
      <c r="T62" s="424"/>
      <c r="U62" s="424"/>
      <c r="V62" s="424"/>
      <c r="W62" s="437"/>
      <c r="X62" s="437"/>
      <c r="Y62" s="431"/>
      <c r="Z62" s="423"/>
    </row>
    <row r="63" spans="1:26" ht="10.5" hidden="1" customHeight="1">
      <c r="A63" s="330" t="s">
        <v>496</v>
      </c>
      <c r="B63" s="332">
        <v>5936</v>
      </c>
      <c r="C63" s="332">
        <v>521</v>
      </c>
      <c r="D63" s="332">
        <v>1508</v>
      </c>
      <c r="E63" s="332">
        <v>8896</v>
      </c>
      <c r="F63" s="332">
        <v>274</v>
      </c>
      <c r="G63" s="332">
        <v>194</v>
      </c>
      <c r="H63" s="332">
        <v>17329</v>
      </c>
      <c r="I63" s="332"/>
      <c r="J63" s="332">
        <v>24</v>
      </c>
      <c r="K63" s="332">
        <v>55</v>
      </c>
      <c r="L63" s="332">
        <v>0</v>
      </c>
      <c r="M63" s="332">
        <v>17408</v>
      </c>
      <c r="N63" s="438"/>
      <c r="O63" s="423"/>
      <c r="P63" s="423"/>
      <c r="Q63" s="423"/>
      <c r="R63" s="423"/>
      <c r="S63" s="423"/>
      <c r="T63" s="423"/>
      <c r="U63" s="423"/>
      <c r="V63" s="423"/>
      <c r="W63" s="431"/>
      <c r="X63" s="431"/>
      <c r="Y63" s="423"/>
      <c r="Z63" s="423"/>
    </row>
    <row r="64" spans="1:26" ht="10.5" hidden="1" customHeight="1">
      <c r="A64" s="330" t="s">
        <v>497</v>
      </c>
      <c r="B64" s="335">
        <v>117035</v>
      </c>
      <c r="C64" s="335">
        <v>6834</v>
      </c>
      <c r="D64" s="335">
        <v>116290</v>
      </c>
      <c r="E64" s="335">
        <v>90590</v>
      </c>
      <c r="F64" s="335">
        <v>2963</v>
      </c>
      <c r="G64" s="335">
        <v>4042</v>
      </c>
      <c r="H64" s="335">
        <v>337754</v>
      </c>
      <c r="I64" s="335"/>
      <c r="J64" s="335">
        <v>5094</v>
      </c>
      <c r="K64" s="335">
        <v>1569</v>
      </c>
      <c r="L64" s="335">
        <v>877</v>
      </c>
      <c r="M64" s="335">
        <v>345294</v>
      </c>
      <c r="N64" s="438"/>
      <c r="O64" s="431"/>
      <c r="P64" s="431"/>
      <c r="Q64" s="431"/>
      <c r="R64" s="431"/>
      <c r="S64" s="431"/>
      <c r="T64" s="431"/>
      <c r="U64" s="431"/>
      <c r="V64" s="431"/>
      <c r="W64" s="431"/>
      <c r="X64" s="431"/>
      <c r="Y64" s="431"/>
      <c r="Z64" s="423"/>
    </row>
    <row r="65" spans="1:26" ht="10.5" hidden="1" customHeight="1">
      <c r="A65" s="330" t="s">
        <v>498</v>
      </c>
      <c r="B65" s="332"/>
      <c r="C65" s="332"/>
      <c r="D65" s="332"/>
      <c r="E65" s="332"/>
      <c r="F65" s="332"/>
      <c r="G65" s="332"/>
      <c r="H65" s="332"/>
      <c r="I65" s="332"/>
      <c r="J65" s="332"/>
      <c r="K65" s="332"/>
      <c r="L65" s="332"/>
      <c r="M65" s="332">
        <v>2594</v>
      </c>
      <c r="N65" s="438"/>
      <c r="O65" s="431"/>
      <c r="P65" s="431"/>
      <c r="Q65" s="431"/>
      <c r="R65" s="431"/>
      <c r="S65" s="431"/>
      <c r="T65" s="431"/>
      <c r="U65" s="431"/>
      <c r="V65" s="431"/>
      <c r="W65" s="431"/>
      <c r="X65" s="431"/>
      <c r="Y65" s="431"/>
      <c r="Z65" s="423"/>
    </row>
    <row r="66" spans="1:26" ht="10.5" hidden="1" customHeight="1" thickBot="1">
      <c r="A66" s="427" t="s">
        <v>499</v>
      </c>
      <c r="B66" s="428"/>
      <c r="C66" s="428"/>
      <c r="D66" s="428"/>
      <c r="E66" s="428"/>
      <c r="F66" s="428"/>
      <c r="G66" s="428"/>
      <c r="H66" s="428"/>
      <c r="I66" s="428"/>
      <c r="J66" s="428"/>
      <c r="K66" s="428"/>
      <c r="L66" s="428"/>
      <c r="M66" s="428">
        <v>342700</v>
      </c>
      <c r="N66" s="438"/>
      <c r="O66" s="431"/>
      <c r="P66" s="431"/>
      <c r="Q66" s="431"/>
      <c r="R66" s="431"/>
      <c r="S66" s="431"/>
      <c r="T66" s="431"/>
      <c r="U66" s="431"/>
      <c r="V66" s="431"/>
      <c r="W66" s="431"/>
      <c r="X66" s="431"/>
      <c r="Y66" s="431"/>
      <c r="Z66" s="431"/>
    </row>
    <row r="67" spans="1:26" ht="14.25" hidden="1" customHeight="1" thickTop="1">
      <c r="A67" s="398"/>
      <c r="B67" s="2225" t="s">
        <v>479</v>
      </c>
      <c r="C67" s="2225"/>
      <c r="D67" s="2225"/>
      <c r="E67" s="2225"/>
      <c r="F67" s="2225"/>
      <c r="G67" s="2225"/>
      <c r="H67" s="2225"/>
      <c r="I67" s="398"/>
      <c r="J67" s="2225" t="s">
        <v>480</v>
      </c>
      <c r="K67" s="2225"/>
      <c r="L67" s="2225"/>
      <c r="M67" s="2225"/>
    </row>
    <row r="68" spans="1:26" ht="10.5" hidden="1" customHeight="1">
      <c r="A68" s="325"/>
      <c r="B68" s="402" t="s">
        <v>125</v>
      </c>
      <c r="C68" s="402" t="s">
        <v>186</v>
      </c>
      <c r="D68" s="402" t="s">
        <v>14</v>
      </c>
      <c r="E68" s="402" t="s">
        <v>0</v>
      </c>
      <c r="F68" s="402" t="s">
        <v>481</v>
      </c>
      <c r="G68" s="402" t="s">
        <v>373</v>
      </c>
      <c r="H68" s="402" t="s">
        <v>132</v>
      </c>
      <c r="I68" s="402"/>
      <c r="J68" s="402" t="s">
        <v>482</v>
      </c>
      <c r="K68" s="402" t="s">
        <v>482</v>
      </c>
      <c r="L68" s="402" t="s">
        <v>113</v>
      </c>
      <c r="M68" s="403" t="s">
        <v>132</v>
      </c>
    </row>
    <row r="69" spans="1:26" ht="10.5" hidden="1" customHeight="1">
      <c r="B69" s="326"/>
      <c r="C69" s="326"/>
      <c r="D69" s="326"/>
      <c r="E69" s="326"/>
      <c r="F69" s="402" t="s">
        <v>483</v>
      </c>
      <c r="G69" s="409" t="s">
        <v>484</v>
      </c>
      <c r="H69" s="326"/>
      <c r="I69" s="326"/>
      <c r="J69" s="402" t="s">
        <v>485</v>
      </c>
      <c r="K69" s="402" t="s">
        <v>486</v>
      </c>
      <c r="L69" s="409" t="s">
        <v>487</v>
      </c>
      <c r="M69" s="402" t="s">
        <v>488</v>
      </c>
    </row>
    <row r="70" spans="1:26" ht="10.5" hidden="1" customHeight="1">
      <c r="A70" s="439"/>
      <c r="B70" s="416"/>
      <c r="C70" s="416"/>
      <c r="D70" s="416"/>
      <c r="E70" s="416"/>
      <c r="F70" s="440" t="s">
        <v>489</v>
      </c>
      <c r="G70" s="416"/>
      <c r="H70" s="416"/>
      <c r="I70" s="416"/>
      <c r="J70" s="417" t="s">
        <v>490</v>
      </c>
      <c r="K70" s="417" t="s">
        <v>491</v>
      </c>
      <c r="L70" s="416"/>
      <c r="M70" s="417" t="s">
        <v>492</v>
      </c>
    </row>
    <row r="71" spans="1:26" s="342" customFormat="1" ht="13.5" hidden="1" customHeight="1">
      <c r="A71" s="441">
        <v>1999</v>
      </c>
      <c r="B71" s="384"/>
      <c r="C71" s="384"/>
      <c r="D71" s="384"/>
      <c r="E71" s="384"/>
      <c r="F71" s="384"/>
      <c r="G71" s="384"/>
      <c r="H71" s="384"/>
      <c r="I71" s="384"/>
      <c r="J71" s="384"/>
      <c r="K71" s="384"/>
      <c r="L71" s="384"/>
      <c r="M71" s="384"/>
    </row>
    <row r="72" spans="1:26" ht="10.5" hidden="1" customHeight="1">
      <c r="A72" s="325" t="s">
        <v>505</v>
      </c>
      <c r="B72" s="332"/>
      <c r="C72" s="332"/>
      <c r="D72" s="332"/>
      <c r="E72" s="332"/>
      <c r="F72" s="332"/>
      <c r="G72" s="332"/>
      <c r="H72" s="332"/>
      <c r="I72" s="332"/>
      <c r="J72" s="332"/>
      <c r="K72" s="332"/>
      <c r="L72" s="332"/>
      <c r="M72" s="332"/>
    </row>
    <row r="73" spans="1:26" ht="10.5" hidden="1" customHeight="1">
      <c r="A73" s="330" t="s">
        <v>494</v>
      </c>
      <c r="B73" s="332">
        <v>285004</v>
      </c>
      <c r="C73" s="332">
        <v>9500</v>
      </c>
      <c r="D73" s="332">
        <v>281986</v>
      </c>
      <c r="E73" s="332">
        <v>258374</v>
      </c>
      <c r="F73" s="332">
        <v>2546</v>
      </c>
      <c r="G73" s="332">
        <v>0</v>
      </c>
      <c r="H73" s="332">
        <v>837410</v>
      </c>
      <c r="I73" s="332">
        <v>0</v>
      </c>
      <c r="J73" s="332">
        <v>4431</v>
      </c>
      <c r="K73" s="332">
        <v>2902</v>
      </c>
      <c r="L73" s="332">
        <v>0</v>
      </c>
      <c r="M73" s="332">
        <v>844744</v>
      </c>
    </row>
    <row r="74" spans="1:26" ht="10.5" hidden="1" customHeight="1">
      <c r="A74" s="330" t="s">
        <v>495</v>
      </c>
      <c r="B74" s="332">
        <v>102074</v>
      </c>
      <c r="C74" s="332">
        <v>2943</v>
      </c>
      <c r="D74" s="332">
        <v>128365</v>
      </c>
      <c r="E74" s="332">
        <v>95133</v>
      </c>
      <c r="F74" s="332">
        <v>761</v>
      </c>
      <c r="G74" s="332">
        <v>0</v>
      </c>
      <c r="H74" s="332">
        <v>329276</v>
      </c>
      <c r="I74" s="332">
        <v>0</v>
      </c>
      <c r="J74" s="332">
        <v>4431</v>
      </c>
      <c r="K74" s="332">
        <v>2902</v>
      </c>
      <c r="L74" s="332">
        <v>0</v>
      </c>
      <c r="M74" s="332">
        <v>336608</v>
      </c>
    </row>
    <row r="75" spans="1:26" s="342" customFormat="1" ht="10.5" hidden="1" customHeight="1">
      <c r="A75" s="330" t="s">
        <v>496</v>
      </c>
      <c r="B75" s="332">
        <v>4725</v>
      </c>
      <c r="C75" s="332">
        <v>210</v>
      </c>
      <c r="D75" s="332">
        <v>2759</v>
      </c>
      <c r="E75" s="332">
        <v>7461</v>
      </c>
      <c r="F75" s="332">
        <v>187</v>
      </c>
      <c r="G75" s="332">
        <v>0</v>
      </c>
      <c r="H75" s="332">
        <v>15342</v>
      </c>
      <c r="I75" s="332">
        <v>0</v>
      </c>
      <c r="J75" s="332">
        <v>21</v>
      </c>
      <c r="K75" s="332">
        <v>98</v>
      </c>
      <c r="L75" s="332">
        <v>0</v>
      </c>
      <c r="M75" s="332">
        <v>15461</v>
      </c>
    </row>
    <row r="76" spans="1:26" ht="10.5" hidden="1" customHeight="1">
      <c r="A76" s="330" t="s">
        <v>497</v>
      </c>
      <c r="B76" s="332">
        <v>97348</v>
      </c>
      <c r="C76" s="332">
        <v>2733</v>
      </c>
      <c r="D76" s="332">
        <v>125606</v>
      </c>
      <c r="E76" s="332">
        <v>87672</v>
      </c>
      <c r="F76" s="332">
        <v>574</v>
      </c>
      <c r="G76" s="332">
        <v>0</v>
      </c>
      <c r="H76" s="332">
        <v>313933</v>
      </c>
      <c r="I76" s="332">
        <v>0</v>
      </c>
      <c r="J76" s="332">
        <v>4409</v>
      </c>
      <c r="K76" s="332">
        <v>2804</v>
      </c>
      <c r="L76" s="332">
        <v>0</v>
      </c>
      <c r="M76" s="332">
        <v>321147</v>
      </c>
    </row>
    <row r="77" spans="1:26" ht="10.5" hidden="1" customHeight="1">
      <c r="A77" s="330" t="s">
        <v>498</v>
      </c>
      <c r="B77" s="332"/>
      <c r="C77" s="332"/>
      <c r="D77" s="332"/>
      <c r="E77" s="332"/>
      <c r="F77" s="332"/>
      <c r="G77" s="332"/>
      <c r="H77" s="332"/>
      <c r="I77" s="332"/>
      <c r="J77" s="332"/>
      <c r="K77" s="332"/>
      <c r="L77" s="332"/>
      <c r="M77" s="332">
        <v>3774</v>
      </c>
    </row>
    <row r="78" spans="1:26" ht="10.5" hidden="1" customHeight="1">
      <c r="A78" s="425" t="s">
        <v>499</v>
      </c>
      <c r="B78" s="337"/>
      <c r="C78" s="337"/>
      <c r="D78" s="337"/>
      <c r="E78" s="337"/>
      <c r="F78" s="337"/>
      <c r="G78" s="337"/>
      <c r="H78" s="337"/>
      <c r="I78" s="337"/>
      <c r="J78" s="337"/>
      <c r="K78" s="337"/>
      <c r="L78" s="337"/>
      <c r="M78" s="337">
        <v>317373</v>
      </c>
    </row>
    <row r="79" spans="1:26" ht="10.5" hidden="1" customHeight="1">
      <c r="A79" s="382" t="s">
        <v>506</v>
      </c>
      <c r="B79" s="384"/>
      <c r="C79" s="384"/>
      <c r="D79" s="384"/>
      <c r="E79" s="384"/>
      <c r="F79" s="384"/>
      <c r="G79" s="384"/>
      <c r="H79" s="384"/>
      <c r="I79" s="384"/>
      <c r="J79" s="384"/>
      <c r="K79" s="384"/>
      <c r="L79" s="384"/>
      <c r="M79" s="384"/>
    </row>
    <row r="80" spans="1:26" s="342" customFormat="1" ht="11.25" hidden="1" customHeight="1">
      <c r="A80" s="330" t="s">
        <v>494</v>
      </c>
      <c r="B80" s="332">
        <v>11702</v>
      </c>
      <c r="C80" s="332">
        <v>8420</v>
      </c>
      <c r="D80" s="332">
        <v>33562</v>
      </c>
      <c r="E80" s="332">
        <v>0</v>
      </c>
      <c r="F80" s="332">
        <v>13659</v>
      </c>
      <c r="G80" s="332">
        <v>16187</v>
      </c>
      <c r="H80" s="332">
        <v>83531</v>
      </c>
      <c r="I80" s="332">
        <v>0</v>
      </c>
      <c r="J80" s="332">
        <v>905</v>
      </c>
      <c r="K80" s="332">
        <v>0</v>
      </c>
      <c r="L80" s="332">
        <v>851</v>
      </c>
      <c r="M80" s="332">
        <v>85287</v>
      </c>
    </row>
    <row r="81" spans="1:13" ht="10.5" hidden="1" customHeight="1">
      <c r="A81" s="330" t="s">
        <v>501</v>
      </c>
      <c r="B81" s="332">
        <v>4106</v>
      </c>
      <c r="C81" s="332">
        <v>3606</v>
      </c>
      <c r="D81" s="332">
        <v>14537</v>
      </c>
      <c r="E81" s="332">
        <v>0</v>
      </c>
      <c r="F81" s="332">
        <v>3227</v>
      </c>
      <c r="G81" s="332">
        <v>4312</v>
      </c>
      <c r="H81" s="332">
        <v>29787</v>
      </c>
      <c r="I81" s="332">
        <v>0</v>
      </c>
      <c r="J81" s="332">
        <v>905</v>
      </c>
      <c r="K81" s="332">
        <v>0</v>
      </c>
      <c r="L81" s="332">
        <v>851</v>
      </c>
      <c r="M81" s="332">
        <v>31543</v>
      </c>
    </row>
    <row r="82" spans="1:13" ht="10.5" hidden="1" customHeight="1">
      <c r="A82" s="330" t="s">
        <v>496</v>
      </c>
      <c r="B82" s="332">
        <v>197</v>
      </c>
      <c r="C82" s="332">
        <v>267</v>
      </c>
      <c r="D82" s="332">
        <v>471</v>
      </c>
      <c r="E82" s="332">
        <v>0</v>
      </c>
      <c r="F82" s="332">
        <v>100</v>
      </c>
      <c r="G82" s="332">
        <v>198</v>
      </c>
      <c r="H82" s="332">
        <v>1233</v>
      </c>
      <c r="I82" s="332">
        <v>0</v>
      </c>
      <c r="J82" s="332">
        <v>11</v>
      </c>
      <c r="K82" s="332">
        <v>0</v>
      </c>
      <c r="L82" s="332">
        <v>0</v>
      </c>
      <c r="M82" s="332">
        <v>1245</v>
      </c>
    </row>
    <row r="83" spans="1:13" ht="10.5" hidden="1" customHeight="1">
      <c r="A83" s="425" t="s">
        <v>502</v>
      </c>
      <c r="B83" s="337">
        <v>3909</v>
      </c>
      <c r="C83" s="337">
        <v>3339</v>
      </c>
      <c r="D83" s="337">
        <v>14066</v>
      </c>
      <c r="E83" s="337">
        <v>0</v>
      </c>
      <c r="F83" s="337">
        <v>3126</v>
      </c>
      <c r="G83" s="337">
        <v>4113</v>
      </c>
      <c r="H83" s="337">
        <v>28554</v>
      </c>
      <c r="I83" s="337">
        <v>0</v>
      </c>
      <c r="J83" s="337">
        <v>894</v>
      </c>
      <c r="K83" s="337">
        <v>0</v>
      </c>
      <c r="L83" s="337">
        <v>851</v>
      </c>
      <c r="M83" s="337">
        <v>30298</v>
      </c>
    </row>
    <row r="84" spans="1:13" ht="10.5" hidden="1" customHeight="1">
      <c r="A84" s="382" t="s">
        <v>503</v>
      </c>
      <c r="B84" s="384"/>
      <c r="C84" s="384"/>
      <c r="D84" s="384"/>
      <c r="E84" s="384"/>
      <c r="F84" s="384"/>
      <c r="G84" s="384"/>
      <c r="H84" s="384"/>
      <c r="I84" s="384"/>
      <c r="J84" s="384"/>
      <c r="K84" s="384"/>
      <c r="L84" s="384"/>
      <c r="M84" s="384"/>
    </row>
    <row r="85" spans="1:13" ht="10.5" hidden="1" customHeight="1">
      <c r="A85" s="330" t="s">
        <v>504</v>
      </c>
      <c r="B85" s="332">
        <v>296706</v>
      </c>
      <c r="C85" s="332">
        <v>17920</v>
      </c>
      <c r="D85" s="332">
        <v>315548</v>
      </c>
      <c r="E85" s="332">
        <v>258374</v>
      </c>
      <c r="F85" s="332">
        <v>16205</v>
      </c>
      <c r="G85" s="332">
        <v>16187</v>
      </c>
      <c r="H85" s="332">
        <v>920941</v>
      </c>
      <c r="I85" s="332">
        <v>0</v>
      </c>
      <c r="J85" s="332">
        <v>5336</v>
      </c>
      <c r="K85" s="332">
        <v>2902</v>
      </c>
      <c r="L85" s="332">
        <v>851</v>
      </c>
      <c r="M85" s="332">
        <v>930030</v>
      </c>
    </row>
    <row r="86" spans="1:13" ht="10.5" hidden="1" customHeight="1">
      <c r="A86" s="330" t="s">
        <v>501</v>
      </c>
      <c r="B86" s="332">
        <v>106179</v>
      </c>
      <c r="C86" s="332">
        <v>6549</v>
      </c>
      <c r="D86" s="332">
        <v>142902</v>
      </c>
      <c r="E86" s="332">
        <v>95133</v>
      </c>
      <c r="F86" s="332">
        <v>3988</v>
      </c>
      <c r="G86" s="332">
        <v>4312</v>
      </c>
      <c r="H86" s="332">
        <v>359063</v>
      </c>
      <c r="I86" s="332">
        <v>0</v>
      </c>
      <c r="J86" s="332">
        <v>5336</v>
      </c>
      <c r="K86" s="332">
        <v>2902</v>
      </c>
      <c r="L86" s="332">
        <v>851</v>
      </c>
      <c r="M86" s="332">
        <v>368151</v>
      </c>
    </row>
    <row r="87" spans="1:13" ht="10.5" hidden="1" customHeight="1">
      <c r="A87" s="330" t="s">
        <v>496</v>
      </c>
      <c r="B87" s="332">
        <v>4922</v>
      </c>
      <c r="C87" s="332">
        <v>477</v>
      </c>
      <c r="D87" s="332">
        <v>3230</v>
      </c>
      <c r="E87" s="332">
        <v>7461</v>
      </c>
      <c r="F87" s="332">
        <v>287</v>
      </c>
      <c r="G87" s="332">
        <v>198</v>
      </c>
      <c r="H87" s="332">
        <v>16576</v>
      </c>
      <c r="I87" s="332">
        <v>0</v>
      </c>
      <c r="J87" s="332">
        <v>33</v>
      </c>
      <c r="K87" s="332">
        <v>98</v>
      </c>
      <c r="L87" s="332">
        <v>0</v>
      </c>
      <c r="M87" s="332">
        <v>16706</v>
      </c>
    </row>
    <row r="88" spans="1:13" ht="10.5" hidden="1" customHeight="1">
      <c r="A88" s="330" t="s">
        <v>497</v>
      </c>
      <c r="B88" s="335">
        <v>101257</v>
      </c>
      <c r="C88" s="335">
        <v>6072</v>
      </c>
      <c r="D88" s="335">
        <v>139672</v>
      </c>
      <c r="E88" s="335">
        <v>87672</v>
      </c>
      <c r="F88" s="335">
        <v>3700</v>
      </c>
      <c r="G88" s="335">
        <v>4113</v>
      </c>
      <c r="H88" s="335">
        <v>342487</v>
      </c>
      <c r="I88" s="335">
        <v>0</v>
      </c>
      <c r="J88" s="335">
        <v>5303</v>
      </c>
      <c r="K88" s="335">
        <v>2804</v>
      </c>
      <c r="L88" s="335">
        <v>851</v>
      </c>
      <c r="M88" s="335">
        <v>351445</v>
      </c>
    </row>
    <row r="89" spans="1:13" ht="10.5" hidden="1" customHeight="1">
      <c r="A89" s="330" t="s">
        <v>498</v>
      </c>
      <c r="B89" s="332"/>
      <c r="C89" s="332"/>
      <c r="D89" s="332"/>
      <c r="E89" s="332"/>
      <c r="F89" s="332"/>
      <c r="G89" s="332"/>
      <c r="H89" s="332"/>
      <c r="I89" s="332"/>
      <c r="J89" s="332"/>
      <c r="K89" s="332"/>
      <c r="L89" s="332"/>
      <c r="M89" s="332">
        <v>3774</v>
      </c>
    </row>
    <row r="90" spans="1:13" ht="10.5" hidden="1" customHeight="1" thickBot="1">
      <c r="A90" s="427" t="s">
        <v>499</v>
      </c>
      <c r="B90" s="428"/>
      <c r="C90" s="428"/>
      <c r="D90" s="428"/>
      <c r="E90" s="428"/>
      <c r="F90" s="428"/>
      <c r="G90" s="428"/>
      <c r="H90" s="428"/>
      <c r="I90" s="428"/>
      <c r="J90" s="428"/>
      <c r="K90" s="428"/>
      <c r="L90" s="428"/>
      <c r="M90" s="428">
        <v>347671</v>
      </c>
    </row>
    <row r="91" spans="1:13" s="342" customFormat="1" hidden="1">
      <c r="A91" s="441">
        <v>2000</v>
      </c>
      <c r="B91" s="442"/>
      <c r="C91" s="442"/>
      <c r="D91" s="442"/>
      <c r="E91" s="442"/>
      <c r="F91" s="442"/>
      <c r="G91" s="442"/>
      <c r="H91" s="442"/>
      <c r="I91" s="442"/>
      <c r="J91" s="442"/>
      <c r="K91" s="442"/>
      <c r="L91" s="442"/>
      <c r="M91" s="442"/>
    </row>
    <row r="92" spans="1:13" ht="10.5" hidden="1" customHeight="1">
      <c r="A92" s="325" t="s">
        <v>493</v>
      </c>
      <c r="B92" s="426"/>
      <c r="C92" s="426"/>
      <c r="D92" s="426"/>
      <c r="E92" s="426"/>
      <c r="F92" s="426"/>
      <c r="G92" s="426"/>
      <c r="H92" s="426"/>
      <c r="I92" s="426"/>
      <c r="J92" s="426"/>
      <c r="K92" s="426"/>
      <c r="L92" s="426"/>
      <c r="M92" s="426"/>
    </row>
    <row r="93" spans="1:13" ht="10.5" hidden="1" customHeight="1">
      <c r="A93" s="330" t="s">
        <v>494</v>
      </c>
      <c r="B93" s="332">
        <v>322907</v>
      </c>
      <c r="C93" s="332">
        <v>8981</v>
      </c>
      <c r="D93" s="332">
        <v>283781</v>
      </c>
      <c r="E93" s="332">
        <v>228358</v>
      </c>
      <c r="F93" s="332">
        <v>2921</v>
      </c>
      <c r="G93" s="332" t="s">
        <v>507</v>
      </c>
      <c r="H93" s="332">
        <v>846949</v>
      </c>
      <c r="I93" s="332" t="s">
        <v>507</v>
      </c>
      <c r="J93" s="332">
        <v>4331</v>
      </c>
      <c r="K93" s="332">
        <v>2694</v>
      </c>
      <c r="L93" s="332" t="s">
        <v>507</v>
      </c>
      <c r="M93" s="332">
        <v>853974</v>
      </c>
    </row>
    <row r="94" spans="1:13" ht="10.5" hidden="1" customHeight="1">
      <c r="A94" s="330" t="s">
        <v>495</v>
      </c>
      <c r="B94" s="332">
        <v>117025</v>
      </c>
      <c r="C94" s="332">
        <v>2415</v>
      </c>
      <c r="D94" s="332">
        <v>129558</v>
      </c>
      <c r="E94" s="332">
        <v>85063</v>
      </c>
      <c r="F94" s="332">
        <v>698</v>
      </c>
      <c r="G94" s="332" t="s">
        <v>507</v>
      </c>
      <c r="H94" s="332">
        <v>334758</v>
      </c>
      <c r="I94" s="332" t="s">
        <v>507</v>
      </c>
      <c r="J94" s="332">
        <v>4331</v>
      </c>
      <c r="K94" s="332">
        <v>2694</v>
      </c>
      <c r="L94" s="332" t="s">
        <v>507</v>
      </c>
      <c r="M94" s="332">
        <v>341783</v>
      </c>
    </row>
    <row r="95" spans="1:13" ht="10.5" hidden="1" customHeight="1">
      <c r="A95" s="330" t="s">
        <v>496</v>
      </c>
      <c r="B95" s="332">
        <v>5175</v>
      </c>
      <c r="C95" s="332">
        <v>292</v>
      </c>
      <c r="D95" s="332">
        <v>2592</v>
      </c>
      <c r="E95" s="332">
        <v>6729</v>
      </c>
      <c r="F95" s="332">
        <v>58</v>
      </c>
      <c r="G95" s="332" t="s">
        <v>507</v>
      </c>
      <c r="H95" s="332">
        <v>14846</v>
      </c>
      <c r="I95" s="332" t="s">
        <v>507</v>
      </c>
      <c r="J95" s="332">
        <v>15</v>
      </c>
      <c r="K95" s="332">
        <v>91</v>
      </c>
      <c r="L95" s="332" t="s">
        <v>507</v>
      </c>
      <c r="M95" s="332">
        <v>14952</v>
      </c>
    </row>
    <row r="96" spans="1:13" ht="10.5" hidden="1" customHeight="1">
      <c r="A96" s="330" t="s">
        <v>497</v>
      </c>
      <c r="B96" s="332">
        <v>111850</v>
      </c>
      <c r="C96" s="332">
        <v>2123</v>
      </c>
      <c r="D96" s="332">
        <v>126965</v>
      </c>
      <c r="E96" s="332">
        <v>78334</v>
      </c>
      <c r="F96" s="332">
        <v>640</v>
      </c>
      <c r="G96" s="332" t="s">
        <v>507</v>
      </c>
      <c r="H96" s="332">
        <v>319912</v>
      </c>
      <c r="I96" s="332" t="s">
        <v>507</v>
      </c>
      <c r="J96" s="332">
        <v>4316</v>
      </c>
      <c r="K96" s="332">
        <v>2603</v>
      </c>
      <c r="L96" s="332" t="s">
        <v>507</v>
      </c>
      <c r="M96" s="332">
        <v>326831</v>
      </c>
    </row>
    <row r="97" spans="1:13" ht="10.5" hidden="1" customHeight="1">
      <c r="A97" s="330" t="s">
        <v>498</v>
      </c>
      <c r="B97" s="332"/>
      <c r="C97" s="332"/>
      <c r="D97" s="332"/>
      <c r="E97" s="332"/>
      <c r="F97" s="332"/>
      <c r="G97" s="332"/>
      <c r="H97" s="332"/>
      <c r="I97" s="332"/>
      <c r="J97" s="332"/>
      <c r="K97" s="332"/>
      <c r="L97" s="332"/>
      <c r="M97" s="332">
        <v>3499</v>
      </c>
    </row>
    <row r="98" spans="1:13" ht="10.5" hidden="1" customHeight="1">
      <c r="A98" s="425" t="s">
        <v>499</v>
      </c>
      <c r="B98" s="337"/>
      <c r="C98" s="337"/>
      <c r="D98" s="337"/>
      <c r="E98" s="337"/>
      <c r="F98" s="337"/>
      <c r="G98" s="337"/>
      <c r="H98" s="337"/>
      <c r="I98" s="337"/>
      <c r="J98" s="337"/>
      <c r="K98" s="337"/>
      <c r="L98" s="337"/>
      <c r="M98" s="337">
        <v>323332</v>
      </c>
    </row>
    <row r="99" spans="1:13" ht="10.5" hidden="1" customHeight="1">
      <c r="A99" s="325" t="s">
        <v>508</v>
      </c>
      <c r="B99" s="332"/>
      <c r="C99" s="332"/>
      <c r="D99" s="332"/>
      <c r="E99" s="332"/>
      <c r="F99" s="332"/>
      <c r="G99" s="332"/>
      <c r="H99" s="332"/>
      <c r="I99" s="332"/>
      <c r="J99" s="332"/>
      <c r="K99" s="332"/>
      <c r="L99" s="332"/>
      <c r="M99" s="332"/>
    </row>
    <row r="100" spans="1:13" ht="10.5" hidden="1" customHeight="1">
      <c r="A100" s="330" t="s">
        <v>494</v>
      </c>
      <c r="B100" s="332">
        <v>10522</v>
      </c>
      <c r="C100" s="332">
        <v>9042</v>
      </c>
      <c r="D100" s="332">
        <v>40779</v>
      </c>
      <c r="E100" s="332" t="s">
        <v>507</v>
      </c>
      <c r="F100" s="332">
        <v>15517</v>
      </c>
      <c r="G100" s="332">
        <v>15743</v>
      </c>
      <c r="H100" s="332">
        <v>91603</v>
      </c>
      <c r="I100" s="332" t="s">
        <v>507</v>
      </c>
      <c r="J100" s="332">
        <v>755</v>
      </c>
      <c r="K100" s="332" t="s">
        <v>507</v>
      </c>
      <c r="L100" s="332">
        <v>947</v>
      </c>
      <c r="M100" s="332">
        <v>93304</v>
      </c>
    </row>
    <row r="101" spans="1:13" ht="10.5" hidden="1" customHeight="1">
      <c r="A101" s="330" t="s">
        <v>501</v>
      </c>
      <c r="B101" s="332">
        <v>2925</v>
      </c>
      <c r="C101" s="332">
        <v>4109</v>
      </c>
      <c r="D101" s="332">
        <v>18519</v>
      </c>
      <c r="E101" s="332" t="s">
        <v>507</v>
      </c>
      <c r="F101" s="332">
        <v>3630</v>
      </c>
      <c r="G101" s="332">
        <v>4401</v>
      </c>
      <c r="H101" s="332">
        <v>33584</v>
      </c>
      <c r="I101" s="332" t="s">
        <v>507</v>
      </c>
      <c r="J101" s="332">
        <v>755</v>
      </c>
      <c r="K101" s="332" t="s">
        <v>507</v>
      </c>
      <c r="L101" s="332">
        <v>947</v>
      </c>
      <c r="M101" s="332">
        <v>35285</v>
      </c>
    </row>
    <row r="102" spans="1:13" ht="10.5" hidden="1" customHeight="1">
      <c r="A102" s="330" t="s">
        <v>496</v>
      </c>
      <c r="B102" s="332">
        <v>39</v>
      </c>
      <c r="C102" s="332">
        <v>304</v>
      </c>
      <c r="D102" s="332">
        <v>592</v>
      </c>
      <c r="E102" s="332" t="s">
        <v>507</v>
      </c>
      <c r="F102" s="332">
        <v>203</v>
      </c>
      <c r="G102" s="332">
        <v>202</v>
      </c>
      <c r="H102" s="332">
        <v>1340</v>
      </c>
      <c r="I102" s="332" t="s">
        <v>507</v>
      </c>
      <c r="J102" s="332">
        <v>12</v>
      </c>
      <c r="K102" s="332" t="s">
        <v>507</v>
      </c>
      <c r="L102" s="332" t="s">
        <v>507</v>
      </c>
      <c r="M102" s="332">
        <v>1352</v>
      </c>
    </row>
    <row r="103" spans="1:13" ht="10.5" hidden="1" customHeight="1">
      <c r="A103" s="425" t="s">
        <v>502</v>
      </c>
      <c r="B103" s="337">
        <v>2887</v>
      </c>
      <c r="C103" s="337">
        <v>3805</v>
      </c>
      <c r="D103" s="337">
        <v>17927</v>
      </c>
      <c r="E103" s="337" t="s">
        <v>507</v>
      </c>
      <c r="F103" s="337">
        <v>3427</v>
      </c>
      <c r="G103" s="337">
        <v>4198</v>
      </c>
      <c r="H103" s="337">
        <v>32244</v>
      </c>
      <c r="I103" s="337" t="s">
        <v>507</v>
      </c>
      <c r="J103" s="337">
        <v>743</v>
      </c>
      <c r="K103" s="337" t="s">
        <v>507</v>
      </c>
      <c r="L103" s="337">
        <v>947</v>
      </c>
      <c r="M103" s="337">
        <v>33933</v>
      </c>
    </row>
    <row r="104" spans="1:13" ht="10.5" hidden="1" customHeight="1">
      <c r="A104" s="325" t="s">
        <v>503</v>
      </c>
      <c r="B104" s="332"/>
      <c r="C104" s="332"/>
      <c r="D104" s="332"/>
      <c r="E104" s="332"/>
      <c r="F104" s="332"/>
      <c r="G104" s="332"/>
      <c r="H104" s="332"/>
      <c r="I104" s="332"/>
      <c r="J104" s="332"/>
      <c r="K104" s="332"/>
      <c r="L104" s="332"/>
      <c r="M104" s="332"/>
    </row>
    <row r="105" spans="1:13" ht="10.5" hidden="1" customHeight="1">
      <c r="A105" s="330" t="s">
        <v>504</v>
      </c>
      <c r="B105" s="332">
        <v>333429</v>
      </c>
      <c r="C105" s="332">
        <v>18023</v>
      </c>
      <c r="D105" s="332">
        <v>324560</v>
      </c>
      <c r="E105" s="332">
        <v>228358</v>
      </c>
      <c r="F105" s="332">
        <v>18439</v>
      </c>
      <c r="G105" s="332">
        <v>15743</v>
      </c>
      <c r="H105" s="332">
        <v>938551</v>
      </c>
      <c r="I105" s="332" t="s">
        <v>507</v>
      </c>
      <c r="J105" s="332">
        <v>5085</v>
      </c>
      <c r="K105" s="332">
        <v>2694</v>
      </c>
      <c r="L105" s="332">
        <v>947</v>
      </c>
      <c r="M105" s="332">
        <v>947278</v>
      </c>
    </row>
    <row r="106" spans="1:13" ht="10.5" hidden="1" customHeight="1">
      <c r="A106" s="330" t="s">
        <v>501</v>
      </c>
      <c r="B106" s="332">
        <v>119950</v>
      </c>
      <c r="C106" s="332">
        <v>6524</v>
      </c>
      <c r="D106" s="332">
        <v>148077</v>
      </c>
      <c r="E106" s="332">
        <v>85063</v>
      </c>
      <c r="F106" s="332">
        <v>4328</v>
      </c>
      <c r="G106" s="332">
        <v>4401</v>
      </c>
      <c r="H106" s="332">
        <v>368342</v>
      </c>
      <c r="I106" s="332" t="s">
        <v>507</v>
      </c>
      <c r="J106" s="332">
        <v>5085</v>
      </c>
      <c r="K106" s="332">
        <v>2694</v>
      </c>
      <c r="L106" s="332">
        <v>947</v>
      </c>
      <c r="M106" s="332">
        <v>377069</v>
      </c>
    </row>
    <row r="107" spans="1:13" ht="10.5" hidden="1" customHeight="1">
      <c r="A107" s="330" t="s">
        <v>496</v>
      </c>
      <c r="B107" s="332">
        <v>5214</v>
      </c>
      <c r="C107" s="332">
        <v>596</v>
      </c>
      <c r="D107" s="332">
        <v>3184</v>
      </c>
      <c r="E107" s="332">
        <v>6729</v>
      </c>
      <c r="F107" s="332">
        <v>261</v>
      </c>
      <c r="G107" s="332">
        <v>202</v>
      </c>
      <c r="H107" s="332">
        <v>16186</v>
      </c>
      <c r="I107" s="332" t="s">
        <v>507</v>
      </c>
      <c r="J107" s="332">
        <v>27</v>
      </c>
      <c r="K107" s="332">
        <v>91</v>
      </c>
      <c r="L107" s="332" t="s">
        <v>507</v>
      </c>
      <c r="M107" s="332">
        <v>16304</v>
      </c>
    </row>
    <row r="108" spans="1:13" ht="10.5" hidden="1" customHeight="1">
      <c r="A108" s="330" t="s">
        <v>497</v>
      </c>
      <c r="B108" s="332">
        <v>114736</v>
      </c>
      <c r="C108" s="332">
        <v>5928</v>
      </c>
      <c r="D108" s="332">
        <v>144892</v>
      </c>
      <c r="E108" s="332">
        <v>78334</v>
      </c>
      <c r="F108" s="332">
        <v>4067</v>
      </c>
      <c r="G108" s="332">
        <v>4198</v>
      </c>
      <c r="H108" s="332">
        <v>352156</v>
      </c>
      <c r="I108" s="332" t="s">
        <v>507</v>
      </c>
      <c r="J108" s="332">
        <v>5058</v>
      </c>
      <c r="K108" s="332">
        <v>2603</v>
      </c>
      <c r="L108" s="332">
        <v>947</v>
      </c>
      <c r="M108" s="332">
        <v>360764</v>
      </c>
    </row>
    <row r="109" spans="1:13" ht="10.5" hidden="1" customHeight="1">
      <c r="A109" s="330" t="s">
        <v>498</v>
      </c>
      <c r="B109" s="332"/>
      <c r="C109" s="332"/>
      <c r="D109" s="332"/>
      <c r="E109" s="332"/>
      <c r="F109" s="332"/>
      <c r="G109" s="332"/>
      <c r="H109" s="332"/>
      <c r="I109" s="332"/>
      <c r="J109" s="332"/>
      <c r="K109" s="332"/>
      <c r="L109" s="332"/>
      <c r="M109" s="332">
        <v>3499</v>
      </c>
    </row>
    <row r="110" spans="1:13" ht="10.5" hidden="1" customHeight="1" thickBot="1">
      <c r="A110" s="427" t="s">
        <v>499</v>
      </c>
      <c r="B110" s="428"/>
      <c r="C110" s="428"/>
      <c r="D110" s="428"/>
      <c r="E110" s="428"/>
      <c r="F110" s="428"/>
      <c r="G110" s="428"/>
      <c r="H110" s="428"/>
      <c r="I110" s="428"/>
      <c r="J110" s="428"/>
      <c r="K110" s="428"/>
      <c r="L110" s="428"/>
      <c r="M110" s="428">
        <v>357266</v>
      </c>
    </row>
    <row r="111" spans="1:13" ht="14.25" hidden="1" customHeight="1" thickTop="1">
      <c r="A111" s="398"/>
      <c r="B111" s="2225" t="s">
        <v>479</v>
      </c>
      <c r="C111" s="2225"/>
      <c r="D111" s="2225"/>
      <c r="E111" s="2225"/>
      <c r="F111" s="2225"/>
      <c r="G111" s="2225"/>
      <c r="H111" s="2225"/>
      <c r="I111" s="398"/>
      <c r="J111" s="2225" t="s">
        <v>480</v>
      </c>
      <c r="K111" s="2225"/>
      <c r="L111" s="2225"/>
      <c r="M111" s="2225"/>
    </row>
    <row r="112" spans="1:13" ht="10.5" hidden="1" customHeight="1">
      <c r="A112" s="325"/>
      <c r="B112" s="402" t="s">
        <v>125</v>
      </c>
      <c r="C112" s="402" t="s">
        <v>186</v>
      </c>
      <c r="D112" s="402" t="s">
        <v>14</v>
      </c>
      <c r="E112" s="402" t="s">
        <v>0</v>
      </c>
      <c r="F112" s="402" t="s">
        <v>481</v>
      </c>
      <c r="G112" s="402" t="s">
        <v>373</v>
      </c>
      <c r="H112" s="402" t="s">
        <v>132</v>
      </c>
      <c r="I112" s="402"/>
      <c r="J112" s="402" t="s">
        <v>482</v>
      </c>
      <c r="K112" s="402" t="s">
        <v>482</v>
      </c>
      <c r="L112" s="402" t="s">
        <v>113</v>
      </c>
      <c r="M112" s="403" t="s">
        <v>132</v>
      </c>
    </row>
    <row r="113" spans="1:15" ht="10.5" hidden="1" customHeight="1">
      <c r="B113" s="326"/>
      <c r="C113" s="326"/>
      <c r="D113" s="326"/>
      <c r="E113" s="326"/>
      <c r="F113" s="402" t="s">
        <v>483</v>
      </c>
      <c r="G113" s="409" t="s">
        <v>484</v>
      </c>
      <c r="H113" s="326"/>
      <c r="I113" s="326"/>
      <c r="J113" s="402" t="s">
        <v>485</v>
      </c>
      <c r="K113" s="402" t="s">
        <v>486</v>
      </c>
      <c r="L113" s="409" t="s">
        <v>487</v>
      </c>
      <c r="M113" s="402" t="s">
        <v>488</v>
      </c>
    </row>
    <row r="114" spans="1:15" ht="10.5" hidden="1" customHeight="1">
      <c r="A114" s="439"/>
      <c r="B114" s="416"/>
      <c r="C114" s="416"/>
      <c r="D114" s="416"/>
      <c r="E114" s="416"/>
      <c r="F114" s="440" t="s">
        <v>489</v>
      </c>
      <c r="G114" s="416"/>
      <c r="H114" s="416"/>
      <c r="I114" s="416"/>
      <c r="J114" s="417" t="s">
        <v>490</v>
      </c>
      <c r="K114" s="417" t="s">
        <v>491</v>
      </c>
      <c r="L114" s="416"/>
      <c r="M114" s="417" t="s">
        <v>492</v>
      </c>
    </row>
    <row r="115" spans="1:15" s="342" customFormat="1" hidden="1">
      <c r="A115" s="441">
        <v>2001</v>
      </c>
      <c r="B115" s="384"/>
      <c r="C115" s="384"/>
      <c r="D115" s="384"/>
      <c r="E115" s="384"/>
      <c r="F115" s="384"/>
      <c r="G115" s="384"/>
      <c r="H115" s="384"/>
      <c r="I115" s="384"/>
      <c r="J115" s="384"/>
      <c r="K115" s="384"/>
      <c r="L115" s="384"/>
      <c r="M115" s="384"/>
    </row>
    <row r="116" spans="1:15" ht="10.5" hidden="1" customHeight="1">
      <c r="A116" s="325" t="s">
        <v>509</v>
      </c>
      <c r="B116" s="443"/>
      <c r="C116" s="443"/>
      <c r="D116" s="443"/>
      <c r="E116" s="443"/>
      <c r="F116" s="443"/>
      <c r="G116" s="443"/>
      <c r="H116" s="443"/>
      <c r="I116" s="443"/>
      <c r="J116" s="443"/>
      <c r="K116" s="443"/>
      <c r="L116" s="443"/>
      <c r="M116" s="443"/>
    </row>
    <row r="117" spans="1:15" ht="10.5" hidden="1" customHeight="1">
      <c r="A117" s="330" t="s">
        <v>494</v>
      </c>
      <c r="B117" s="444">
        <v>355582</v>
      </c>
      <c r="C117" s="444">
        <v>9510</v>
      </c>
      <c r="D117" s="444">
        <v>276761</v>
      </c>
      <c r="E117" s="444">
        <v>241537</v>
      </c>
      <c r="F117" s="444">
        <v>3102</v>
      </c>
      <c r="G117" s="444">
        <v>0</v>
      </c>
      <c r="H117" s="444">
        <v>886492</v>
      </c>
      <c r="I117" s="444" t="s">
        <v>507</v>
      </c>
      <c r="J117" s="444">
        <v>3215</v>
      </c>
      <c r="K117" s="444">
        <v>2422</v>
      </c>
      <c r="L117" s="444">
        <v>0</v>
      </c>
      <c r="M117" s="444">
        <v>892129</v>
      </c>
      <c r="O117" s="445"/>
    </row>
    <row r="118" spans="1:15" ht="10.5" hidden="1" customHeight="1">
      <c r="A118" s="330" t="s">
        <v>495</v>
      </c>
      <c r="B118" s="444">
        <v>127128</v>
      </c>
      <c r="C118" s="444">
        <v>2472</v>
      </c>
      <c r="D118" s="444">
        <v>126999</v>
      </c>
      <c r="E118" s="444">
        <v>90093</v>
      </c>
      <c r="F118" s="444">
        <v>738</v>
      </c>
      <c r="G118" s="444">
        <v>0</v>
      </c>
      <c r="H118" s="444">
        <v>347429</v>
      </c>
      <c r="I118" s="444" t="s">
        <v>507</v>
      </c>
      <c r="J118" s="444">
        <v>3215</v>
      </c>
      <c r="K118" s="444">
        <v>2422</v>
      </c>
      <c r="L118" s="444">
        <v>0</v>
      </c>
      <c r="M118" s="444">
        <v>353066</v>
      </c>
      <c r="O118" s="445"/>
    </row>
    <row r="119" spans="1:15" ht="10.5" hidden="1" customHeight="1">
      <c r="A119" s="330" t="s">
        <v>496</v>
      </c>
      <c r="B119" s="444">
        <v>5830</v>
      </c>
      <c r="C119" s="444">
        <v>281</v>
      </c>
      <c r="D119" s="444">
        <v>2709</v>
      </c>
      <c r="E119" s="444">
        <v>7108</v>
      </c>
      <c r="F119" s="444">
        <v>46</v>
      </c>
      <c r="G119" s="444">
        <v>0</v>
      </c>
      <c r="H119" s="444">
        <v>15973</v>
      </c>
      <c r="I119" s="444" t="s">
        <v>507</v>
      </c>
      <c r="J119" s="444">
        <v>11</v>
      </c>
      <c r="K119" s="444">
        <v>82</v>
      </c>
      <c r="L119" s="444">
        <v>0</v>
      </c>
      <c r="M119" s="444">
        <v>16066</v>
      </c>
      <c r="O119" s="445"/>
    </row>
    <row r="120" spans="1:15" ht="10.5" hidden="1" customHeight="1">
      <c r="A120" s="330" t="s">
        <v>497</v>
      </c>
      <c r="B120" s="444">
        <v>121298</v>
      </c>
      <c r="C120" s="444">
        <v>2192</v>
      </c>
      <c r="D120" s="444">
        <v>124289</v>
      </c>
      <c r="E120" s="444">
        <v>82985</v>
      </c>
      <c r="F120" s="444">
        <v>692</v>
      </c>
      <c r="G120" s="444">
        <v>0</v>
      </c>
      <c r="H120" s="444">
        <v>331456</v>
      </c>
      <c r="I120" s="444" t="s">
        <v>507</v>
      </c>
      <c r="J120" s="444">
        <v>3203</v>
      </c>
      <c r="K120" s="444">
        <v>2340</v>
      </c>
      <c r="L120" s="444">
        <v>0</v>
      </c>
      <c r="M120" s="444">
        <v>336999</v>
      </c>
      <c r="O120" s="445"/>
    </row>
    <row r="121" spans="1:15" ht="10.5" hidden="1" customHeight="1">
      <c r="A121" s="330" t="s">
        <v>498</v>
      </c>
      <c r="B121" s="446"/>
      <c r="C121" s="446"/>
      <c r="D121" s="446"/>
      <c r="E121" s="446"/>
      <c r="F121" s="446"/>
      <c r="G121" s="446"/>
      <c r="H121" s="446"/>
      <c r="I121" s="446"/>
      <c r="J121" s="446"/>
      <c r="K121" s="446"/>
      <c r="L121" s="446"/>
      <c r="M121" s="444">
        <v>3210</v>
      </c>
      <c r="O121" s="445"/>
    </row>
    <row r="122" spans="1:15" ht="10.5" hidden="1" customHeight="1">
      <c r="A122" s="425" t="s">
        <v>499</v>
      </c>
      <c r="B122" s="447"/>
      <c r="C122" s="447"/>
      <c r="D122" s="447"/>
      <c r="E122" s="447"/>
      <c r="F122" s="447"/>
      <c r="G122" s="447"/>
      <c r="H122" s="447"/>
      <c r="I122" s="447"/>
      <c r="J122" s="447"/>
      <c r="K122" s="447"/>
      <c r="L122" s="447"/>
      <c r="M122" s="447">
        <v>333789</v>
      </c>
      <c r="O122" s="445"/>
    </row>
    <row r="123" spans="1:15" ht="10.5" hidden="1" customHeight="1">
      <c r="A123" s="325" t="s">
        <v>500</v>
      </c>
      <c r="B123" s="444"/>
      <c r="C123" s="444"/>
      <c r="D123" s="444"/>
      <c r="E123" s="444"/>
      <c r="F123" s="444"/>
      <c r="G123" s="444"/>
      <c r="H123" s="444"/>
      <c r="I123" s="444"/>
      <c r="J123" s="444"/>
      <c r="K123" s="444"/>
      <c r="L123" s="444"/>
      <c r="M123" s="444"/>
      <c r="O123" s="445"/>
    </row>
    <row r="124" spans="1:15" ht="10.5" hidden="1" customHeight="1">
      <c r="A124" s="330" t="s">
        <v>494</v>
      </c>
      <c r="B124" s="444">
        <v>11987</v>
      </c>
      <c r="C124" s="444">
        <v>7035</v>
      </c>
      <c r="D124" s="444">
        <v>35757</v>
      </c>
      <c r="E124" s="444">
        <v>0</v>
      </c>
      <c r="F124" s="444">
        <v>18849</v>
      </c>
      <c r="G124" s="444">
        <v>12053</v>
      </c>
      <c r="H124" s="444">
        <v>85682</v>
      </c>
      <c r="I124" s="444" t="s">
        <v>507</v>
      </c>
      <c r="J124" s="444">
        <v>840</v>
      </c>
      <c r="K124" s="444">
        <v>0</v>
      </c>
      <c r="L124" s="444">
        <v>967</v>
      </c>
      <c r="M124" s="444">
        <v>87489</v>
      </c>
      <c r="O124" s="445"/>
    </row>
    <row r="125" spans="1:15" ht="10.5" hidden="1" customHeight="1">
      <c r="A125" s="330" t="s">
        <v>501</v>
      </c>
      <c r="B125" s="444">
        <v>4333</v>
      </c>
      <c r="C125" s="444">
        <v>2781</v>
      </c>
      <c r="D125" s="444">
        <v>14906</v>
      </c>
      <c r="E125" s="444">
        <v>0</v>
      </c>
      <c r="F125" s="444">
        <v>4316</v>
      </c>
      <c r="G125" s="444">
        <v>3577</v>
      </c>
      <c r="H125" s="444">
        <v>29913</v>
      </c>
      <c r="I125" s="444" t="s">
        <v>507</v>
      </c>
      <c r="J125" s="444">
        <v>840</v>
      </c>
      <c r="K125" s="444">
        <v>0</v>
      </c>
      <c r="L125" s="444">
        <v>967</v>
      </c>
      <c r="M125" s="444">
        <v>31721</v>
      </c>
      <c r="O125" s="445"/>
    </row>
    <row r="126" spans="1:15" ht="10.5" hidden="1" customHeight="1">
      <c r="A126" s="330" t="s">
        <v>496</v>
      </c>
      <c r="B126" s="444">
        <v>230</v>
      </c>
      <c r="C126" s="444">
        <v>196</v>
      </c>
      <c r="D126" s="444">
        <v>480</v>
      </c>
      <c r="E126" s="444">
        <v>0</v>
      </c>
      <c r="F126" s="444">
        <v>246</v>
      </c>
      <c r="G126" s="444">
        <v>165</v>
      </c>
      <c r="H126" s="444">
        <v>1316</v>
      </c>
      <c r="I126" s="444" t="s">
        <v>507</v>
      </c>
      <c r="J126" s="444">
        <v>12</v>
      </c>
      <c r="K126" s="444">
        <v>0</v>
      </c>
      <c r="L126" s="444">
        <v>0</v>
      </c>
      <c r="M126" s="444">
        <v>1328</v>
      </c>
      <c r="O126" s="445"/>
    </row>
    <row r="127" spans="1:15" ht="10.5" hidden="1" customHeight="1">
      <c r="A127" s="425" t="s">
        <v>502</v>
      </c>
      <c r="B127" s="447">
        <v>4104</v>
      </c>
      <c r="C127" s="447">
        <v>2585</v>
      </c>
      <c r="D127" s="447">
        <v>14426</v>
      </c>
      <c r="E127" s="447">
        <v>0</v>
      </c>
      <c r="F127" s="447">
        <v>4070</v>
      </c>
      <c r="G127" s="447">
        <v>3412</v>
      </c>
      <c r="H127" s="447">
        <v>28597</v>
      </c>
      <c r="I127" s="447" t="s">
        <v>507</v>
      </c>
      <c r="J127" s="447">
        <v>829</v>
      </c>
      <c r="K127" s="447">
        <v>0</v>
      </c>
      <c r="L127" s="447">
        <v>967</v>
      </c>
      <c r="M127" s="447">
        <v>30393</v>
      </c>
      <c r="O127" s="445"/>
    </row>
    <row r="128" spans="1:15" ht="10.5" hidden="1" customHeight="1">
      <c r="A128" s="325" t="s">
        <v>503</v>
      </c>
      <c r="B128" s="444"/>
      <c r="C128" s="444"/>
      <c r="D128" s="444"/>
      <c r="E128" s="444"/>
      <c r="F128" s="444"/>
      <c r="G128" s="444"/>
      <c r="H128" s="444"/>
      <c r="I128" s="444"/>
      <c r="J128" s="444"/>
      <c r="K128" s="444"/>
      <c r="L128" s="444"/>
      <c r="M128" s="444"/>
      <c r="O128" s="445"/>
    </row>
    <row r="129" spans="1:15" ht="10.5" hidden="1" customHeight="1">
      <c r="A129" s="330" t="s">
        <v>504</v>
      </c>
      <c r="B129" s="444">
        <v>367569</v>
      </c>
      <c r="C129" s="444">
        <v>16545</v>
      </c>
      <c r="D129" s="444">
        <v>312518</v>
      </c>
      <c r="E129" s="444">
        <v>241537</v>
      </c>
      <c r="F129" s="444">
        <v>21951</v>
      </c>
      <c r="G129" s="444">
        <v>12053</v>
      </c>
      <c r="H129" s="444">
        <v>972174</v>
      </c>
      <c r="I129" s="444" t="s">
        <v>507</v>
      </c>
      <c r="J129" s="444">
        <v>4055</v>
      </c>
      <c r="K129" s="444">
        <v>2422</v>
      </c>
      <c r="L129" s="444">
        <v>967</v>
      </c>
      <c r="M129" s="444">
        <v>979618</v>
      </c>
      <c r="O129" s="445"/>
    </row>
    <row r="130" spans="1:15" ht="10.5" hidden="1" customHeight="1">
      <c r="A130" s="330" t="s">
        <v>501</v>
      </c>
      <c r="B130" s="444">
        <v>131461</v>
      </c>
      <c r="C130" s="444">
        <v>5253</v>
      </c>
      <c r="D130" s="444">
        <v>141905</v>
      </c>
      <c r="E130" s="444">
        <v>90093</v>
      </c>
      <c r="F130" s="444">
        <v>5054</v>
      </c>
      <c r="G130" s="444">
        <v>3577</v>
      </c>
      <c r="H130" s="444">
        <v>377342</v>
      </c>
      <c r="I130" s="444" t="s">
        <v>507</v>
      </c>
      <c r="J130" s="444">
        <v>4055</v>
      </c>
      <c r="K130" s="444">
        <v>2422</v>
      </c>
      <c r="L130" s="444">
        <v>967</v>
      </c>
      <c r="M130" s="444">
        <v>384786</v>
      </c>
      <c r="O130" s="445"/>
    </row>
    <row r="131" spans="1:15" ht="10.5" hidden="1" customHeight="1">
      <c r="A131" s="330" t="s">
        <v>496</v>
      </c>
      <c r="B131" s="444">
        <v>6059</v>
      </c>
      <c r="C131" s="444">
        <v>476</v>
      </c>
      <c r="D131" s="444">
        <v>3189</v>
      </c>
      <c r="E131" s="444">
        <v>7108</v>
      </c>
      <c r="F131" s="444">
        <v>292</v>
      </c>
      <c r="G131" s="444">
        <v>165</v>
      </c>
      <c r="H131" s="444">
        <v>17289</v>
      </c>
      <c r="I131" s="444" t="s">
        <v>507</v>
      </c>
      <c r="J131" s="444">
        <v>23</v>
      </c>
      <c r="K131" s="444">
        <v>82</v>
      </c>
      <c r="L131" s="444">
        <v>0</v>
      </c>
      <c r="M131" s="444">
        <v>17394</v>
      </c>
      <c r="O131" s="445"/>
    </row>
    <row r="132" spans="1:15" s="312" customFormat="1" ht="10.5" hidden="1" customHeight="1">
      <c r="A132" s="330" t="s">
        <v>497</v>
      </c>
      <c r="B132" s="444">
        <v>125402</v>
      </c>
      <c r="C132" s="444">
        <v>4777</v>
      </c>
      <c r="D132" s="444">
        <v>138716</v>
      </c>
      <c r="E132" s="444">
        <v>82985</v>
      </c>
      <c r="F132" s="444">
        <v>4762</v>
      </c>
      <c r="G132" s="444">
        <v>3412</v>
      </c>
      <c r="H132" s="444">
        <v>360053</v>
      </c>
      <c r="I132" s="444" t="s">
        <v>507</v>
      </c>
      <c r="J132" s="444">
        <v>4032</v>
      </c>
      <c r="K132" s="444">
        <v>2340</v>
      </c>
      <c r="L132" s="444">
        <v>967</v>
      </c>
      <c r="M132" s="444">
        <v>367392</v>
      </c>
      <c r="O132" s="445"/>
    </row>
    <row r="133" spans="1:15" ht="10.5" hidden="1" customHeight="1">
      <c r="A133" s="330" t="s">
        <v>498</v>
      </c>
      <c r="B133" s="444"/>
      <c r="C133" s="444"/>
      <c r="D133" s="444"/>
      <c r="E133" s="444"/>
      <c r="F133" s="444"/>
      <c r="G133" s="444"/>
      <c r="H133" s="444"/>
      <c r="I133" s="444"/>
      <c r="J133" s="444"/>
      <c r="K133" s="444"/>
      <c r="L133" s="444"/>
      <c r="M133" s="444">
        <v>3210</v>
      </c>
      <c r="O133" s="445"/>
    </row>
    <row r="134" spans="1:15" s="308" customFormat="1" ht="10.5" hidden="1" customHeight="1" thickBot="1">
      <c r="A134" s="427" t="s">
        <v>499</v>
      </c>
      <c r="B134" s="448"/>
      <c r="C134" s="448"/>
      <c r="D134" s="448"/>
      <c r="E134" s="448"/>
      <c r="F134" s="448"/>
      <c r="G134" s="448"/>
      <c r="H134" s="448"/>
      <c r="I134" s="448"/>
      <c r="J134" s="448"/>
      <c r="K134" s="448"/>
      <c r="L134" s="448"/>
      <c r="M134" s="448">
        <v>364182</v>
      </c>
      <c r="O134" s="445"/>
    </row>
    <row r="135" spans="1:15" s="308" customFormat="1" ht="13.5" hidden="1" customHeight="1">
      <c r="A135" s="441">
        <v>2002</v>
      </c>
      <c r="B135" s="449"/>
      <c r="C135" s="449"/>
      <c r="D135" s="449"/>
      <c r="E135" s="449"/>
      <c r="F135" s="449"/>
      <c r="G135" s="449"/>
      <c r="H135" s="449"/>
      <c r="I135" s="449"/>
      <c r="J135" s="449"/>
      <c r="K135" s="449"/>
      <c r="L135" s="449"/>
      <c r="M135" s="449"/>
    </row>
    <row r="136" spans="1:15" s="308" customFormat="1" ht="10.5" hidden="1" customHeight="1">
      <c r="A136" s="325" t="s">
        <v>509</v>
      </c>
      <c r="B136" s="444"/>
      <c r="C136" s="444"/>
      <c r="D136" s="444"/>
      <c r="E136" s="444"/>
      <c r="F136" s="444"/>
      <c r="G136" s="444"/>
      <c r="H136" s="444"/>
      <c r="I136" s="444"/>
      <c r="J136" s="444"/>
      <c r="K136" s="444"/>
      <c r="L136" s="444"/>
      <c r="M136" s="444"/>
    </row>
    <row r="137" spans="1:15" s="308" customFormat="1" ht="10.5" hidden="1" customHeight="1">
      <c r="A137" s="330" t="s">
        <v>494</v>
      </c>
      <c r="B137" s="444">
        <v>332889</v>
      </c>
      <c r="C137" s="444">
        <v>8011</v>
      </c>
      <c r="D137" s="444">
        <v>291264</v>
      </c>
      <c r="E137" s="444">
        <v>233765</v>
      </c>
      <c r="F137" s="444">
        <v>3186</v>
      </c>
      <c r="G137" s="444">
        <v>0</v>
      </c>
      <c r="H137" s="444">
        <v>869115</v>
      </c>
      <c r="I137" s="444" t="s">
        <v>507</v>
      </c>
      <c r="J137" s="444">
        <v>3927</v>
      </c>
      <c r="K137" s="444">
        <v>2652</v>
      </c>
      <c r="L137" s="444">
        <v>0</v>
      </c>
      <c r="M137" s="444">
        <v>875694</v>
      </c>
    </row>
    <row r="138" spans="1:15" s="308" customFormat="1" ht="10.5" hidden="1" customHeight="1">
      <c r="A138" s="330" t="s">
        <v>495</v>
      </c>
      <c r="B138" s="444">
        <v>120958</v>
      </c>
      <c r="C138" s="444">
        <v>2011</v>
      </c>
      <c r="D138" s="444">
        <v>135741</v>
      </c>
      <c r="E138" s="444">
        <v>87848</v>
      </c>
      <c r="F138" s="444">
        <v>856</v>
      </c>
      <c r="G138" s="444">
        <v>0</v>
      </c>
      <c r="H138" s="444">
        <v>347414</v>
      </c>
      <c r="I138" s="444" t="s">
        <v>507</v>
      </c>
      <c r="J138" s="444">
        <v>3927</v>
      </c>
      <c r="K138" s="444">
        <v>2652</v>
      </c>
      <c r="L138" s="444">
        <v>0</v>
      </c>
      <c r="M138" s="444">
        <v>353994</v>
      </c>
    </row>
    <row r="139" spans="1:15" s="308" customFormat="1" ht="10.5" hidden="1" customHeight="1">
      <c r="A139" s="330" t="s">
        <v>496</v>
      </c>
      <c r="B139" s="444">
        <v>5574</v>
      </c>
      <c r="C139" s="444">
        <v>378</v>
      </c>
      <c r="D139" s="444">
        <v>2877</v>
      </c>
      <c r="E139" s="444">
        <v>6758</v>
      </c>
      <c r="F139" s="444">
        <v>55</v>
      </c>
      <c r="G139" s="444">
        <v>0</v>
      </c>
      <c r="H139" s="444">
        <v>15643</v>
      </c>
      <c r="I139" s="444" t="s">
        <v>507</v>
      </c>
      <c r="J139" s="444">
        <v>14</v>
      </c>
      <c r="K139" s="444">
        <v>90</v>
      </c>
      <c r="L139" s="444">
        <v>0</v>
      </c>
      <c r="M139" s="444">
        <v>15746</v>
      </c>
    </row>
    <row r="140" spans="1:15" s="308" customFormat="1" ht="10.5" hidden="1" customHeight="1">
      <c r="A140" s="330" t="s">
        <v>497</v>
      </c>
      <c r="B140" s="444">
        <v>115383</v>
      </c>
      <c r="C140" s="444">
        <v>1633</v>
      </c>
      <c r="D140" s="444">
        <v>132864</v>
      </c>
      <c r="E140" s="444">
        <v>81090</v>
      </c>
      <c r="F140" s="444">
        <v>802</v>
      </c>
      <c r="G140" s="444">
        <v>0</v>
      </c>
      <c r="H140" s="444">
        <v>331772</v>
      </c>
      <c r="I140" s="444" t="s">
        <v>507</v>
      </c>
      <c r="J140" s="444">
        <v>3914</v>
      </c>
      <c r="K140" s="444">
        <v>2562</v>
      </c>
      <c r="L140" s="444">
        <v>0</v>
      </c>
      <c r="M140" s="444">
        <v>338248</v>
      </c>
    </row>
    <row r="141" spans="1:15" s="308" customFormat="1" ht="10.5" hidden="1" customHeight="1">
      <c r="A141" s="330" t="s">
        <v>498</v>
      </c>
      <c r="B141" s="444"/>
      <c r="C141" s="444"/>
      <c r="D141" s="444"/>
      <c r="E141" s="444"/>
      <c r="F141" s="444"/>
      <c r="G141" s="444"/>
      <c r="H141" s="444"/>
      <c r="I141" s="444"/>
      <c r="J141" s="444"/>
      <c r="K141" s="444"/>
      <c r="L141" s="444"/>
      <c r="M141" s="444">
        <v>3463</v>
      </c>
    </row>
    <row r="142" spans="1:15" s="308" customFormat="1" ht="10.5" hidden="1" customHeight="1">
      <c r="A142" s="425" t="s">
        <v>499</v>
      </c>
      <c r="B142" s="447"/>
      <c r="C142" s="447"/>
      <c r="D142" s="447"/>
      <c r="E142" s="447"/>
      <c r="F142" s="447"/>
      <c r="G142" s="447"/>
      <c r="H142" s="447"/>
      <c r="I142" s="447"/>
      <c r="J142" s="447"/>
      <c r="K142" s="447"/>
      <c r="L142" s="447"/>
      <c r="M142" s="447">
        <v>334785</v>
      </c>
    </row>
    <row r="143" spans="1:15" s="308" customFormat="1" ht="10.5" hidden="1" customHeight="1">
      <c r="A143" s="325" t="s">
        <v>500</v>
      </c>
      <c r="B143" s="444"/>
      <c r="C143" s="444"/>
      <c r="D143" s="444"/>
      <c r="E143" s="444"/>
      <c r="F143" s="444"/>
      <c r="G143" s="444"/>
      <c r="H143" s="444"/>
      <c r="I143" s="444"/>
      <c r="J143" s="444"/>
      <c r="K143" s="444"/>
      <c r="L143" s="444"/>
      <c r="M143" s="444"/>
    </row>
    <row r="144" spans="1:15" s="308" customFormat="1" ht="10.5" hidden="1" customHeight="1">
      <c r="A144" s="330" t="s">
        <v>494</v>
      </c>
      <c r="B144" s="444">
        <v>11663</v>
      </c>
      <c r="C144" s="444">
        <v>6966</v>
      </c>
      <c r="D144" s="444">
        <v>38177</v>
      </c>
      <c r="E144" s="444">
        <v>0</v>
      </c>
      <c r="F144" s="444">
        <v>20922</v>
      </c>
      <c r="G144" s="444">
        <v>12343</v>
      </c>
      <c r="H144" s="444">
        <v>90071</v>
      </c>
      <c r="I144" s="444" t="s">
        <v>507</v>
      </c>
      <c r="J144" s="444">
        <v>860</v>
      </c>
      <c r="K144" s="444">
        <v>0</v>
      </c>
      <c r="L144" s="444">
        <v>1259</v>
      </c>
      <c r="M144" s="444">
        <v>92190</v>
      </c>
    </row>
    <row r="145" spans="1:14" s="308" customFormat="1" ht="10.5" hidden="1" customHeight="1">
      <c r="A145" s="330" t="s">
        <v>501</v>
      </c>
      <c r="B145" s="444">
        <v>3321</v>
      </c>
      <c r="C145" s="444">
        <v>2788</v>
      </c>
      <c r="D145" s="444">
        <v>16536</v>
      </c>
      <c r="E145" s="444">
        <v>0</v>
      </c>
      <c r="F145" s="444">
        <v>4769</v>
      </c>
      <c r="G145" s="444">
        <v>3719</v>
      </c>
      <c r="H145" s="444">
        <v>31133</v>
      </c>
      <c r="I145" s="444" t="s">
        <v>507</v>
      </c>
      <c r="J145" s="444">
        <v>860</v>
      </c>
      <c r="K145" s="444">
        <v>0</v>
      </c>
      <c r="L145" s="444">
        <v>1259</v>
      </c>
      <c r="M145" s="444">
        <v>33252</v>
      </c>
    </row>
    <row r="146" spans="1:14" s="308" customFormat="1" ht="10.5" hidden="1" customHeight="1">
      <c r="A146" s="330" t="s">
        <v>496</v>
      </c>
      <c r="B146" s="446">
        <v>230</v>
      </c>
      <c r="C146" s="446">
        <v>204</v>
      </c>
      <c r="D146" s="446">
        <v>530</v>
      </c>
      <c r="E146" s="444">
        <v>0</v>
      </c>
      <c r="F146" s="446">
        <v>264</v>
      </c>
      <c r="G146" s="446">
        <v>141</v>
      </c>
      <c r="H146" s="446">
        <v>1369</v>
      </c>
      <c r="I146" s="446" t="s">
        <v>507</v>
      </c>
      <c r="J146" s="446">
        <v>11</v>
      </c>
      <c r="K146" s="444">
        <v>0</v>
      </c>
      <c r="L146" s="444">
        <v>0</v>
      </c>
      <c r="M146" s="446">
        <v>1380</v>
      </c>
    </row>
    <row r="147" spans="1:14" s="308" customFormat="1" ht="10.5" hidden="1" customHeight="1">
      <c r="A147" s="425" t="s">
        <v>502</v>
      </c>
      <c r="B147" s="447">
        <v>3092</v>
      </c>
      <c r="C147" s="447">
        <v>2584</v>
      </c>
      <c r="D147" s="447">
        <v>16006</v>
      </c>
      <c r="E147" s="447">
        <v>0</v>
      </c>
      <c r="F147" s="447">
        <v>4505</v>
      </c>
      <c r="G147" s="447">
        <v>3578</v>
      </c>
      <c r="H147" s="447">
        <v>29765</v>
      </c>
      <c r="I147" s="447" t="s">
        <v>507</v>
      </c>
      <c r="J147" s="447">
        <v>849</v>
      </c>
      <c r="K147" s="447">
        <v>0</v>
      </c>
      <c r="L147" s="447">
        <v>1259</v>
      </c>
      <c r="M147" s="447">
        <v>31873</v>
      </c>
    </row>
    <row r="148" spans="1:14" s="308" customFormat="1" ht="10.5" hidden="1" customHeight="1">
      <c r="A148" s="325" t="s">
        <v>503</v>
      </c>
      <c r="B148" s="444"/>
      <c r="C148" s="444"/>
      <c r="D148" s="444"/>
      <c r="E148" s="444"/>
      <c r="F148" s="444"/>
      <c r="G148" s="444"/>
      <c r="H148" s="444"/>
      <c r="I148" s="444"/>
      <c r="J148" s="444"/>
      <c r="K148" s="444"/>
      <c r="L148" s="444"/>
      <c r="M148" s="444"/>
    </row>
    <row r="149" spans="1:14" s="308" customFormat="1" ht="10.5" hidden="1" customHeight="1">
      <c r="A149" s="330" t="s">
        <v>504</v>
      </c>
      <c r="B149" s="444">
        <v>344552</v>
      </c>
      <c r="C149" s="444">
        <v>14977</v>
      </c>
      <c r="D149" s="444">
        <v>329442</v>
      </c>
      <c r="E149" s="444">
        <v>233765</v>
      </c>
      <c r="F149" s="444">
        <v>24107</v>
      </c>
      <c r="G149" s="444">
        <v>12343</v>
      </c>
      <c r="H149" s="444">
        <v>959186</v>
      </c>
      <c r="I149" s="444" t="s">
        <v>507</v>
      </c>
      <c r="J149" s="444">
        <v>4788</v>
      </c>
      <c r="K149" s="444">
        <v>2652</v>
      </c>
      <c r="L149" s="444">
        <v>1259</v>
      </c>
      <c r="M149" s="444">
        <v>967884</v>
      </c>
    </row>
    <row r="150" spans="1:14" s="308" customFormat="1" ht="10.5" hidden="1" customHeight="1">
      <c r="A150" s="330" t="s">
        <v>501</v>
      </c>
      <c r="B150" s="444">
        <v>124279</v>
      </c>
      <c r="C150" s="444">
        <v>4799</v>
      </c>
      <c r="D150" s="444">
        <v>152277</v>
      </c>
      <c r="E150" s="444">
        <v>87848</v>
      </c>
      <c r="F150" s="444">
        <v>5625</v>
      </c>
      <c r="G150" s="444">
        <v>3719</v>
      </c>
      <c r="H150" s="444">
        <v>378548</v>
      </c>
      <c r="I150" s="444" t="s">
        <v>507</v>
      </c>
      <c r="J150" s="444">
        <v>4788</v>
      </c>
      <c r="K150" s="444">
        <v>2652</v>
      </c>
      <c r="L150" s="444">
        <v>1259</v>
      </c>
      <c r="M150" s="444">
        <v>387246</v>
      </c>
    </row>
    <row r="151" spans="1:14" s="308" customFormat="1" ht="10.5" hidden="1" customHeight="1">
      <c r="A151" s="330" t="s">
        <v>496</v>
      </c>
      <c r="B151" s="444">
        <v>5804</v>
      </c>
      <c r="C151" s="444">
        <v>582</v>
      </c>
      <c r="D151" s="444">
        <v>3407</v>
      </c>
      <c r="E151" s="444">
        <v>6758</v>
      </c>
      <c r="F151" s="444">
        <v>318</v>
      </c>
      <c r="G151" s="444">
        <v>141</v>
      </c>
      <c r="H151" s="444">
        <v>17011</v>
      </c>
      <c r="I151" s="444" t="s">
        <v>507</v>
      </c>
      <c r="J151" s="444">
        <v>25</v>
      </c>
      <c r="K151" s="444">
        <v>90</v>
      </c>
      <c r="L151" s="444">
        <v>0</v>
      </c>
      <c r="M151" s="444">
        <v>17126</v>
      </c>
    </row>
    <row r="152" spans="1:14" s="308" customFormat="1" ht="10.5" hidden="1" customHeight="1">
      <c r="A152" s="330" t="s">
        <v>497</v>
      </c>
      <c r="B152" s="444">
        <v>118475</v>
      </c>
      <c r="C152" s="444">
        <v>4217</v>
      </c>
      <c r="D152" s="444">
        <v>148870</v>
      </c>
      <c r="E152" s="444">
        <v>81090</v>
      </c>
      <c r="F152" s="444">
        <v>5307</v>
      </c>
      <c r="G152" s="444">
        <v>3578</v>
      </c>
      <c r="H152" s="444">
        <v>361537</v>
      </c>
      <c r="I152" s="444" t="s">
        <v>507</v>
      </c>
      <c r="J152" s="444">
        <v>4763</v>
      </c>
      <c r="K152" s="444">
        <v>2562</v>
      </c>
      <c r="L152" s="444">
        <v>1259</v>
      </c>
      <c r="M152" s="444">
        <v>370120</v>
      </c>
    </row>
    <row r="153" spans="1:14" s="308" customFormat="1" ht="10.5" hidden="1" customHeight="1">
      <c r="A153" s="330" t="s">
        <v>498</v>
      </c>
      <c r="B153" s="444"/>
      <c r="C153" s="444"/>
      <c r="D153" s="444"/>
      <c r="E153" s="444"/>
      <c r="F153" s="444"/>
      <c r="G153" s="444"/>
      <c r="H153" s="444"/>
      <c r="I153" s="444"/>
      <c r="J153" s="444"/>
      <c r="K153" s="444"/>
      <c r="L153" s="444"/>
      <c r="M153" s="444">
        <v>3463</v>
      </c>
    </row>
    <row r="154" spans="1:14" s="308" customFormat="1" ht="10.5" hidden="1" customHeight="1" thickBot="1">
      <c r="A154" s="427" t="s">
        <v>499</v>
      </c>
      <c r="B154" s="448"/>
      <c r="C154" s="448"/>
      <c r="D154" s="448"/>
      <c r="E154" s="448"/>
      <c r="F154" s="448"/>
      <c r="G154" s="448"/>
      <c r="H154" s="448"/>
      <c r="I154" s="448"/>
      <c r="J154" s="448"/>
      <c r="K154" s="448"/>
      <c r="L154" s="448"/>
      <c r="M154" s="448">
        <v>366657</v>
      </c>
    </row>
    <row r="155" spans="1:14" s="342" customFormat="1" ht="13.5" hidden="1" customHeight="1">
      <c r="A155" s="441">
        <v>2003</v>
      </c>
      <c r="B155" s="449"/>
      <c r="C155" s="449"/>
      <c r="D155" s="449"/>
      <c r="E155" s="449"/>
      <c r="F155" s="449"/>
      <c r="G155" s="449"/>
      <c r="H155" s="449"/>
      <c r="I155" s="449"/>
      <c r="J155" s="449"/>
      <c r="K155" s="449"/>
      <c r="L155" s="449"/>
      <c r="M155" s="449"/>
    </row>
    <row r="156" spans="1:14" ht="10.5" hidden="1" customHeight="1">
      <c r="A156" s="325" t="s">
        <v>509</v>
      </c>
      <c r="B156" s="444"/>
      <c r="C156" s="444"/>
      <c r="D156" s="444"/>
      <c r="E156" s="444"/>
      <c r="F156" s="444"/>
      <c r="G156" s="444"/>
      <c r="H156" s="444"/>
      <c r="I156" s="444"/>
      <c r="J156" s="444"/>
      <c r="K156" s="444"/>
      <c r="L156" s="444"/>
      <c r="M156" s="444"/>
    </row>
    <row r="157" spans="1:14" ht="10.5" hidden="1" customHeight="1">
      <c r="A157" s="330" t="s">
        <v>494</v>
      </c>
      <c r="B157" s="444">
        <v>367162</v>
      </c>
      <c r="C157" s="444">
        <v>7604</v>
      </c>
      <c r="D157" s="444">
        <v>284662</v>
      </c>
      <c r="E157" s="444">
        <v>233080</v>
      </c>
      <c r="F157" s="444">
        <v>4434</v>
      </c>
      <c r="G157" s="444">
        <v>0</v>
      </c>
      <c r="H157" s="444">
        <v>896941</v>
      </c>
      <c r="I157" s="444"/>
      <c r="J157" s="444">
        <v>2568</v>
      </c>
      <c r="K157" s="444">
        <v>2734</v>
      </c>
      <c r="L157" s="444">
        <v>0</v>
      </c>
      <c r="M157" s="444">
        <v>902243</v>
      </c>
    </row>
    <row r="158" spans="1:14" ht="10.5" hidden="1" customHeight="1">
      <c r="A158" s="330" t="s">
        <v>495</v>
      </c>
      <c r="B158" s="444">
        <v>134023</v>
      </c>
      <c r="C158" s="444">
        <v>2197</v>
      </c>
      <c r="D158" s="444">
        <v>131238</v>
      </c>
      <c r="E158" s="444">
        <v>88686</v>
      </c>
      <c r="F158" s="444">
        <v>1154</v>
      </c>
      <c r="G158" s="444">
        <v>0</v>
      </c>
      <c r="H158" s="444">
        <v>357299</v>
      </c>
      <c r="I158" s="444"/>
      <c r="J158" s="444">
        <v>2568</v>
      </c>
      <c r="K158" s="444">
        <v>2734</v>
      </c>
      <c r="L158" s="444">
        <v>0</v>
      </c>
      <c r="M158" s="444">
        <v>362600</v>
      </c>
    </row>
    <row r="159" spans="1:14" ht="10.5" hidden="1" customHeight="1">
      <c r="A159" s="330" t="s">
        <v>496</v>
      </c>
      <c r="B159" s="444">
        <v>6325</v>
      </c>
      <c r="C159" s="444">
        <v>249</v>
      </c>
      <c r="D159" s="444">
        <v>3201</v>
      </c>
      <c r="E159" s="444">
        <v>6775</v>
      </c>
      <c r="F159" s="444">
        <v>95</v>
      </c>
      <c r="G159" s="444">
        <v>0</v>
      </c>
      <c r="H159" s="444">
        <v>16645</v>
      </c>
      <c r="I159" s="444"/>
      <c r="J159" s="444">
        <v>9</v>
      </c>
      <c r="K159" s="444">
        <v>92</v>
      </c>
      <c r="L159" s="444">
        <v>0</v>
      </c>
      <c r="M159" s="444">
        <v>16747</v>
      </c>
    </row>
    <row r="160" spans="1:14" ht="10.5" hidden="1" customHeight="1">
      <c r="A160" s="330" t="s">
        <v>497</v>
      </c>
      <c r="B160" s="444">
        <v>127698</v>
      </c>
      <c r="C160" s="444">
        <v>1948</v>
      </c>
      <c r="D160" s="444">
        <v>128037</v>
      </c>
      <c r="E160" s="444">
        <v>81911</v>
      </c>
      <c r="F160" s="444">
        <v>1059</v>
      </c>
      <c r="G160" s="444">
        <v>0</v>
      </c>
      <c r="H160" s="444">
        <v>340654</v>
      </c>
      <c r="I160" s="444"/>
      <c r="J160" s="444">
        <v>2559</v>
      </c>
      <c r="K160" s="444">
        <v>2641</v>
      </c>
      <c r="L160" s="444">
        <v>0</v>
      </c>
      <c r="M160" s="444">
        <v>345854</v>
      </c>
      <c r="N160" s="450"/>
    </row>
    <row r="161" spans="1:13" ht="10.5" hidden="1" customHeight="1">
      <c r="A161" s="330" t="s">
        <v>498</v>
      </c>
      <c r="B161" s="444"/>
      <c r="C161" s="444"/>
      <c r="D161" s="444"/>
      <c r="E161" s="444"/>
      <c r="F161" s="444"/>
      <c r="G161" s="444"/>
      <c r="H161" s="444"/>
      <c r="I161" s="444"/>
      <c r="J161" s="444"/>
      <c r="K161" s="444"/>
      <c r="L161" s="444"/>
      <c r="M161" s="444">
        <v>3546</v>
      </c>
    </row>
    <row r="162" spans="1:13" ht="10.5" hidden="1" customHeight="1">
      <c r="A162" s="425" t="s">
        <v>499</v>
      </c>
      <c r="B162" s="447"/>
      <c r="C162" s="447"/>
      <c r="D162" s="447"/>
      <c r="E162" s="447"/>
      <c r="F162" s="447"/>
      <c r="G162" s="447"/>
      <c r="H162" s="447"/>
      <c r="I162" s="447"/>
      <c r="J162" s="447"/>
      <c r="K162" s="447"/>
      <c r="L162" s="447"/>
      <c r="M162" s="447">
        <v>342308</v>
      </c>
    </row>
    <row r="163" spans="1:13" ht="10.5" hidden="1" customHeight="1">
      <c r="A163" s="325" t="s">
        <v>500</v>
      </c>
      <c r="B163" s="444"/>
      <c r="C163" s="444"/>
      <c r="D163" s="444"/>
      <c r="E163" s="444"/>
      <c r="F163" s="444"/>
      <c r="G163" s="444"/>
      <c r="H163" s="444"/>
      <c r="I163" s="444"/>
      <c r="J163" s="444"/>
      <c r="K163" s="444"/>
      <c r="L163" s="444"/>
      <c r="M163" s="444"/>
    </row>
    <row r="164" spans="1:13" ht="11.25" hidden="1" customHeight="1">
      <c r="A164" s="330" t="s">
        <v>494</v>
      </c>
      <c r="B164" s="444">
        <v>11301</v>
      </c>
      <c r="C164" s="444">
        <v>6263</v>
      </c>
      <c r="D164" s="444">
        <v>39265</v>
      </c>
      <c r="E164" s="444">
        <v>0</v>
      </c>
      <c r="F164" s="444">
        <v>23574</v>
      </c>
      <c r="G164" s="444">
        <v>17703</v>
      </c>
      <c r="H164" s="444">
        <v>98106</v>
      </c>
      <c r="I164" s="444"/>
      <c r="J164" s="444">
        <v>660</v>
      </c>
      <c r="K164" s="444">
        <v>0</v>
      </c>
      <c r="L164" s="444">
        <v>1288</v>
      </c>
      <c r="M164" s="444">
        <v>100054</v>
      </c>
    </row>
    <row r="165" spans="1:13" ht="10.5" hidden="1" customHeight="1">
      <c r="A165" s="330" t="s">
        <v>501</v>
      </c>
      <c r="B165" s="444">
        <v>4282</v>
      </c>
      <c r="C165" s="444">
        <v>2397</v>
      </c>
      <c r="D165" s="444">
        <v>17643</v>
      </c>
      <c r="E165" s="444">
        <v>0</v>
      </c>
      <c r="F165" s="444">
        <v>5537</v>
      </c>
      <c r="G165" s="444">
        <v>3800</v>
      </c>
      <c r="H165" s="444">
        <v>33660</v>
      </c>
      <c r="I165" s="444"/>
      <c r="J165" s="444">
        <v>660</v>
      </c>
      <c r="K165" s="444">
        <v>0</v>
      </c>
      <c r="L165" s="444">
        <v>1288</v>
      </c>
      <c r="M165" s="444">
        <v>35609</v>
      </c>
    </row>
    <row r="166" spans="1:13" ht="10.5" hidden="1" customHeight="1">
      <c r="A166" s="330" t="s">
        <v>496</v>
      </c>
      <c r="B166" s="446">
        <v>220</v>
      </c>
      <c r="C166" s="446">
        <v>174</v>
      </c>
      <c r="D166" s="446">
        <v>547</v>
      </c>
      <c r="E166" s="444">
        <v>0</v>
      </c>
      <c r="F166" s="446">
        <v>306</v>
      </c>
      <c r="G166" s="446">
        <v>135</v>
      </c>
      <c r="H166" s="446">
        <v>1382</v>
      </c>
      <c r="I166" s="446"/>
      <c r="J166" s="446">
        <v>7</v>
      </c>
      <c r="K166" s="444">
        <v>0</v>
      </c>
      <c r="L166" s="444">
        <v>0</v>
      </c>
      <c r="M166" s="446">
        <v>1389</v>
      </c>
    </row>
    <row r="167" spans="1:13" ht="10.5" hidden="1" customHeight="1">
      <c r="A167" s="425" t="s">
        <v>502</v>
      </c>
      <c r="B167" s="447">
        <v>4062</v>
      </c>
      <c r="C167" s="447">
        <v>2223</v>
      </c>
      <c r="D167" s="447">
        <v>17097</v>
      </c>
      <c r="E167" s="447">
        <v>0</v>
      </c>
      <c r="F167" s="447">
        <v>5231</v>
      </c>
      <c r="G167" s="447">
        <v>3665</v>
      </c>
      <c r="H167" s="447">
        <v>32278</v>
      </c>
      <c r="I167" s="447"/>
      <c r="J167" s="447">
        <v>653</v>
      </c>
      <c r="K167" s="447">
        <v>0</v>
      </c>
      <c r="L167" s="447">
        <v>1288</v>
      </c>
      <c r="M167" s="447">
        <v>34220</v>
      </c>
    </row>
    <row r="168" spans="1:13" ht="10.5" hidden="1" customHeight="1">
      <c r="A168" s="325" t="s">
        <v>503</v>
      </c>
      <c r="B168" s="444"/>
      <c r="C168" s="444"/>
      <c r="D168" s="444"/>
      <c r="E168" s="444"/>
      <c r="F168" s="444"/>
      <c r="G168" s="444"/>
      <c r="H168" s="444"/>
      <c r="I168" s="444"/>
      <c r="J168" s="444"/>
      <c r="K168" s="444"/>
      <c r="L168" s="444"/>
      <c r="M168" s="444"/>
    </row>
    <row r="169" spans="1:13" ht="10.5" hidden="1" customHeight="1">
      <c r="A169" s="330" t="s">
        <v>504</v>
      </c>
      <c r="B169" s="444">
        <v>378463</v>
      </c>
      <c r="C169" s="444">
        <v>13867</v>
      </c>
      <c r="D169" s="444">
        <v>323926</v>
      </c>
      <c r="E169" s="444">
        <v>233080</v>
      </c>
      <c r="F169" s="444">
        <v>28008</v>
      </c>
      <c r="G169" s="444">
        <v>17703</v>
      </c>
      <c r="H169" s="444">
        <v>995047</v>
      </c>
      <c r="I169" s="444"/>
      <c r="J169" s="444">
        <v>3228</v>
      </c>
      <c r="K169" s="444">
        <v>2734</v>
      </c>
      <c r="L169" s="444">
        <v>1288</v>
      </c>
      <c r="M169" s="444">
        <v>1002297</v>
      </c>
    </row>
    <row r="170" spans="1:13" ht="10.5" hidden="1" customHeight="1">
      <c r="A170" s="330" t="s">
        <v>501</v>
      </c>
      <c r="B170" s="444">
        <v>138305</v>
      </c>
      <c r="C170" s="444">
        <v>4594</v>
      </c>
      <c r="D170" s="444">
        <v>148881</v>
      </c>
      <c r="E170" s="444">
        <v>88686</v>
      </c>
      <c r="F170" s="444">
        <v>6692</v>
      </c>
      <c r="G170" s="444">
        <v>3800</v>
      </c>
      <c r="H170" s="444">
        <v>390959</v>
      </c>
      <c r="I170" s="444"/>
      <c r="J170" s="444">
        <v>3228</v>
      </c>
      <c r="K170" s="444">
        <v>2734</v>
      </c>
      <c r="L170" s="444">
        <v>1288</v>
      </c>
      <c r="M170" s="444">
        <v>398209</v>
      </c>
    </row>
    <row r="171" spans="1:13" ht="10.5" hidden="1" customHeight="1">
      <c r="A171" s="330" t="s">
        <v>496</v>
      </c>
      <c r="B171" s="444">
        <v>6545</v>
      </c>
      <c r="C171" s="444">
        <v>424</v>
      </c>
      <c r="D171" s="444">
        <v>3747</v>
      </c>
      <c r="E171" s="444">
        <v>6775</v>
      </c>
      <c r="F171" s="444">
        <v>401</v>
      </c>
      <c r="G171" s="444">
        <v>135</v>
      </c>
      <c r="H171" s="444">
        <v>18027</v>
      </c>
      <c r="I171" s="444"/>
      <c r="J171" s="444">
        <v>16</v>
      </c>
      <c r="K171" s="444">
        <v>92</v>
      </c>
      <c r="L171" s="444">
        <v>0</v>
      </c>
      <c r="M171" s="444">
        <v>18136</v>
      </c>
    </row>
    <row r="172" spans="1:13" ht="10.5" hidden="1" customHeight="1">
      <c r="A172" s="330" t="s">
        <v>497</v>
      </c>
      <c r="B172" s="444">
        <v>131760</v>
      </c>
      <c r="C172" s="444">
        <v>4171</v>
      </c>
      <c r="D172" s="444">
        <v>145134</v>
      </c>
      <c r="E172" s="444">
        <v>81911</v>
      </c>
      <c r="F172" s="444">
        <v>6290</v>
      </c>
      <c r="G172" s="444">
        <v>3665</v>
      </c>
      <c r="H172" s="444">
        <v>372932</v>
      </c>
      <c r="I172" s="444"/>
      <c r="J172" s="444">
        <v>3212</v>
      </c>
      <c r="K172" s="444">
        <v>2641</v>
      </c>
      <c r="L172" s="444">
        <v>1288</v>
      </c>
      <c r="M172" s="444">
        <v>380074</v>
      </c>
    </row>
    <row r="173" spans="1:13" ht="10.5" hidden="1" customHeight="1">
      <c r="A173" s="330" t="s">
        <v>498</v>
      </c>
      <c r="B173" s="444"/>
      <c r="C173" s="444"/>
      <c r="D173" s="444"/>
      <c r="E173" s="444"/>
      <c r="F173" s="444"/>
      <c r="G173" s="444"/>
      <c r="H173" s="444"/>
      <c r="I173" s="444"/>
      <c r="J173" s="444"/>
      <c r="K173" s="444"/>
      <c r="L173" s="444"/>
      <c r="M173" s="444">
        <v>3546</v>
      </c>
    </row>
    <row r="174" spans="1:13" ht="10.5" hidden="1" customHeight="1" thickBot="1">
      <c r="A174" s="427" t="s">
        <v>499</v>
      </c>
      <c r="B174" s="448"/>
      <c r="C174" s="448"/>
      <c r="D174" s="448"/>
      <c r="E174" s="448"/>
      <c r="F174" s="448"/>
      <c r="G174" s="448"/>
      <c r="H174" s="448"/>
      <c r="I174" s="448"/>
      <c r="J174" s="448"/>
      <c r="K174" s="448"/>
      <c r="L174" s="448"/>
      <c r="M174" s="448">
        <v>376528</v>
      </c>
    </row>
    <row r="175" spans="1:13" s="342" customFormat="1" ht="13.5" customHeight="1">
      <c r="A175" s="441">
        <v>2004</v>
      </c>
      <c r="B175" s="384"/>
      <c r="C175" s="384"/>
      <c r="D175" s="384"/>
      <c r="E175" s="384"/>
      <c r="F175" s="384"/>
      <c r="G175" s="384"/>
      <c r="H175" s="384"/>
      <c r="I175" s="384"/>
      <c r="J175" s="384"/>
      <c r="K175" s="384"/>
      <c r="L175" s="384"/>
      <c r="M175" s="384"/>
    </row>
    <row r="176" spans="1:13" ht="10.5" customHeight="1">
      <c r="A176" s="325" t="s">
        <v>509</v>
      </c>
      <c r="B176" s="332"/>
      <c r="C176" s="332"/>
      <c r="D176" s="332"/>
      <c r="E176" s="332"/>
      <c r="F176" s="332"/>
      <c r="G176" s="332"/>
      <c r="H176" s="332"/>
      <c r="I176" s="332"/>
      <c r="J176" s="332"/>
      <c r="K176" s="332"/>
      <c r="L176" s="332"/>
      <c r="M176" s="332"/>
    </row>
    <row r="177" spans="1:37" ht="10.5" customHeight="1">
      <c r="A177" s="330" t="s">
        <v>494</v>
      </c>
      <c r="B177" s="443">
        <v>353256</v>
      </c>
      <c r="C177" s="443">
        <v>6708.5930325738436</v>
      </c>
      <c r="D177" s="443">
        <v>304495</v>
      </c>
      <c r="E177" s="443">
        <v>211247.8205367073</v>
      </c>
      <c r="F177" s="443">
        <v>6281.8980192600575</v>
      </c>
      <c r="G177" s="443">
        <v>0</v>
      </c>
      <c r="H177" s="443">
        <v>881989.31158854114</v>
      </c>
      <c r="I177" s="443"/>
      <c r="J177" s="443">
        <v>3907.8</v>
      </c>
      <c r="K177" s="443">
        <v>2648.5490306581578</v>
      </c>
      <c r="L177" s="443">
        <v>0</v>
      </c>
      <c r="M177" s="443">
        <v>888545.66061919939</v>
      </c>
      <c r="Z177" s="445"/>
      <c r="AA177" s="445"/>
      <c r="AB177" s="445"/>
      <c r="AC177" s="445"/>
      <c r="AD177" s="445"/>
      <c r="AE177" s="445"/>
      <c r="AF177" s="445"/>
      <c r="AG177" s="445"/>
      <c r="AH177" s="445"/>
      <c r="AI177" s="445"/>
      <c r="AJ177" s="445"/>
      <c r="AK177" s="445"/>
    </row>
    <row r="178" spans="1:37" ht="10.5" customHeight="1">
      <c r="A178" s="330" t="s">
        <v>495</v>
      </c>
      <c r="B178" s="443">
        <v>127826.56739997381</v>
      </c>
      <c r="C178" s="443">
        <v>1882.7795449292664</v>
      </c>
      <c r="D178" s="443">
        <v>140576.96700778682</v>
      </c>
      <c r="E178" s="443">
        <v>79999.105642214723</v>
      </c>
      <c r="F178" s="443">
        <v>1471.4293287500002</v>
      </c>
      <c r="G178" s="443">
        <v>0</v>
      </c>
      <c r="H178" s="443">
        <v>351756.84892365459</v>
      </c>
      <c r="I178" s="443"/>
      <c r="J178" s="443">
        <v>3907.8</v>
      </c>
      <c r="K178" s="443">
        <v>2648.5490306581578</v>
      </c>
      <c r="L178" s="443">
        <v>0</v>
      </c>
      <c r="M178" s="443">
        <v>358313.19795431272</v>
      </c>
      <c r="Z178" s="445"/>
      <c r="AA178" s="445"/>
      <c r="AB178" s="445"/>
      <c r="AC178" s="445"/>
      <c r="AD178" s="445"/>
      <c r="AE178" s="445"/>
      <c r="AF178" s="445"/>
      <c r="AG178" s="445"/>
      <c r="AH178" s="445"/>
      <c r="AI178" s="445"/>
      <c r="AJ178" s="445"/>
      <c r="AK178" s="445"/>
    </row>
    <row r="179" spans="1:37" ht="10.5" customHeight="1">
      <c r="A179" s="330" t="s">
        <v>496</v>
      </c>
      <c r="B179" s="443">
        <v>5889.917558219051</v>
      </c>
      <c r="C179" s="443">
        <v>354.44067876695226</v>
      </c>
      <c r="D179" s="443">
        <v>2819.4038414183888</v>
      </c>
      <c r="E179" s="443">
        <v>6317.4639580041985</v>
      </c>
      <c r="F179" s="443">
        <v>104.40797125664585</v>
      </c>
      <c r="G179" s="443">
        <v>0</v>
      </c>
      <c r="H179" s="443">
        <v>15485.634007665236</v>
      </c>
      <c r="I179" s="443"/>
      <c r="J179" s="443">
        <v>6.3174112814294858</v>
      </c>
      <c r="K179" s="443">
        <v>89.564459973947578</v>
      </c>
      <c r="L179" s="443">
        <v>0</v>
      </c>
      <c r="M179" s="443">
        <v>15581.515878920613</v>
      </c>
      <c r="Z179" s="445"/>
      <c r="AA179" s="445"/>
      <c r="AB179" s="445"/>
      <c r="AC179" s="445"/>
      <c r="AD179" s="445"/>
      <c r="AE179" s="445"/>
      <c r="AF179" s="445"/>
      <c r="AG179" s="445"/>
      <c r="AH179" s="445"/>
      <c r="AI179" s="445"/>
      <c r="AJ179" s="445"/>
      <c r="AK179" s="445"/>
    </row>
    <row r="180" spans="1:37" ht="10.5" customHeight="1">
      <c r="A180" s="330" t="s">
        <v>497</v>
      </c>
      <c r="B180" s="443">
        <v>121936.64984175476</v>
      </c>
      <c r="C180" s="443">
        <v>1528.3388661623142</v>
      </c>
      <c r="D180" s="443">
        <v>137757.56316636843</v>
      </c>
      <c r="E180" s="443">
        <v>73681.641684210525</v>
      </c>
      <c r="F180" s="443">
        <v>1367.0213574933543</v>
      </c>
      <c r="G180" s="443">
        <v>0</v>
      </c>
      <c r="H180" s="443">
        <v>336271.21491598937</v>
      </c>
      <c r="I180" s="443"/>
      <c r="J180" s="443">
        <v>3901.4825887185702</v>
      </c>
      <c r="K180" s="443">
        <v>2558.9845706842102</v>
      </c>
      <c r="L180" s="443">
        <v>0</v>
      </c>
      <c r="M180" s="443">
        <v>342731.68207539216</v>
      </c>
      <c r="Z180" s="445"/>
      <c r="AA180" s="445"/>
      <c r="AB180" s="445"/>
      <c r="AC180" s="445"/>
      <c r="AD180" s="445"/>
      <c r="AE180" s="445"/>
      <c r="AF180" s="445"/>
      <c r="AG180" s="445"/>
      <c r="AH180" s="445"/>
      <c r="AI180" s="445"/>
      <c r="AJ180" s="445"/>
      <c r="AK180" s="445"/>
    </row>
    <row r="181" spans="1:37" ht="10.5" customHeight="1">
      <c r="A181" s="330" t="s">
        <v>498</v>
      </c>
      <c r="B181" s="443"/>
      <c r="C181" s="443"/>
      <c r="D181" s="443"/>
      <c r="E181" s="443"/>
      <c r="F181" s="443"/>
      <c r="G181" s="443"/>
      <c r="H181" s="443"/>
      <c r="I181" s="443"/>
      <c r="J181" s="443"/>
      <c r="K181" s="443"/>
      <c r="L181" s="443"/>
      <c r="M181" s="443">
        <v>3497.1021796315795</v>
      </c>
      <c r="Z181" s="445"/>
      <c r="AA181" s="445"/>
      <c r="AB181" s="445"/>
      <c r="AC181" s="445"/>
      <c r="AD181" s="445"/>
      <c r="AE181" s="445"/>
      <c r="AF181" s="445"/>
      <c r="AG181" s="445"/>
      <c r="AH181" s="445"/>
      <c r="AI181" s="445"/>
      <c r="AJ181" s="445"/>
      <c r="AK181" s="445"/>
    </row>
    <row r="182" spans="1:37" ht="10.5" customHeight="1">
      <c r="A182" s="425" t="s">
        <v>499</v>
      </c>
      <c r="B182" s="451"/>
      <c r="C182" s="451"/>
      <c r="D182" s="451"/>
      <c r="E182" s="451"/>
      <c r="F182" s="451"/>
      <c r="G182" s="451"/>
      <c r="H182" s="451"/>
      <c r="I182" s="451"/>
      <c r="J182" s="451"/>
      <c r="K182" s="451"/>
      <c r="L182" s="451"/>
      <c r="M182" s="451">
        <v>339234.57989576057</v>
      </c>
      <c r="Z182" s="445"/>
      <c r="AA182" s="445"/>
      <c r="AB182" s="445"/>
      <c r="AC182" s="445"/>
      <c r="AD182" s="445"/>
      <c r="AE182" s="445"/>
      <c r="AF182" s="445"/>
      <c r="AG182" s="445"/>
      <c r="AH182" s="445"/>
      <c r="AI182" s="445"/>
      <c r="AJ182" s="445"/>
      <c r="AK182" s="445"/>
    </row>
    <row r="183" spans="1:37" ht="10.5" customHeight="1">
      <c r="A183" s="325" t="s">
        <v>500</v>
      </c>
      <c r="B183" s="443"/>
      <c r="C183" s="443"/>
      <c r="D183" s="443"/>
      <c r="E183" s="443"/>
      <c r="F183" s="443"/>
      <c r="G183" s="443"/>
      <c r="H183" s="443"/>
      <c r="I183" s="443"/>
      <c r="J183" s="443"/>
      <c r="K183" s="443"/>
      <c r="L183" s="443"/>
      <c r="M183" s="443"/>
      <c r="Z183" s="445"/>
      <c r="AA183" s="445"/>
      <c r="AB183" s="445"/>
      <c r="AC183" s="445"/>
      <c r="AD183" s="445"/>
      <c r="AE183" s="445"/>
      <c r="AF183" s="445"/>
      <c r="AG183" s="445"/>
      <c r="AH183" s="445"/>
      <c r="AI183" s="445"/>
      <c r="AJ183" s="445"/>
      <c r="AK183" s="445"/>
    </row>
    <row r="184" spans="1:37" ht="11.5" customHeight="1">
      <c r="A184" s="330" t="s">
        <v>494</v>
      </c>
      <c r="B184" s="443">
        <v>10901.524560357038</v>
      </c>
      <c r="C184" s="443">
        <v>6083.1605883472694</v>
      </c>
      <c r="D184" s="443">
        <v>35732.662999999993</v>
      </c>
      <c r="E184" s="443">
        <v>0</v>
      </c>
      <c r="F184" s="443">
        <v>25902.031843635745</v>
      </c>
      <c r="G184" s="443">
        <v>16131.974332247872</v>
      </c>
      <c r="H184" s="443">
        <v>94751.354324587912</v>
      </c>
      <c r="I184" s="443"/>
      <c r="J184" s="443">
        <v>936.19899999999996</v>
      </c>
      <c r="K184" s="443">
        <v>0</v>
      </c>
      <c r="L184" s="443">
        <v>1939.1148680000001</v>
      </c>
      <c r="M184" s="443">
        <v>97626.668192587909</v>
      </c>
      <c r="Z184" s="445"/>
      <c r="AA184" s="445"/>
      <c r="AB184" s="445"/>
      <c r="AC184" s="445"/>
      <c r="AD184" s="445"/>
      <c r="AE184" s="445"/>
      <c r="AF184" s="445"/>
      <c r="AG184" s="445"/>
      <c r="AH184" s="445"/>
      <c r="AI184" s="445"/>
      <c r="AJ184" s="445"/>
      <c r="AK184" s="445"/>
    </row>
    <row r="185" spans="1:37" ht="10.5" customHeight="1">
      <c r="A185" s="330" t="s">
        <v>501</v>
      </c>
      <c r="B185" s="443">
        <v>3961.076</v>
      </c>
      <c r="C185" s="443">
        <v>2761.3800951661628</v>
      </c>
      <c r="D185" s="443">
        <v>16487.340785891032</v>
      </c>
      <c r="E185" s="443">
        <v>0</v>
      </c>
      <c r="F185" s="443">
        <v>6468.5661319999981</v>
      </c>
      <c r="G185" s="443">
        <v>3061.8609048338367</v>
      </c>
      <c r="H185" s="443">
        <v>32740.223917891028</v>
      </c>
      <c r="I185" s="443"/>
      <c r="J185" s="443">
        <v>936.19900000000007</v>
      </c>
      <c r="K185" s="443">
        <v>0</v>
      </c>
      <c r="L185" s="443">
        <v>1939.1148680000001</v>
      </c>
      <c r="M185" s="443">
        <v>35615.537785891021</v>
      </c>
      <c r="Z185" s="445"/>
      <c r="AA185" s="445"/>
      <c r="AB185" s="445"/>
      <c r="AC185" s="445"/>
      <c r="AD185" s="445"/>
      <c r="AE185" s="445"/>
      <c r="AF185" s="445"/>
      <c r="AG185" s="445"/>
      <c r="AH185" s="445"/>
      <c r="AI185" s="445"/>
      <c r="AJ185" s="445"/>
      <c r="AK185" s="445"/>
    </row>
    <row r="186" spans="1:37" ht="10.5" customHeight="1">
      <c r="A186" s="330" t="s">
        <v>496</v>
      </c>
      <c r="B186" s="452">
        <v>208.38735200000019</v>
      </c>
      <c r="C186" s="452">
        <v>195.93834684229523</v>
      </c>
      <c r="D186" s="452">
        <v>510.8408707626204</v>
      </c>
      <c r="E186" s="443">
        <v>0</v>
      </c>
      <c r="F186" s="452">
        <v>408.0767586855527</v>
      </c>
      <c r="G186" s="452">
        <v>110.955499622356</v>
      </c>
      <c r="H186" s="452">
        <v>1434.19882791282</v>
      </c>
      <c r="I186" s="452"/>
      <c r="J186" s="452">
        <v>16.739999999999998</v>
      </c>
      <c r="K186" s="443">
        <v>0</v>
      </c>
      <c r="L186" s="443">
        <v>0</v>
      </c>
      <c r="M186" s="452">
        <v>1450.93882791282</v>
      </c>
      <c r="Z186" s="445"/>
      <c r="AA186" s="445"/>
      <c r="AB186" s="445"/>
      <c r="AC186" s="445"/>
      <c r="AD186" s="445"/>
      <c r="AE186" s="445"/>
      <c r="AF186" s="445"/>
      <c r="AG186" s="445"/>
      <c r="AH186" s="445"/>
      <c r="AI186" s="445"/>
      <c r="AJ186" s="445"/>
      <c r="AK186" s="445"/>
    </row>
    <row r="187" spans="1:37" ht="10.5" customHeight="1">
      <c r="A187" s="425" t="s">
        <v>502</v>
      </c>
      <c r="B187" s="451">
        <v>3752.6886479999998</v>
      </c>
      <c r="C187" s="451">
        <v>2565.4417483238676</v>
      </c>
      <c r="D187" s="451">
        <v>15976.499915128412</v>
      </c>
      <c r="E187" s="451">
        <v>0</v>
      </c>
      <c r="F187" s="451">
        <v>6060.4893733144454</v>
      </c>
      <c r="G187" s="451">
        <v>2950.9054052114807</v>
      </c>
      <c r="H187" s="451">
        <v>31306.025089978208</v>
      </c>
      <c r="I187" s="451"/>
      <c r="J187" s="451">
        <v>919.45900000000006</v>
      </c>
      <c r="K187" s="451">
        <v>0</v>
      </c>
      <c r="L187" s="451">
        <v>1939.1148680000001</v>
      </c>
      <c r="M187" s="451">
        <v>34164.598957978204</v>
      </c>
      <c r="Z187" s="445"/>
      <c r="AA187" s="445"/>
      <c r="AB187" s="445"/>
      <c r="AC187" s="445"/>
      <c r="AD187" s="445"/>
      <c r="AE187" s="445"/>
      <c r="AF187" s="445"/>
      <c r="AG187" s="445"/>
      <c r="AH187" s="445"/>
      <c r="AI187" s="445"/>
      <c r="AJ187" s="445"/>
      <c r="AK187" s="445"/>
    </row>
    <row r="188" spans="1:37" ht="10.5" customHeight="1">
      <c r="A188" s="325" t="s">
        <v>503</v>
      </c>
      <c r="B188" s="443"/>
      <c r="C188" s="443"/>
      <c r="D188" s="443"/>
      <c r="E188" s="443"/>
      <c r="F188" s="443"/>
      <c r="G188" s="443"/>
      <c r="H188" s="443"/>
      <c r="I188" s="443"/>
      <c r="J188" s="443"/>
      <c r="K188" s="443"/>
      <c r="L188" s="443"/>
      <c r="M188" s="443"/>
      <c r="Z188" s="445"/>
      <c r="AA188" s="445"/>
      <c r="AB188" s="445"/>
      <c r="AC188" s="445"/>
      <c r="AD188" s="445"/>
      <c r="AE188" s="445"/>
      <c r="AF188" s="445"/>
      <c r="AG188" s="445"/>
      <c r="AH188" s="445"/>
      <c r="AI188" s="445"/>
      <c r="AJ188" s="445"/>
      <c r="AK188" s="445"/>
    </row>
    <row r="189" spans="1:37" ht="10.5" customHeight="1">
      <c r="A189" s="330" t="s">
        <v>504</v>
      </c>
      <c r="B189" s="443">
        <v>364157.52456035704</v>
      </c>
      <c r="C189" s="443">
        <v>12791.753620921114</v>
      </c>
      <c r="D189" s="443">
        <v>340227.663</v>
      </c>
      <c r="E189" s="443">
        <v>211247.8205367073</v>
      </c>
      <c r="F189" s="443">
        <v>32183.929862895802</v>
      </c>
      <c r="G189" s="443">
        <v>16131.974332247872</v>
      </c>
      <c r="H189" s="443">
        <v>976740.66591312899</v>
      </c>
      <c r="I189" s="453"/>
      <c r="J189" s="443">
        <v>4843.9989999999998</v>
      </c>
      <c r="K189" s="443">
        <v>2648.5490306581578</v>
      </c>
      <c r="L189" s="443">
        <v>1939.1148680000001</v>
      </c>
      <c r="M189" s="443">
        <v>986172.3288117873</v>
      </c>
      <c r="Z189" s="445"/>
      <c r="AA189" s="445"/>
      <c r="AB189" s="445"/>
      <c r="AC189" s="445"/>
      <c r="AD189" s="445"/>
      <c r="AE189" s="445"/>
      <c r="AF189" s="445"/>
      <c r="AG189" s="445"/>
      <c r="AH189" s="445"/>
      <c r="AI189" s="445"/>
      <c r="AJ189" s="445"/>
      <c r="AK189" s="445"/>
    </row>
    <row r="190" spans="1:37" ht="10.5" customHeight="1">
      <c r="A190" s="330" t="s">
        <v>501</v>
      </c>
      <c r="B190" s="443">
        <v>131787.64339997381</v>
      </c>
      <c r="C190" s="443">
        <v>4644.1596400954295</v>
      </c>
      <c r="D190" s="443">
        <v>157064.30779367784</v>
      </c>
      <c r="E190" s="443">
        <v>79999.105642214723</v>
      </c>
      <c r="F190" s="443">
        <v>7939.9954607499985</v>
      </c>
      <c r="G190" s="443">
        <v>3061.8609048338367</v>
      </c>
      <c r="H190" s="443">
        <v>384497.07284154563</v>
      </c>
      <c r="I190" s="453"/>
      <c r="J190" s="443">
        <v>4843.9989999999998</v>
      </c>
      <c r="K190" s="443">
        <v>2648.5490306581578</v>
      </c>
      <c r="L190" s="443">
        <v>1939.1148680000001</v>
      </c>
      <c r="M190" s="443">
        <v>393928.73574020376</v>
      </c>
      <c r="N190" s="335"/>
      <c r="Z190" s="445"/>
      <c r="AA190" s="445"/>
      <c r="AB190" s="445"/>
      <c r="AC190" s="445"/>
      <c r="AD190" s="445"/>
      <c r="AE190" s="445"/>
      <c r="AF190" s="445"/>
      <c r="AG190" s="445"/>
      <c r="AH190" s="445"/>
      <c r="AI190" s="445"/>
      <c r="AJ190" s="445"/>
      <c r="AK190" s="445"/>
    </row>
    <row r="191" spans="1:37" ht="10.5" customHeight="1">
      <c r="A191" s="330" t="s">
        <v>496</v>
      </c>
      <c r="B191" s="443">
        <v>6098.3049102190507</v>
      </c>
      <c r="C191" s="443">
        <v>550.37902560924749</v>
      </c>
      <c r="D191" s="443">
        <v>3330.2447121810092</v>
      </c>
      <c r="E191" s="443">
        <v>6317.4639580041985</v>
      </c>
      <c r="F191" s="443">
        <v>512.48472994219856</v>
      </c>
      <c r="G191" s="443">
        <v>110.955499622356</v>
      </c>
      <c r="H191" s="443">
        <v>16919.832835578054</v>
      </c>
      <c r="I191" s="443"/>
      <c r="J191" s="443">
        <v>23.057411281429495</v>
      </c>
      <c r="K191" s="443">
        <v>89.564459973947578</v>
      </c>
      <c r="L191" s="443">
        <v>0</v>
      </c>
      <c r="M191" s="443">
        <v>17032.454706833432</v>
      </c>
      <c r="Z191" s="445"/>
      <c r="AA191" s="445"/>
      <c r="AB191" s="445"/>
      <c r="AC191" s="445"/>
      <c r="AD191" s="445"/>
      <c r="AE191" s="445"/>
      <c r="AF191" s="445"/>
      <c r="AG191" s="445"/>
      <c r="AH191" s="445"/>
      <c r="AI191" s="445"/>
      <c r="AJ191" s="445"/>
      <c r="AK191" s="445"/>
    </row>
    <row r="192" spans="1:37" ht="10.5" customHeight="1">
      <c r="A192" s="330" t="s">
        <v>497</v>
      </c>
      <c r="B192" s="443">
        <v>125689.33848975475</v>
      </c>
      <c r="C192" s="443">
        <v>4093.7806144861815</v>
      </c>
      <c r="D192" s="443">
        <v>153734.06308149683</v>
      </c>
      <c r="E192" s="443">
        <v>73681.641684210525</v>
      </c>
      <c r="F192" s="443">
        <v>7427.5107308077995</v>
      </c>
      <c r="G192" s="443">
        <v>2950.9054052114807</v>
      </c>
      <c r="H192" s="443">
        <v>367577.24000596756</v>
      </c>
      <c r="I192" s="443"/>
      <c r="J192" s="443">
        <v>4820.9415887185705</v>
      </c>
      <c r="K192" s="443">
        <v>2558.9845706842102</v>
      </c>
      <c r="L192" s="443">
        <v>1939.1148680000001</v>
      </c>
      <c r="M192" s="443">
        <v>376896.28103337035</v>
      </c>
      <c r="Z192" s="445"/>
      <c r="AA192" s="445"/>
      <c r="AB192" s="445"/>
      <c r="AC192" s="445"/>
      <c r="AD192" s="445"/>
      <c r="AE192" s="445"/>
      <c r="AF192" s="445"/>
      <c r="AG192" s="445"/>
      <c r="AH192" s="445"/>
      <c r="AI192" s="445"/>
      <c r="AJ192" s="445"/>
      <c r="AK192" s="445"/>
    </row>
    <row r="193" spans="1:37" ht="10.5" customHeight="1">
      <c r="A193" s="330" t="s">
        <v>498</v>
      </c>
      <c r="B193" s="443"/>
      <c r="C193" s="443"/>
      <c r="D193" s="443"/>
      <c r="E193" s="443"/>
      <c r="F193" s="443"/>
      <c r="G193" s="443"/>
      <c r="H193" s="443"/>
      <c r="I193" s="443"/>
      <c r="J193" s="443"/>
      <c r="K193" s="443"/>
      <c r="L193" s="443"/>
      <c r="M193" s="443">
        <v>3497.1021796315795</v>
      </c>
      <c r="Z193" s="445"/>
      <c r="AA193" s="445"/>
      <c r="AB193" s="445"/>
      <c r="AC193" s="445"/>
      <c r="AD193" s="445"/>
      <c r="AE193" s="445"/>
      <c r="AF193" s="445"/>
      <c r="AG193" s="445"/>
      <c r="AH193" s="445"/>
      <c r="AI193" s="445"/>
      <c r="AJ193" s="445"/>
      <c r="AK193" s="445"/>
    </row>
    <row r="194" spans="1:37" ht="10.5" customHeight="1" thickBot="1">
      <c r="A194" s="427" t="s">
        <v>499</v>
      </c>
      <c r="B194" s="454"/>
      <c r="C194" s="454"/>
      <c r="D194" s="454"/>
      <c r="E194" s="454"/>
      <c r="F194" s="454"/>
      <c r="G194" s="454"/>
      <c r="H194" s="454"/>
      <c r="I194" s="454"/>
      <c r="J194" s="454"/>
      <c r="K194" s="454"/>
      <c r="L194" s="454"/>
      <c r="M194" s="454">
        <v>373399.17885373876</v>
      </c>
      <c r="Z194" s="445"/>
      <c r="AA194" s="445"/>
      <c r="AB194" s="445"/>
      <c r="AC194" s="445"/>
      <c r="AD194" s="445"/>
      <c r="AE194" s="445"/>
      <c r="AF194" s="445">
        <f t="shared" ref="AF194:AK194" si="0">+H194-T194</f>
        <v>0</v>
      </c>
      <c r="AG194" s="445">
        <f t="shared" si="0"/>
        <v>0</v>
      </c>
      <c r="AH194" s="445">
        <f t="shared" si="0"/>
        <v>0</v>
      </c>
      <c r="AI194" s="445">
        <f t="shared" si="0"/>
        <v>0</v>
      </c>
      <c r="AJ194" s="445">
        <f t="shared" si="0"/>
        <v>0</v>
      </c>
      <c r="AK194" s="445">
        <f t="shared" si="0"/>
        <v>373399.17885373876</v>
      </c>
    </row>
    <row r="195" spans="1:37" ht="10.5" customHeight="1" thickTop="1">
      <c r="A195" s="441">
        <v>2005</v>
      </c>
      <c r="B195" s="455"/>
      <c r="C195" s="455"/>
      <c r="D195" s="455"/>
      <c r="E195" s="455"/>
      <c r="F195" s="455"/>
      <c r="G195" s="455"/>
      <c r="H195" s="455"/>
      <c r="I195" s="455"/>
      <c r="J195" s="455"/>
      <c r="K195" s="455"/>
      <c r="L195" s="455"/>
      <c r="M195" s="455"/>
      <c r="Z195" s="445"/>
      <c r="AA195" s="445"/>
      <c r="AB195" s="445"/>
      <c r="AC195" s="445"/>
      <c r="AD195" s="445"/>
      <c r="AE195" s="445"/>
      <c r="AF195" s="445"/>
      <c r="AG195" s="445"/>
      <c r="AH195" s="445"/>
      <c r="AI195" s="445"/>
      <c r="AJ195" s="445"/>
      <c r="AK195" s="445"/>
    </row>
    <row r="196" spans="1:37" ht="10.5" customHeight="1">
      <c r="A196" s="325" t="s">
        <v>509</v>
      </c>
      <c r="B196" s="443"/>
      <c r="C196" s="443"/>
      <c r="D196" s="443"/>
      <c r="E196" s="443"/>
      <c r="F196" s="443"/>
      <c r="G196" s="443"/>
      <c r="H196" s="443"/>
      <c r="I196" s="443"/>
      <c r="J196" s="443"/>
      <c r="K196" s="443"/>
      <c r="L196" s="443"/>
      <c r="M196" s="443"/>
      <c r="Z196" s="445"/>
      <c r="AA196" s="445"/>
      <c r="AB196" s="445"/>
      <c r="AC196" s="445"/>
      <c r="AD196" s="445"/>
      <c r="AE196" s="445"/>
      <c r="AF196" s="445"/>
      <c r="AG196" s="445"/>
      <c r="AH196" s="445"/>
      <c r="AI196" s="445"/>
      <c r="AJ196" s="445"/>
      <c r="AK196" s="445"/>
    </row>
    <row r="197" spans="1:37" ht="10.5" customHeight="1">
      <c r="A197" s="330" t="s">
        <v>494</v>
      </c>
      <c r="B197" s="443">
        <v>368134.26561580726</v>
      </c>
      <c r="C197" s="443">
        <v>10268.436829880389</v>
      </c>
      <c r="D197" s="443">
        <v>295642.83434868115</v>
      </c>
      <c r="E197" s="443">
        <v>213661.14089945226</v>
      </c>
      <c r="F197" s="443">
        <v>9515.4218886329254</v>
      </c>
      <c r="G197" s="443">
        <v>0</v>
      </c>
      <c r="H197" s="443">
        <v>897222.09958245407</v>
      </c>
      <c r="I197" s="443"/>
      <c r="J197" s="443">
        <v>3825.9</v>
      </c>
      <c r="K197" s="453">
        <v>2873.3944274999994</v>
      </c>
      <c r="L197" s="443">
        <v>0</v>
      </c>
      <c r="M197" s="453">
        <v>903921.39400995406</v>
      </c>
      <c r="Z197" s="445"/>
      <c r="AA197" s="445"/>
      <c r="AB197" s="445"/>
      <c r="AC197" s="445"/>
      <c r="AD197" s="445"/>
      <c r="AE197" s="445"/>
      <c r="AF197" s="445"/>
      <c r="AG197" s="445"/>
      <c r="AH197" s="445"/>
      <c r="AI197" s="445"/>
      <c r="AJ197" s="445"/>
      <c r="AK197" s="445"/>
    </row>
    <row r="198" spans="1:37" ht="10.5" customHeight="1">
      <c r="A198" s="330" t="s">
        <v>495</v>
      </c>
      <c r="B198" s="453">
        <v>130689.98794506279</v>
      </c>
      <c r="C198" s="453">
        <v>2921.1573130587808</v>
      </c>
      <c r="D198" s="443">
        <v>137482.74212305597</v>
      </c>
      <c r="E198" s="443">
        <v>81618.102843119996</v>
      </c>
      <c r="F198" s="453">
        <v>2744.4839038999999</v>
      </c>
      <c r="G198" s="443">
        <v>0</v>
      </c>
      <c r="H198" s="443">
        <v>355456.47412819753</v>
      </c>
      <c r="I198" s="443"/>
      <c r="J198" s="443">
        <v>3825.9</v>
      </c>
      <c r="K198" s="453">
        <v>2873.3944274999994</v>
      </c>
      <c r="L198" s="443">
        <v>0</v>
      </c>
      <c r="M198" s="453">
        <v>362155.76855569758</v>
      </c>
      <c r="Z198" s="445"/>
      <c r="AA198" s="445"/>
      <c r="AB198" s="445"/>
      <c r="AC198" s="445"/>
      <c r="AD198" s="445"/>
      <c r="AE198" s="445"/>
      <c r="AF198" s="445"/>
      <c r="AG198" s="445"/>
      <c r="AH198" s="445"/>
      <c r="AI198" s="445"/>
      <c r="AJ198" s="445"/>
      <c r="AK198" s="445"/>
    </row>
    <row r="199" spans="1:37" ht="10.5" customHeight="1">
      <c r="A199" s="330" t="s">
        <v>496</v>
      </c>
      <c r="B199" s="453">
        <v>5913.9300393335143</v>
      </c>
      <c r="C199" s="453">
        <v>530.21641154212421</v>
      </c>
      <c r="D199" s="443">
        <v>2958.514822055964</v>
      </c>
      <c r="E199" s="443">
        <v>6445.3148431199952</v>
      </c>
      <c r="F199" s="453">
        <v>258.05991404676524</v>
      </c>
      <c r="G199" s="443">
        <v>0</v>
      </c>
      <c r="H199" s="443">
        <v>16106.03603009833</v>
      </c>
      <c r="I199" s="443"/>
      <c r="J199" s="443">
        <v>5.3641360170554435</v>
      </c>
      <c r="K199" s="453">
        <v>97.167927499999678</v>
      </c>
      <c r="L199" s="443">
        <v>0</v>
      </c>
      <c r="M199" s="453">
        <v>16208.568093615384</v>
      </c>
      <c r="Z199" s="445"/>
      <c r="AA199" s="445"/>
      <c r="AB199" s="445"/>
      <c r="AC199" s="445"/>
      <c r="AD199" s="445"/>
      <c r="AE199" s="445"/>
      <c r="AF199" s="445"/>
      <c r="AG199" s="445"/>
      <c r="AH199" s="445"/>
      <c r="AI199" s="445"/>
      <c r="AJ199" s="445"/>
      <c r="AK199" s="445"/>
    </row>
    <row r="200" spans="1:37" ht="10.5" customHeight="1">
      <c r="A200" s="330" t="s">
        <v>497</v>
      </c>
      <c r="B200" s="453">
        <v>124776.05790572928</v>
      </c>
      <c r="C200" s="453">
        <v>2390.9409015166566</v>
      </c>
      <c r="D200" s="443">
        <v>134524.22730100001</v>
      </c>
      <c r="E200" s="443">
        <v>75172.788</v>
      </c>
      <c r="F200" s="453">
        <v>2486.4239898532346</v>
      </c>
      <c r="G200" s="443">
        <v>0</v>
      </c>
      <c r="H200" s="443">
        <v>339350.4380980992</v>
      </c>
      <c r="I200" s="443"/>
      <c r="J200" s="443">
        <v>3820.5358639829446</v>
      </c>
      <c r="K200" s="443">
        <v>2776.2264999999998</v>
      </c>
      <c r="L200" s="443">
        <v>0</v>
      </c>
      <c r="M200" s="443">
        <v>345947.20046208211</v>
      </c>
      <c r="Z200" s="445"/>
      <c r="AA200" s="445"/>
      <c r="AB200" s="445"/>
      <c r="AC200" s="445"/>
      <c r="AD200" s="445"/>
      <c r="AE200" s="445"/>
      <c r="AF200" s="445"/>
      <c r="AG200" s="445"/>
      <c r="AH200" s="445"/>
      <c r="AI200" s="445"/>
      <c r="AJ200" s="445"/>
      <c r="AK200" s="445"/>
    </row>
    <row r="201" spans="1:37" ht="10.5" customHeight="1">
      <c r="A201" s="330" t="s">
        <v>498</v>
      </c>
      <c r="B201" s="443"/>
      <c r="C201" s="443"/>
      <c r="D201" s="443"/>
      <c r="E201" s="443"/>
      <c r="F201" s="443"/>
      <c r="G201" s="443"/>
      <c r="H201" s="443"/>
      <c r="I201" s="443"/>
      <c r="J201" s="443"/>
      <c r="K201" s="443"/>
      <c r="L201" s="443"/>
      <c r="M201" s="443">
        <v>3706.8240499999997</v>
      </c>
      <c r="Z201" s="445"/>
      <c r="AA201" s="445"/>
      <c r="AB201" s="445"/>
      <c r="AC201" s="445"/>
      <c r="AD201" s="445"/>
      <c r="AE201" s="445"/>
      <c r="AF201" s="445"/>
      <c r="AG201" s="445"/>
      <c r="AH201" s="445"/>
      <c r="AI201" s="445"/>
      <c r="AJ201" s="445"/>
      <c r="AK201" s="445"/>
    </row>
    <row r="202" spans="1:37" ht="10.5" customHeight="1">
      <c r="A202" s="425" t="s">
        <v>499</v>
      </c>
      <c r="B202" s="451"/>
      <c r="C202" s="451"/>
      <c r="D202" s="451"/>
      <c r="E202" s="451"/>
      <c r="F202" s="451"/>
      <c r="G202" s="451"/>
      <c r="H202" s="451"/>
      <c r="I202" s="451"/>
      <c r="J202" s="451"/>
      <c r="K202" s="451"/>
      <c r="L202" s="451"/>
      <c r="M202" s="451">
        <v>342240.37641208211</v>
      </c>
      <c r="Z202" s="445"/>
      <c r="AA202" s="445"/>
      <c r="AB202" s="445"/>
      <c r="AC202" s="445"/>
      <c r="AD202" s="445"/>
      <c r="AE202" s="445"/>
      <c r="AF202" s="445"/>
      <c r="AG202" s="445"/>
      <c r="AH202" s="445"/>
      <c r="AI202" s="445"/>
      <c r="AJ202" s="445"/>
      <c r="AK202" s="445"/>
    </row>
    <row r="203" spans="1:37" ht="10.5" customHeight="1">
      <c r="A203" s="325" t="s">
        <v>500</v>
      </c>
      <c r="B203" s="443"/>
      <c r="C203" s="443"/>
      <c r="D203" s="443"/>
      <c r="E203" s="443"/>
      <c r="F203" s="443"/>
      <c r="G203" s="443"/>
      <c r="H203" s="443"/>
      <c r="I203" s="443"/>
      <c r="J203" s="443"/>
      <c r="K203" s="443"/>
      <c r="L203" s="443"/>
      <c r="M203" s="443"/>
      <c r="Z203" s="445"/>
      <c r="AA203" s="445"/>
      <c r="AB203" s="445"/>
      <c r="AC203" s="445"/>
      <c r="AD203" s="445"/>
      <c r="AE203" s="445"/>
      <c r="AF203" s="445"/>
      <c r="AG203" s="445"/>
      <c r="AH203" s="445"/>
      <c r="AI203" s="445"/>
      <c r="AJ203" s="445"/>
      <c r="AK203" s="445"/>
    </row>
    <row r="204" spans="1:37" ht="10.5" customHeight="1">
      <c r="A204" s="330" t="s">
        <v>494</v>
      </c>
      <c r="B204" s="443">
        <v>10711.697099060882</v>
      </c>
      <c r="C204" s="443">
        <v>5453.7563707022764</v>
      </c>
      <c r="D204" s="443">
        <v>32729.312999999995</v>
      </c>
      <c r="E204" s="443">
        <v>0</v>
      </c>
      <c r="F204" s="443">
        <v>29474.889492227132</v>
      </c>
      <c r="G204" s="443">
        <v>21326.598240177547</v>
      </c>
      <c r="H204" s="443">
        <v>99696.254202167838</v>
      </c>
      <c r="I204" s="443"/>
      <c r="J204" s="443">
        <v>1095.6289999999999</v>
      </c>
      <c r="K204" s="443">
        <v>0</v>
      </c>
      <c r="L204" s="443">
        <v>2912.0966100000005</v>
      </c>
      <c r="M204" s="443">
        <v>103703.97981216785</v>
      </c>
      <c r="Z204" s="445"/>
      <c r="AA204" s="445"/>
      <c r="AB204" s="445"/>
      <c r="AC204" s="445"/>
      <c r="AD204" s="445"/>
      <c r="AE204" s="445"/>
      <c r="AF204" s="445"/>
      <c r="AG204" s="445"/>
      <c r="AH204" s="445"/>
      <c r="AI204" s="445"/>
      <c r="AJ204" s="445"/>
      <c r="AK204" s="445"/>
    </row>
    <row r="205" spans="1:37" ht="10.5" customHeight="1">
      <c r="A205" s="330" t="s">
        <v>501</v>
      </c>
      <c r="B205" s="443">
        <v>3947.0029999999997</v>
      </c>
      <c r="C205" s="443">
        <v>2416.9940900000001</v>
      </c>
      <c r="D205" s="443">
        <v>15159.249</v>
      </c>
      <c r="E205" s="443">
        <v>0</v>
      </c>
      <c r="F205" s="453">
        <v>6940.6985899999963</v>
      </c>
      <c r="G205" s="443">
        <v>3675.8783499999995</v>
      </c>
      <c r="H205" s="453">
        <v>32139.823029999996</v>
      </c>
      <c r="I205" s="453"/>
      <c r="J205" s="443">
        <v>1095.6289999999999</v>
      </c>
      <c r="K205" s="443">
        <v>0</v>
      </c>
      <c r="L205" s="443">
        <v>2912.0966100000005</v>
      </c>
      <c r="M205" s="453">
        <v>36147.548639999994</v>
      </c>
      <c r="Z205" s="445"/>
      <c r="AA205" s="445"/>
      <c r="AB205" s="445"/>
      <c r="AC205" s="445"/>
      <c r="AD205" s="445"/>
      <c r="AE205" s="445"/>
      <c r="AF205" s="445"/>
      <c r="AG205" s="445"/>
      <c r="AH205" s="445"/>
      <c r="AI205" s="445"/>
      <c r="AJ205" s="445"/>
      <c r="AK205" s="445"/>
    </row>
    <row r="206" spans="1:37" ht="10.5" customHeight="1">
      <c r="A206" s="330" t="s">
        <v>496</v>
      </c>
      <c r="B206" s="452">
        <v>209.85768000000007</v>
      </c>
      <c r="C206" s="452">
        <v>157.48095049999984</v>
      </c>
      <c r="D206" s="452">
        <v>469.81309999999939</v>
      </c>
      <c r="E206" s="443">
        <v>0</v>
      </c>
      <c r="F206" s="456">
        <v>472.48766999111831</v>
      </c>
      <c r="G206" s="452">
        <v>132.61395409999977</v>
      </c>
      <c r="H206" s="456">
        <v>1442.2533545911174</v>
      </c>
      <c r="I206" s="452"/>
      <c r="J206" s="452">
        <v>166.1225</v>
      </c>
      <c r="K206" s="443">
        <v>0</v>
      </c>
      <c r="L206" s="443">
        <v>0</v>
      </c>
      <c r="M206" s="456">
        <v>1608.3758545911173</v>
      </c>
      <c r="Z206" s="445"/>
      <c r="AA206" s="445"/>
      <c r="AB206" s="445"/>
      <c r="AC206" s="445"/>
      <c r="AD206" s="445"/>
      <c r="AE206" s="445"/>
      <c r="AF206" s="445"/>
      <c r="AG206" s="445"/>
      <c r="AH206" s="445"/>
      <c r="AI206" s="445"/>
      <c r="AJ206" s="445"/>
      <c r="AK206" s="445"/>
    </row>
    <row r="207" spans="1:37" ht="10.5" customHeight="1">
      <c r="A207" s="425" t="s">
        <v>502</v>
      </c>
      <c r="B207" s="451">
        <v>3737.1453199999996</v>
      </c>
      <c r="C207" s="451">
        <v>2259.5131395000003</v>
      </c>
      <c r="D207" s="451">
        <v>14689.4359</v>
      </c>
      <c r="E207" s="451">
        <v>0</v>
      </c>
      <c r="F207" s="457">
        <v>6468.210920008878</v>
      </c>
      <c r="G207" s="451">
        <v>3543.2643958999997</v>
      </c>
      <c r="H207" s="457">
        <v>30697.569675408879</v>
      </c>
      <c r="I207" s="451"/>
      <c r="J207" s="451">
        <v>929.50649999999985</v>
      </c>
      <c r="K207" s="451">
        <v>0</v>
      </c>
      <c r="L207" s="451">
        <v>2912.0966100000005</v>
      </c>
      <c r="M207" s="457">
        <v>34539.172785408882</v>
      </c>
      <c r="Z207" s="445"/>
      <c r="AA207" s="445"/>
      <c r="AB207" s="445"/>
      <c r="AC207" s="445"/>
      <c r="AD207" s="445"/>
      <c r="AE207" s="445"/>
      <c r="AF207" s="445"/>
      <c r="AG207" s="445"/>
      <c r="AH207" s="445"/>
      <c r="AI207" s="445"/>
      <c r="AJ207" s="445"/>
      <c r="AK207" s="445"/>
    </row>
    <row r="208" spans="1:37" ht="10.5" customHeight="1">
      <c r="A208" s="325" t="s">
        <v>503</v>
      </c>
      <c r="B208" s="443"/>
      <c r="C208" s="443"/>
      <c r="D208" s="443"/>
      <c r="E208" s="443"/>
      <c r="F208" s="443"/>
      <c r="G208" s="443"/>
      <c r="H208" s="443"/>
      <c r="I208" s="443"/>
      <c r="J208" s="443"/>
      <c r="K208" s="443"/>
      <c r="L208" s="443"/>
      <c r="M208" s="443"/>
      <c r="Z208" s="445"/>
      <c r="AA208" s="445"/>
      <c r="AB208" s="445"/>
      <c r="AC208" s="445"/>
      <c r="AD208" s="445"/>
      <c r="AE208" s="445"/>
      <c r="AF208" s="445"/>
      <c r="AG208" s="445"/>
      <c r="AH208" s="445"/>
      <c r="AI208" s="445"/>
      <c r="AJ208" s="445"/>
      <c r="AK208" s="445"/>
    </row>
    <row r="209" spans="1:37" ht="10.5" customHeight="1">
      <c r="A209" s="330" t="s">
        <v>504</v>
      </c>
      <c r="B209" s="443">
        <v>378845.96271486813</v>
      </c>
      <c r="C209" s="443">
        <v>15722.193200582666</v>
      </c>
      <c r="D209" s="443">
        <v>328372.14734868112</v>
      </c>
      <c r="E209" s="443">
        <v>213661.14089945226</v>
      </c>
      <c r="F209" s="443">
        <v>38990.311380860061</v>
      </c>
      <c r="G209" s="443">
        <v>21326.598240177547</v>
      </c>
      <c r="H209" s="443">
        <v>996918.35378462193</v>
      </c>
      <c r="I209" s="443"/>
      <c r="J209" s="443">
        <v>4921.5290000000005</v>
      </c>
      <c r="K209" s="453">
        <v>2873.3944274999994</v>
      </c>
      <c r="L209" s="443">
        <v>2912.0966100000005</v>
      </c>
      <c r="M209" s="453">
        <v>1007625.3738221219</v>
      </c>
      <c r="Z209" s="445"/>
      <c r="AA209" s="445"/>
      <c r="AB209" s="445"/>
      <c r="AC209" s="445"/>
      <c r="AD209" s="445"/>
      <c r="AE209" s="445"/>
      <c r="AF209" s="445"/>
      <c r="AG209" s="445"/>
      <c r="AH209" s="445"/>
      <c r="AI209" s="445"/>
      <c r="AJ209" s="445"/>
      <c r="AK209" s="445"/>
    </row>
    <row r="210" spans="1:37" ht="10.5" customHeight="1">
      <c r="A210" s="330" t="s">
        <v>501</v>
      </c>
      <c r="B210" s="453">
        <v>134636.9909450628</v>
      </c>
      <c r="C210" s="453">
        <v>5338.1514030587805</v>
      </c>
      <c r="D210" s="443">
        <v>152641.99112305598</v>
      </c>
      <c r="E210" s="443">
        <v>81618.102843119996</v>
      </c>
      <c r="F210" s="453">
        <v>9685.1824938999962</v>
      </c>
      <c r="G210" s="443">
        <v>3675.8783499999995</v>
      </c>
      <c r="H210" s="453">
        <v>387596.2971581975</v>
      </c>
      <c r="I210" s="453"/>
      <c r="J210" s="443">
        <v>4921.5290000000005</v>
      </c>
      <c r="K210" s="453">
        <v>2873.3944274999994</v>
      </c>
      <c r="L210" s="443">
        <v>2912.0966100000005</v>
      </c>
      <c r="M210" s="453">
        <v>398303.31719569757</v>
      </c>
      <c r="Z210" s="445"/>
      <c r="AA210" s="445"/>
      <c r="AB210" s="445"/>
      <c r="AC210" s="445"/>
      <c r="AD210" s="445"/>
      <c r="AE210" s="445"/>
      <c r="AF210" s="445"/>
      <c r="AG210" s="445"/>
      <c r="AH210" s="445"/>
      <c r="AI210" s="445"/>
      <c r="AJ210" s="445"/>
      <c r="AK210" s="445"/>
    </row>
    <row r="211" spans="1:37" ht="10.5" customHeight="1">
      <c r="A211" s="330" t="s">
        <v>496</v>
      </c>
      <c r="B211" s="453">
        <v>6123.7877193335144</v>
      </c>
      <c r="C211" s="453">
        <v>687.69736204212404</v>
      </c>
      <c r="D211" s="443">
        <v>3428.3279220559634</v>
      </c>
      <c r="E211" s="443">
        <v>6445.3148431199952</v>
      </c>
      <c r="F211" s="453">
        <v>730.54758403788355</v>
      </c>
      <c r="G211" s="443">
        <v>132.61395409999977</v>
      </c>
      <c r="H211" s="453">
        <v>17548.289384689448</v>
      </c>
      <c r="I211" s="453"/>
      <c r="J211" s="443">
        <v>171.4866360170555</v>
      </c>
      <c r="K211" s="453">
        <v>97.167927499999678</v>
      </c>
      <c r="L211" s="443">
        <v>0</v>
      </c>
      <c r="M211" s="453">
        <v>17816.943948206503</v>
      </c>
      <c r="Z211" s="445"/>
      <c r="AA211" s="445"/>
      <c r="AB211" s="445"/>
      <c r="AC211" s="445"/>
      <c r="AD211" s="445"/>
      <c r="AE211" s="445"/>
      <c r="AF211" s="445"/>
      <c r="AG211" s="445"/>
      <c r="AH211" s="445"/>
      <c r="AI211" s="445"/>
      <c r="AJ211" s="445"/>
      <c r="AK211" s="445"/>
    </row>
    <row r="212" spans="1:37" ht="10.5" customHeight="1">
      <c r="A212" s="330" t="s">
        <v>497</v>
      </c>
      <c r="B212" s="453">
        <v>128513.20322572927</v>
      </c>
      <c r="C212" s="453">
        <v>4650.4540410166574</v>
      </c>
      <c r="D212" s="443">
        <v>149213.66320100002</v>
      </c>
      <c r="E212" s="443">
        <v>75172.788</v>
      </c>
      <c r="F212" s="453">
        <v>8954.6349098621122</v>
      </c>
      <c r="G212" s="443">
        <v>3543.2643958999997</v>
      </c>
      <c r="H212" s="453">
        <v>370048.00777350808</v>
      </c>
      <c r="I212" s="443"/>
      <c r="J212" s="443">
        <v>4750.0423639829442</v>
      </c>
      <c r="K212" s="443">
        <v>2776.2264999999998</v>
      </c>
      <c r="L212" s="443">
        <v>2912.0966100000005</v>
      </c>
      <c r="M212" s="453">
        <v>380486.37324749096</v>
      </c>
      <c r="Z212" s="445"/>
      <c r="AA212" s="445"/>
      <c r="AB212" s="445"/>
      <c r="AC212" s="445"/>
      <c r="AD212" s="445"/>
      <c r="AE212" s="445"/>
      <c r="AF212" s="445"/>
      <c r="AG212" s="445"/>
      <c r="AH212" s="445"/>
      <c r="AI212" s="445"/>
      <c r="AJ212" s="445"/>
      <c r="AK212" s="445"/>
    </row>
    <row r="213" spans="1:37" ht="10.5" customHeight="1">
      <c r="A213" s="330" t="s">
        <v>498</v>
      </c>
      <c r="B213" s="443"/>
      <c r="C213" s="443"/>
      <c r="D213" s="443"/>
      <c r="E213" s="443"/>
      <c r="F213" s="443"/>
      <c r="G213" s="443"/>
      <c r="H213" s="443"/>
      <c r="I213" s="443"/>
      <c r="J213" s="443"/>
      <c r="K213" s="443"/>
      <c r="L213" s="443"/>
      <c r="M213" s="443">
        <v>3706.8240499999997</v>
      </c>
      <c r="Z213" s="445"/>
      <c r="AA213" s="445"/>
      <c r="AB213" s="445"/>
      <c r="AC213" s="445"/>
      <c r="AD213" s="445"/>
      <c r="AE213" s="445"/>
      <c r="AF213" s="445"/>
      <c r="AG213" s="445"/>
      <c r="AH213" s="445"/>
      <c r="AI213" s="445"/>
      <c r="AJ213" s="445"/>
      <c r="AK213" s="445"/>
    </row>
    <row r="214" spans="1:37" ht="10.5" customHeight="1" thickBot="1">
      <c r="A214" s="427" t="s">
        <v>499</v>
      </c>
      <c r="B214" s="454"/>
      <c r="C214" s="454"/>
      <c r="D214" s="454"/>
      <c r="E214" s="454"/>
      <c r="F214" s="454"/>
      <c r="G214" s="454"/>
      <c r="H214" s="454"/>
      <c r="I214" s="454"/>
      <c r="J214" s="454"/>
      <c r="K214" s="454"/>
      <c r="L214" s="454"/>
      <c r="M214" s="458">
        <v>376779.54919749097</v>
      </c>
      <c r="Z214" s="445"/>
      <c r="AA214" s="445"/>
      <c r="AB214" s="445"/>
      <c r="AC214" s="445"/>
      <c r="AD214" s="445"/>
      <c r="AE214" s="445"/>
      <c r="AF214" s="445"/>
      <c r="AG214" s="445"/>
      <c r="AH214" s="445"/>
      <c r="AI214" s="445"/>
      <c r="AJ214" s="445"/>
      <c r="AK214" s="445"/>
    </row>
    <row r="215" spans="1:37" s="342" customFormat="1" ht="13.5" customHeight="1" thickTop="1">
      <c r="A215" s="441">
        <v>2006</v>
      </c>
      <c r="B215" s="455"/>
      <c r="C215" s="455"/>
      <c r="D215" s="455"/>
      <c r="E215" s="455"/>
      <c r="F215" s="455"/>
      <c r="G215" s="455"/>
      <c r="H215" s="455"/>
      <c r="I215" s="455"/>
      <c r="J215" s="455"/>
      <c r="K215" s="455"/>
      <c r="L215" s="455"/>
      <c r="M215" s="455"/>
    </row>
    <row r="216" spans="1:37" ht="10.5" customHeight="1">
      <c r="A216" s="325" t="s">
        <v>509</v>
      </c>
      <c r="B216" s="443"/>
      <c r="C216" s="443"/>
      <c r="D216" s="443"/>
      <c r="E216" s="443"/>
      <c r="F216" s="443"/>
      <c r="G216" s="443"/>
      <c r="H216" s="443"/>
      <c r="I216" s="443"/>
      <c r="J216" s="443"/>
      <c r="K216" s="443"/>
      <c r="L216" s="443"/>
      <c r="M216" s="443"/>
    </row>
    <row r="217" spans="1:37" ht="10.5" customHeight="1">
      <c r="A217" s="330" t="s">
        <v>494</v>
      </c>
      <c r="B217" s="443">
        <v>407027.19359205291</v>
      </c>
      <c r="C217" s="443">
        <v>11751.045318303004</v>
      </c>
      <c r="D217" s="443">
        <v>278148.92368514871</v>
      </c>
      <c r="E217" s="443">
        <v>199237.06280346774</v>
      </c>
      <c r="F217" s="443">
        <v>8503.7299742651612</v>
      </c>
      <c r="G217" s="443">
        <v>0</v>
      </c>
      <c r="H217" s="443">
        <v>904667.95537323761</v>
      </c>
      <c r="I217" s="443"/>
      <c r="J217" s="443">
        <v>3693.299258</v>
      </c>
      <c r="K217" s="443">
        <v>3852.6022349999998</v>
      </c>
      <c r="L217" s="443">
        <v>0</v>
      </c>
      <c r="M217" s="443">
        <v>912213.85686623759</v>
      </c>
      <c r="O217" s="332"/>
      <c r="P217" s="332"/>
      <c r="Q217" s="332"/>
      <c r="R217" s="332"/>
      <c r="S217" s="332"/>
      <c r="T217" s="332"/>
      <c r="U217" s="332"/>
      <c r="V217" s="332"/>
      <c r="W217" s="332"/>
      <c r="X217" s="332"/>
      <c r="Y217" s="332"/>
      <c r="Z217" s="332"/>
      <c r="AA217" s="332"/>
      <c r="AB217" s="332"/>
      <c r="AC217" s="332"/>
      <c r="AD217" s="332"/>
      <c r="AE217" s="332"/>
      <c r="AF217" s="332"/>
      <c r="AG217" s="332"/>
      <c r="AH217" s="332"/>
      <c r="AI217" s="332"/>
      <c r="AJ217" s="332"/>
      <c r="AK217" s="332"/>
    </row>
    <row r="218" spans="1:37" ht="10.5" customHeight="1">
      <c r="A218" s="330" t="s">
        <v>495</v>
      </c>
      <c r="B218" s="453">
        <v>145311.14019007739</v>
      </c>
      <c r="C218" s="453">
        <v>3358.643967753716</v>
      </c>
      <c r="D218" s="443">
        <v>126637.23964240288</v>
      </c>
      <c r="E218" s="443">
        <v>75450.656932527243</v>
      </c>
      <c r="F218" s="453">
        <v>2928.4829752862515</v>
      </c>
      <c r="G218" s="443">
        <v>0</v>
      </c>
      <c r="H218" s="453">
        <v>353686.16370804748</v>
      </c>
      <c r="I218" s="443"/>
      <c r="J218" s="443">
        <v>3693.299258</v>
      </c>
      <c r="K218" s="443">
        <v>3852.6022349999998</v>
      </c>
      <c r="L218" s="443">
        <v>0</v>
      </c>
      <c r="M218" s="453">
        <v>361232.06520104746</v>
      </c>
      <c r="O218" s="332"/>
      <c r="P218" s="332"/>
      <c r="Q218" s="332"/>
      <c r="R218" s="332"/>
      <c r="S218" s="332"/>
      <c r="T218" s="332"/>
      <c r="U218" s="332"/>
      <c r="V218" s="332"/>
      <c r="W218" s="332"/>
      <c r="X218" s="332"/>
      <c r="Y218" s="332"/>
      <c r="Z218" s="332"/>
      <c r="AA218" s="332"/>
      <c r="AB218" s="332"/>
      <c r="AC218" s="332"/>
      <c r="AD218" s="332"/>
      <c r="AE218" s="332"/>
      <c r="AF218" s="332"/>
      <c r="AG218" s="332"/>
      <c r="AH218" s="332"/>
      <c r="AI218" s="332"/>
      <c r="AJ218" s="332"/>
      <c r="AK218" s="332"/>
    </row>
    <row r="219" spans="1:37" ht="10.5" customHeight="1">
      <c r="A219" s="330" t="s">
        <v>496</v>
      </c>
      <c r="B219" s="453">
        <v>7163.7057942331303</v>
      </c>
      <c r="C219" s="453">
        <v>592.10165979093199</v>
      </c>
      <c r="D219" s="443">
        <v>2633.813690040377</v>
      </c>
      <c r="E219" s="443">
        <v>6213.5009325272404</v>
      </c>
      <c r="F219" s="453">
        <v>285.18503951190405</v>
      </c>
      <c r="G219" s="443">
        <v>0</v>
      </c>
      <c r="H219" s="453">
        <v>16888.307116103533</v>
      </c>
      <c r="I219" s="443"/>
      <c r="J219" s="443">
        <v>12.880782000000181</v>
      </c>
      <c r="K219" s="443">
        <v>130.28123499999992</v>
      </c>
      <c r="L219" s="443">
        <v>0</v>
      </c>
      <c r="M219" s="453">
        <v>17031.469133103532</v>
      </c>
      <c r="O219" s="332"/>
      <c r="P219" s="332"/>
      <c r="Q219" s="332"/>
      <c r="R219" s="332"/>
      <c r="S219" s="332"/>
      <c r="T219" s="332"/>
      <c r="U219" s="332"/>
      <c r="V219" s="332"/>
      <c r="W219" s="332"/>
      <c r="X219" s="332"/>
      <c r="Y219" s="332"/>
      <c r="Z219" s="332"/>
      <c r="AA219" s="332"/>
      <c r="AB219" s="332"/>
      <c r="AC219" s="332"/>
      <c r="AD219" s="332"/>
      <c r="AE219" s="332"/>
      <c r="AF219" s="332"/>
      <c r="AG219" s="332"/>
      <c r="AH219" s="332"/>
      <c r="AI219" s="332"/>
      <c r="AJ219" s="332"/>
      <c r="AK219" s="332"/>
    </row>
    <row r="220" spans="1:37" ht="10.5" customHeight="1">
      <c r="A220" s="330" t="s">
        <v>497</v>
      </c>
      <c r="B220" s="453">
        <v>138147.43439584426</v>
      </c>
      <c r="C220" s="453">
        <v>2766.542307962784</v>
      </c>
      <c r="D220" s="443">
        <v>124003.42595236251</v>
      </c>
      <c r="E220" s="443">
        <v>69237.156000000003</v>
      </c>
      <c r="F220" s="453">
        <v>2643.2979357743475</v>
      </c>
      <c r="G220" s="443">
        <v>0</v>
      </c>
      <c r="H220" s="453">
        <v>336797.85659194394</v>
      </c>
      <c r="I220" s="443"/>
      <c r="J220" s="443">
        <v>3680.4184759999998</v>
      </c>
      <c r="K220" s="443">
        <v>3722.3209999999999</v>
      </c>
      <c r="L220" s="443">
        <v>0</v>
      </c>
      <c r="M220" s="453">
        <v>344200.59606794396</v>
      </c>
      <c r="O220" s="332"/>
      <c r="P220" s="332"/>
      <c r="Q220" s="332"/>
      <c r="R220" s="332"/>
      <c r="S220" s="332"/>
      <c r="T220" s="332"/>
      <c r="U220" s="332"/>
      <c r="V220" s="332"/>
      <c r="W220" s="332"/>
      <c r="X220" s="332"/>
      <c r="Y220" s="332"/>
      <c r="Z220" s="332"/>
      <c r="AA220" s="332"/>
      <c r="AB220" s="332"/>
      <c r="AC220" s="332"/>
      <c r="AD220" s="332"/>
      <c r="AE220" s="332"/>
      <c r="AF220" s="332"/>
      <c r="AG220" s="332"/>
      <c r="AH220" s="332"/>
      <c r="AI220" s="332"/>
      <c r="AJ220" s="332"/>
      <c r="AK220" s="332"/>
    </row>
    <row r="221" spans="1:37" ht="10.5" customHeight="1">
      <c r="A221" s="330" t="s">
        <v>498</v>
      </c>
      <c r="B221" s="443"/>
      <c r="C221" s="443"/>
      <c r="D221" s="443"/>
      <c r="E221" s="443"/>
      <c r="F221" s="443"/>
      <c r="G221" s="443"/>
      <c r="H221" s="443"/>
      <c r="I221" s="443"/>
      <c r="J221" s="443"/>
      <c r="K221" s="443"/>
      <c r="L221" s="443"/>
      <c r="M221" s="443">
        <v>4917.84</v>
      </c>
      <c r="O221" s="332"/>
      <c r="P221" s="332"/>
      <c r="Q221" s="332"/>
      <c r="R221" s="332"/>
      <c r="S221" s="332"/>
      <c r="T221" s="332"/>
      <c r="U221" s="332"/>
      <c r="V221" s="332"/>
      <c r="W221" s="332"/>
      <c r="X221" s="332"/>
      <c r="Y221" s="332"/>
      <c r="Z221" s="332"/>
      <c r="AA221" s="332"/>
      <c r="AB221" s="332"/>
      <c r="AC221" s="332"/>
      <c r="AD221" s="332"/>
      <c r="AE221" s="332"/>
      <c r="AF221" s="332"/>
      <c r="AG221" s="332"/>
      <c r="AH221" s="332"/>
      <c r="AI221" s="332"/>
      <c r="AJ221" s="332"/>
      <c r="AK221" s="332"/>
    </row>
    <row r="222" spans="1:37" ht="10.5" customHeight="1">
      <c r="A222" s="425" t="s">
        <v>499</v>
      </c>
      <c r="B222" s="451"/>
      <c r="C222" s="451"/>
      <c r="D222" s="451"/>
      <c r="E222" s="451"/>
      <c r="F222" s="451"/>
      <c r="G222" s="451"/>
      <c r="H222" s="451"/>
      <c r="I222" s="451"/>
      <c r="J222" s="451"/>
      <c r="K222" s="451"/>
      <c r="L222" s="451"/>
      <c r="M222" s="457">
        <v>339282.75606794393</v>
      </c>
      <c r="O222" s="332"/>
      <c r="P222" s="332"/>
      <c r="Q222" s="332"/>
      <c r="R222" s="332"/>
      <c r="S222" s="332"/>
      <c r="T222" s="332"/>
      <c r="U222" s="332"/>
      <c r="V222" s="332"/>
      <c r="W222" s="332"/>
      <c r="X222" s="332"/>
      <c r="Y222" s="332"/>
      <c r="Z222" s="332"/>
      <c r="AA222" s="332"/>
      <c r="AB222" s="332"/>
      <c r="AC222" s="332"/>
      <c r="AD222" s="332"/>
      <c r="AE222" s="332"/>
      <c r="AF222" s="332"/>
      <c r="AG222" s="332"/>
      <c r="AH222" s="332"/>
      <c r="AI222" s="332"/>
      <c r="AJ222" s="332"/>
      <c r="AK222" s="332"/>
    </row>
    <row r="223" spans="1:37" ht="10.5" customHeight="1">
      <c r="A223" s="325" t="s">
        <v>500</v>
      </c>
      <c r="B223" s="443"/>
      <c r="C223" s="443"/>
      <c r="D223" s="443"/>
      <c r="E223" s="443"/>
      <c r="F223" s="443"/>
      <c r="G223" s="443"/>
      <c r="H223" s="443"/>
      <c r="I223" s="443"/>
      <c r="J223" s="443"/>
      <c r="K223" s="443"/>
      <c r="L223" s="443"/>
      <c r="M223" s="443"/>
      <c r="O223" s="332"/>
      <c r="P223" s="332"/>
      <c r="Q223" s="332"/>
      <c r="R223" s="332"/>
      <c r="S223" s="332"/>
      <c r="T223" s="332"/>
      <c r="U223" s="332"/>
      <c r="V223" s="332"/>
      <c r="W223" s="332"/>
      <c r="X223" s="332"/>
      <c r="Y223" s="332"/>
      <c r="Z223" s="332"/>
      <c r="AA223" s="332"/>
      <c r="AB223" s="332"/>
      <c r="AC223" s="332"/>
      <c r="AD223" s="332"/>
      <c r="AE223" s="332"/>
      <c r="AF223" s="332"/>
      <c r="AG223" s="332"/>
      <c r="AH223" s="332"/>
      <c r="AI223" s="332"/>
      <c r="AJ223" s="332"/>
      <c r="AK223" s="332"/>
    </row>
    <row r="224" spans="1:37" ht="11.5" customHeight="1">
      <c r="A224" s="330" t="s">
        <v>494</v>
      </c>
      <c r="B224" s="453">
        <v>10990.89541918125</v>
      </c>
      <c r="C224" s="453">
        <v>6146.1441956988838</v>
      </c>
      <c r="D224" s="453">
        <v>30105.373410000007</v>
      </c>
      <c r="E224" s="443">
        <v>0</v>
      </c>
      <c r="F224" s="453">
        <v>31848.57415732132</v>
      </c>
      <c r="G224" s="453">
        <v>17411.989887654821</v>
      </c>
      <c r="H224" s="453">
        <v>96502.977069856279</v>
      </c>
      <c r="I224" s="443"/>
      <c r="J224" s="453">
        <v>899.85299999999995</v>
      </c>
      <c r="K224" s="443">
        <v>0</v>
      </c>
      <c r="L224" s="443">
        <v>4235.7526003999992</v>
      </c>
      <c r="M224" s="453">
        <v>101638.58267025628</v>
      </c>
      <c r="O224" s="332"/>
      <c r="P224" s="332"/>
      <c r="Q224" s="332"/>
      <c r="R224" s="332"/>
      <c r="S224" s="332"/>
      <c r="T224" s="332"/>
      <c r="U224" s="332"/>
      <c r="V224" s="332"/>
      <c r="W224" s="332"/>
      <c r="X224" s="332"/>
      <c r="Y224" s="332"/>
      <c r="Z224" s="332"/>
      <c r="AA224" s="332"/>
      <c r="AB224" s="332"/>
      <c r="AC224" s="332"/>
      <c r="AD224" s="332"/>
      <c r="AE224" s="332"/>
      <c r="AF224" s="332"/>
      <c r="AG224" s="332"/>
      <c r="AH224" s="332"/>
      <c r="AI224" s="332"/>
      <c r="AJ224" s="332"/>
      <c r="AK224" s="332"/>
    </row>
    <row r="225" spans="1:37" ht="10.5" customHeight="1">
      <c r="A225" s="330" t="s">
        <v>501</v>
      </c>
      <c r="B225" s="453">
        <v>3902.5950000000003</v>
      </c>
      <c r="C225" s="453">
        <v>2450.3803648934645</v>
      </c>
      <c r="D225" s="453">
        <v>14190.624374695259</v>
      </c>
      <c r="E225" s="443">
        <v>0</v>
      </c>
      <c r="F225" s="453">
        <v>7009.668099600005</v>
      </c>
      <c r="G225" s="453">
        <v>3371.4059604112795</v>
      </c>
      <c r="H225" s="453">
        <v>30924.673799600012</v>
      </c>
      <c r="I225" s="443"/>
      <c r="J225" s="453">
        <v>899.85300000000007</v>
      </c>
      <c r="K225" s="443">
        <v>0</v>
      </c>
      <c r="L225" s="443">
        <v>4235.7526003999992</v>
      </c>
      <c r="M225" s="453">
        <v>36060.279400000014</v>
      </c>
      <c r="O225" s="332"/>
      <c r="P225" s="332"/>
      <c r="Q225" s="332"/>
      <c r="R225" s="332"/>
      <c r="S225" s="332"/>
      <c r="T225" s="332"/>
      <c r="U225" s="332"/>
      <c r="V225" s="332"/>
      <c r="W225" s="332"/>
      <c r="X225" s="332"/>
      <c r="Y225" s="332"/>
      <c r="Z225" s="332"/>
      <c r="AA225" s="332"/>
      <c r="AB225" s="332"/>
      <c r="AC225" s="332"/>
      <c r="AD225" s="332"/>
      <c r="AE225" s="332"/>
      <c r="AF225" s="332"/>
      <c r="AG225" s="332"/>
      <c r="AH225" s="332"/>
      <c r="AI225" s="332"/>
      <c r="AJ225" s="332"/>
      <c r="AK225" s="332"/>
    </row>
    <row r="226" spans="1:37" ht="10.5" customHeight="1">
      <c r="A226" s="330" t="s">
        <v>496</v>
      </c>
      <c r="B226" s="456">
        <v>209.58737599999995</v>
      </c>
      <c r="C226" s="456">
        <v>155.51450670779968</v>
      </c>
      <c r="D226" s="456">
        <v>439.79074945528009</v>
      </c>
      <c r="E226" s="443">
        <v>0</v>
      </c>
      <c r="F226" s="456">
        <v>533.71317892847037</v>
      </c>
      <c r="G226" s="456">
        <v>119.15627964756413</v>
      </c>
      <c r="H226" s="456">
        <v>1457.7620907391174</v>
      </c>
      <c r="I226" s="452"/>
      <c r="J226" s="452">
        <v>14.420350000000099</v>
      </c>
      <c r="K226" s="443">
        <v>0</v>
      </c>
      <c r="L226" s="443">
        <v>0</v>
      </c>
      <c r="M226" s="456">
        <v>1472.1824407391175</v>
      </c>
      <c r="N226" s="445"/>
      <c r="O226" s="332"/>
      <c r="P226" s="332"/>
      <c r="Q226" s="332"/>
      <c r="R226" s="332"/>
      <c r="S226" s="332"/>
      <c r="T226" s="332"/>
      <c r="U226" s="332"/>
      <c r="V226" s="332"/>
      <c r="W226" s="332"/>
      <c r="X226" s="332"/>
      <c r="Y226" s="332"/>
      <c r="Z226" s="332"/>
      <c r="AA226" s="332"/>
      <c r="AB226" s="332"/>
      <c r="AC226" s="332"/>
      <c r="AD226" s="332"/>
      <c r="AE226" s="332"/>
      <c r="AF226" s="332"/>
      <c r="AG226" s="332"/>
      <c r="AH226" s="332"/>
      <c r="AI226" s="332"/>
      <c r="AJ226" s="332"/>
      <c r="AK226" s="332"/>
    </row>
    <row r="227" spans="1:37" ht="10.5" customHeight="1">
      <c r="A227" s="425" t="s">
        <v>502</v>
      </c>
      <c r="B227" s="457">
        <v>3693.0076240000003</v>
      </c>
      <c r="C227" s="457">
        <v>2294.8658581856648</v>
      </c>
      <c r="D227" s="457">
        <v>13750.833625239979</v>
      </c>
      <c r="E227" s="451">
        <v>0</v>
      </c>
      <c r="F227" s="457">
        <v>6475.9549206715346</v>
      </c>
      <c r="G227" s="457">
        <v>3252.2496807637153</v>
      </c>
      <c r="H227" s="457">
        <v>29466.911708860895</v>
      </c>
      <c r="I227" s="451"/>
      <c r="J227" s="451">
        <v>885.43264999999997</v>
      </c>
      <c r="K227" s="451">
        <v>0</v>
      </c>
      <c r="L227" s="451">
        <v>4235.7526003999992</v>
      </c>
      <c r="M227" s="457">
        <v>34588.096959260889</v>
      </c>
      <c r="O227" s="332"/>
      <c r="P227" s="332"/>
      <c r="Q227" s="332"/>
      <c r="R227" s="332"/>
      <c r="S227" s="332"/>
      <c r="T227" s="332"/>
      <c r="U227" s="332"/>
      <c r="V227" s="332"/>
      <c r="W227" s="332"/>
      <c r="X227" s="332"/>
      <c r="Y227" s="332"/>
      <c r="Z227" s="332"/>
      <c r="AA227" s="332"/>
      <c r="AB227" s="332"/>
      <c r="AC227" s="332"/>
      <c r="AD227" s="332"/>
      <c r="AE227" s="332"/>
      <c r="AF227" s="332"/>
      <c r="AG227" s="332"/>
      <c r="AH227" s="332"/>
      <c r="AI227" s="332"/>
      <c r="AJ227" s="332"/>
      <c r="AK227" s="332"/>
    </row>
    <row r="228" spans="1:37" ht="10.5" customHeight="1">
      <c r="A228" s="325" t="s">
        <v>503</v>
      </c>
      <c r="B228" s="443"/>
      <c r="C228" s="443"/>
      <c r="D228" s="443"/>
      <c r="E228" s="443"/>
      <c r="F228" s="443"/>
      <c r="G228" s="443"/>
      <c r="H228" s="443"/>
      <c r="I228" s="443"/>
      <c r="J228" s="443"/>
      <c r="K228" s="443"/>
      <c r="L228" s="443"/>
      <c r="M228" s="443"/>
      <c r="O228" s="332"/>
      <c r="P228" s="332"/>
      <c r="Q228" s="332"/>
      <c r="R228" s="332"/>
      <c r="S228" s="332"/>
      <c r="T228" s="332"/>
      <c r="U228" s="332"/>
      <c r="V228" s="332"/>
      <c r="W228" s="332"/>
      <c r="X228" s="332"/>
      <c r="Y228" s="332"/>
      <c r="Z228" s="332"/>
      <c r="AA228" s="332"/>
      <c r="AB228" s="332"/>
      <c r="AC228" s="332"/>
      <c r="AD228" s="332"/>
      <c r="AE228" s="332"/>
      <c r="AF228" s="332"/>
      <c r="AG228" s="332"/>
      <c r="AH228" s="332"/>
      <c r="AI228" s="332"/>
      <c r="AJ228" s="332"/>
      <c r="AK228" s="332"/>
    </row>
    <row r="229" spans="1:37" ht="10.5" customHeight="1">
      <c r="A229" s="330" t="s">
        <v>504</v>
      </c>
      <c r="B229" s="453">
        <v>418018.08901123417</v>
      </c>
      <c r="C229" s="453">
        <v>17897.18951400189</v>
      </c>
      <c r="D229" s="453">
        <v>308254.29709514871</v>
      </c>
      <c r="E229" s="443">
        <v>199237.06280346774</v>
      </c>
      <c r="F229" s="453">
        <v>40352.304131586483</v>
      </c>
      <c r="G229" s="453">
        <v>17411.989887654821</v>
      </c>
      <c r="H229" s="453">
        <v>1001170.9324430939</v>
      </c>
      <c r="I229" s="443"/>
      <c r="J229" s="443">
        <v>4593.1522580000001</v>
      </c>
      <c r="K229" s="443">
        <v>3852.6022349999998</v>
      </c>
      <c r="L229" s="443">
        <v>4235.7526003999992</v>
      </c>
      <c r="M229" s="453">
        <v>1013852.4395364939</v>
      </c>
      <c r="O229" s="332"/>
      <c r="P229" s="332"/>
      <c r="Q229" s="332"/>
      <c r="R229" s="332"/>
      <c r="S229" s="332"/>
      <c r="T229" s="332"/>
      <c r="U229" s="332"/>
      <c r="V229" s="332"/>
      <c r="W229" s="332"/>
      <c r="X229" s="332"/>
      <c r="Y229" s="332"/>
      <c r="Z229" s="332"/>
      <c r="AA229" s="332"/>
      <c r="AB229" s="332"/>
      <c r="AC229" s="332"/>
      <c r="AD229" s="332"/>
      <c r="AE229" s="332"/>
      <c r="AF229" s="332"/>
      <c r="AG229" s="332"/>
      <c r="AH229" s="332"/>
      <c r="AI229" s="332"/>
      <c r="AJ229" s="332"/>
      <c r="AK229" s="332"/>
    </row>
    <row r="230" spans="1:37" ht="10.5" customHeight="1">
      <c r="A230" s="330" t="s">
        <v>501</v>
      </c>
      <c r="B230" s="453">
        <v>149213.73519007739</v>
      </c>
      <c r="C230" s="453">
        <v>5809.0243326471809</v>
      </c>
      <c r="D230" s="453">
        <v>140827.86401709815</v>
      </c>
      <c r="E230" s="443">
        <v>75450.656932527243</v>
      </c>
      <c r="F230" s="453">
        <v>9938.1510748862565</v>
      </c>
      <c r="G230" s="453">
        <v>3371.4059604112795</v>
      </c>
      <c r="H230" s="453">
        <v>384610.83750764746</v>
      </c>
      <c r="I230" s="443"/>
      <c r="J230" s="443">
        <v>4593.1522580000001</v>
      </c>
      <c r="K230" s="443">
        <v>3852.6022349999998</v>
      </c>
      <c r="L230" s="443">
        <v>4235.7526003999992</v>
      </c>
      <c r="M230" s="453">
        <v>397292.34460104746</v>
      </c>
      <c r="N230" s="335"/>
      <c r="O230" s="332"/>
      <c r="P230" s="332"/>
      <c r="Q230" s="332"/>
      <c r="R230" s="332"/>
      <c r="S230" s="332"/>
      <c r="T230" s="332"/>
      <c r="U230" s="332"/>
      <c r="V230" s="332"/>
      <c r="W230" s="332"/>
      <c r="X230" s="332"/>
      <c r="Y230" s="332"/>
      <c r="Z230" s="332"/>
      <c r="AA230" s="332"/>
      <c r="AB230" s="332"/>
      <c r="AC230" s="332"/>
      <c r="AD230" s="332"/>
      <c r="AE230" s="332"/>
      <c r="AF230" s="332"/>
      <c r="AG230" s="332"/>
      <c r="AH230" s="332"/>
      <c r="AI230" s="332"/>
      <c r="AJ230" s="332"/>
      <c r="AK230" s="332"/>
    </row>
    <row r="231" spans="1:37" ht="10.5" customHeight="1">
      <c r="A231" s="330" t="s">
        <v>496</v>
      </c>
      <c r="B231" s="453">
        <v>7373.2931702331298</v>
      </c>
      <c r="C231" s="453">
        <v>747.61616649873167</v>
      </c>
      <c r="D231" s="453">
        <v>3073.6044394956571</v>
      </c>
      <c r="E231" s="443">
        <v>6213.5009325272404</v>
      </c>
      <c r="F231" s="453">
        <v>818.89821844037442</v>
      </c>
      <c r="G231" s="453">
        <v>119.15627964756413</v>
      </c>
      <c r="H231" s="453">
        <v>18346.069206842651</v>
      </c>
      <c r="I231" s="443"/>
      <c r="J231" s="443">
        <v>27.30113200000028</v>
      </c>
      <c r="K231" s="443">
        <v>130.28123499999992</v>
      </c>
      <c r="L231" s="443">
        <v>0</v>
      </c>
      <c r="M231" s="453">
        <v>18503.65157384265</v>
      </c>
      <c r="O231" s="332"/>
      <c r="P231" s="332"/>
      <c r="Q231" s="332"/>
      <c r="R231" s="332"/>
      <c r="S231" s="332"/>
      <c r="T231" s="332"/>
      <c r="U231" s="332"/>
      <c r="V231" s="332"/>
      <c r="W231" s="332"/>
      <c r="X231" s="332"/>
      <c r="Y231" s="332"/>
      <c r="Z231" s="332"/>
      <c r="AA231" s="332"/>
      <c r="AB231" s="332"/>
      <c r="AC231" s="332"/>
      <c r="AD231" s="332"/>
      <c r="AE231" s="332"/>
      <c r="AF231" s="332"/>
      <c r="AG231" s="332"/>
      <c r="AH231" s="332"/>
      <c r="AI231" s="332"/>
      <c r="AJ231" s="332"/>
      <c r="AK231" s="332"/>
    </row>
    <row r="232" spans="1:37" ht="10.5" customHeight="1">
      <c r="A232" s="330" t="s">
        <v>497</v>
      </c>
      <c r="B232" s="453">
        <v>141840.44201984425</v>
      </c>
      <c r="C232" s="453">
        <v>5061.4081661484488</v>
      </c>
      <c r="D232" s="453">
        <v>137754.2595776025</v>
      </c>
      <c r="E232" s="443">
        <v>69237.156000000003</v>
      </c>
      <c r="F232" s="453">
        <v>9119.2528564458826</v>
      </c>
      <c r="G232" s="453">
        <v>3252.2496807637153</v>
      </c>
      <c r="H232" s="453">
        <v>366264.76830080483</v>
      </c>
      <c r="I232" s="443"/>
      <c r="J232" s="453">
        <v>4565.8511259999996</v>
      </c>
      <c r="K232" s="443">
        <v>3722.3209999999999</v>
      </c>
      <c r="L232" s="443">
        <v>4235.7526003999992</v>
      </c>
      <c r="M232" s="453">
        <v>378788.69302720483</v>
      </c>
      <c r="O232" s="332"/>
      <c r="P232" s="332"/>
      <c r="Q232" s="332"/>
      <c r="R232" s="332"/>
      <c r="S232" s="332"/>
      <c r="T232" s="332"/>
      <c r="U232" s="332"/>
      <c r="V232" s="332"/>
      <c r="W232" s="332"/>
      <c r="X232" s="332"/>
      <c r="Y232" s="332"/>
      <c r="Z232" s="332"/>
      <c r="AA232" s="332"/>
      <c r="AB232" s="332"/>
      <c r="AC232" s="332"/>
      <c r="AD232" s="332"/>
      <c r="AE232" s="332"/>
      <c r="AF232" s="332"/>
      <c r="AG232" s="332"/>
      <c r="AH232" s="332"/>
      <c r="AI232" s="332"/>
      <c r="AJ232" s="332"/>
      <c r="AK232" s="332"/>
    </row>
    <row r="233" spans="1:37" ht="10.5" customHeight="1">
      <c r="A233" s="330" t="s">
        <v>498</v>
      </c>
      <c r="B233" s="443"/>
      <c r="C233" s="443"/>
      <c r="D233" s="443"/>
      <c r="E233" s="443"/>
      <c r="F233" s="443"/>
      <c r="G233" s="443"/>
      <c r="H233" s="443"/>
      <c r="I233" s="443"/>
      <c r="J233" s="443"/>
      <c r="K233" s="443"/>
      <c r="L233" s="443"/>
      <c r="M233" s="443">
        <v>4917.84</v>
      </c>
      <c r="O233" s="332"/>
      <c r="P233" s="332"/>
      <c r="Q233" s="332"/>
      <c r="R233" s="332"/>
      <c r="S233" s="332"/>
      <c r="T233" s="332"/>
      <c r="U233" s="332"/>
      <c r="V233" s="332"/>
      <c r="W233" s="332"/>
      <c r="X233" s="332"/>
      <c r="Y233" s="332"/>
      <c r="Z233" s="332"/>
      <c r="AA233" s="332"/>
      <c r="AB233" s="332"/>
      <c r="AC233" s="332"/>
      <c r="AD233" s="332"/>
      <c r="AE233" s="332"/>
      <c r="AF233" s="332"/>
      <c r="AG233" s="332"/>
      <c r="AH233" s="332"/>
      <c r="AI233" s="332"/>
      <c r="AJ233" s="332"/>
      <c r="AK233" s="332"/>
    </row>
    <row r="234" spans="1:37" ht="10.5" customHeight="1" thickBot="1">
      <c r="A234" s="427" t="s">
        <v>499</v>
      </c>
      <c r="B234" s="454"/>
      <c r="C234" s="454"/>
      <c r="D234" s="454"/>
      <c r="E234" s="454"/>
      <c r="F234" s="454"/>
      <c r="G234" s="454"/>
      <c r="H234" s="454"/>
      <c r="I234" s="454"/>
      <c r="J234" s="454"/>
      <c r="K234" s="454"/>
      <c r="L234" s="454"/>
      <c r="M234" s="458">
        <v>373870.85302720481</v>
      </c>
      <c r="O234" s="332"/>
      <c r="P234" s="332"/>
      <c r="Q234" s="332"/>
      <c r="R234" s="332"/>
      <c r="S234" s="332"/>
      <c r="T234" s="332"/>
      <c r="U234" s="332"/>
      <c r="V234" s="332"/>
      <c r="W234" s="332"/>
      <c r="X234" s="332"/>
      <c r="Y234" s="332"/>
      <c r="Z234" s="332"/>
      <c r="AA234" s="332"/>
      <c r="AB234" s="332"/>
      <c r="AC234" s="332"/>
      <c r="AD234" s="332"/>
      <c r="AE234" s="332"/>
      <c r="AF234" s="332"/>
      <c r="AG234" s="332"/>
      <c r="AH234" s="332"/>
      <c r="AI234" s="332"/>
      <c r="AJ234" s="332"/>
      <c r="AK234" s="332"/>
    </row>
    <row r="235" spans="1:37" ht="10.5" customHeight="1" thickTop="1">
      <c r="A235" s="459"/>
      <c r="B235" s="452"/>
      <c r="C235" s="452"/>
      <c r="D235" s="452"/>
      <c r="E235" s="452"/>
      <c r="F235" s="452"/>
      <c r="G235" s="452"/>
      <c r="H235" s="452"/>
      <c r="I235" s="452"/>
      <c r="J235" s="452"/>
      <c r="K235" s="452"/>
      <c r="L235" s="452"/>
      <c r="M235" s="452"/>
      <c r="Z235" s="445"/>
      <c r="AA235" s="445"/>
      <c r="AB235" s="445"/>
      <c r="AC235" s="445"/>
      <c r="AD235" s="445"/>
      <c r="AE235" s="445"/>
      <c r="AF235" s="445"/>
      <c r="AG235" s="445"/>
      <c r="AH235" s="445"/>
      <c r="AI235" s="445"/>
      <c r="AJ235" s="445"/>
      <c r="AK235" s="445"/>
    </row>
    <row r="236" spans="1:37" s="308" customFormat="1" ht="11.25" customHeight="1">
      <c r="A236" s="460"/>
      <c r="B236" s="335"/>
      <c r="C236" s="335"/>
      <c r="D236" s="335"/>
      <c r="E236" s="335"/>
      <c r="F236" s="335"/>
      <c r="G236" s="335"/>
      <c r="H236" s="335"/>
      <c r="I236" s="335"/>
      <c r="J236" s="335"/>
      <c r="K236" s="335"/>
      <c r="L236" s="335"/>
      <c r="M236" s="335"/>
    </row>
    <row r="237" spans="1:37" s="312" customFormat="1" ht="21.75" customHeight="1">
      <c r="A237" s="306" t="s">
        <v>510</v>
      </c>
      <c r="B237" s="394"/>
      <c r="C237" s="394"/>
      <c r="D237" s="394"/>
      <c r="E237" s="394"/>
      <c r="F237" s="394"/>
      <c r="G237" s="394"/>
      <c r="H237" s="394"/>
      <c r="I237" s="394"/>
      <c r="J237" s="394"/>
      <c r="K237" s="394"/>
      <c r="L237" s="394"/>
      <c r="M237" s="394"/>
    </row>
    <row r="238" spans="1:37" s="312" customFormat="1" thickBot="1">
      <c r="A238" s="2226" t="s">
        <v>372</v>
      </c>
      <c r="B238" s="2226"/>
      <c r="C238" s="2226"/>
      <c r="D238" s="2226"/>
      <c r="E238" s="2226"/>
      <c r="F238" s="2226"/>
      <c r="G238" s="2226"/>
      <c r="H238" s="2226"/>
      <c r="I238" s="2226"/>
      <c r="J238" s="2226"/>
      <c r="K238" s="2226"/>
      <c r="L238" s="2226"/>
      <c r="M238" s="2226"/>
    </row>
    <row r="239" spans="1:37" ht="14.25" customHeight="1" thickTop="1">
      <c r="A239" s="398"/>
      <c r="B239" s="2225" t="s">
        <v>479</v>
      </c>
      <c r="C239" s="2225"/>
      <c r="D239" s="2225"/>
      <c r="E239" s="2225"/>
      <c r="F239" s="2225"/>
      <c r="G239" s="2225"/>
      <c r="H239" s="2225"/>
      <c r="I239" s="398"/>
      <c r="J239" s="2225" t="s">
        <v>480</v>
      </c>
      <c r="K239" s="2225"/>
      <c r="L239" s="2225"/>
      <c r="M239" s="2225"/>
    </row>
    <row r="240" spans="1:37" ht="10.5" customHeight="1">
      <c r="A240" s="325"/>
      <c r="B240" s="402" t="s">
        <v>125</v>
      </c>
      <c r="C240" s="402" t="s">
        <v>186</v>
      </c>
      <c r="D240" s="402" t="s">
        <v>14</v>
      </c>
      <c r="E240" s="402" t="s">
        <v>0</v>
      </c>
      <c r="F240" s="402" t="s">
        <v>481</v>
      </c>
      <c r="G240" s="402" t="s">
        <v>373</v>
      </c>
      <c r="H240" s="402" t="s">
        <v>132</v>
      </c>
      <c r="I240" s="402"/>
      <c r="J240" s="402" t="s">
        <v>482</v>
      </c>
      <c r="K240" s="402" t="s">
        <v>482</v>
      </c>
      <c r="L240" s="402" t="s">
        <v>113</v>
      </c>
      <c r="M240" s="403" t="s">
        <v>132</v>
      </c>
    </row>
    <row r="241" spans="1:37" ht="10.5" customHeight="1">
      <c r="B241" s="326"/>
      <c r="C241" s="326"/>
      <c r="D241" s="326"/>
      <c r="E241" s="326"/>
      <c r="F241" s="402" t="s">
        <v>483</v>
      </c>
      <c r="G241" s="409" t="s">
        <v>484</v>
      </c>
      <c r="H241" s="326"/>
      <c r="I241" s="326"/>
      <c r="J241" s="402" t="s">
        <v>485</v>
      </c>
      <c r="K241" s="402" t="s">
        <v>486</v>
      </c>
      <c r="L241" s="409" t="s">
        <v>487</v>
      </c>
      <c r="M241" s="402" t="s">
        <v>488</v>
      </c>
    </row>
    <row r="242" spans="1:37" ht="10.5" customHeight="1">
      <c r="A242" s="439"/>
      <c r="B242" s="416"/>
      <c r="C242" s="416"/>
      <c r="D242" s="416"/>
      <c r="E242" s="416"/>
      <c r="F242" s="440" t="s">
        <v>489</v>
      </c>
      <c r="G242" s="416"/>
      <c r="H242" s="416"/>
      <c r="I242" s="416"/>
      <c r="J242" s="417" t="s">
        <v>490</v>
      </c>
      <c r="K242" s="417" t="s">
        <v>491</v>
      </c>
      <c r="L242" s="416"/>
      <c r="M242" s="417" t="s">
        <v>492</v>
      </c>
    </row>
    <row r="243" spans="1:37" s="342" customFormat="1" ht="13.5" customHeight="1">
      <c r="A243" s="441">
        <v>2007</v>
      </c>
      <c r="B243" s="455"/>
      <c r="C243" s="455"/>
      <c r="D243" s="455"/>
      <c r="E243" s="455"/>
      <c r="F243" s="455"/>
      <c r="G243" s="455"/>
      <c r="H243" s="455"/>
      <c r="I243" s="455"/>
      <c r="J243" s="455"/>
      <c r="K243" s="455"/>
      <c r="L243" s="455"/>
      <c r="M243" s="455"/>
    </row>
    <row r="244" spans="1:37" ht="10.5" customHeight="1">
      <c r="A244" s="325" t="s">
        <v>511</v>
      </c>
      <c r="B244" s="443"/>
      <c r="C244" s="443"/>
      <c r="D244" s="443"/>
      <c r="E244" s="443"/>
      <c r="F244" s="443"/>
      <c r="G244" s="443"/>
      <c r="H244" s="443"/>
      <c r="I244" s="443"/>
      <c r="J244" s="443"/>
      <c r="K244" s="443"/>
      <c r="L244" s="443"/>
      <c r="M244" s="443"/>
    </row>
    <row r="245" spans="1:37" ht="10.5" customHeight="1">
      <c r="A245" s="330" t="s">
        <v>494</v>
      </c>
      <c r="B245" s="443">
        <v>371396.18674674298</v>
      </c>
      <c r="C245" s="443">
        <v>8718.2145783364922</v>
      </c>
      <c r="D245" s="443">
        <v>319836.46584224253</v>
      </c>
      <c r="E245" s="453">
        <v>163244.47683045061</v>
      </c>
      <c r="F245" s="443">
        <v>7271.2271900000005</v>
      </c>
      <c r="G245" s="443">
        <v>0</v>
      </c>
      <c r="H245" s="453">
        <v>870466.57118777256</v>
      </c>
      <c r="I245" s="443"/>
      <c r="J245" s="443">
        <v>4143.5790100000004</v>
      </c>
      <c r="K245" s="443">
        <v>3859.226181</v>
      </c>
      <c r="L245" s="453">
        <v>3568.836785</v>
      </c>
      <c r="M245" s="453">
        <v>882038.2131637726</v>
      </c>
      <c r="O245" s="332"/>
      <c r="P245" s="332"/>
      <c r="Q245" s="332"/>
      <c r="R245" s="332"/>
      <c r="S245" s="332"/>
      <c r="T245" s="332"/>
      <c r="U245" s="332"/>
      <c r="V245" s="332"/>
      <c r="W245" s="332"/>
      <c r="X245" s="332"/>
      <c r="Y245" s="332"/>
      <c r="Z245" s="332"/>
      <c r="AA245" s="332"/>
      <c r="AB245" s="332"/>
      <c r="AC245" s="332"/>
      <c r="AD245" s="332"/>
      <c r="AE245" s="332"/>
      <c r="AF245" s="332"/>
      <c r="AG245" s="332"/>
      <c r="AH245" s="332"/>
      <c r="AI245" s="332"/>
      <c r="AJ245" s="332"/>
      <c r="AK245" s="332"/>
    </row>
    <row r="246" spans="1:37" ht="10.5" customHeight="1">
      <c r="A246" s="330" t="s">
        <v>495</v>
      </c>
      <c r="B246" s="453">
        <v>132675.3202097828</v>
      </c>
      <c r="C246" s="453">
        <v>2400.7626921524643</v>
      </c>
      <c r="D246" s="443">
        <v>149345.94597440778</v>
      </c>
      <c r="E246" s="443">
        <v>63028.342696935004</v>
      </c>
      <c r="F246" s="453">
        <v>2387.9862899598402</v>
      </c>
      <c r="G246" s="443">
        <v>0</v>
      </c>
      <c r="H246" s="453">
        <v>349838.35786323791</v>
      </c>
      <c r="I246" s="443"/>
      <c r="J246" s="443">
        <v>4143.5790100000004</v>
      </c>
      <c r="K246" s="443">
        <v>3859.226181</v>
      </c>
      <c r="L246" s="453">
        <v>3568.836785</v>
      </c>
      <c r="M246" s="453">
        <v>361409.99983923789</v>
      </c>
      <c r="O246" s="332"/>
      <c r="P246" s="332"/>
      <c r="Q246" s="332"/>
      <c r="R246" s="332"/>
      <c r="S246" s="332"/>
      <c r="T246" s="332"/>
      <c r="U246" s="332"/>
      <c r="V246" s="332"/>
      <c r="W246" s="332"/>
      <c r="X246" s="332"/>
      <c r="Y246" s="332"/>
      <c r="Z246" s="332"/>
      <c r="AA246" s="332"/>
      <c r="AB246" s="332"/>
      <c r="AC246" s="332"/>
      <c r="AD246" s="332"/>
      <c r="AE246" s="332"/>
      <c r="AF246" s="332"/>
      <c r="AG246" s="332"/>
      <c r="AH246" s="332"/>
      <c r="AI246" s="332"/>
      <c r="AJ246" s="332"/>
      <c r="AK246" s="332"/>
    </row>
    <row r="247" spans="1:37" ht="10.5" customHeight="1">
      <c r="A247" s="330" t="s">
        <v>496</v>
      </c>
      <c r="B247" s="453">
        <v>6737.3748676843679</v>
      </c>
      <c r="C247" s="453">
        <v>404.80367306255289</v>
      </c>
      <c r="D247" s="443">
        <v>2894.0643509609217</v>
      </c>
      <c r="E247" s="443">
        <v>5779.4476969349998</v>
      </c>
      <c r="F247" s="453">
        <v>239.7560913704192</v>
      </c>
      <c r="G247" s="443">
        <v>0</v>
      </c>
      <c r="H247" s="453">
        <v>16055.446680013207</v>
      </c>
      <c r="I247" s="443"/>
      <c r="J247" s="443">
        <v>29.823910000000069</v>
      </c>
      <c r="K247" s="443">
        <v>13.46018099999992</v>
      </c>
      <c r="L247" s="443">
        <v>0</v>
      </c>
      <c r="M247" s="453">
        <v>16098.730771013206</v>
      </c>
      <c r="O247" s="332"/>
      <c r="P247" s="332"/>
      <c r="Q247" s="332"/>
      <c r="R247" s="332"/>
      <c r="S247" s="332"/>
      <c r="T247" s="332"/>
      <c r="U247" s="332"/>
      <c r="V247" s="332"/>
      <c r="W247" s="332"/>
      <c r="X247" s="332"/>
      <c r="Y247" s="332"/>
      <c r="Z247" s="332"/>
      <c r="AA247" s="332"/>
      <c r="AB247" s="332"/>
      <c r="AC247" s="332"/>
      <c r="AD247" s="332"/>
      <c r="AE247" s="332"/>
      <c r="AF247" s="332"/>
      <c r="AG247" s="332"/>
      <c r="AH247" s="332"/>
      <c r="AI247" s="332"/>
      <c r="AJ247" s="332"/>
      <c r="AK247" s="332"/>
    </row>
    <row r="248" spans="1:37" ht="10.5" customHeight="1">
      <c r="A248" s="330" t="s">
        <v>497</v>
      </c>
      <c r="B248" s="453">
        <v>125937.94534209844</v>
      </c>
      <c r="C248" s="453">
        <v>1995.9590190899114</v>
      </c>
      <c r="D248" s="443">
        <v>146451.88162344685</v>
      </c>
      <c r="E248" s="443">
        <v>57248.895000000004</v>
      </c>
      <c r="F248" s="453">
        <v>2148.230198589421</v>
      </c>
      <c r="G248" s="443">
        <v>0</v>
      </c>
      <c r="H248" s="443">
        <v>333782.9111832247</v>
      </c>
      <c r="I248" s="443"/>
      <c r="J248" s="443">
        <v>4113.7551000000003</v>
      </c>
      <c r="K248" s="443">
        <v>3845.7660000000001</v>
      </c>
      <c r="L248" s="453">
        <v>3568.836785</v>
      </c>
      <c r="M248" s="453">
        <v>345311.2690682247</v>
      </c>
      <c r="O248" s="332"/>
      <c r="P248" s="332"/>
      <c r="Q248" s="332"/>
      <c r="R248" s="332"/>
      <c r="S248" s="332"/>
      <c r="T248" s="332"/>
      <c r="U248" s="332"/>
      <c r="V248" s="332"/>
      <c r="W248" s="332"/>
      <c r="X248" s="332"/>
      <c r="Y248" s="332"/>
      <c r="Z248" s="332"/>
      <c r="AA248" s="332"/>
      <c r="AB248" s="332"/>
      <c r="AC248" s="332"/>
      <c r="AD248" s="332"/>
      <c r="AE248" s="332"/>
      <c r="AF248" s="332"/>
      <c r="AG248" s="332"/>
      <c r="AH248" s="332"/>
      <c r="AI248" s="332"/>
      <c r="AJ248" s="332"/>
      <c r="AK248" s="332"/>
    </row>
    <row r="249" spans="1:37" ht="10.5" customHeight="1">
      <c r="A249" s="330" t="s">
        <v>498</v>
      </c>
      <c r="B249" s="443"/>
      <c r="C249" s="443"/>
      <c r="D249" s="443"/>
      <c r="E249" s="443"/>
      <c r="F249" s="443"/>
      <c r="G249" s="443"/>
      <c r="H249" s="443"/>
      <c r="I249" s="443"/>
      <c r="J249" s="443"/>
      <c r="K249" s="443"/>
      <c r="L249" s="443"/>
      <c r="M249" s="443">
        <v>5071.2659999999996</v>
      </c>
      <c r="O249" s="332"/>
      <c r="P249" s="332"/>
      <c r="Q249" s="332"/>
      <c r="R249" s="332"/>
      <c r="S249" s="332"/>
      <c r="T249" s="332"/>
      <c r="U249" s="332"/>
      <c r="V249" s="332"/>
      <c r="W249" s="332"/>
      <c r="X249" s="332"/>
      <c r="Y249" s="332"/>
      <c r="Z249" s="332"/>
      <c r="AA249" s="332"/>
      <c r="AB249" s="332"/>
      <c r="AC249" s="332"/>
      <c r="AD249" s="332"/>
      <c r="AE249" s="332"/>
      <c r="AF249" s="332"/>
      <c r="AG249" s="332"/>
      <c r="AH249" s="332"/>
      <c r="AI249" s="332"/>
      <c r="AJ249" s="332"/>
      <c r="AK249" s="332"/>
    </row>
    <row r="250" spans="1:37" ht="10.5" customHeight="1">
      <c r="A250" s="425" t="s">
        <v>499</v>
      </c>
      <c r="B250" s="451"/>
      <c r="C250" s="451"/>
      <c r="D250" s="451"/>
      <c r="E250" s="451"/>
      <c r="F250" s="451"/>
      <c r="G250" s="451"/>
      <c r="H250" s="451"/>
      <c r="I250" s="451"/>
      <c r="J250" s="451"/>
      <c r="K250" s="451"/>
      <c r="L250" s="451"/>
      <c r="M250" s="457">
        <v>340240.0030682247</v>
      </c>
      <c r="O250" s="332"/>
      <c r="P250" s="332"/>
      <c r="Q250" s="332"/>
      <c r="R250" s="332"/>
      <c r="S250" s="332"/>
      <c r="T250" s="332"/>
      <c r="U250" s="332"/>
      <c r="V250" s="332"/>
      <c r="W250" s="332"/>
      <c r="X250" s="332"/>
      <c r="Y250" s="332"/>
      <c r="Z250" s="332"/>
      <c r="AA250" s="332"/>
      <c r="AB250" s="332"/>
      <c r="AC250" s="332"/>
      <c r="AD250" s="332"/>
      <c r="AE250" s="332"/>
      <c r="AF250" s="332"/>
      <c r="AG250" s="332"/>
      <c r="AH250" s="332"/>
      <c r="AI250" s="332"/>
      <c r="AJ250" s="332"/>
      <c r="AK250" s="332"/>
    </row>
    <row r="251" spans="1:37" ht="10.5" customHeight="1">
      <c r="A251" s="325" t="s">
        <v>512</v>
      </c>
      <c r="B251" s="443"/>
      <c r="C251" s="443"/>
      <c r="D251" s="443"/>
      <c r="E251" s="443"/>
      <c r="F251" s="443"/>
      <c r="G251" s="443"/>
      <c r="H251" s="443"/>
      <c r="I251" s="443"/>
      <c r="J251" s="443"/>
      <c r="K251" s="443"/>
      <c r="L251" s="443"/>
      <c r="M251" s="443"/>
      <c r="O251" s="332"/>
      <c r="P251" s="332"/>
      <c r="Q251" s="332"/>
      <c r="R251" s="332"/>
      <c r="S251" s="332"/>
      <c r="T251" s="332"/>
      <c r="U251" s="332"/>
      <c r="V251" s="332"/>
      <c r="W251" s="332"/>
      <c r="X251" s="332"/>
      <c r="Y251" s="332"/>
      <c r="Z251" s="332"/>
      <c r="AA251" s="332"/>
      <c r="AB251" s="332"/>
      <c r="AC251" s="332"/>
      <c r="AD251" s="332"/>
      <c r="AE251" s="332"/>
      <c r="AF251" s="332"/>
      <c r="AG251" s="332"/>
      <c r="AH251" s="332"/>
      <c r="AI251" s="332"/>
      <c r="AJ251" s="332"/>
      <c r="AK251" s="332"/>
    </row>
    <row r="252" spans="1:37" ht="11.5" customHeight="1">
      <c r="A252" s="330" t="s">
        <v>494</v>
      </c>
      <c r="B252" s="453">
        <v>10820.381323806476</v>
      </c>
      <c r="C252" s="453">
        <v>5921.1672025114676</v>
      </c>
      <c r="D252" s="453">
        <v>32898.230000000003</v>
      </c>
      <c r="E252" s="443">
        <v>0</v>
      </c>
      <c r="F252" s="453">
        <v>33194.307534110594</v>
      </c>
      <c r="G252" s="453">
        <v>14135.292809734256</v>
      </c>
      <c r="H252" s="453">
        <v>96969.378870162807</v>
      </c>
      <c r="I252" s="443"/>
      <c r="J252" s="443">
        <v>945.57699999999977</v>
      </c>
      <c r="K252" s="443">
        <v>0</v>
      </c>
      <c r="L252" s="453">
        <v>1719.0346999999992</v>
      </c>
      <c r="M252" s="453">
        <v>99633.990570162816</v>
      </c>
      <c r="O252" s="332"/>
      <c r="P252" s="332"/>
      <c r="Q252" s="332"/>
      <c r="R252" s="332"/>
      <c r="S252" s="332"/>
      <c r="T252" s="332"/>
      <c r="U252" s="332"/>
      <c r="V252" s="332"/>
      <c r="W252" s="332"/>
      <c r="X252" s="332"/>
      <c r="Y252" s="332"/>
      <c r="Z252" s="332"/>
      <c r="AA252" s="332"/>
      <c r="AB252" s="332"/>
      <c r="AC252" s="332"/>
      <c r="AD252" s="332"/>
      <c r="AE252" s="332"/>
      <c r="AF252" s="332"/>
      <c r="AG252" s="332"/>
      <c r="AH252" s="332"/>
      <c r="AI252" s="332"/>
      <c r="AJ252" s="332"/>
      <c r="AK252" s="332"/>
    </row>
    <row r="253" spans="1:37" ht="10.5" customHeight="1">
      <c r="A253" s="330" t="s">
        <v>501</v>
      </c>
      <c r="B253" s="453">
        <v>3869.7619999999997</v>
      </c>
      <c r="C253" s="453">
        <v>2331.1226537924636</v>
      </c>
      <c r="D253" s="453">
        <v>16437.823011263517</v>
      </c>
      <c r="E253" s="443">
        <v>0</v>
      </c>
      <c r="F253" s="453">
        <v>7588.9023000000025</v>
      </c>
      <c r="G253" s="453">
        <v>2742.1051059440215</v>
      </c>
      <c r="H253" s="453">
        <v>32969.715071000006</v>
      </c>
      <c r="I253" s="443"/>
      <c r="J253" s="443">
        <v>945.57699999999988</v>
      </c>
      <c r="K253" s="443">
        <v>0</v>
      </c>
      <c r="L253" s="453">
        <v>1719.0346999999992</v>
      </c>
      <c r="M253" s="453">
        <v>35634.326771</v>
      </c>
      <c r="O253" s="332"/>
      <c r="P253" s="332"/>
      <c r="Q253" s="332"/>
      <c r="R253" s="332"/>
      <c r="S253" s="332"/>
      <c r="T253" s="332"/>
      <c r="U253" s="332"/>
      <c r="V253" s="332"/>
      <c r="W253" s="332"/>
      <c r="X253" s="332"/>
      <c r="Y253" s="332"/>
      <c r="Z253" s="332"/>
      <c r="AA253" s="332"/>
      <c r="AB253" s="332"/>
      <c r="AC253" s="332"/>
      <c r="AD253" s="332"/>
      <c r="AE253" s="332"/>
      <c r="AF253" s="332"/>
      <c r="AG253" s="332"/>
      <c r="AH253" s="332"/>
      <c r="AI253" s="332"/>
      <c r="AJ253" s="332"/>
      <c r="AK253" s="332"/>
    </row>
    <row r="254" spans="1:37" ht="10.5" customHeight="1">
      <c r="A254" s="330" t="s">
        <v>496</v>
      </c>
      <c r="B254" s="456">
        <v>207.32742399999961</v>
      </c>
      <c r="C254" s="456">
        <v>159.78979072282391</v>
      </c>
      <c r="D254" s="456">
        <v>509.41794401799416</v>
      </c>
      <c r="E254" s="443">
        <v>0</v>
      </c>
      <c r="F254" s="456">
        <v>614.9436599368928</v>
      </c>
      <c r="G254" s="456">
        <v>92.479800373133912</v>
      </c>
      <c r="H254" s="456">
        <v>1583.9586190508489</v>
      </c>
      <c r="I254" s="452"/>
      <c r="J254" s="452">
        <v>16.014349999999808</v>
      </c>
      <c r="K254" s="443">
        <v>0</v>
      </c>
      <c r="L254" s="443">
        <v>0</v>
      </c>
      <c r="M254" s="456">
        <v>1599.9729690508489</v>
      </c>
      <c r="N254" s="445"/>
      <c r="O254" s="332"/>
      <c r="P254" s="332"/>
      <c r="Q254" s="332"/>
      <c r="R254" s="332"/>
      <c r="S254" s="332"/>
      <c r="T254" s="332"/>
      <c r="U254" s="332"/>
      <c r="V254" s="332"/>
      <c r="W254" s="332"/>
      <c r="X254" s="332"/>
      <c r="Y254" s="332"/>
      <c r="Z254" s="332"/>
      <c r="AA254" s="332"/>
      <c r="AB254" s="332"/>
      <c r="AC254" s="332"/>
      <c r="AD254" s="332"/>
      <c r="AE254" s="332"/>
      <c r="AF254" s="332"/>
      <c r="AG254" s="332"/>
      <c r="AH254" s="332"/>
      <c r="AI254" s="332"/>
      <c r="AJ254" s="332"/>
      <c r="AK254" s="332"/>
    </row>
    <row r="255" spans="1:37" ht="10.5" customHeight="1">
      <c r="A255" s="425" t="s">
        <v>502</v>
      </c>
      <c r="B255" s="457">
        <v>3662.4345760000001</v>
      </c>
      <c r="C255" s="457">
        <v>2171.3328630696396</v>
      </c>
      <c r="D255" s="457">
        <v>15928.405067245523</v>
      </c>
      <c r="E255" s="451">
        <v>0</v>
      </c>
      <c r="F255" s="457">
        <v>6973.9586400631097</v>
      </c>
      <c r="G255" s="457">
        <v>2649.6253055708876</v>
      </c>
      <c r="H255" s="457">
        <v>31385.756451949157</v>
      </c>
      <c r="I255" s="451"/>
      <c r="J255" s="451">
        <v>929.56265000000008</v>
      </c>
      <c r="K255" s="451">
        <v>0</v>
      </c>
      <c r="L255" s="457">
        <v>1719.0346999999992</v>
      </c>
      <c r="M255" s="457">
        <v>34034.353801949153</v>
      </c>
      <c r="O255" s="332"/>
      <c r="P255" s="332"/>
      <c r="Q255" s="332"/>
      <c r="R255" s="332"/>
      <c r="S255" s="332"/>
      <c r="T255" s="332"/>
      <c r="U255" s="332"/>
      <c r="V255" s="332"/>
      <c r="W255" s="332"/>
      <c r="X255" s="332"/>
      <c r="Y255" s="332"/>
      <c r="Z255" s="332"/>
      <c r="AA255" s="332"/>
      <c r="AB255" s="332"/>
      <c r="AC255" s="332"/>
      <c r="AD255" s="332"/>
      <c r="AE255" s="332"/>
      <c r="AF255" s="332"/>
      <c r="AG255" s="332"/>
      <c r="AH255" s="332"/>
      <c r="AI255" s="332"/>
      <c r="AJ255" s="332"/>
      <c r="AK255" s="332"/>
    </row>
    <row r="256" spans="1:37" ht="10.5" customHeight="1">
      <c r="A256" s="325" t="s">
        <v>503</v>
      </c>
      <c r="B256" s="443"/>
      <c r="C256" s="443"/>
      <c r="D256" s="443"/>
      <c r="E256" s="443"/>
      <c r="F256" s="443"/>
      <c r="G256" s="443"/>
      <c r="H256" s="443"/>
      <c r="I256" s="443"/>
      <c r="J256" s="443"/>
      <c r="K256" s="443"/>
      <c r="L256" s="443"/>
      <c r="M256" s="443"/>
      <c r="O256" s="332"/>
      <c r="P256" s="332"/>
      <c r="Q256" s="332"/>
      <c r="R256" s="332"/>
      <c r="S256" s="332"/>
      <c r="T256" s="332"/>
      <c r="U256" s="332"/>
      <c r="V256" s="332"/>
      <c r="W256" s="332"/>
      <c r="X256" s="332"/>
      <c r="Y256" s="332"/>
      <c r="Z256" s="332"/>
      <c r="AA256" s="332"/>
      <c r="AB256" s="332"/>
      <c r="AC256" s="332"/>
      <c r="AD256" s="332"/>
      <c r="AE256" s="332"/>
      <c r="AF256" s="332"/>
      <c r="AG256" s="332"/>
      <c r="AH256" s="332"/>
      <c r="AI256" s="332"/>
      <c r="AJ256" s="332"/>
      <c r="AK256" s="332"/>
    </row>
    <row r="257" spans="1:37" ht="10.5" customHeight="1">
      <c r="A257" s="330" t="s">
        <v>504</v>
      </c>
      <c r="B257" s="453">
        <v>382216.56807054946</v>
      </c>
      <c r="C257" s="453">
        <v>14639.38178084796</v>
      </c>
      <c r="D257" s="453">
        <v>352734.69584224257</v>
      </c>
      <c r="E257" s="453">
        <v>163244.47683045061</v>
      </c>
      <c r="F257" s="453">
        <v>40465.534724110592</v>
      </c>
      <c r="G257" s="453">
        <v>14135.292809734256</v>
      </c>
      <c r="H257" s="453">
        <v>967435.95005793532</v>
      </c>
      <c r="I257" s="443"/>
      <c r="J257" s="443">
        <v>5089.1560100000006</v>
      </c>
      <c r="K257" s="443">
        <v>3859.226181</v>
      </c>
      <c r="L257" s="453">
        <v>5287.8714849999997</v>
      </c>
      <c r="M257" s="453">
        <v>981672.20373393537</v>
      </c>
      <c r="O257" s="332"/>
      <c r="P257" s="332"/>
      <c r="Q257" s="332"/>
      <c r="R257" s="332"/>
      <c r="S257" s="332"/>
      <c r="T257" s="332"/>
      <c r="U257" s="332"/>
      <c r="V257" s="332"/>
      <c r="W257" s="332"/>
      <c r="X257" s="332"/>
      <c r="Y257" s="332"/>
      <c r="Z257" s="332"/>
      <c r="AA257" s="332"/>
      <c r="AB257" s="332"/>
      <c r="AC257" s="332"/>
      <c r="AD257" s="332"/>
      <c r="AE257" s="332"/>
      <c r="AF257" s="332"/>
      <c r="AG257" s="332"/>
      <c r="AH257" s="332"/>
      <c r="AI257" s="332"/>
      <c r="AJ257" s="332"/>
      <c r="AK257" s="332"/>
    </row>
    <row r="258" spans="1:37" ht="10.5" customHeight="1">
      <c r="A258" s="330" t="s">
        <v>501</v>
      </c>
      <c r="B258" s="443">
        <v>136545.08220978279</v>
      </c>
      <c r="C258" s="453">
        <v>4731.8853459449274</v>
      </c>
      <c r="D258" s="453">
        <v>165783.76898567128</v>
      </c>
      <c r="E258" s="443">
        <v>63028.342696935004</v>
      </c>
      <c r="F258" s="453">
        <v>9976.8885899598426</v>
      </c>
      <c r="G258" s="453">
        <v>2742.1051059440215</v>
      </c>
      <c r="H258" s="453">
        <v>382808.07293423789</v>
      </c>
      <c r="I258" s="443"/>
      <c r="J258" s="443">
        <v>5089.1560100000006</v>
      </c>
      <c r="K258" s="443">
        <v>3859.226181</v>
      </c>
      <c r="L258" s="453">
        <v>5287.8714849999997</v>
      </c>
      <c r="M258" s="453">
        <v>397044.32661023788</v>
      </c>
      <c r="N258" s="335"/>
      <c r="O258" s="332"/>
      <c r="P258" s="332"/>
      <c r="Q258" s="332"/>
      <c r="R258" s="332"/>
      <c r="S258" s="332"/>
      <c r="T258" s="332"/>
      <c r="U258" s="332"/>
      <c r="V258" s="332"/>
      <c r="W258" s="332"/>
      <c r="X258" s="332"/>
      <c r="Y258" s="332"/>
      <c r="Z258" s="332"/>
      <c r="AA258" s="332"/>
      <c r="AB258" s="332"/>
      <c r="AC258" s="332"/>
      <c r="AD258" s="332"/>
      <c r="AE258" s="332"/>
      <c r="AF258" s="332"/>
      <c r="AG258" s="332"/>
      <c r="AH258" s="332"/>
      <c r="AI258" s="332"/>
      <c r="AJ258" s="332"/>
      <c r="AK258" s="332"/>
    </row>
    <row r="259" spans="1:37" ht="10.5" customHeight="1">
      <c r="A259" s="330" t="s">
        <v>496</v>
      </c>
      <c r="B259" s="453">
        <v>6944.7022916843671</v>
      </c>
      <c r="C259" s="453">
        <v>564.5934637853768</v>
      </c>
      <c r="D259" s="453">
        <v>3403.4822949789159</v>
      </c>
      <c r="E259" s="443">
        <v>5779.4476969349998</v>
      </c>
      <c r="F259" s="453">
        <v>854.699751307312</v>
      </c>
      <c r="G259" s="453">
        <v>92.479800373133912</v>
      </c>
      <c r="H259" s="453">
        <v>17639.405299064056</v>
      </c>
      <c r="I259" s="443"/>
      <c r="J259" s="443">
        <v>45.838259999999877</v>
      </c>
      <c r="K259" s="443">
        <v>13.46018099999992</v>
      </c>
      <c r="L259" s="443">
        <v>0</v>
      </c>
      <c r="M259" s="453">
        <v>17698.703740064055</v>
      </c>
      <c r="O259" s="332"/>
      <c r="P259" s="332"/>
      <c r="Q259" s="332"/>
      <c r="R259" s="332"/>
      <c r="S259" s="332"/>
      <c r="T259" s="332"/>
      <c r="U259" s="332"/>
      <c r="V259" s="332"/>
      <c r="W259" s="332"/>
      <c r="X259" s="332"/>
      <c r="Y259" s="332"/>
      <c r="Z259" s="332"/>
      <c r="AA259" s="332"/>
      <c r="AB259" s="332"/>
      <c r="AC259" s="332"/>
      <c r="AD259" s="332"/>
      <c r="AE259" s="332"/>
      <c r="AF259" s="332"/>
      <c r="AG259" s="332"/>
      <c r="AH259" s="332"/>
      <c r="AI259" s="332"/>
      <c r="AJ259" s="332"/>
      <c r="AK259" s="332"/>
    </row>
    <row r="260" spans="1:37" ht="10.5" customHeight="1">
      <c r="A260" s="330" t="s">
        <v>497</v>
      </c>
      <c r="B260" s="453">
        <v>129600.37991809844</v>
      </c>
      <c r="C260" s="453">
        <v>4167.2918821595513</v>
      </c>
      <c r="D260" s="453">
        <v>162380.28669069239</v>
      </c>
      <c r="E260" s="443">
        <v>57248.895000000004</v>
      </c>
      <c r="F260" s="453">
        <v>9122.1888386525316</v>
      </c>
      <c r="G260" s="453">
        <v>2649.6253055708876</v>
      </c>
      <c r="H260" s="453">
        <v>365168.66763517389</v>
      </c>
      <c r="I260" s="443"/>
      <c r="J260" s="443">
        <v>5043.3177500000002</v>
      </c>
      <c r="K260" s="443">
        <v>3845.7660000000001</v>
      </c>
      <c r="L260" s="453">
        <v>5287.8714849999997</v>
      </c>
      <c r="M260" s="453">
        <v>379345.62287017389</v>
      </c>
      <c r="O260" s="332"/>
      <c r="P260" s="332"/>
      <c r="Q260" s="332"/>
      <c r="R260" s="332"/>
      <c r="S260" s="332"/>
      <c r="T260" s="332"/>
      <c r="U260" s="332"/>
      <c r="V260" s="332"/>
      <c r="W260" s="332"/>
      <c r="X260" s="332"/>
      <c r="Y260" s="332"/>
      <c r="Z260" s="332"/>
      <c r="AA260" s="332"/>
      <c r="AB260" s="332"/>
      <c r="AC260" s="332"/>
      <c r="AD260" s="332"/>
      <c r="AE260" s="332"/>
      <c r="AF260" s="332"/>
      <c r="AG260" s="332"/>
      <c r="AH260" s="332"/>
      <c r="AI260" s="332"/>
      <c r="AJ260" s="332"/>
      <c r="AK260" s="332"/>
    </row>
    <row r="261" spans="1:37" ht="10.5" customHeight="1">
      <c r="A261" s="330" t="s">
        <v>498</v>
      </c>
      <c r="B261" s="443"/>
      <c r="C261" s="443"/>
      <c r="D261" s="443"/>
      <c r="E261" s="443"/>
      <c r="F261" s="443"/>
      <c r="G261" s="443"/>
      <c r="H261" s="443"/>
      <c r="I261" s="443"/>
      <c r="J261" s="443"/>
      <c r="K261" s="443"/>
      <c r="L261" s="443"/>
      <c r="M261" s="443">
        <v>5071.2659999999996</v>
      </c>
      <c r="O261" s="332"/>
      <c r="P261" s="332"/>
      <c r="Q261" s="332"/>
      <c r="R261" s="332"/>
      <c r="S261" s="332"/>
      <c r="T261" s="332"/>
      <c r="U261" s="332"/>
      <c r="V261" s="332"/>
      <c r="W261" s="332"/>
      <c r="X261" s="332"/>
      <c r="Y261" s="332"/>
      <c r="Z261" s="332"/>
      <c r="AA261" s="332"/>
      <c r="AB261" s="332"/>
      <c r="AC261" s="332"/>
      <c r="AD261" s="332"/>
      <c r="AE261" s="332"/>
      <c r="AF261" s="332"/>
      <c r="AG261" s="332"/>
      <c r="AH261" s="332"/>
      <c r="AI261" s="332"/>
      <c r="AJ261" s="332"/>
      <c r="AK261" s="332"/>
    </row>
    <row r="262" spans="1:37" ht="10.5" customHeight="1" thickBot="1">
      <c r="A262" s="427" t="s">
        <v>499</v>
      </c>
      <c r="B262" s="454"/>
      <c r="C262" s="454"/>
      <c r="D262" s="454"/>
      <c r="E262" s="454"/>
      <c r="F262" s="454"/>
      <c r="G262" s="454"/>
      <c r="H262" s="454"/>
      <c r="I262" s="454"/>
      <c r="J262" s="454"/>
      <c r="K262" s="454"/>
      <c r="L262" s="454"/>
      <c r="M262" s="458">
        <v>374274.35687017388</v>
      </c>
      <c r="O262" s="332"/>
      <c r="P262" s="332"/>
      <c r="Q262" s="332"/>
      <c r="R262" s="332"/>
      <c r="S262" s="332"/>
      <c r="T262" s="332"/>
      <c r="U262" s="332"/>
      <c r="V262" s="332"/>
      <c r="W262" s="332"/>
      <c r="X262" s="332"/>
      <c r="Y262" s="332"/>
      <c r="Z262" s="332"/>
      <c r="AA262" s="332"/>
      <c r="AB262" s="332"/>
      <c r="AC262" s="332"/>
      <c r="AD262" s="332"/>
      <c r="AE262" s="332"/>
      <c r="AF262" s="332"/>
      <c r="AG262" s="332"/>
      <c r="AH262" s="332"/>
      <c r="AI262" s="332"/>
      <c r="AJ262" s="332"/>
      <c r="AK262" s="332"/>
    </row>
    <row r="263" spans="1:37" s="342" customFormat="1" ht="13.5" customHeight="1" thickTop="1">
      <c r="A263" s="441">
        <v>2008</v>
      </c>
      <c r="B263" s="455"/>
      <c r="C263" s="455"/>
      <c r="D263" s="455"/>
      <c r="E263" s="455"/>
      <c r="F263" s="455"/>
      <c r="G263" s="455"/>
      <c r="H263" s="455"/>
      <c r="I263" s="455"/>
      <c r="J263" s="455"/>
      <c r="K263" s="455"/>
      <c r="L263" s="455"/>
      <c r="M263" s="455"/>
    </row>
    <row r="264" spans="1:37" ht="10.5" customHeight="1">
      <c r="A264" s="325" t="s">
        <v>511</v>
      </c>
      <c r="B264" s="443"/>
      <c r="C264" s="443"/>
      <c r="D264" s="443"/>
      <c r="E264" s="443"/>
      <c r="F264" s="443"/>
      <c r="G264" s="443"/>
      <c r="H264" s="443"/>
      <c r="I264" s="443"/>
      <c r="J264" s="443"/>
      <c r="K264" s="443"/>
      <c r="L264" s="443"/>
      <c r="M264" s="443"/>
    </row>
    <row r="265" spans="1:37" ht="10.5" customHeight="1">
      <c r="A265" s="330" t="s">
        <v>494</v>
      </c>
      <c r="B265" s="443">
        <v>336620.66668592318</v>
      </c>
      <c r="C265" s="443">
        <v>13485.672854073357</v>
      </c>
      <c r="D265" s="443">
        <v>344183.66171231715</v>
      </c>
      <c r="E265" s="443">
        <v>138508.48088968734</v>
      </c>
      <c r="F265" s="443">
        <v>8721.740239956458</v>
      </c>
      <c r="G265" s="443">
        <v>0</v>
      </c>
      <c r="H265" s="443">
        <v>841520.22238195734</v>
      </c>
      <c r="I265" s="443"/>
      <c r="J265" s="443">
        <v>4223.812807199999</v>
      </c>
      <c r="K265" s="443">
        <v>4088.9413800000007</v>
      </c>
      <c r="L265" s="443">
        <v>5357.3023684669988</v>
      </c>
      <c r="M265" s="443">
        <v>855190.2789376243</v>
      </c>
      <c r="O265" s="332"/>
      <c r="P265" s="332"/>
      <c r="Q265" s="332"/>
      <c r="R265" s="332"/>
      <c r="S265" s="332"/>
      <c r="T265" s="332"/>
      <c r="U265" s="332"/>
      <c r="V265" s="332"/>
      <c r="W265" s="332"/>
      <c r="X265" s="332"/>
      <c r="Y265" s="332"/>
      <c r="Z265" s="332"/>
      <c r="AA265" s="332"/>
      <c r="AB265" s="332"/>
      <c r="AC265" s="332"/>
      <c r="AD265" s="332"/>
      <c r="AE265" s="332"/>
      <c r="AF265" s="332"/>
      <c r="AG265" s="332"/>
      <c r="AH265" s="332"/>
      <c r="AI265" s="332"/>
      <c r="AJ265" s="332"/>
      <c r="AK265" s="332"/>
    </row>
    <row r="266" spans="1:37" ht="10.5" customHeight="1">
      <c r="A266" s="330" t="s">
        <v>495</v>
      </c>
      <c r="B266" s="443">
        <v>121251.34408201941</v>
      </c>
      <c r="C266" s="443">
        <v>3666.9736194967227</v>
      </c>
      <c r="D266" s="443">
        <v>161578.75647814601</v>
      </c>
      <c r="E266" s="443">
        <v>52485.808334757006</v>
      </c>
      <c r="F266" s="443">
        <v>2631.2958548751403</v>
      </c>
      <c r="G266" s="443">
        <v>0</v>
      </c>
      <c r="H266" s="443">
        <v>341614.17836929427</v>
      </c>
      <c r="I266" s="443"/>
      <c r="J266" s="443">
        <v>4223.812807199999</v>
      </c>
      <c r="K266" s="443">
        <v>4088.9413800000007</v>
      </c>
      <c r="L266" s="443">
        <v>5357.3023684669988</v>
      </c>
      <c r="M266" s="443">
        <v>355284.23492496123</v>
      </c>
      <c r="O266" s="332"/>
      <c r="P266" s="332"/>
      <c r="Q266" s="332"/>
      <c r="R266" s="332"/>
      <c r="S266" s="332"/>
      <c r="T266" s="332"/>
      <c r="U266" s="332"/>
      <c r="V266" s="332"/>
      <c r="W266" s="332"/>
      <c r="X266" s="332"/>
      <c r="Y266" s="332"/>
      <c r="Z266" s="332"/>
      <c r="AA266" s="332"/>
      <c r="AB266" s="332"/>
      <c r="AC266" s="332"/>
      <c r="AD266" s="332"/>
      <c r="AE266" s="332"/>
      <c r="AF266" s="332"/>
      <c r="AG266" s="332"/>
      <c r="AH266" s="332"/>
      <c r="AI266" s="332"/>
      <c r="AJ266" s="332"/>
      <c r="AK266" s="332"/>
    </row>
    <row r="267" spans="1:37" ht="10.5" customHeight="1">
      <c r="A267" s="330" t="s">
        <v>496</v>
      </c>
      <c r="B267" s="443">
        <v>6158.540217035581</v>
      </c>
      <c r="C267" s="443">
        <v>629.16849946139291</v>
      </c>
      <c r="D267" s="443">
        <v>2777.1464659068151</v>
      </c>
      <c r="E267" s="443">
        <v>4812.7393347570032</v>
      </c>
      <c r="F267" s="443">
        <v>264.1925214242583</v>
      </c>
      <c r="G267" s="443">
        <v>0</v>
      </c>
      <c r="H267" s="443">
        <v>14641.787038585055</v>
      </c>
      <c r="I267" s="443"/>
      <c r="J267" s="443">
        <v>14.731783582659773</v>
      </c>
      <c r="K267" s="443">
        <v>14.261380000000827</v>
      </c>
      <c r="L267" s="443">
        <v>0</v>
      </c>
      <c r="M267" s="443">
        <v>14670.780202167716</v>
      </c>
      <c r="O267" s="332"/>
      <c r="P267" s="332"/>
      <c r="Q267" s="332"/>
      <c r="R267" s="332"/>
      <c r="S267" s="332"/>
      <c r="T267" s="332"/>
      <c r="U267" s="332"/>
      <c r="V267" s="332"/>
      <c r="W267" s="332"/>
      <c r="X267" s="332"/>
      <c r="Y267" s="332"/>
      <c r="Z267" s="332"/>
      <c r="AA267" s="332"/>
      <c r="AB267" s="332"/>
      <c r="AC267" s="332"/>
      <c r="AD267" s="332"/>
      <c r="AE267" s="332"/>
      <c r="AF267" s="332"/>
      <c r="AG267" s="332"/>
      <c r="AH267" s="332"/>
      <c r="AI267" s="332"/>
      <c r="AJ267" s="332"/>
      <c r="AK267" s="332"/>
    </row>
    <row r="268" spans="1:37" ht="10.5" customHeight="1">
      <c r="A268" s="330" t="s">
        <v>497</v>
      </c>
      <c r="B268" s="443">
        <v>115092.80386498383</v>
      </c>
      <c r="C268" s="443">
        <v>3037.8051200353298</v>
      </c>
      <c r="D268" s="443">
        <v>158801.61001223919</v>
      </c>
      <c r="E268" s="443">
        <v>47673.069000000003</v>
      </c>
      <c r="F268" s="443">
        <v>2367.103333450882</v>
      </c>
      <c r="G268" s="443">
        <v>0</v>
      </c>
      <c r="H268" s="443">
        <v>326972.39133070922</v>
      </c>
      <c r="I268" s="443"/>
      <c r="J268" s="443">
        <v>4209.0810236173393</v>
      </c>
      <c r="K268" s="443">
        <v>4074.68</v>
      </c>
      <c r="L268" s="443">
        <v>5357.3023684669988</v>
      </c>
      <c r="M268" s="443">
        <v>340613.45472279354</v>
      </c>
      <c r="O268" s="332"/>
      <c r="P268" s="332"/>
      <c r="Q268" s="332"/>
      <c r="R268" s="332"/>
      <c r="S268" s="332"/>
      <c r="T268" s="332"/>
      <c r="U268" s="332"/>
      <c r="V268" s="332"/>
      <c r="W268" s="332"/>
      <c r="X268" s="332"/>
      <c r="Y268" s="332"/>
      <c r="Z268" s="332"/>
      <c r="AA268" s="332"/>
      <c r="AB268" s="332"/>
      <c r="AC268" s="332"/>
      <c r="AD268" s="332"/>
      <c r="AE268" s="332"/>
      <c r="AF268" s="332"/>
      <c r="AG268" s="332"/>
      <c r="AH268" s="332"/>
      <c r="AI268" s="332"/>
      <c r="AJ268" s="332"/>
      <c r="AK268" s="332"/>
    </row>
    <row r="269" spans="1:37" ht="10.5" customHeight="1">
      <c r="A269" s="330" t="s">
        <v>498</v>
      </c>
      <c r="B269" s="443"/>
      <c r="C269" s="443"/>
      <c r="D269" s="443"/>
      <c r="E269" s="443"/>
      <c r="F269" s="443"/>
      <c r="G269" s="443"/>
      <c r="H269" s="443"/>
      <c r="I269" s="443"/>
      <c r="J269" s="443"/>
      <c r="K269" s="443"/>
      <c r="L269" s="443"/>
      <c r="M269" s="443">
        <v>5371.3050000000003</v>
      </c>
      <c r="O269" s="332"/>
      <c r="P269" s="332"/>
      <c r="Q269" s="332"/>
      <c r="R269" s="332"/>
      <c r="S269" s="332"/>
      <c r="T269" s="332"/>
      <c r="U269" s="332"/>
      <c r="V269" s="332"/>
      <c r="W269" s="332"/>
      <c r="X269" s="332"/>
      <c r="Y269" s="332"/>
      <c r="Z269" s="332"/>
      <c r="AA269" s="332"/>
      <c r="AB269" s="332"/>
      <c r="AC269" s="332"/>
      <c r="AD269" s="332"/>
      <c r="AE269" s="332"/>
      <c r="AF269" s="332"/>
      <c r="AG269" s="332"/>
      <c r="AH269" s="332"/>
      <c r="AI269" s="332"/>
      <c r="AJ269" s="332"/>
      <c r="AK269" s="332"/>
    </row>
    <row r="270" spans="1:37" ht="10.5" customHeight="1">
      <c r="A270" s="425" t="s">
        <v>499</v>
      </c>
      <c r="B270" s="451"/>
      <c r="C270" s="451"/>
      <c r="D270" s="451"/>
      <c r="E270" s="451"/>
      <c r="F270" s="451"/>
      <c r="G270" s="451"/>
      <c r="H270" s="451"/>
      <c r="I270" s="451"/>
      <c r="J270" s="451"/>
      <c r="K270" s="451"/>
      <c r="L270" s="451"/>
      <c r="M270" s="451">
        <v>335242.14972279355</v>
      </c>
      <c r="O270" s="332"/>
      <c r="P270" s="332"/>
      <c r="Q270" s="332"/>
      <c r="R270" s="332"/>
      <c r="S270" s="332"/>
      <c r="T270" s="332"/>
      <c r="U270" s="332"/>
      <c r="V270" s="332"/>
      <c r="W270" s="332"/>
      <c r="X270" s="332"/>
      <c r="Y270" s="332"/>
      <c r="Z270" s="332"/>
      <c r="AA270" s="332"/>
      <c r="AB270" s="332"/>
      <c r="AC270" s="332"/>
      <c r="AD270" s="332"/>
      <c r="AE270" s="332"/>
      <c r="AF270" s="332"/>
      <c r="AG270" s="332"/>
      <c r="AH270" s="332"/>
      <c r="AI270" s="332"/>
      <c r="AJ270" s="332"/>
      <c r="AK270" s="332"/>
    </row>
    <row r="271" spans="1:37" ht="10.5" customHeight="1">
      <c r="A271" s="325" t="s">
        <v>512</v>
      </c>
      <c r="B271" s="443"/>
      <c r="C271" s="443"/>
      <c r="D271" s="443"/>
      <c r="E271" s="443"/>
      <c r="F271" s="443"/>
      <c r="G271" s="443"/>
      <c r="H271" s="443"/>
      <c r="I271" s="443"/>
      <c r="J271" s="443"/>
      <c r="K271" s="443"/>
      <c r="L271" s="443"/>
      <c r="M271" s="443"/>
      <c r="O271" s="332"/>
      <c r="P271" s="332"/>
      <c r="Q271" s="332"/>
      <c r="R271" s="332"/>
      <c r="S271" s="332"/>
      <c r="T271" s="332"/>
      <c r="U271" s="332"/>
      <c r="V271" s="332"/>
      <c r="W271" s="332"/>
      <c r="X271" s="332"/>
      <c r="Y271" s="332"/>
      <c r="Z271" s="332"/>
      <c r="AA271" s="332"/>
      <c r="AB271" s="332"/>
      <c r="AC271" s="332"/>
      <c r="AD271" s="332"/>
      <c r="AE271" s="332"/>
      <c r="AF271" s="332"/>
      <c r="AG271" s="332"/>
      <c r="AH271" s="332"/>
      <c r="AI271" s="332"/>
      <c r="AJ271" s="332"/>
      <c r="AK271" s="332"/>
    </row>
    <row r="272" spans="1:37" ht="11.5" customHeight="1">
      <c r="A272" s="330" t="s">
        <v>494</v>
      </c>
      <c r="B272" s="443">
        <v>11055.399929066696</v>
      </c>
      <c r="C272" s="443">
        <v>7050.7234104464787</v>
      </c>
      <c r="D272" s="443">
        <v>33031.927304999997</v>
      </c>
      <c r="E272" s="443">
        <v>0</v>
      </c>
      <c r="F272" s="443">
        <v>32344.554763677097</v>
      </c>
      <c r="G272" s="443">
        <v>11348.130274892907</v>
      </c>
      <c r="H272" s="443">
        <v>94830.735683083185</v>
      </c>
      <c r="I272" s="443"/>
      <c r="J272" s="443">
        <v>944.12199999999996</v>
      </c>
      <c r="K272" s="443">
        <v>0</v>
      </c>
      <c r="L272" s="443">
        <v>1756.95</v>
      </c>
      <c r="M272" s="443">
        <v>97531.807683083185</v>
      </c>
      <c r="T272" s="332"/>
      <c r="U272" s="332"/>
      <c r="V272" s="332"/>
      <c r="W272" s="332"/>
      <c r="X272" s="332"/>
      <c r="Y272" s="332"/>
      <c r="Z272" s="332"/>
      <c r="AA272" s="332"/>
      <c r="AB272" s="332"/>
      <c r="AC272" s="332"/>
      <c r="AD272" s="332"/>
      <c r="AE272" s="332"/>
      <c r="AF272" s="332"/>
      <c r="AG272" s="332"/>
      <c r="AH272" s="332"/>
      <c r="AI272" s="332"/>
      <c r="AJ272" s="332"/>
      <c r="AK272" s="332"/>
    </row>
    <row r="273" spans="1:37" ht="10.5" customHeight="1">
      <c r="A273" s="330" t="s">
        <v>501</v>
      </c>
      <c r="B273" s="443">
        <v>4063.2869000000001</v>
      </c>
      <c r="C273" s="443">
        <v>2434.0878562624562</v>
      </c>
      <c r="D273" s="443">
        <v>15170.196937211573</v>
      </c>
      <c r="E273" s="443">
        <v>0</v>
      </c>
      <c r="F273" s="443">
        <v>7703.5211838240002</v>
      </c>
      <c r="G273" s="443">
        <v>2292.9094265259737</v>
      </c>
      <c r="H273" s="443">
        <v>31664.002303824</v>
      </c>
      <c r="I273" s="443"/>
      <c r="J273" s="443">
        <v>944.12199999999996</v>
      </c>
      <c r="K273" s="443">
        <v>0</v>
      </c>
      <c r="L273" s="443">
        <v>1756.95</v>
      </c>
      <c r="M273" s="443">
        <v>34365.074303823996</v>
      </c>
      <c r="T273" s="332"/>
      <c r="U273" s="332"/>
      <c r="V273" s="332"/>
      <c r="W273" s="332"/>
      <c r="X273" s="332"/>
      <c r="Y273" s="332"/>
      <c r="Z273" s="332"/>
      <c r="AA273" s="332"/>
      <c r="AB273" s="332"/>
      <c r="AC273" s="332"/>
      <c r="AD273" s="332"/>
      <c r="AE273" s="332"/>
      <c r="AF273" s="332"/>
      <c r="AG273" s="332"/>
      <c r="AH273" s="332"/>
      <c r="AI273" s="332"/>
      <c r="AJ273" s="332"/>
      <c r="AK273" s="332"/>
    </row>
    <row r="274" spans="1:37" ht="10.5" customHeight="1">
      <c r="A274" s="330" t="s">
        <v>496</v>
      </c>
      <c r="B274" s="452">
        <v>215.38437919999978</v>
      </c>
      <c r="C274" s="452">
        <v>167.6108159062801</v>
      </c>
      <c r="D274" s="452">
        <v>469.87673485050618</v>
      </c>
      <c r="E274" s="443">
        <v>0</v>
      </c>
      <c r="F274" s="452">
        <v>701.9292124731146</v>
      </c>
      <c r="G274" s="452">
        <v>74.616211314485554</v>
      </c>
      <c r="H274" s="452">
        <v>1629.4173537443821</v>
      </c>
      <c r="I274" s="452"/>
      <c r="J274" s="452">
        <v>16.875600000000077</v>
      </c>
      <c r="K274" s="443">
        <v>0</v>
      </c>
      <c r="L274" s="443">
        <v>0</v>
      </c>
      <c r="M274" s="452">
        <v>1646.2929537443822</v>
      </c>
      <c r="T274" s="332"/>
      <c r="U274" s="332"/>
      <c r="V274" s="332"/>
      <c r="W274" s="332"/>
      <c r="X274" s="332"/>
      <c r="Y274" s="332"/>
      <c r="Z274" s="332"/>
      <c r="AA274" s="332"/>
      <c r="AB274" s="332"/>
      <c r="AC274" s="332"/>
      <c r="AD274" s="332"/>
      <c r="AE274" s="332"/>
      <c r="AF274" s="332"/>
      <c r="AG274" s="332"/>
      <c r="AH274" s="332"/>
      <c r="AI274" s="332"/>
      <c r="AJ274" s="332"/>
      <c r="AK274" s="332"/>
    </row>
    <row r="275" spans="1:37" ht="10.5" customHeight="1">
      <c r="A275" s="425" t="s">
        <v>502</v>
      </c>
      <c r="B275" s="451">
        <v>3847.9025208000003</v>
      </c>
      <c r="C275" s="451">
        <v>2266.4770403561761</v>
      </c>
      <c r="D275" s="451">
        <v>14700.320202361067</v>
      </c>
      <c r="E275" s="451">
        <v>0</v>
      </c>
      <c r="F275" s="451">
        <v>7001.5919713508856</v>
      </c>
      <c r="G275" s="451">
        <v>2218.2932152114881</v>
      </c>
      <c r="H275" s="451">
        <v>30034.584950079618</v>
      </c>
      <c r="I275" s="451"/>
      <c r="J275" s="451">
        <v>927.24639999999988</v>
      </c>
      <c r="K275" s="451">
        <v>0</v>
      </c>
      <c r="L275" s="451">
        <v>1756.95</v>
      </c>
      <c r="M275" s="451">
        <v>32718.781350079618</v>
      </c>
      <c r="T275" s="332"/>
      <c r="U275" s="332"/>
      <c r="V275" s="332"/>
      <c r="W275" s="332"/>
      <c r="X275" s="332"/>
      <c r="Y275" s="332"/>
      <c r="Z275" s="332"/>
      <c r="AA275" s="332"/>
      <c r="AB275" s="332"/>
      <c r="AC275" s="332"/>
      <c r="AD275" s="332"/>
      <c r="AE275" s="332"/>
      <c r="AF275" s="332"/>
      <c r="AG275" s="332"/>
      <c r="AH275" s="332"/>
      <c r="AI275" s="332"/>
      <c r="AJ275" s="332"/>
      <c r="AK275" s="332"/>
    </row>
    <row r="276" spans="1:37" ht="10.5" customHeight="1">
      <c r="A276" s="325" t="s">
        <v>503</v>
      </c>
      <c r="B276" s="443"/>
      <c r="C276" s="443"/>
      <c r="D276" s="443"/>
      <c r="E276" s="443"/>
      <c r="F276" s="443"/>
      <c r="G276" s="443"/>
      <c r="H276" s="443"/>
      <c r="I276" s="443"/>
      <c r="J276" s="443"/>
      <c r="K276" s="443"/>
      <c r="L276" s="443"/>
      <c r="M276" s="443"/>
      <c r="T276" s="332"/>
      <c r="U276" s="332"/>
      <c r="V276" s="332"/>
      <c r="W276" s="332"/>
      <c r="X276" s="332"/>
      <c r="Y276" s="332"/>
      <c r="Z276" s="332"/>
      <c r="AA276" s="332"/>
      <c r="AB276" s="332"/>
      <c r="AC276" s="332"/>
      <c r="AD276" s="332"/>
      <c r="AE276" s="332"/>
      <c r="AF276" s="332"/>
      <c r="AG276" s="332"/>
      <c r="AH276" s="332"/>
      <c r="AI276" s="332"/>
      <c r="AJ276" s="332"/>
      <c r="AK276" s="332"/>
    </row>
    <row r="277" spans="1:37" ht="10.5" customHeight="1">
      <c r="A277" s="330" t="s">
        <v>504</v>
      </c>
      <c r="B277" s="443">
        <v>347676.06661498989</v>
      </c>
      <c r="C277" s="443">
        <v>20536.396264519833</v>
      </c>
      <c r="D277" s="443">
        <v>377215.58901731716</v>
      </c>
      <c r="E277" s="443">
        <v>138508.48088968734</v>
      </c>
      <c r="F277" s="443">
        <v>41066.295003633553</v>
      </c>
      <c r="G277" s="443">
        <v>11348.130274892907</v>
      </c>
      <c r="H277" s="443">
        <v>933781.61115875968</v>
      </c>
      <c r="I277" s="443"/>
      <c r="J277" s="443">
        <v>5167.9348071999993</v>
      </c>
      <c r="K277" s="443">
        <v>4088.9413800000007</v>
      </c>
      <c r="L277" s="443">
        <v>7114.2523684669986</v>
      </c>
      <c r="M277" s="443">
        <v>952722.08662070753</v>
      </c>
      <c r="T277" s="332"/>
      <c r="U277" s="332"/>
      <c r="V277" s="332"/>
      <c r="W277" s="332"/>
      <c r="X277" s="332"/>
      <c r="Y277" s="332"/>
      <c r="Z277" s="332"/>
      <c r="AA277" s="332"/>
      <c r="AB277" s="332"/>
      <c r="AC277" s="332"/>
      <c r="AD277" s="332"/>
      <c r="AE277" s="332"/>
      <c r="AF277" s="332"/>
      <c r="AG277" s="332"/>
      <c r="AH277" s="332"/>
      <c r="AI277" s="332"/>
      <c r="AJ277" s="332"/>
      <c r="AK277" s="332"/>
    </row>
    <row r="278" spans="1:37" ht="10.5" customHeight="1">
      <c r="A278" s="330" t="s">
        <v>501</v>
      </c>
      <c r="B278" s="443">
        <v>125314.63098201941</v>
      </c>
      <c r="C278" s="443">
        <v>6101.0614757591793</v>
      </c>
      <c r="D278" s="443">
        <v>176748.9534153576</v>
      </c>
      <c r="E278" s="443">
        <v>52485.808334757006</v>
      </c>
      <c r="F278" s="443">
        <v>10334.817038699141</v>
      </c>
      <c r="G278" s="443">
        <v>2292.9094265259737</v>
      </c>
      <c r="H278" s="443">
        <v>373278.18067311827</v>
      </c>
      <c r="I278" s="443"/>
      <c r="J278" s="443">
        <v>5167.9348071999993</v>
      </c>
      <c r="K278" s="443">
        <v>4088.9413800000007</v>
      </c>
      <c r="L278" s="443">
        <v>7114.2523684669986</v>
      </c>
      <c r="M278" s="443">
        <v>389649.30922878522</v>
      </c>
      <c r="N278" s="335"/>
      <c r="O278" s="332"/>
      <c r="P278" s="332"/>
      <c r="Q278" s="332"/>
      <c r="R278" s="332"/>
      <c r="S278" s="332"/>
      <c r="T278" s="332"/>
      <c r="U278" s="332"/>
      <c r="V278" s="332"/>
      <c r="W278" s="332"/>
      <c r="X278" s="332"/>
      <c r="Y278" s="332"/>
      <c r="Z278" s="332"/>
      <c r="AA278" s="332"/>
      <c r="AB278" s="332"/>
      <c r="AC278" s="332"/>
      <c r="AD278" s="332"/>
      <c r="AE278" s="332"/>
      <c r="AF278" s="332"/>
      <c r="AG278" s="332"/>
      <c r="AH278" s="332"/>
      <c r="AI278" s="332"/>
      <c r="AJ278" s="332"/>
      <c r="AK278" s="332"/>
    </row>
    <row r="279" spans="1:37" ht="10.5" customHeight="1">
      <c r="A279" s="330" t="s">
        <v>496</v>
      </c>
      <c r="B279" s="443">
        <v>6373.9245962355808</v>
      </c>
      <c r="C279" s="443">
        <v>796.77931536767301</v>
      </c>
      <c r="D279" s="443">
        <v>3247.0232007573213</v>
      </c>
      <c r="E279" s="443">
        <v>4812.7393347570032</v>
      </c>
      <c r="F279" s="443">
        <v>966.12173389737291</v>
      </c>
      <c r="G279" s="443">
        <v>74.616211314485554</v>
      </c>
      <c r="H279" s="443">
        <v>16271.204392329437</v>
      </c>
      <c r="I279" s="443"/>
      <c r="J279" s="443">
        <v>31.60738358265985</v>
      </c>
      <c r="K279" s="443">
        <v>14.261380000000827</v>
      </c>
      <c r="L279" s="443">
        <v>0</v>
      </c>
      <c r="M279" s="443">
        <v>16317.073155912098</v>
      </c>
      <c r="O279" s="332"/>
      <c r="P279" s="332"/>
      <c r="Q279" s="332"/>
      <c r="R279" s="332"/>
      <c r="S279" s="332"/>
      <c r="T279" s="332"/>
      <c r="U279" s="332"/>
      <c r="V279" s="332"/>
      <c r="W279" s="332"/>
      <c r="X279" s="332"/>
      <c r="Y279" s="332"/>
      <c r="Z279" s="332"/>
      <c r="AA279" s="332"/>
      <c r="AB279" s="332"/>
      <c r="AC279" s="332"/>
      <c r="AD279" s="332"/>
      <c r="AE279" s="332"/>
      <c r="AF279" s="332"/>
      <c r="AG279" s="332"/>
      <c r="AH279" s="332"/>
      <c r="AI279" s="332"/>
      <c r="AJ279" s="332"/>
      <c r="AK279" s="332"/>
    </row>
    <row r="280" spans="1:37" ht="10.5" customHeight="1">
      <c r="A280" s="330" t="s">
        <v>497</v>
      </c>
      <c r="B280" s="443">
        <v>118940.70638578382</v>
      </c>
      <c r="C280" s="443">
        <v>5304.2821603915054</v>
      </c>
      <c r="D280" s="443">
        <v>173501.93021460026</v>
      </c>
      <c r="E280" s="443">
        <v>47673.069000000003</v>
      </c>
      <c r="F280" s="443">
        <v>9368.6953048017676</v>
      </c>
      <c r="G280" s="443">
        <v>2218.2932152114881</v>
      </c>
      <c r="H280" s="443">
        <v>357006.97628078883</v>
      </c>
      <c r="I280" s="443"/>
      <c r="J280" s="443">
        <v>5136.3274236173393</v>
      </c>
      <c r="K280" s="443">
        <v>4074.68</v>
      </c>
      <c r="L280" s="443">
        <v>7114.2523684669986</v>
      </c>
      <c r="M280" s="443">
        <v>373332.23607287317</v>
      </c>
      <c r="O280" s="332"/>
      <c r="P280" s="332"/>
      <c r="Q280" s="332"/>
      <c r="R280" s="332"/>
      <c r="S280" s="332"/>
      <c r="T280" s="332"/>
      <c r="U280" s="332"/>
      <c r="V280" s="332"/>
      <c r="W280" s="332"/>
      <c r="X280" s="332"/>
      <c r="Y280" s="332"/>
      <c r="Z280" s="332"/>
      <c r="AA280" s="332"/>
      <c r="AB280" s="332"/>
      <c r="AC280" s="332"/>
      <c r="AD280" s="332"/>
      <c r="AE280" s="332"/>
      <c r="AF280" s="332"/>
      <c r="AG280" s="332"/>
      <c r="AH280" s="332"/>
      <c r="AI280" s="332"/>
      <c r="AJ280" s="332"/>
      <c r="AK280" s="332"/>
    </row>
    <row r="281" spans="1:37" ht="10.5" customHeight="1">
      <c r="A281" s="330" t="s">
        <v>498</v>
      </c>
      <c r="B281" s="443"/>
      <c r="C281" s="443"/>
      <c r="D281" s="443"/>
      <c r="E281" s="443"/>
      <c r="F281" s="443"/>
      <c r="G281" s="443"/>
      <c r="H281" s="443"/>
      <c r="I281" s="443"/>
      <c r="J281" s="443"/>
      <c r="K281" s="443"/>
      <c r="L281" s="443"/>
      <c r="M281" s="443">
        <v>5371.3050000000003</v>
      </c>
      <c r="O281" s="332"/>
      <c r="P281" s="332"/>
      <c r="Q281" s="332"/>
      <c r="R281" s="332"/>
      <c r="S281" s="332"/>
      <c r="T281" s="332"/>
      <c r="U281" s="332"/>
      <c r="V281" s="332"/>
      <c r="W281" s="332"/>
      <c r="X281" s="332"/>
      <c r="Y281" s="332"/>
      <c r="Z281" s="332"/>
      <c r="AA281" s="332"/>
      <c r="AB281" s="332"/>
      <c r="AC281" s="332"/>
      <c r="AD281" s="332"/>
      <c r="AE281" s="332"/>
      <c r="AF281" s="332"/>
      <c r="AG281" s="332"/>
      <c r="AH281" s="332"/>
      <c r="AI281" s="332"/>
      <c r="AJ281" s="332"/>
      <c r="AK281" s="332"/>
    </row>
    <row r="282" spans="1:37" ht="10.5" customHeight="1" thickBot="1">
      <c r="A282" s="427" t="s">
        <v>499</v>
      </c>
      <c r="B282" s="454"/>
      <c r="C282" s="454"/>
      <c r="D282" s="454"/>
      <c r="E282" s="454"/>
      <c r="F282" s="454"/>
      <c r="G282" s="454"/>
      <c r="H282" s="454"/>
      <c r="I282" s="454"/>
      <c r="J282" s="454"/>
      <c r="K282" s="454"/>
      <c r="L282" s="454"/>
      <c r="M282" s="454">
        <v>367960.93107287318</v>
      </c>
      <c r="O282" s="332"/>
      <c r="P282" s="332"/>
      <c r="Q282" s="332"/>
      <c r="R282" s="332"/>
      <c r="S282" s="332"/>
      <c r="T282" s="332"/>
      <c r="U282" s="332"/>
      <c r="V282" s="332"/>
      <c r="W282" s="332"/>
      <c r="X282" s="332"/>
      <c r="Y282" s="332"/>
      <c r="Z282" s="332"/>
      <c r="AA282" s="332"/>
      <c r="AB282" s="332"/>
      <c r="AC282" s="332"/>
      <c r="AD282" s="332"/>
      <c r="AE282" s="332"/>
      <c r="AF282" s="332"/>
      <c r="AG282" s="332"/>
      <c r="AH282" s="332"/>
      <c r="AI282" s="332"/>
      <c r="AJ282" s="332"/>
      <c r="AK282" s="332"/>
    </row>
    <row r="283" spans="1:37" ht="14" thickTop="1">
      <c r="A283" s="459"/>
      <c r="B283" s="461"/>
      <c r="C283" s="461"/>
      <c r="D283" s="461"/>
      <c r="E283" s="461"/>
      <c r="F283" s="461"/>
      <c r="G283" s="461"/>
      <c r="H283" s="461"/>
      <c r="I283" s="461"/>
      <c r="J283" s="461"/>
      <c r="K283" s="461"/>
      <c r="L283" s="461"/>
      <c r="M283" s="461"/>
    </row>
    <row r="284" spans="1:37" ht="14" thickBot="1">
      <c r="A284" s="462" t="s">
        <v>271</v>
      </c>
      <c r="B284" s="463"/>
      <c r="C284" s="2227">
        <v>2004</v>
      </c>
      <c r="D284" s="2227"/>
      <c r="E284" s="2228">
        <v>2005</v>
      </c>
      <c r="F284" s="2228"/>
      <c r="G284" s="2227">
        <v>2006</v>
      </c>
      <c r="H284" s="2227"/>
      <c r="I284" s="464"/>
      <c r="J284" s="2228">
        <v>2007</v>
      </c>
      <c r="K284" s="2228"/>
      <c r="L284" s="2227">
        <v>2008</v>
      </c>
      <c r="M284" s="2227"/>
    </row>
    <row r="285" spans="1:37" s="342" customFormat="1" ht="11.5" customHeight="1" thickTop="1">
      <c r="A285" s="336"/>
      <c r="B285" s="318"/>
      <c r="C285" s="465" t="s">
        <v>513</v>
      </c>
      <c r="D285" s="465" t="s">
        <v>514</v>
      </c>
      <c r="E285" s="465" t="s">
        <v>513</v>
      </c>
      <c r="F285" s="465" t="s">
        <v>514</v>
      </c>
      <c r="G285" s="465" t="s">
        <v>513</v>
      </c>
      <c r="H285" s="465" t="s">
        <v>514</v>
      </c>
      <c r="I285" s="465"/>
      <c r="J285" s="465" t="s">
        <v>513</v>
      </c>
      <c r="K285" s="465" t="s">
        <v>514</v>
      </c>
      <c r="L285" s="465" t="s">
        <v>513</v>
      </c>
      <c r="M285" s="465" t="s">
        <v>514</v>
      </c>
    </row>
    <row r="286" spans="1:37" ht="10.5" customHeight="1">
      <c r="C286" s="465" t="s">
        <v>515</v>
      </c>
      <c r="D286" s="465"/>
      <c r="E286" s="465" t="s">
        <v>515</v>
      </c>
      <c r="F286" s="465"/>
      <c r="G286" s="465" t="s">
        <v>515</v>
      </c>
      <c r="H286" s="465"/>
      <c r="I286" s="465"/>
      <c r="J286" s="465" t="s">
        <v>515</v>
      </c>
      <c r="K286" s="465"/>
      <c r="L286" s="465" t="s">
        <v>515</v>
      </c>
      <c r="M286" s="465"/>
    </row>
    <row r="287" spans="1:37" ht="10.5" customHeight="1">
      <c r="C287" s="465" t="s">
        <v>516</v>
      </c>
      <c r="D287" s="465"/>
      <c r="E287" s="465" t="s">
        <v>516</v>
      </c>
      <c r="F287" s="465"/>
      <c r="G287" s="465" t="s">
        <v>516</v>
      </c>
      <c r="H287" s="465"/>
      <c r="I287" s="465"/>
      <c r="J287" s="465" t="s">
        <v>516</v>
      </c>
      <c r="K287" s="465"/>
      <c r="L287" s="465" t="s">
        <v>516</v>
      </c>
      <c r="M287" s="465"/>
    </row>
    <row r="288" spans="1:37" s="342" customFormat="1" ht="11.5" customHeight="1">
      <c r="A288" s="439"/>
      <c r="B288" s="466"/>
      <c r="C288" s="467" t="s">
        <v>517</v>
      </c>
      <c r="D288" s="468"/>
      <c r="E288" s="467" t="s">
        <v>517</v>
      </c>
      <c r="F288" s="468"/>
      <c r="G288" s="467" t="s">
        <v>517</v>
      </c>
      <c r="H288" s="469"/>
      <c r="I288" s="467"/>
      <c r="J288" s="467" t="s">
        <v>517</v>
      </c>
      <c r="K288" s="469"/>
      <c r="L288" s="467" t="s">
        <v>517</v>
      </c>
      <c r="M288" s="469"/>
    </row>
    <row r="289" spans="1:13" ht="10.5" customHeight="1">
      <c r="A289" s="382" t="s">
        <v>518</v>
      </c>
      <c r="B289" s="342"/>
      <c r="C289" s="470"/>
      <c r="D289" s="470"/>
      <c r="E289" s="470"/>
      <c r="F289" s="470"/>
      <c r="G289" s="470"/>
      <c r="H289" s="470"/>
      <c r="I289" s="470"/>
      <c r="J289" s="470"/>
      <c r="K289" s="470"/>
      <c r="L289" s="470"/>
      <c r="M289" s="470"/>
    </row>
    <row r="290" spans="1:13" ht="10.5" customHeight="1">
      <c r="A290" s="330" t="s">
        <v>519</v>
      </c>
      <c r="C290" s="446">
        <v>140575.74328143988</v>
      </c>
      <c r="D290" s="446">
        <v>131182</v>
      </c>
      <c r="E290" s="446">
        <v>143149.37128507753</v>
      </c>
      <c r="F290" s="446">
        <v>130689</v>
      </c>
      <c r="G290" s="471">
        <v>159740.50677552022</v>
      </c>
      <c r="H290" s="446">
        <v>118495</v>
      </c>
      <c r="I290" s="471">
        <v>118495</v>
      </c>
      <c r="J290" s="456">
        <v>146984.01516630291</v>
      </c>
      <c r="K290" s="446">
        <v>139826</v>
      </c>
      <c r="L290" s="452">
        <v>130394.37003453728</v>
      </c>
      <c r="M290" s="446">
        <v>158734</v>
      </c>
    </row>
    <row r="291" spans="1:13" s="342" customFormat="1" ht="11.5" customHeight="1">
      <c r="A291" s="425" t="s">
        <v>497</v>
      </c>
      <c r="B291" s="466"/>
      <c r="C291" s="447">
        <v>133606.57323177886</v>
      </c>
      <c r="D291" s="447">
        <v>128983</v>
      </c>
      <c r="E291" s="447">
        <v>135998.6500980992</v>
      </c>
      <c r="F291" s="447">
        <v>128179</v>
      </c>
      <c r="G291" s="472">
        <v>151162.70059194393</v>
      </c>
      <c r="H291" s="447">
        <v>116398</v>
      </c>
      <c r="I291" s="447">
        <v>116398</v>
      </c>
      <c r="J291" s="451">
        <v>138973.01618322468</v>
      </c>
      <c r="K291" s="447">
        <v>137561</v>
      </c>
      <c r="L291" s="451">
        <v>123074.3223307092</v>
      </c>
      <c r="M291" s="447">
        <v>156225</v>
      </c>
    </row>
    <row r="292" spans="1:13" ht="10.5" customHeight="1">
      <c r="A292" s="382" t="s">
        <v>520</v>
      </c>
      <c r="B292" s="342"/>
      <c r="C292" s="473"/>
      <c r="D292" s="473"/>
      <c r="E292" s="473"/>
      <c r="F292" s="473"/>
      <c r="G292" s="473"/>
      <c r="H292" s="473"/>
      <c r="I292" s="473"/>
      <c r="J292" s="455"/>
      <c r="K292" s="473"/>
      <c r="L292" s="308"/>
      <c r="M292" s="316"/>
    </row>
    <row r="293" spans="1:13" ht="10.5" customHeight="1">
      <c r="A293" s="330" t="s">
        <v>519</v>
      </c>
      <c r="C293" s="471">
        <v>20888.223917891028</v>
      </c>
      <c r="D293" s="446">
        <v>11852</v>
      </c>
      <c r="E293" s="354">
        <v>20347.823029999996</v>
      </c>
      <c r="F293" s="354">
        <v>11792</v>
      </c>
      <c r="G293" s="456">
        <v>19363.673799600012</v>
      </c>
      <c r="H293" s="354">
        <v>11561</v>
      </c>
      <c r="I293" s="474">
        <v>11561</v>
      </c>
      <c r="J293" s="456">
        <v>21453.715071000006</v>
      </c>
      <c r="K293" s="354">
        <v>11516</v>
      </c>
      <c r="L293" s="335">
        <v>20655.002303824</v>
      </c>
      <c r="M293" s="354">
        <v>11009</v>
      </c>
    </row>
    <row r="294" spans="1:13" ht="10.5" customHeight="1">
      <c r="A294" s="425" t="s">
        <v>497</v>
      </c>
      <c r="B294" s="466"/>
      <c r="C294" s="472">
        <v>20046.025089978208</v>
      </c>
      <c r="D294" s="447">
        <v>11260</v>
      </c>
      <c r="E294" s="346">
        <v>19493.569675408879</v>
      </c>
      <c r="F294" s="346">
        <v>11204</v>
      </c>
      <c r="G294" s="457">
        <v>18482.911708860895</v>
      </c>
      <c r="H294" s="346">
        <v>10984</v>
      </c>
      <c r="I294" s="475">
        <v>10984</v>
      </c>
      <c r="J294" s="457">
        <v>20444.756451949157</v>
      </c>
      <c r="K294" s="346">
        <v>10941</v>
      </c>
      <c r="L294" s="337">
        <v>19574.584950079618</v>
      </c>
      <c r="M294" s="346">
        <v>10460</v>
      </c>
    </row>
    <row r="295" spans="1:13" ht="10.5" customHeight="1">
      <c r="A295" s="382" t="s">
        <v>503</v>
      </c>
      <c r="B295" s="342"/>
      <c r="C295" s="449"/>
      <c r="D295" s="449"/>
      <c r="E295" s="476"/>
      <c r="F295" s="476"/>
      <c r="G295" s="455"/>
      <c r="H295" s="476"/>
      <c r="I295" s="473"/>
      <c r="J295" s="455"/>
      <c r="K295" s="476"/>
      <c r="L295" s="332"/>
      <c r="M295" s="331"/>
    </row>
    <row r="296" spans="1:13" ht="10.5" customHeight="1">
      <c r="A296" s="330" t="s">
        <v>519</v>
      </c>
      <c r="C296" s="477">
        <v>161463.96719933092</v>
      </c>
      <c r="D296" s="444">
        <v>143034</v>
      </c>
      <c r="E296" s="331">
        <v>163497.19431507753</v>
      </c>
      <c r="F296" s="331">
        <v>142481</v>
      </c>
      <c r="G296" s="453">
        <v>179104.18057512023</v>
      </c>
      <c r="H296" s="331">
        <v>130056</v>
      </c>
      <c r="I296" s="478">
        <v>130056</v>
      </c>
      <c r="J296" s="453">
        <v>168437.73023730292</v>
      </c>
      <c r="K296" s="331">
        <v>151342</v>
      </c>
      <c r="L296" s="335">
        <v>151049.37233836128</v>
      </c>
      <c r="M296" s="354">
        <v>169743</v>
      </c>
    </row>
    <row r="297" spans="1:13" ht="11.25" customHeight="1" thickBot="1">
      <c r="A297" s="427" t="s">
        <v>497</v>
      </c>
      <c r="B297" s="479"/>
      <c r="C297" s="480">
        <v>153652.59832175708</v>
      </c>
      <c r="D297" s="448">
        <v>140243</v>
      </c>
      <c r="E297" s="481">
        <v>155492.21977350808</v>
      </c>
      <c r="F297" s="481">
        <v>139383</v>
      </c>
      <c r="G297" s="458">
        <v>169645.61230080482</v>
      </c>
      <c r="H297" s="481">
        <v>127382</v>
      </c>
      <c r="I297" s="482">
        <v>127382</v>
      </c>
      <c r="J297" s="458">
        <v>159417.77263517384</v>
      </c>
      <c r="K297" s="481">
        <v>148502</v>
      </c>
      <c r="L297" s="428">
        <v>142648.90728078882</v>
      </c>
      <c r="M297" s="481">
        <v>166685</v>
      </c>
    </row>
    <row r="298" spans="1:13" ht="10.5" customHeight="1" thickTop="1">
      <c r="A298" s="459"/>
      <c r="B298" s="318"/>
      <c r="C298" s="452"/>
      <c r="D298" s="452"/>
      <c r="E298" s="452"/>
      <c r="F298" s="452"/>
      <c r="G298" s="452"/>
      <c r="H298" s="452"/>
      <c r="I298" s="483"/>
      <c r="J298" s="484"/>
      <c r="K298" s="484"/>
      <c r="L298" s="484"/>
      <c r="M298" s="484"/>
    </row>
    <row r="299" spans="1:13" s="308" customFormat="1" ht="10.5" customHeight="1">
      <c r="A299" s="390" t="s">
        <v>521</v>
      </c>
      <c r="B299" s="326"/>
      <c r="C299" s="326"/>
      <c r="D299" s="326"/>
      <c r="E299" s="326"/>
      <c r="F299" s="326"/>
      <c r="G299" s="326"/>
      <c r="H299" s="326"/>
      <c r="I299" s="326"/>
      <c r="J299" s="336"/>
      <c r="K299" s="336"/>
      <c r="L299" s="336"/>
      <c r="M299" s="336"/>
    </row>
    <row r="300" spans="1:13" s="312" customFormat="1" ht="10.5" customHeight="1">
      <c r="A300" s="390" t="s">
        <v>522</v>
      </c>
      <c r="B300" s="485"/>
      <c r="C300" s="485"/>
      <c r="D300" s="485"/>
      <c r="E300" s="485"/>
      <c r="F300" s="485"/>
      <c r="G300" s="485"/>
      <c r="H300" s="485"/>
      <c r="I300" s="485"/>
      <c r="J300" s="485"/>
      <c r="K300" s="485"/>
      <c r="L300" s="485"/>
      <c r="M300" s="485"/>
    </row>
    <row r="301" spans="1:13" s="308" customFormat="1" ht="10.5" customHeight="1">
      <c r="A301" s="390" t="s">
        <v>523</v>
      </c>
      <c r="B301" s="336"/>
      <c r="C301" s="336"/>
      <c r="D301" s="336"/>
      <c r="E301" s="336"/>
      <c r="F301" s="336"/>
      <c r="G301" s="336"/>
      <c r="H301" s="336"/>
      <c r="I301" s="336"/>
      <c r="J301" s="336"/>
      <c r="K301" s="336"/>
      <c r="L301" s="336"/>
      <c r="M301" s="336"/>
    </row>
    <row r="302" spans="1:13" s="308" customFormat="1" ht="10.5" customHeight="1">
      <c r="A302" s="390" t="s">
        <v>524</v>
      </c>
      <c r="B302" s="336"/>
      <c r="C302" s="336"/>
      <c r="D302" s="336"/>
      <c r="E302" s="336"/>
      <c r="F302" s="336"/>
      <c r="G302" s="336"/>
      <c r="H302" s="336"/>
      <c r="I302" s="336"/>
      <c r="J302" s="336"/>
      <c r="K302" s="336"/>
      <c r="L302" s="336"/>
      <c r="M302" s="336"/>
    </row>
    <row r="303" spans="1:13" s="312" customFormat="1" ht="10.5" customHeight="1">
      <c r="A303" s="390" t="s">
        <v>470</v>
      </c>
      <c r="B303" s="485"/>
      <c r="C303" s="485"/>
      <c r="D303" s="485"/>
      <c r="E303" s="485"/>
      <c r="F303" s="485"/>
      <c r="G303" s="485"/>
      <c r="H303" s="485"/>
      <c r="I303" s="485"/>
      <c r="J303" s="485"/>
      <c r="K303" s="485"/>
      <c r="L303" s="485"/>
      <c r="M303" s="485"/>
    </row>
    <row r="304" spans="1:13" s="308" customFormat="1" ht="10.5" customHeight="1">
      <c r="A304" s="390" t="s">
        <v>525</v>
      </c>
      <c r="B304" s="336"/>
      <c r="C304" s="336"/>
      <c r="D304" s="336"/>
      <c r="E304" s="336"/>
      <c r="F304" s="336"/>
      <c r="G304" s="336"/>
      <c r="H304" s="336"/>
      <c r="I304" s="336"/>
      <c r="J304" s="336"/>
      <c r="K304" s="336"/>
      <c r="L304" s="336"/>
      <c r="M304" s="336"/>
    </row>
    <row r="305" spans="1:1" s="308" customFormat="1" ht="10.5" customHeight="1">
      <c r="A305" s="390" t="s">
        <v>526</v>
      </c>
    </row>
  </sheetData>
  <mergeCells count="17">
    <mergeCell ref="B67:H67"/>
    <mergeCell ref="J67:M67"/>
    <mergeCell ref="B3:H3"/>
    <mergeCell ref="J3:M3"/>
    <mergeCell ref="N3:Z3"/>
    <mergeCell ref="O4:U4"/>
    <mergeCell ref="W4:Y4"/>
    <mergeCell ref="C284:D284"/>
    <mergeCell ref="E284:F284"/>
    <mergeCell ref="G284:H284"/>
    <mergeCell ref="J284:K284"/>
    <mergeCell ref="L284:M284"/>
    <mergeCell ref="B111:H111"/>
    <mergeCell ref="J111:M111"/>
    <mergeCell ref="A238:M238"/>
    <mergeCell ref="B239:H239"/>
    <mergeCell ref="J239:M239"/>
  </mergeCells>
  <pageMargins left="0.51181102362204722" right="0.51181102362204722" top="0.51181102362204722" bottom="0.39370078740157483" header="0.27559055118110237" footer="0.19685039370078741"/>
  <pageSetup paperSize="9" scale="30" orientation="portrait"/>
  <headerFooter alignWithMargins="0">
    <oddHeader>&amp;R&amp;"Arial,Bold"ELECTRICITY</oddHeader>
    <oddFooter>&amp;C&amp;P</oddFooter>
  </headerFooter>
  <rowBreaks count="1" manualBreakCount="1">
    <brk id="235" max="12" man="1"/>
  </row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enableFormatConditionsCalculation="0">
    <pageSetUpPr fitToPage="1"/>
  </sheetPr>
  <dimension ref="A1:AJ72"/>
  <sheetViews>
    <sheetView workbookViewId="0"/>
  </sheetViews>
  <sheetFormatPr baseColWidth="10" defaultColWidth="8.83203125" defaultRowHeight="13" x14ac:dyDescent="0"/>
  <cols>
    <col min="1" max="1" width="19.1640625" style="127" customWidth="1"/>
    <col min="2" max="3" width="8.5" style="127" customWidth="1"/>
    <col min="4" max="4" width="16.5" style="127" customWidth="1"/>
    <col min="5" max="5" width="15" style="127" customWidth="1"/>
    <col min="6" max="6" width="8.83203125" style="127"/>
    <col min="7" max="7" width="13.83203125" style="127" customWidth="1"/>
    <col min="8" max="8" width="3.5" style="127" hidden="1" customWidth="1"/>
    <col min="9" max="9" width="2.5" style="127" customWidth="1"/>
    <col min="10" max="10" width="13.6640625" style="127" customWidth="1"/>
    <col min="11" max="11" width="11.5" style="127" customWidth="1"/>
    <col min="12" max="14" width="12" style="127" customWidth="1"/>
    <col min="15" max="15" width="12.33203125" style="127" customWidth="1"/>
    <col min="16" max="16" width="2.5" style="127" customWidth="1"/>
    <col min="17" max="17" width="22" style="188" customWidth="1"/>
    <col min="18" max="256" width="8.83203125" style="127"/>
    <col min="257" max="257" width="19.1640625" style="127" customWidth="1"/>
    <col min="258" max="259" width="8.5" style="127" customWidth="1"/>
    <col min="260" max="260" width="16.5" style="127" customWidth="1"/>
    <col min="261" max="261" width="15" style="127" customWidth="1"/>
    <col min="262" max="262" width="8.83203125" style="127"/>
    <col min="263" max="263" width="13.83203125" style="127" customWidth="1"/>
    <col min="264" max="264" width="0" style="127" hidden="1" customWidth="1"/>
    <col min="265" max="265" width="2.5" style="127" customWidth="1"/>
    <col min="266" max="266" width="13.6640625" style="127" customWidth="1"/>
    <col min="267" max="267" width="11.5" style="127" customWidth="1"/>
    <col min="268" max="270" width="12" style="127" customWidth="1"/>
    <col min="271" max="271" width="12.33203125" style="127" customWidth="1"/>
    <col min="272" max="272" width="2.5" style="127" customWidth="1"/>
    <col min="273" max="273" width="22" style="127" customWidth="1"/>
    <col min="274" max="512" width="8.83203125" style="127"/>
    <col min="513" max="513" width="19.1640625" style="127" customWidth="1"/>
    <col min="514" max="515" width="8.5" style="127" customWidth="1"/>
    <col min="516" max="516" width="16.5" style="127" customWidth="1"/>
    <col min="517" max="517" width="15" style="127" customWidth="1"/>
    <col min="518" max="518" width="8.83203125" style="127"/>
    <col min="519" max="519" width="13.83203125" style="127" customWidth="1"/>
    <col min="520" max="520" width="0" style="127" hidden="1" customWidth="1"/>
    <col min="521" max="521" width="2.5" style="127" customWidth="1"/>
    <col min="522" max="522" width="13.6640625" style="127" customWidth="1"/>
    <col min="523" max="523" width="11.5" style="127" customWidth="1"/>
    <col min="524" max="526" width="12" style="127" customWidth="1"/>
    <col min="527" max="527" width="12.33203125" style="127" customWidth="1"/>
    <col min="528" max="528" width="2.5" style="127" customWidth="1"/>
    <col min="529" max="529" width="22" style="127" customWidth="1"/>
    <col min="530" max="768" width="8.83203125" style="127"/>
    <col min="769" max="769" width="19.1640625" style="127" customWidth="1"/>
    <col min="770" max="771" width="8.5" style="127" customWidth="1"/>
    <col min="772" max="772" width="16.5" style="127" customWidth="1"/>
    <col min="773" max="773" width="15" style="127" customWidth="1"/>
    <col min="774" max="774" width="8.83203125" style="127"/>
    <col min="775" max="775" width="13.83203125" style="127" customWidth="1"/>
    <col min="776" max="776" width="0" style="127" hidden="1" customWidth="1"/>
    <col min="777" max="777" width="2.5" style="127" customWidth="1"/>
    <col min="778" max="778" width="13.6640625" style="127" customWidth="1"/>
    <col min="779" max="779" width="11.5" style="127" customWidth="1"/>
    <col min="780" max="782" width="12" style="127" customWidth="1"/>
    <col min="783" max="783" width="12.33203125" style="127" customWidth="1"/>
    <col min="784" max="784" width="2.5" style="127" customWidth="1"/>
    <col min="785" max="785" width="22" style="127" customWidth="1"/>
    <col min="786" max="1024" width="8.83203125" style="127"/>
    <col min="1025" max="1025" width="19.1640625" style="127" customWidth="1"/>
    <col min="1026" max="1027" width="8.5" style="127" customWidth="1"/>
    <col min="1028" max="1028" width="16.5" style="127" customWidth="1"/>
    <col min="1029" max="1029" width="15" style="127" customWidth="1"/>
    <col min="1030" max="1030" width="8.83203125" style="127"/>
    <col min="1031" max="1031" width="13.83203125" style="127" customWidth="1"/>
    <col min="1032" max="1032" width="0" style="127" hidden="1" customWidth="1"/>
    <col min="1033" max="1033" width="2.5" style="127" customWidth="1"/>
    <col min="1034" max="1034" width="13.6640625" style="127" customWidth="1"/>
    <col min="1035" max="1035" width="11.5" style="127" customWidth="1"/>
    <col min="1036" max="1038" width="12" style="127" customWidth="1"/>
    <col min="1039" max="1039" width="12.33203125" style="127" customWidth="1"/>
    <col min="1040" max="1040" width="2.5" style="127" customWidth="1"/>
    <col min="1041" max="1041" width="22" style="127" customWidth="1"/>
    <col min="1042" max="1280" width="8.83203125" style="127"/>
    <col min="1281" max="1281" width="19.1640625" style="127" customWidth="1"/>
    <col min="1282" max="1283" width="8.5" style="127" customWidth="1"/>
    <col min="1284" max="1284" width="16.5" style="127" customWidth="1"/>
    <col min="1285" max="1285" width="15" style="127" customWidth="1"/>
    <col min="1286" max="1286" width="8.83203125" style="127"/>
    <col min="1287" max="1287" width="13.83203125" style="127" customWidth="1"/>
    <col min="1288" max="1288" width="0" style="127" hidden="1" customWidth="1"/>
    <col min="1289" max="1289" width="2.5" style="127" customWidth="1"/>
    <col min="1290" max="1290" width="13.6640625" style="127" customWidth="1"/>
    <col min="1291" max="1291" width="11.5" style="127" customWidth="1"/>
    <col min="1292" max="1294" width="12" style="127" customWidth="1"/>
    <col min="1295" max="1295" width="12.33203125" style="127" customWidth="1"/>
    <col min="1296" max="1296" width="2.5" style="127" customWidth="1"/>
    <col min="1297" max="1297" width="22" style="127" customWidth="1"/>
    <col min="1298" max="1536" width="8.83203125" style="127"/>
    <col min="1537" max="1537" width="19.1640625" style="127" customWidth="1"/>
    <col min="1538" max="1539" width="8.5" style="127" customWidth="1"/>
    <col min="1540" max="1540" width="16.5" style="127" customWidth="1"/>
    <col min="1541" max="1541" width="15" style="127" customWidth="1"/>
    <col min="1542" max="1542" width="8.83203125" style="127"/>
    <col min="1543" max="1543" width="13.83203125" style="127" customWidth="1"/>
    <col min="1544" max="1544" width="0" style="127" hidden="1" customWidth="1"/>
    <col min="1545" max="1545" width="2.5" style="127" customWidth="1"/>
    <col min="1546" max="1546" width="13.6640625" style="127" customWidth="1"/>
    <col min="1547" max="1547" width="11.5" style="127" customWidth="1"/>
    <col min="1548" max="1550" width="12" style="127" customWidth="1"/>
    <col min="1551" max="1551" width="12.33203125" style="127" customWidth="1"/>
    <col min="1552" max="1552" width="2.5" style="127" customWidth="1"/>
    <col min="1553" max="1553" width="22" style="127" customWidth="1"/>
    <col min="1554" max="1792" width="8.83203125" style="127"/>
    <col min="1793" max="1793" width="19.1640625" style="127" customWidth="1"/>
    <col min="1794" max="1795" width="8.5" style="127" customWidth="1"/>
    <col min="1796" max="1796" width="16.5" style="127" customWidth="1"/>
    <col min="1797" max="1797" width="15" style="127" customWidth="1"/>
    <col min="1798" max="1798" width="8.83203125" style="127"/>
    <col min="1799" max="1799" width="13.83203125" style="127" customWidth="1"/>
    <col min="1800" max="1800" width="0" style="127" hidden="1" customWidth="1"/>
    <col min="1801" max="1801" width="2.5" style="127" customWidth="1"/>
    <col min="1802" max="1802" width="13.6640625" style="127" customWidth="1"/>
    <col min="1803" max="1803" width="11.5" style="127" customWidth="1"/>
    <col min="1804" max="1806" width="12" style="127" customWidth="1"/>
    <col min="1807" max="1807" width="12.33203125" style="127" customWidth="1"/>
    <col min="1808" max="1808" width="2.5" style="127" customWidth="1"/>
    <col min="1809" max="1809" width="22" style="127" customWidth="1"/>
    <col min="1810" max="2048" width="8.83203125" style="127"/>
    <col min="2049" max="2049" width="19.1640625" style="127" customWidth="1"/>
    <col min="2050" max="2051" width="8.5" style="127" customWidth="1"/>
    <col min="2052" max="2052" width="16.5" style="127" customWidth="1"/>
    <col min="2053" max="2053" width="15" style="127" customWidth="1"/>
    <col min="2054" max="2054" width="8.83203125" style="127"/>
    <col min="2055" max="2055" width="13.83203125" style="127" customWidth="1"/>
    <col min="2056" max="2056" width="0" style="127" hidden="1" customWidth="1"/>
    <col min="2057" max="2057" width="2.5" style="127" customWidth="1"/>
    <col min="2058" max="2058" width="13.6640625" style="127" customWidth="1"/>
    <col min="2059" max="2059" width="11.5" style="127" customWidth="1"/>
    <col min="2060" max="2062" width="12" style="127" customWidth="1"/>
    <col min="2063" max="2063" width="12.33203125" style="127" customWidth="1"/>
    <col min="2064" max="2064" width="2.5" style="127" customWidth="1"/>
    <col min="2065" max="2065" width="22" style="127" customWidth="1"/>
    <col min="2066" max="2304" width="8.83203125" style="127"/>
    <col min="2305" max="2305" width="19.1640625" style="127" customWidth="1"/>
    <col min="2306" max="2307" width="8.5" style="127" customWidth="1"/>
    <col min="2308" max="2308" width="16.5" style="127" customWidth="1"/>
    <col min="2309" max="2309" width="15" style="127" customWidth="1"/>
    <col min="2310" max="2310" width="8.83203125" style="127"/>
    <col min="2311" max="2311" width="13.83203125" style="127" customWidth="1"/>
    <col min="2312" max="2312" width="0" style="127" hidden="1" customWidth="1"/>
    <col min="2313" max="2313" width="2.5" style="127" customWidth="1"/>
    <col min="2314" max="2314" width="13.6640625" style="127" customWidth="1"/>
    <col min="2315" max="2315" width="11.5" style="127" customWidth="1"/>
    <col min="2316" max="2318" width="12" style="127" customWidth="1"/>
    <col min="2319" max="2319" width="12.33203125" style="127" customWidth="1"/>
    <col min="2320" max="2320" width="2.5" style="127" customWidth="1"/>
    <col min="2321" max="2321" width="22" style="127" customWidth="1"/>
    <col min="2322" max="2560" width="8.83203125" style="127"/>
    <col min="2561" max="2561" width="19.1640625" style="127" customWidth="1"/>
    <col min="2562" max="2563" width="8.5" style="127" customWidth="1"/>
    <col min="2564" max="2564" width="16.5" style="127" customWidth="1"/>
    <col min="2565" max="2565" width="15" style="127" customWidth="1"/>
    <col min="2566" max="2566" width="8.83203125" style="127"/>
    <col min="2567" max="2567" width="13.83203125" style="127" customWidth="1"/>
    <col min="2568" max="2568" width="0" style="127" hidden="1" customWidth="1"/>
    <col min="2569" max="2569" width="2.5" style="127" customWidth="1"/>
    <col min="2570" max="2570" width="13.6640625" style="127" customWidth="1"/>
    <col min="2571" max="2571" width="11.5" style="127" customWidth="1"/>
    <col min="2572" max="2574" width="12" style="127" customWidth="1"/>
    <col min="2575" max="2575" width="12.33203125" style="127" customWidth="1"/>
    <col min="2576" max="2576" width="2.5" style="127" customWidth="1"/>
    <col min="2577" max="2577" width="22" style="127" customWidth="1"/>
    <col min="2578" max="2816" width="8.83203125" style="127"/>
    <col min="2817" max="2817" width="19.1640625" style="127" customWidth="1"/>
    <col min="2818" max="2819" width="8.5" style="127" customWidth="1"/>
    <col min="2820" max="2820" width="16.5" style="127" customWidth="1"/>
    <col min="2821" max="2821" width="15" style="127" customWidth="1"/>
    <col min="2822" max="2822" width="8.83203125" style="127"/>
    <col min="2823" max="2823" width="13.83203125" style="127" customWidth="1"/>
    <col min="2824" max="2824" width="0" style="127" hidden="1" customWidth="1"/>
    <col min="2825" max="2825" width="2.5" style="127" customWidth="1"/>
    <col min="2826" max="2826" width="13.6640625" style="127" customWidth="1"/>
    <col min="2827" max="2827" width="11.5" style="127" customWidth="1"/>
    <col min="2828" max="2830" width="12" style="127" customWidth="1"/>
    <col min="2831" max="2831" width="12.33203125" style="127" customWidth="1"/>
    <col min="2832" max="2832" width="2.5" style="127" customWidth="1"/>
    <col min="2833" max="2833" width="22" style="127" customWidth="1"/>
    <col min="2834" max="3072" width="8.83203125" style="127"/>
    <col min="3073" max="3073" width="19.1640625" style="127" customWidth="1"/>
    <col min="3074" max="3075" width="8.5" style="127" customWidth="1"/>
    <col min="3076" max="3076" width="16.5" style="127" customWidth="1"/>
    <col min="3077" max="3077" width="15" style="127" customWidth="1"/>
    <col min="3078" max="3078" width="8.83203125" style="127"/>
    <col min="3079" max="3079" width="13.83203125" style="127" customWidth="1"/>
    <col min="3080" max="3080" width="0" style="127" hidden="1" customWidth="1"/>
    <col min="3081" max="3081" width="2.5" style="127" customWidth="1"/>
    <col min="3082" max="3082" width="13.6640625" style="127" customWidth="1"/>
    <col min="3083" max="3083" width="11.5" style="127" customWidth="1"/>
    <col min="3084" max="3086" width="12" style="127" customWidth="1"/>
    <col min="3087" max="3087" width="12.33203125" style="127" customWidth="1"/>
    <col min="3088" max="3088" width="2.5" style="127" customWidth="1"/>
    <col min="3089" max="3089" width="22" style="127" customWidth="1"/>
    <col min="3090" max="3328" width="8.83203125" style="127"/>
    <col min="3329" max="3329" width="19.1640625" style="127" customWidth="1"/>
    <col min="3330" max="3331" width="8.5" style="127" customWidth="1"/>
    <col min="3332" max="3332" width="16.5" style="127" customWidth="1"/>
    <col min="3333" max="3333" width="15" style="127" customWidth="1"/>
    <col min="3334" max="3334" width="8.83203125" style="127"/>
    <col min="3335" max="3335" width="13.83203125" style="127" customWidth="1"/>
    <col min="3336" max="3336" width="0" style="127" hidden="1" customWidth="1"/>
    <col min="3337" max="3337" width="2.5" style="127" customWidth="1"/>
    <col min="3338" max="3338" width="13.6640625" style="127" customWidth="1"/>
    <col min="3339" max="3339" width="11.5" style="127" customWidth="1"/>
    <col min="3340" max="3342" width="12" style="127" customWidth="1"/>
    <col min="3343" max="3343" width="12.33203125" style="127" customWidth="1"/>
    <col min="3344" max="3344" width="2.5" style="127" customWidth="1"/>
    <col min="3345" max="3345" width="22" style="127" customWidth="1"/>
    <col min="3346" max="3584" width="8.83203125" style="127"/>
    <col min="3585" max="3585" width="19.1640625" style="127" customWidth="1"/>
    <col min="3586" max="3587" width="8.5" style="127" customWidth="1"/>
    <col min="3588" max="3588" width="16.5" style="127" customWidth="1"/>
    <col min="3589" max="3589" width="15" style="127" customWidth="1"/>
    <col min="3590" max="3590" width="8.83203125" style="127"/>
    <col min="3591" max="3591" width="13.83203125" style="127" customWidth="1"/>
    <col min="3592" max="3592" width="0" style="127" hidden="1" customWidth="1"/>
    <col min="3593" max="3593" width="2.5" style="127" customWidth="1"/>
    <col min="3594" max="3594" width="13.6640625" style="127" customWidth="1"/>
    <col min="3595" max="3595" width="11.5" style="127" customWidth="1"/>
    <col min="3596" max="3598" width="12" style="127" customWidth="1"/>
    <col min="3599" max="3599" width="12.33203125" style="127" customWidth="1"/>
    <col min="3600" max="3600" width="2.5" style="127" customWidth="1"/>
    <col min="3601" max="3601" width="22" style="127" customWidth="1"/>
    <col min="3602" max="3840" width="8.83203125" style="127"/>
    <col min="3841" max="3841" width="19.1640625" style="127" customWidth="1"/>
    <col min="3842" max="3843" width="8.5" style="127" customWidth="1"/>
    <col min="3844" max="3844" width="16.5" style="127" customWidth="1"/>
    <col min="3845" max="3845" width="15" style="127" customWidth="1"/>
    <col min="3846" max="3846" width="8.83203125" style="127"/>
    <col min="3847" max="3847" width="13.83203125" style="127" customWidth="1"/>
    <col min="3848" max="3848" width="0" style="127" hidden="1" customWidth="1"/>
    <col min="3849" max="3849" width="2.5" style="127" customWidth="1"/>
    <col min="3850" max="3850" width="13.6640625" style="127" customWidth="1"/>
    <col min="3851" max="3851" width="11.5" style="127" customWidth="1"/>
    <col min="3852" max="3854" width="12" style="127" customWidth="1"/>
    <col min="3855" max="3855" width="12.33203125" style="127" customWidth="1"/>
    <col min="3856" max="3856" width="2.5" style="127" customWidth="1"/>
    <col min="3857" max="3857" width="22" style="127" customWidth="1"/>
    <col min="3858" max="4096" width="8.83203125" style="127"/>
    <col min="4097" max="4097" width="19.1640625" style="127" customWidth="1"/>
    <col min="4098" max="4099" width="8.5" style="127" customWidth="1"/>
    <col min="4100" max="4100" width="16.5" style="127" customWidth="1"/>
    <col min="4101" max="4101" width="15" style="127" customWidth="1"/>
    <col min="4102" max="4102" width="8.83203125" style="127"/>
    <col min="4103" max="4103" width="13.83203125" style="127" customWidth="1"/>
    <col min="4104" max="4104" width="0" style="127" hidden="1" customWidth="1"/>
    <col min="4105" max="4105" width="2.5" style="127" customWidth="1"/>
    <col min="4106" max="4106" width="13.6640625" style="127" customWidth="1"/>
    <col min="4107" max="4107" width="11.5" style="127" customWidth="1"/>
    <col min="4108" max="4110" width="12" style="127" customWidth="1"/>
    <col min="4111" max="4111" width="12.33203125" style="127" customWidth="1"/>
    <col min="4112" max="4112" width="2.5" style="127" customWidth="1"/>
    <col min="4113" max="4113" width="22" style="127" customWidth="1"/>
    <col min="4114" max="4352" width="8.83203125" style="127"/>
    <col min="4353" max="4353" width="19.1640625" style="127" customWidth="1"/>
    <col min="4354" max="4355" width="8.5" style="127" customWidth="1"/>
    <col min="4356" max="4356" width="16.5" style="127" customWidth="1"/>
    <col min="4357" max="4357" width="15" style="127" customWidth="1"/>
    <col min="4358" max="4358" width="8.83203125" style="127"/>
    <col min="4359" max="4359" width="13.83203125" style="127" customWidth="1"/>
    <col min="4360" max="4360" width="0" style="127" hidden="1" customWidth="1"/>
    <col min="4361" max="4361" width="2.5" style="127" customWidth="1"/>
    <col min="4362" max="4362" width="13.6640625" style="127" customWidth="1"/>
    <col min="4363" max="4363" width="11.5" style="127" customWidth="1"/>
    <col min="4364" max="4366" width="12" style="127" customWidth="1"/>
    <col min="4367" max="4367" width="12.33203125" style="127" customWidth="1"/>
    <col min="4368" max="4368" width="2.5" style="127" customWidth="1"/>
    <col min="4369" max="4369" width="22" style="127" customWidth="1"/>
    <col min="4370" max="4608" width="8.83203125" style="127"/>
    <col min="4609" max="4609" width="19.1640625" style="127" customWidth="1"/>
    <col min="4610" max="4611" width="8.5" style="127" customWidth="1"/>
    <col min="4612" max="4612" width="16.5" style="127" customWidth="1"/>
    <col min="4613" max="4613" width="15" style="127" customWidth="1"/>
    <col min="4614" max="4614" width="8.83203125" style="127"/>
    <col min="4615" max="4615" width="13.83203125" style="127" customWidth="1"/>
    <col min="4616" max="4616" width="0" style="127" hidden="1" customWidth="1"/>
    <col min="4617" max="4617" width="2.5" style="127" customWidth="1"/>
    <col min="4618" max="4618" width="13.6640625" style="127" customWidth="1"/>
    <col min="4619" max="4619" width="11.5" style="127" customWidth="1"/>
    <col min="4620" max="4622" width="12" style="127" customWidth="1"/>
    <col min="4623" max="4623" width="12.33203125" style="127" customWidth="1"/>
    <col min="4624" max="4624" width="2.5" style="127" customWidth="1"/>
    <col min="4625" max="4625" width="22" style="127" customWidth="1"/>
    <col min="4626" max="4864" width="8.83203125" style="127"/>
    <col min="4865" max="4865" width="19.1640625" style="127" customWidth="1"/>
    <col min="4866" max="4867" width="8.5" style="127" customWidth="1"/>
    <col min="4868" max="4868" width="16.5" style="127" customWidth="1"/>
    <col min="4869" max="4869" width="15" style="127" customWidth="1"/>
    <col min="4870" max="4870" width="8.83203125" style="127"/>
    <col min="4871" max="4871" width="13.83203125" style="127" customWidth="1"/>
    <col min="4872" max="4872" width="0" style="127" hidden="1" customWidth="1"/>
    <col min="4873" max="4873" width="2.5" style="127" customWidth="1"/>
    <col min="4874" max="4874" width="13.6640625" style="127" customWidth="1"/>
    <col min="4875" max="4875" width="11.5" style="127" customWidth="1"/>
    <col min="4876" max="4878" width="12" style="127" customWidth="1"/>
    <col min="4879" max="4879" width="12.33203125" style="127" customWidth="1"/>
    <col min="4880" max="4880" width="2.5" style="127" customWidth="1"/>
    <col min="4881" max="4881" width="22" style="127" customWidth="1"/>
    <col min="4882" max="5120" width="8.83203125" style="127"/>
    <col min="5121" max="5121" width="19.1640625" style="127" customWidth="1"/>
    <col min="5122" max="5123" width="8.5" style="127" customWidth="1"/>
    <col min="5124" max="5124" width="16.5" style="127" customWidth="1"/>
    <col min="5125" max="5125" width="15" style="127" customWidth="1"/>
    <col min="5126" max="5126" width="8.83203125" style="127"/>
    <col min="5127" max="5127" width="13.83203125" style="127" customWidth="1"/>
    <col min="5128" max="5128" width="0" style="127" hidden="1" customWidth="1"/>
    <col min="5129" max="5129" width="2.5" style="127" customWidth="1"/>
    <col min="5130" max="5130" width="13.6640625" style="127" customWidth="1"/>
    <col min="5131" max="5131" width="11.5" style="127" customWidth="1"/>
    <col min="5132" max="5134" width="12" style="127" customWidth="1"/>
    <col min="5135" max="5135" width="12.33203125" style="127" customWidth="1"/>
    <col min="5136" max="5136" width="2.5" style="127" customWidth="1"/>
    <col min="5137" max="5137" width="22" style="127" customWidth="1"/>
    <col min="5138" max="5376" width="8.83203125" style="127"/>
    <col min="5377" max="5377" width="19.1640625" style="127" customWidth="1"/>
    <col min="5378" max="5379" width="8.5" style="127" customWidth="1"/>
    <col min="5380" max="5380" width="16.5" style="127" customWidth="1"/>
    <col min="5381" max="5381" width="15" style="127" customWidth="1"/>
    <col min="5382" max="5382" width="8.83203125" style="127"/>
    <col min="5383" max="5383" width="13.83203125" style="127" customWidth="1"/>
    <col min="5384" max="5384" width="0" style="127" hidden="1" customWidth="1"/>
    <col min="5385" max="5385" width="2.5" style="127" customWidth="1"/>
    <col min="5386" max="5386" width="13.6640625" style="127" customWidth="1"/>
    <col min="5387" max="5387" width="11.5" style="127" customWidth="1"/>
    <col min="5388" max="5390" width="12" style="127" customWidth="1"/>
    <col min="5391" max="5391" width="12.33203125" style="127" customWidth="1"/>
    <col min="5392" max="5392" width="2.5" style="127" customWidth="1"/>
    <col min="5393" max="5393" width="22" style="127" customWidth="1"/>
    <col min="5394" max="5632" width="8.83203125" style="127"/>
    <col min="5633" max="5633" width="19.1640625" style="127" customWidth="1"/>
    <col min="5634" max="5635" width="8.5" style="127" customWidth="1"/>
    <col min="5636" max="5636" width="16.5" style="127" customWidth="1"/>
    <col min="5637" max="5637" width="15" style="127" customWidth="1"/>
    <col min="5638" max="5638" width="8.83203125" style="127"/>
    <col min="5639" max="5639" width="13.83203125" style="127" customWidth="1"/>
    <col min="5640" max="5640" width="0" style="127" hidden="1" customWidth="1"/>
    <col min="5641" max="5641" width="2.5" style="127" customWidth="1"/>
    <col min="5642" max="5642" width="13.6640625" style="127" customWidth="1"/>
    <col min="5643" max="5643" width="11.5" style="127" customWidth="1"/>
    <col min="5644" max="5646" width="12" style="127" customWidth="1"/>
    <col min="5647" max="5647" width="12.33203125" style="127" customWidth="1"/>
    <col min="5648" max="5648" width="2.5" style="127" customWidth="1"/>
    <col min="5649" max="5649" width="22" style="127" customWidth="1"/>
    <col min="5650" max="5888" width="8.83203125" style="127"/>
    <col min="5889" max="5889" width="19.1640625" style="127" customWidth="1"/>
    <col min="5890" max="5891" width="8.5" style="127" customWidth="1"/>
    <col min="5892" max="5892" width="16.5" style="127" customWidth="1"/>
    <col min="5893" max="5893" width="15" style="127" customWidth="1"/>
    <col min="5894" max="5894" width="8.83203125" style="127"/>
    <col min="5895" max="5895" width="13.83203125" style="127" customWidth="1"/>
    <col min="5896" max="5896" width="0" style="127" hidden="1" customWidth="1"/>
    <col min="5897" max="5897" width="2.5" style="127" customWidth="1"/>
    <col min="5898" max="5898" width="13.6640625" style="127" customWidth="1"/>
    <col min="5899" max="5899" width="11.5" style="127" customWidth="1"/>
    <col min="5900" max="5902" width="12" style="127" customWidth="1"/>
    <col min="5903" max="5903" width="12.33203125" style="127" customWidth="1"/>
    <col min="5904" max="5904" width="2.5" style="127" customWidth="1"/>
    <col min="5905" max="5905" width="22" style="127" customWidth="1"/>
    <col min="5906" max="6144" width="8.83203125" style="127"/>
    <col min="6145" max="6145" width="19.1640625" style="127" customWidth="1"/>
    <col min="6146" max="6147" width="8.5" style="127" customWidth="1"/>
    <col min="6148" max="6148" width="16.5" style="127" customWidth="1"/>
    <col min="6149" max="6149" width="15" style="127" customWidth="1"/>
    <col min="6150" max="6150" width="8.83203125" style="127"/>
    <col min="6151" max="6151" width="13.83203125" style="127" customWidth="1"/>
    <col min="6152" max="6152" width="0" style="127" hidden="1" customWidth="1"/>
    <col min="6153" max="6153" width="2.5" style="127" customWidth="1"/>
    <col min="6154" max="6154" width="13.6640625" style="127" customWidth="1"/>
    <col min="6155" max="6155" width="11.5" style="127" customWidth="1"/>
    <col min="6156" max="6158" width="12" style="127" customWidth="1"/>
    <col min="6159" max="6159" width="12.33203125" style="127" customWidth="1"/>
    <col min="6160" max="6160" width="2.5" style="127" customWidth="1"/>
    <col min="6161" max="6161" width="22" style="127" customWidth="1"/>
    <col min="6162" max="6400" width="8.83203125" style="127"/>
    <col min="6401" max="6401" width="19.1640625" style="127" customWidth="1"/>
    <col min="6402" max="6403" width="8.5" style="127" customWidth="1"/>
    <col min="6404" max="6404" width="16.5" style="127" customWidth="1"/>
    <col min="6405" max="6405" width="15" style="127" customWidth="1"/>
    <col min="6406" max="6406" width="8.83203125" style="127"/>
    <col min="6407" max="6407" width="13.83203125" style="127" customWidth="1"/>
    <col min="6408" max="6408" width="0" style="127" hidden="1" customWidth="1"/>
    <col min="6409" max="6409" width="2.5" style="127" customWidth="1"/>
    <col min="6410" max="6410" width="13.6640625" style="127" customWidth="1"/>
    <col min="6411" max="6411" width="11.5" style="127" customWidth="1"/>
    <col min="6412" max="6414" width="12" style="127" customWidth="1"/>
    <col min="6415" max="6415" width="12.33203125" style="127" customWidth="1"/>
    <col min="6416" max="6416" width="2.5" style="127" customWidth="1"/>
    <col min="6417" max="6417" width="22" style="127" customWidth="1"/>
    <col min="6418" max="6656" width="8.83203125" style="127"/>
    <col min="6657" max="6657" width="19.1640625" style="127" customWidth="1"/>
    <col min="6658" max="6659" width="8.5" style="127" customWidth="1"/>
    <col min="6660" max="6660" width="16.5" style="127" customWidth="1"/>
    <col min="6661" max="6661" width="15" style="127" customWidth="1"/>
    <col min="6662" max="6662" width="8.83203125" style="127"/>
    <col min="6663" max="6663" width="13.83203125" style="127" customWidth="1"/>
    <col min="6664" max="6664" width="0" style="127" hidden="1" customWidth="1"/>
    <col min="6665" max="6665" width="2.5" style="127" customWidth="1"/>
    <col min="6666" max="6666" width="13.6640625" style="127" customWidth="1"/>
    <col min="6667" max="6667" width="11.5" style="127" customWidth="1"/>
    <col min="6668" max="6670" width="12" style="127" customWidth="1"/>
    <col min="6671" max="6671" width="12.33203125" style="127" customWidth="1"/>
    <col min="6672" max="6672" width="2.5" style="127" customWidth="1"/>
    <col min="6673" max="6673" width="22" style="127" customWidth="1"/>
    <col min="6674" max="6912" width="8.83203125" style="127"/>
    <col min="6913" max="6913" width="19.1640625" style="127" customWidth="1"/>
    <col min="6914" max="6915" width="8.5" style="127" customWidth="1"/>
    <col min="6916" max="6916" width="16.5" style="127" customWidth="1"/>
    <col min="6917" max="6917" width="15" style="127" customWidth="1"/>
    <col min="6918" max="6918" width="8.83203125" style="127"/>
    <col min="6919" max="6919" width="13.83203125" style="127" customWidth="1"/>
    <col min="6920" max="6920" width="0" style="127" hidden="1" customWidth="1"/>
    <col min="6921" max="6921" width="2.5" style="127" customWidth="1"/>
    <col min="6922" max="6922" width="13.6640625" style="127" customWidth="1"/>
    <col min="6923" max="6923" width="11.5" style="127" customWidth="1"/>
    <col min="6924" max="6926" width="12" style="127" customWidth="1"/>
    <col min="6927" max="6927" width="12.33203125" style="127" customWidth="1"/>
    <col min="6928" max="6928" width="2.5" style="127" customWidth="1"/>
    <col min="6929" max="6929" width="22" style="127" customWidth="1"/>
    <col min="6930" max="7168" width="8.83203125" style="127"/>
    <col min="7169" max="7169" width="19.1640625" style="127" customWidth="1"/>
    <col min="7170" max="7171" width="8.5" style="127" customWidth="1"/>
    <col min="7172" max="7172" width="16.5" style="127" customWidth="1"/>
    <col min="7173" max="7173" width="15" style="127" customWidth="1"/>
    <col min="7174" max="7174" width="8.83203125" style="127"/>
    <col min="7175" max="7175" width="13.83203125" style="127" customWidth="1"/>
    <col min="7176" max="7176" width="0" style="127" hidden="1" customWidth="1"/>
    <col min="7177" max="7177" width="2.5" style="127" customWidth="1"/>
    <col min="7178" max="7178" width="13.6640625" style="127" customWidth="1"/>
    <col min="7179" max="7179" width="11.5" style="127" customWidth="1"/>
    <col min="7180" max="7182" width="12" style="127" customWidth="1"/>
    <col min="7183" max="7183" width="12.33203125" style="127" customWidth="1"/>
    <col min="7184" max="7184" width="2.5" style="127" customWidth="1"/>
    <col min="7185" max="7185" width="22" style="127" customWidth="1"/>
    <col min="7186" max="7424" width="8.83203125" style="127"/>
    <col min="7425" max="7425" width="19.1640625" style="127" customWidth="1"/>
    <col min="7426" max="7427" width="8.5" style="127" customWidth="1"/>
    <col min="7428" max="7428" width="16.5" style="127" customWidth="1"/>
    <col min="7429" max="7429" width="15" style="127" customWidth="1"/>
    <col min="7430" max="7430" width="8.83203125" style="127"/>
    <col min="7431" max="7431" width="13.83203125" style="127" customWidth="1"/>
    <col min="7432" max="7432" width="0" style="127" hidden="1" customWidth="1"/>
    <col min="7433" max="7433" width="2.5" style="127" customWidth="1"/>
    <col min="7434" max="7434" width="13.6640625" style="127" customWidth="1"/>
    <col min="7435" max="7435" width="11.5" style="127" customWidth="1"/>
    <col min="7436" max="7438" width="12" style="127" customWidth="1"/>
    <col min="7439" max="7439" width="12.33203125" style="127" customWidth="1"/>
    <col min="7440" max="7440" width="2.5" style="127" customWidth="1"/>
    <col min="7441" max="7441" width="22" style="127" customWidth="1"/>
    <col min="7442" max="7680" width="8.83203125" style="127"/>
    <col min="7681" max="7681" width="19.1640625" style="127" customWidth="1"/>
    <col min="7682" max="7683" width="8.5" style="127" customWidth="1"/>
    <col min="7684" max="7684" width="16.5" style="127" customWidth="1"/>
    <col min="7685" max="7685" width="15" style="127" customWidth="1"/>
    <col min="7686" max="7686" width="8.83203125" style="127"/>
    <col min="7687" max="7687" width="13.83203125" style="127" customWidth="1"/>
    <col min="7688" max="7688" width="0" style="127" hidden="1" customWidth="1"/>
    <col min="7689" max="7689" width="2.5" style="127" customWidth="1"/>
    <col min="7690" max="7690" width="13.6640625" style="127" customWidth="1"/>
    <col min="7691" max="7691" width="11.5" style="127" customWidth="1"/>
    <col min="7692" max="7694" width="12" style="127" customWidth="1"/>
    <col min="7695" max="7695" width="12.33203125" style="127" customWidth="1"/>
    <col min="7696" max="7696" width="2.5" style="127" customWidth="1"/>
    <col min="7697" max="7697" width="22" style="127" customWidth="1"/>
    <col min="7698" max="7936" width="8.83203125" style="127"/>
    <col min="7937" max="7937" width="19.1640625" style="127" customWidth="1"/>
    <col min="7938" max="7939" width="8.5" style="127" customWidth="1"/>
    <col min="7940" max="7940" width="16.5" style="127" customWidth="1"/>
    <col min="7941" max="7941" width="15" style="127" customWidth="1"/>
    <col min="7942" max="7942" width="8.83203125" style="127"/>
    <col min="7943" max="7943" width="13.83203125" style="127" customWidth="1"/>
    <col min="7944" max="7944" width="0" style="127" hidden="1" customWidth="1"/>
    <col min="7945" max="7945" width="2.5" style="127" customWidth="1"/>
    <col min="7946" max="7946" width="13.6640625" style="127" customWidth="1"/>
    <col min="7947" max="7947" width="11.5" style="127" customWidth="1"/>
    <col min="7948" max="7950" width="12" style="127" customWidth="1"/>
    <col min="7951" max="7951" width="12.33203125" style="127" customWidth="1"/>
    <col min="7952" max="7952" width="2.5" style="127" customWidth="1"/>
    <col min="7953" max="7953" width="22" style="127" customWidth="1"/>
    <col min="7954" max="8192" width="8.83203125" style="127"/>
    <col min="8193" max="8193" width="19.1640625" style="127" customWidth="1"/>
    <col min="8194" max="8195" width="8.5" style="127" customWidth="1"/>
    <col min="8196" max="8196" width="16.5" style="127" customWidth="1"/>
    <col min="8197" max="8197" width="15" style="127" customWidth="1"/>
    <col min="8198" max="8198" width="8.83203125" style="127"/>
    <col min="8199" max="8199" width="13.83203125" style="127" customWidth="1"/>
    <col min="8200" max="8200" width="0" style="127" hidden="1" customWidth="1"/>
    <col min="8201" max="8201" width="2.5" style="127" customWidth="1"/>
    <col min="8202" max="8202" width="13.6640625" style="127" customWidth="1"/>
    <col min="8203" max="8203" width="11.5" style="127" customWidth="1"/>
    <col min="8204" max="8206" width="12" style="127" customWidth="1"/>
    <col min="8207" max="8207" width="12.33203125" style="127" customWidth="1"/>
    <col min="8208" max="8208" width="2.5" style="127" customWidth="1"/>
    <col min="8209" max="8209" width="22" style="127" customWidth="1"/>
    <col min="8210" max="8448" width="8.83203125" style="127"/>
    <col min="8449" max="8449" width="19.1640625" style="127" customWidth="1"/>
    <col min="8450" max="8451" width="8.5" style="127" customWidth="1"/>
    <col min="8452" max="8452" width="16.5" style="127" customWidth="1"/>
    <col min="8453" max="8453" width="15" style="127" customWidth="1"/>
    <col min="8454" max="8454" width="8.83203125" style="127"/>
    <col min="8455" max="8455" width="13.83203125" style="127" customWidth="1"/>
    <col min="8456" max="8456" width="0" style="127" hidden="1" customWidth="1"/>
    <col min="8457" max="8457" width="2.5" style="127" customWidth="1"/>
    <col min="8458" max="8458" width="13.6640625" style="127" customWidth="1"/>
    <col min="8459" max="8459" width="11.5" style="127" customWidth="1"/>
    <col min="8460" max="8462" width="12" style="127" customWidth="1"/>
    <col min="8463" max="8463" width="12.33203125" style="127" customWidth="1"/>
    <col min="8464" max="8464" width="2.5" style="127" customWidth="1"/>
    <col min="8465" max="8465" width="22" style="127" customWidth="1"/>
    <col min="8466" max="8704" width="8.83203125" style="127"/>
    <col min="8705" max="8705" width="19.1640625" style="127" customWidth="1"/>
    <col min="8706" max="8707" width="8.5" style="127" customWidth="1"/>
    <col min="8708" max="8708" width="16.5" style="127" customWidth="1"/>
    <col min="8709" max="8709" width="15" style="127" customWidth="1"/>
    <col min="8710" max="8710" width="8.83203125" style="127"/>
    <col min="8711" max="8711" width="13.83203125" style="127" customWidth="1"/>
    <col min="8712" max="8712" width="0" style="127" hidden="1" customWidth="1"/>
    <col min="8713" max="8713" width="2.5" style="127" customWidth="1"/>
    <col min="8714" max="8714" width="13.6640625" style="127" customWidth="1"/>
    <col min="8715" max="8715" width="11.5" style="127" customWidth="1"/>
    <col min="8716" max="8718" width="12" style="127" customWidth="1"/>
    <col min="8719" max="8719" width="12.33203125" style="127" customWidth="1"/>
    <col min="8720" max="8720" width="2.5" style="127" customWidth="1"/>
    <col min="8721" max="8721" width="22" style="127" customWidth="1"/>
    <col min="8722" max="8960" width="8.83203125" style="127"/>
    <col min="8961" max="8961" width="19.1640625" style="127" customWidth="1"/>
    <col min="8962" max="8963" width="8.5" style="127" customWidth="1"/>
    <col min="8964" max="8964" width="16.5" style="127" customWidth="1"/>
    <col min="8965" max="8965" width="15" style="127" customWidth="1"/>
    <col min="8966" max="8966" width="8.83203125" style="127"/>
    <col min="8967" max="8967" width="13.83203125" style="127" customWidth="1"/>
    <col min="8968" max="8968" width="0" style="127" hidden="1" customWidth="1"/>
    <col min="8969" max="8969" width="2.5" style="127" customWidth="1"/>
    <col min="8970" max="8970" width="13.6640625" style="127" customWidth="1"/>
    <col min="8971" max="8971" width="11.5" style="127" customWidth="1"/>
    <col min="8972" max="8974" width="12" style="127" customWidth="1"/>
    <col min="8975" max="8975" width="12.33203125" style="127" customWidth="1"/>
    <col min="8976" max="8976" width="2.5" style="127" customWidth="1"/>
    <col min="8977" max="8977" width="22" style="127" customWidth="1"/>
    <col min="8978" max="9216" width="8.83203125" style="127"/>
    <col min="9217" max="9217" width="19.1640625" style="127" customWidth="1"/>
    <col min="9218" max="9219" width="8.5" style="127" customWidth="1"/>
    <col min="9220" max="9220" width="16.5" style="127" customWidth="1"/>
    <col min="9221" max="9221" width="15" style="127" customWidth="1"/>
    <col min="9222" max="9222" width="8.83203125" style="127"/>
    <col min="9223" max="9223" width="13.83203125" style="127" customWidth="1"/>
    <col min="9224" max="9224" width="0" style="127" hidden="1" customWidth="1"/>
    <col min="9225" max="9225" width="2.5" style="127" customWidth="1"/>
    <col min="9226" max="9226" width="13.6640625" style="127" customWidth="1"/>
    <col min="9227" max="9227" width="11.5" style="127" customWidth="1"/>
    <col min="9228" max="9230" width="12" style="127" customWidth="1"/>
    <col min="9231" max="9231" width="12.33203125" style="127" customWidth="1"/>
    <col min="9232" max="9232" width="2.5" style="127" customWidth="1"/>
    <col min="9233" max="9233" width="22" style="127" customWidth="1"/>
    <col min="9234" max="9472" width="8.83203125" style="127"/>
    <col min="9473" max="9473" width="19.1640625" style="127" customWidth="1"/>
    <col min="9474" max="9475" width="8.5" style="127" customWidth="1"/>
    <col min="9476" max="9476" width="16.5" style="127" customWidth="1"/>
    <col min="9477" max="9477" width="15" style="127" customWidth="1"/>
    <col min="9478" max="9478" width="8.83203125" style="127"/>
    <col min="9479" max="9479" width="13.83203125" style="127" customWidth="1"/>
    <col min="9480" max="9480" width="0" style="127" hidden="1" customWidth="1"/>
    <col min="9481" max="9481" width="2.5" style="127" customWidth="1"/>
    <col min="9482" max="9482" width="13.6640625" style="127" customWidth="1"/>
    <col min="9483" max="9483" width="11.5" style="127" customWidth="1"/>
    <col min="9484" max="9486" width="12" style="127" customWidth="1"/>
    <col min="9487" max="9487" width="12.33203125" style="127" customWidth="1"/>
    <col min="9488" max="9488" width="2.5" style="127" customWidth="1"/>
    <col min="9489" max="9489" width="22" style="127" customWidth="1"/>
    <col min="9490" max="9728" width="8.83203125" style="127"/>
    <col min="9729" max="9729" width="19.1640625" style="127" customWidth="1"/>
    <col min="9730" max="9731" width="8.5" style="127" customWidth="1"/>
    <col min="9732" max="9732" width="16.5" style="127" customWidth="1"/>
    <col min="9733" max="9733" width="15" style="127" customWidth="1"/>
    <col min="9734" max="9734" width="8.83203125" style="127"/>
    <col min="9735" max="9735" width="13.83203125" style="127" customWidth="1"/>
    <col min="9736" max="9736" width="0" style="127" hidden="1" customWidth="1"/>
    <col min="9737" max="9737" width="2.5" style="127" customWidth="1"/>
    <col min="9738" max="9738" width="13.6640625" style="127" customWidth="1"/>
    <col min="9739" max="9739" width="11.5" style="127" customWidth="1"/>
    <col min="9740" max="9742" width="12" style="127" customWidth="1"/>
    <col min="9743" max="9743" width="12.33203125" style="127" customWidth="1"/>
    <col min="9744" max="9744" width="2.5" style="127" customWidth="1"/>
    <col min="9745" max="9745" width="22" style="127" customWidth="1"/>
    <col min="9746" max="9984" width="8.83203125" style="127"/>
    <col min="9985" max="9985" width="19.1640625" style="127" customWidth="1"/>
    <col min="9986" max="9987" width="8.5" style="127" customWidth="1"/>
    <col min="9988" max="9988" width="16.5" style="127" customWidth="1"/>
    <col min="9989" max="9989" width="15" style="127" customWidth="1"/>
    <col min="9990" max="9990" width="8.83203125" style="127"/>
    <col min="9991" max="9991" width="13.83203125" style="127" customWidth="1"/>
    <col min="9992" max="9992" width="0" style="127" hidden="1" customWidth="1"/>
    <col min="9993" max="9993" width="2.5" style="127" customWidth="1"/>
    <col min="9994" max="9994" width="13.6640625" style="127" customWidth="1"/>
    <col min="9995" max="9995" width="11.5" style="127" customWidth="1"/>
    <col min="9996" max="9998" width="12" style="127" customWidth="1"/>
    <col min="9999" max="9999" width="12.33203125" style="127" customWidth="1"/>
    <col min="10000" max="10000" width="2.5" style="127" customWidth="1"/>
    <col min="10001" max="10001" width="22" style="127" customWidth="1"/>
    <col min="10002" max="10240" width="8.83203125" style="127"/>
    <col min="10241" max="10241" width="19.1640625" style="127" customWidth="1"/>
    <col min="10242" max="10243" width="8.5" style="127" customWidth="1"/>
    <col min="10244" max="10244" width="16.5" style="127" customWidth="1"/>
    <col min="10245" max="10245" width="15" style="127" customWidth="1"/>
    <col min="10246" max="10246" width="8.83203125" style="127"/>
    <col min="10247" max="10247" width="13.83203125" style="127" customWidth="1"/>
    <col min="10248" max="10248" width="0" style="127" hidden="1" customWidth="1"/>
    <col min="10249" max="10249" width="2.5" style="127" customWidth="1"/>
    <col min="10250" max="10250" width="13.6640625" style="127" customWidth="1"/>
    <col min="10251" max="10251" width="11.5" style="127" customWidth="1"/>
    <col min="10252" max="10254" width="12" style="127" customWidth="1"/>
    <col min="10255" max="10255" width="12.33203125" style="127" customWidth="1"/>
    <col min="10256" max="10256" width="2.5" style="127" customWidth="1"/>
    <col min="10257" max="10257" width="22" style="127" customWidth="1"/>
    <col min="10258" max="10496" width="8.83203125" style="127"/>
    <col min="10497" max="10497" width="19.1640625" style="127" customWidth="1"/>
    <col min="10498" max="10499" width="8.5" style="127" customWidth="1"/>
    <col min="10500" max="10500" width="16.5" style="127" customWidth="1"/>
    <col min="10501" max="10501" width="15" style="127" customWidth="1"/>
    <col min="10502" max="10502" width="8.83203125" style="127"/>
    <col min="10503" max="10503" width="13.83203125" style="127" customWidth="1"/>
    <col min="10504" max="10504" width="0" style="127" hidden="1" customWidth="1"/>
    <col min="10505" max="10505" width="2.5" style="127" customWidth="1"/>
    <col min="10506" max="10506" width="13.6640625" style="127" customWidth="1"/>
    <col min="10507" max="10507" width="11.5" style="127" customWidth="1"/>
    <col min="10508" max="10510" width="12" style="127" customWidth="1"/>
    <col min="10511" max="10511" width="12.33203125" style="127" customWidth="1"/>
    <col min="10512" max="10512" width="2.5" style="127" customWidth="1"/>
    <col min="10513" max="10513" width="22" style="127" customWidth="1"/>
    <col min="10514" max="10752" width="8.83203125" style="127"/>
    <col min="10753" max="10753" width="19.1640625" style="127" customWidth="1"/>
    <col min="10754" max="10755" width="8.5" style="127" customWidth="1"/>
    <col min="10756" max="10756" width="16.5" style="127" customWidth="1"/>
    <col min="10757" max="10757" width="15" style="127" customWidth="1"/>
    <col min="10758" max="10758" width="8.83203125" style="127"/>
    <col min="10759" max="10759" width="13.83203125" style="127" customWidth="1"/>
    <col min="10760" max="10760" width="0" style="127" hidden="1" customWidth="1"/>
    <col min="10761" max="10761" width="2.5" style="127" customWidth="1"/>
    <col min="10762" max="10762" width="13.6640625" style="127" customWidth="1"/>
    <col min="10763" max="10763" width="11.5" style="127" customWidth="1"/>
    <col min="10764" max="10766" width="12" style="127" customWidth="1"/>
    <col min="10767" max="10767" width="12.33203125" style="127" customWidth="1"/>
    <col min="10768" max="10768" width="2.5" style="127" customWidth="1"/>
    <col min="10769" max="10769" width="22" style="127" customWidth="1"/>
    <col min="10770" max="11008" width="8.83203125" style="127"/>
    <col min="11009" max="11009" width="19.1640625" style="127" customWidth="1"/>
    <col min="11010" max="11011" width="8.5" style="127" customWidth="1"/>
    <col min="11012" max="11012" width="16.5" style="127" customWidth="1"/>
    <col min="11013" max="11013" width="15" style="127" customWidth="1"/>
    <col min="11014" max="11014" width="8.83203125" style="127"/>
    <col min="11015" max="11015" width="13.83203125" style="127" customWidth="1"/>
    <col min="11016" max="11016" width="0" style="127" hidden="1" customWidth="1"/>
    <col min="11017" max="11017" width="2.5" style="127" customWidth="1"/>
    <col min="11018" max="11018" width="13.6640625" style="127" customWidth="1"/>
    <col min="11019" max="11019" width="11.5" style="127" customWidth="1"/>
    <col min="11020" max="11022" width="12" style="127" customWidth="1"/>
    <col min="11023" max="11023" width="12.33203125" style="127" customWidth="1"/>
    <col min="11024" max="11024" width="2.5" style="127" customWidth="1"/>
    <col min="11025" max="11025" width="22" style="127" customWidth="1"/>
    <col min="11026" max="11264" width="8.83203125" style="127"/>
    <col min="11265" max="11265" width="19.1640625" style="127" customWidth="1"/>
    <col min="11266" max="11267" width="8.5" style="127" customWidth="1"/>
    <col min="11268" max="11268" width="16.5" style="127" customWidth="1"/>
    <col min="11269" max="11269" width="15" style="127" customWidth="1"/>
    <col min="11270" max="11270" width="8.83203125" style="127"/>
    <col min="11271" max="11271" width="13.83203125" style="127" customWidth="1"/>
    <col min="11272" max="11272" width="0" style="127" hidden="1" customWidth="1"/>
    <col min="11273" max="11273" width="2.5" style="127" customWidth="1"/>
    <col min="11274" max="11274" width="13.6640625" style="127" customWidth="1"/>
    <col min="11275" max="11275" width="11.5" style="127" customWidth="1"/>
    <col min="11276" max="11278" width="12" style="127" customWidth="1"/>
    <col min="11279" max="11279" width="12.33203125" style="127" customWidth="1"/>
    <col min="11280" max="11280" width="2.5" style="127" customWidth="1"/>
    <col min="11281" max="11281" width="22" style="127" customWidth="1"/>
    <col min="11282" max="11520" width="8.83203125" style="127"/>
    <col min="11521" max="11521" width="19.1640625" style="127" customWidth="1"/>
    <col min="11522" max="11523" width="8.5" style="127" customWidth="1"/>
    <col min="11524" max="11524" width="16.5" style="127" customWidth="1"/>
    <col min="11525" max="11525" width="15" style="127" customWidth="1"/>
    <col min="11526" max="11526" width="8.83203125" style="127"/>
    <col min="11527" max="11527" width="13.83203125" style="127" customWidth="1"/>
    <col min="11528" max="11528" width="0" style="127" hidden="1" customWidth="1"/>
    <col min="11529" max="11529" width="2.5" style="127" customWidth="1"/>
    <col min="11530" max="11530" width="13.6640625" style="127" customWidth="1"/>
    <col min="11531" max="11531" width="11.5" style="127" customWidth="1"/>
    <col min="11532" max="11534" width="12" style="127" customWidth="1"/>
    <col min="11535" max="11535" width="12.33203125" style="127" customWidth="1"/>
    <col min="11536" max="11536" width="2.5" style="127" customWidth="1"/>
    <col min="11537" max="11537" width="22" style="127" customWidth="1"/>
    <col min="11538" max="11776" width="8.83203125" style="127"/>
    <col min="11777" max="11777" width="19.1640625" style="127" customWidth="1"/>
    <col min="11778" max="11779" width="8.5" style="127" customWidth="1"/>
    <col min="11780" max="11780" width="16.5" style="127" customWidth="1"/>
    <col min="11781" max="11781" width="15" style="127" customWidth="1"/>
    <col min="11782" max="11782" width="8.83203125" style="127"/>
    <col min="11783" max="11783" width="13.83203125" style="127" customWidth="1"/>
    <col min="11784" max="11784" width="0" style="127" hidden="1" customWidth="1"/>
    <col min="11785" max="11785" width="2.5" style="127" customWidth="1"/>
    <col min="11786" max="11786" width="13.6640625" style="127" customWidth="1"/>
    <col min="11787" max="11787" width="11.5" style="127" customWidth="1"/>
    <col min="11788" max="11790" width="12" style="127" customWidth="1"/>
    <col min="11791" max="11791" width="12.33203125" style="127" customWidth="1"/>
    <col min="11792" max="11792" width="2.5" style="127" customWidth="1"/>
    <col min="11793" max="11793" width="22" style="127" customWidth="1"/>
    <col min="11794" max="12032" width="8.83203125" style="127"/>
    <col min="12033" max="12033" width="19.1640625" style="127" customWidth="1"/>
    <col min="12034" max="12035" width="8.5" style="127" customWidth="1"/>
    <col min="12036" max="12036" width="16.5" style="127" customWidth="1"/>
    <col min="12037" max="12037" width="15" style="127" customWidth="1"/>
    <col min="12038" max="12038" width="8.83203125" style="127"/>
    <col min="12039" max="12039" width="13.83203125" style="127" customWidth="1"/>
    <col min="12040" max="12040" width="0" style="127" hidden="1" customWidth="1"/>
    <col min="12041" max="12041" width="2.5" style="127" customWidth="1"/>
    <col min="12042" max="12042" width="13.6640625" style="127" customWidth="1"/>
    <col min="12043" max="12043" width="11.5" style="127" customWidth="1"/>
    <col min="12044" max="12046" width="12" style="127" customWidth="1"/>
    <col min="12047" max="12047" width="12.33203125" style="127" customWidth="1"/>
    <col min="12048" max="12048" width="2.5" style="127" customWidth="1"/>
    <col min="12049" max="12049" width="22" style="127" customWidth="1"/>
    <col min="12050" max="12288" width="8.83203125" style="127"/>
    <col min="12289" max="12289" width="19.1640625" style="127" customWidth="1"/>
    <col min="12290" max="12291" width="8.5" style="127" customWidth="1"/>
    <col min="12292" max="12292" width="16.5" style="127" customWidth="1"/>
    <col min="12293" max="12293" width="15" style="127" customWidth="1"/>
    <col min="12294" max="12294" width="8.83203125" style="127"/>
    <col min="12295" max="12295" width="13.83203125" style="127" customWidth="1"/>
    <col min="12296" max="12296" width="0" style="127" hidden="1" customWidth="1"/>
    <col min="12297" max="12297" width="2.5" style="127" customWidth="1"/>
    <col min="12298" max="12298" width="13.6640625" style="127" customWidth="1"/>
    <col min="12299" max="12299" width="11.5" style="127" customWidth="1"/>
    <col min="12300" max="12302" width="12" style="127" customWidth="1"/>
    <col min="12303" max="12303" width="12.33203125" style="127" customWidth="1"/>
    <col min="12304" max="12304" width="2.5" style="127" customWidth="1"/>
    <col min="12305" max="12305" width="22" style="127" customWidth="1"/>
    <col min="12306" max="12544" width="8.83203125" style="127"/>
    <col min="12545" max="12545" width="19.1640625" style="127" customWidth="1"/>
    <col min="12546" max="12547" width="8.5" style="127" customWidth="1"/>
    <col min="12548" max="12548" width="16.5" style="127" customWidth="1"/>
    <col min="12549" max="12549" width="15" style="127" customWidth="1"/>
    <col min="12550" max="12550" width="8.83203125" style="127"/>
    <col min="12551" max="12551" width="13.83203125" style="127" customWidth="1"/>
    <col min="12552" max="12552" width="0" style="127" hidden="1" customWidth="1"/>
    <col min="12553" max="12553" width="2.5" style="127" customWidth="1"/>
    <col min="12554" max="12554" width="13.6640625" style="127" customWidth="1"/>
    <col min="12555" max="12555" width="11.5" style="127" customWidth="1"/>
    <col min="12556" max="12558" width="12" style="127" customWidth="1"/>
    <col min="12559" max="12559" width="12.33203125" style="127" customWidth="1"/>
    <col min="12560" max="12560" width="2.5" style="127" customWidth="1"/>
    <col min="12561" max="12561" width="22" style="127" customWidth="1"/>
    <col min="12562" max="12800" width="8.83203125" style="127"/>
    <col min="12801" max="12801" width="19.1640625" style="127" customWidth="1"/>
    <col min="12802" max="12803" width="8.5" style="127" customWidth="1"/>
    <col min="12804" max="12804" width="16.5" style="127" customWidth="1"/>
    <col min="12805" max="12805" width="15" style="127" customWidth="1"/>
    <col min="12806" max="12806" width="8.83203125" style="127"/>
    <col min="12807" max="12807" width="13.83203125" style="127" customWidth="1"/>
    <col min="12808" max="12808" width="0" style="127" hidden="1" customWidth="1"/>
    <col min="12809" max="12809" width="2.5" style="127" customWidth="1"/>
    <col min="12810" max="12810" width="13.6640625" style="127" customWidth="1"/>
    <col min="12811" max="12811" width="11.5" style="127" customWidth="1"/>
    <col min="12812" max="12814" width="12" style="127" customWidth="1"/>
    <col min="12815" max="12815" width="12.33203125" style="127" customWidth="1"/>
    <col min="12816" max="12816" width="2.5" style="127" customWidth="1"/>
    <col min="12817" max="12817" width="22" style="127" customWidth="1"/>
    <col min="12818" max="13056" width="8.83203125" style="127"/>
    <col min="13057" max="13057" width="19.1640625" style="127" customWidth="1"/>
    <col min="13058" max="13059" width="8.5" style="127" customWidth="1"/>
    <col min="13060" max="13060" width="16.5" style="127" customWidth="1"/>
    <col min="13061" max="13061" width="15" style="127" customWidth="1"/>
    <col min="13062" max="13062" width="8.83203125" style="127"/>
    <col min="13063" max="13063" width="13.83203125" style="127" customWidth="1"/>
    <col min="13064" max="13064" width="0" style="127" hidden="1" customWidth="1"/>
    <col min="13065" max="13065" width="2.5" style="127" customWidth="1"/>
    <col min="13066" max="13066" width="13.6640625" style="127" customWidth="1"/>
    <col min="13067" max="13067" width="11.5" style="127" customWidth="1"/>
    <col min="13068" max="13070" width="12" style="127" customWidth="1"/>
    <col min="13071" max="13071" width="12.33203125" style="127" customWidth="1"/>
    <col min="13072" max="13072" width="2.5" style="127" customWidth="1"/>
    <col min="13073" max="13073" width="22" style="127" customWidth="1"/>
    <col min="13074" max="13312" width="8.83203125" style="127"/>
    <col min="13313" max="13313" width="19.1640625" style="127" customWidth="1"/>
    <col min="13314" max="13315" width="8.5" style="127" customWidth="1"/>
    <col min="13316" max="13316" width="16.5" style="127" customWidth="1"/>
    <col min="13317" max="13317" width="15" style="127" customWidth="1"/>
    <col min="13318" max="13318" width="8.83203125" style="127"/>
    <col min="13319" max="13319" width="13.83203125" style="127" customWidth="1"/>
    <col min="13320" max="13320" width="0" style="127" hidden="1" customWidth="1"/>
    <col min="13321" max="13321" width="2.5" style="127" customWidth="1"/>
    <col min="13322" max="13322" width="13.6640625" style="127" customWidth="1"/>
    <col min="13323" max="13323" width="11.5" style="127" customWidth="1"/>
    <col min="13324" max="13326" width="12" style="127" customWidth="1"/>
    <col min="13327" max="13327" width="12.33203125" style="127" customWidth="1"/>
    <col min="13328" max="13328" width="2.5" style="127" customWidth="1"/>
    <col min="13329" max="13329" width="22" style="127" customWidth="1"/>
    <col min="13330" max="13568" width="8.83203125" style="127"/>
    <col min="13569" max="13569" width="19.1640625" style="127" customWidth="1"/>
    <col min="13570" max="13571" width="8.5" style="127" customWidth="1"/>
    <col min="13572" max="13572" width="16.5" style="127" customWidth="1"/>
    <col min="13573" max="13573" width="15" style="127" customWidth="1"/>
    <col min="13574" max="13574" width="8.83203125" style="127"/>
    <col min="13575" max="13575" width="13.83203125" style="127" customWidth="1"/>
    <col min="13576" max="13576" width="0" style="127" hidden="1" customWidth="1"/>
    <col min="13577" max="13577" width="2.5" style="127" customWidth="1"/>
    <col min="13578" max="13578" width="13.6640625" style="127" customWidth="1"/>
    <col min="13579" max="13579" width="11.5" style="127" customWidth="1"/>
    <col min="13580" max="13582" width="12" style="127" customWidth="1"/>
    <col min="13583" max="13583" width="12.33203125" style="127" customWidth="1"/>
    <col min="13584" max="13584" width="2.5" style="127" customWidth="1"/>
    <col min="13585" max="13585" width="22" style="127" customWidth="1"/>
    <col min="13586" max="13824" width="8.83203125" style="127"/>
    <col min="13825" max="13825" width="19.1640625" style="127" customWidth="1"/>
    <col min="13826" max="13827" width="8.5" style="127" customWidth="1"/>
    <col min="13828" max="13828" width="16.5" style="127" customWidth="1"/>
    <col min="13829" max="13829" width="15" style="127" customWidth="1"/>
    <col min="13830" max="13830" width="8.83203125" style="127"/>
    <col min="13831" max="13831" width="13.83203125" style="127" customWidth="1"/>
    <col min="13832" max="13832" width="0" style="127" hidden="1" customWidth="1"/>
    <col min="13833" max="13833" width="2.5" style="127" customWidth="1"/>
    <col min="13834" max="13834" width="13.6640625" style="127" customWidth="1"/>
    <col min="13835" max="13835" width="11.5" style="127" customWidth="1"/>
    <col min="13836" max="13838" width="12" style="127" customWidth="1"/>
    <col min="13839" max="13839" width="12.33203125" style="127" customWidth="1"/>
    <col min="13840" max="13840" width="2.5" style="127" customWidth="1"/>
    <col min="13841" max="13841" width="22" style="127" customWidth="1"/>
    <col min="13842" max="14080" width="8.83203125" style="127"/>
    <col min="14081" max="14081" width="19.1640625" style="127" customWidth="1"/>
    <col min="14082" max="14083" width="8.5" style="127" customWidth="1"/>
    <col min="14084" max="14084" width="16.5" style="127" customWidth="1"/>
    <col min="14085" max="14085" width="15" style="127" customWidth="1"/>
    <col min="14086" max="14086" width="8.83203125" style="127"/>
    <col min="14087" max="14087" width="13.83203125" style="127" customWidth="1"/>
    <col min="14088" max="14088" width="0" style="127" hidden="1" customWidth="1"/>
    <col min="14089" max="14089" width="2.5" style="127" customWidth="1"/>
    <col min="14090" max="14090" width="13.6640625" style="127" customWidth="1"/>
    <col min="14091" max="14091" width="11.5" style="127" customWidth="1"/>
    <col min="14092" max="14094" width="12" style="127" customWidth="1"/>
    <col min="14095" max="14095" width="12.33203125" style="127" customWidth="1"/>
    <col min="14096" max="14096" width="2.5" style="127" customWidth="1"/>
    <col min="14097" max="14097" width="22" style="127" customWidth="1"/>
    <col min="14098" max="14336" width="8.83203125" style="127"/>
    <col min="14337" max="14337" width="19.1640625" style="127" customWidth="1"/>
    <col min="14338" max="14339" width="8.5" style="127" customWidth="1"/>
    <col min="14340" max="14340" width="16.5" style="127" customWidth="1"/>
    <col min="14341" max="14341" width="15" style="127" customWidth="1"/>
    <col min="14342" max="14342" width="8.83203125" style="127"/>
    <col min="14343" max="14343" width="13.83203125" style="127" customWidth="1"/>
    <col min="14344" max="14344" width="0" style="127" hidden="1" customWidth="1"/>
    <col min="14345" max="14345" width="2.5" style="127" customWidth="1"/>
    <col min="14346" max="14346" width="13.6640625" style="127" customWidth="1"/>
    <col min="14347" max="14347" width="11.5" style="127" customWidth="1"/>
    <col min="14348" max="14350" width="12" style="127" customWidth="1"/>
    <col min="14351" max="14351" width="12.33203125" style="127" customWidth="1"/>
    <col min="14352" max="14352" width="2.5" style="127" customWidth="1"/>
    <col min="14353" max="14353" width="22" style="127" customWidth="1"/>
    <col min="14354" max="14592" width="8.83203125" style="127"/>
    <col min="14593" max="14593" width="19.1640625" style="127" customWidth="1"/>
    <col min="14594" max="14595" width="8.5" style="127" customWidth="1"/>
    <col min="14596" max="14596" width="16.5" style="127" customWidth="1"/>
    <col min="14597" max="14597" width="15" style="127" customWidth="1"/>
    <col min="14598" max="14598" width="8.83203125" style="127"/>
    <col min="14599" max="14599" width="13.83203125" style="127" customWidth="1"/>
    <col min="14600" max="14600" width="0" style="127" hidden="1" customWidth="1"/>
    <col min="14601" max="14601" width="2.5" style="127" customWidth="1"/>
    <col min="14602" max="14602" width="13.6640625" style="127" customWidth="1"/>
    <col min="14603" max="14603" width="11.5" style="127" customWidth="1"/>
    <col min="14604" max="14606" width="12" style="127" customWidth="1"/>
    <col min="14607" max="14607" width="12.33203125" style="127" customWidth="1"/>
    <col min="14608" max="14608" width="2.5" style="127" customWidth="1"/>
    <col min="14609" max="14609" width="22" style="127" customWidth="1"/>
    <col min="14610" max="14848" width="8.83203125" style="127"/>
    <col min="14849" max="14849" width="19.1640625" style="127" customWidth="1"/>
    <col min="14850" max="14851" width="8.5" style="127" customWidth="1"/>
    <col min="14852" max="14852" width="16.5" style="127" customWidth="1"/>
    <col min="14853" max="14853" width="15" style="127" customWidth="1"/>
    <col min="14854" max="14854" width="8.83203125" style="127"/>
    <col min="14855" max="14855" width="13.83203125" style="127" customWidth="1"/>
    <col min="14856" max="14856" width="0" style="127" hidden="1" customWidth="1"/>
    <col min="14857" max="14857" width="2.5" style="127" customWidth="1"/>
    <col min="14858" max="14858" width="13.6640625" style="127" customWidth="1"/>
    <col min="14859" max="14859" width="11.5" style="127" customWidth="1"/>
    <col min="14860" max="14862" width="12" style="127" customWidth="1"/>
    <col min="14863" max="14863" width="12.33203125" style="127" customWidth="1"/>
    <col min="14864" max="14864" width="2.5" style="127" customWidth="1"/>
    <col min="14865" max="14865" width="22" style="127" customWidth="1"/>
    <col min="14866" max="15104" width="8.83203125" style="127"/>
    <col min="15105" max="15105" width="19.1640625" style="127" customWidth="1"/>
    <col min="15106" max="15107" width="8.5" style="127" customWidth="1"/>
    <col min="15108" max="15108" width="16.5" style="127" customWidth="1"/>
    <col min="15109" max="15109" width="15" style="127" customWidth="1"/>
    <col min="15110" max="15110" width="8.83203125" style="127"/>
    <col min="15111" max="15111" width="13.83203125" style="127" customWidth="1"/>
    <col min="15112" max="15112" width="0" style="127" hidden="1" customWidth="1"/>
    <col min="15113" max="15113" width="2.5" style="127" customWidth="1"/>
    <col min="15114" max="15114" width="13.6640625" style="127" customWidth="1"/>
    <col min="15115" max="15115" width="11.5" style="127" customWidth="1"/>
    <col min="15116" max="15118" width="12" style="127" customWidth="1"/>
    <col min="15119" max="15119" width="12.33203125" style="127" customWidth="1"/>
    <col min="15120" max="15120" width="2.5" style="127" customWidth="1"/>
    <col min="15121" max="15121" width="22" style="127" customWidth="1"/>
    <col min="15122" max="15360" width="8.83203125" style="127"/>
    <col min="15361" max="15361" width="19.1640625" style="127" customWidth="1"/>
    <col min="15362" max="15363" width="8.5" style="127" customWidth="1"/>
    <col min="15364" max="15364" width="16.5" style="127" customWidth="1"/>
    <col min="15365" max="15365" width="15" style="127" customWidth="1"/>
    <col min="15366" max="15366" width="8.83203125" style="127"/>
    <col min="15367" max="15367" width="13.83203125" style="127" customWidth="1"/>
    <col min="15368" max="15368" width="0" style="127" hidden="1" customWidth="1"/>
    <col min="15369" max="15369" width="2.5" style="127" customWidth="1"/>
    <col min="15370" max="15370" width="13.6640625" style="127" customWidth="1"/>
    <col min="15371" max="15371" width="11.5" style="127" customWidth="1"/>
    <col min="15372" max="15374" width="12" style="127" customWidth="1"/>
    <col min="15375" max="15375" width="12.33203125" style="127" customWidth="1"/>
    <col min="15376" max="15376" width="2.5" style="127" customWidth="1"/>
    <col min="15377" max="15377" width="22" style="127" customWidth="1"/>
    <col min="15378" max="15616" width="8.83203125" style="127"/>
    <col min="15617" max="15617" width="19.1640625" style="127" customWidth="1"/>
    <col min="15618" max="15619" width="8.5" style="127" customWidth="1"/>
    <col min="15620" max="15620" width="16.5" style="127" customWidth="1"/>
    <col min="15621" max="15621" width="15" style="127" customWidth="1"/>
    <col min="15622" max="15622" width="8.83203125" style="127"/>
    <col min="15623" max="15623" width="13.83203125" style="127" customWidth="1"/>
    <col min="15624" max="15624" width="0" style="127" hidden="1" customWidth="1"/>
    <col min="15625" max="15625" width="2.5" style="127" customWidth="1"/>
    <col min="15626" max="15626" width="13.6640625" style="127" customWidth="1"/>
    <col min="15627" max="15627" width="11.5" style="127" customWidth="1"/>
    <col min="15628" max="15630" width="12" style="127" customWidth="1"/>
    <col min="15631" max="15631" width="12.33203125" style="127" customWidth="1"/>
    <col min="15632" max="15632" width="2.5" style="127" customWidth="1"/>
    <col min="15633" max="15633" width="22" style="127" customWidth="1"/>
    <col min="15634" max="15872" width="8.83203125" style="127"/>
    <col min="15873" max="15873" width="19.1640625" style="127" customWidth="1"/>
    <col min="15874" max="15875" width="8.5" style="127" customWidth="1"/>
    <col min="15876" max="15876" width="16.5" style="127" customWidth="1"/>
    <col min="15877" max="15877" width="15" style="127" customWidth="1"/>
    <col min="15878" max="15878" width="8.83203125" style="127"/>
    <col min="15879" max="15879" width="13.83203125" style="127" customWidth="1"/>
    <col min="15880" max="15880" width="0" style="127" hidden="1" customWidth="1"/>
    <col min="15881" max="15881" width="2.5" style="127" customWidth="1"/>
    <col min="15882" max="15882" width="13.6640625" style="127" customWidth="1"/>
    <col min="15883" max="15883" width="11.5" style="127" customWidth="1"/>
    <col min="15884" max="15886" width="12" style="127" customWidth="1"/>
    <col min="15887" max="15887" width="12.33203125" style="127" customWidth="1"/>
    <col min="15888" max="15888" width="2.5" style="127" customWidth="1"/>
    <col min="15889" max="15889" width="22" style="127" customWidth="1"/>
    <col min="15890" max="16128" width="8.83203125" style="127"/>
    <col min="16129" max="16129" width="19.1640625" style="127" customWidth="1"/>
    <col min="16130" max="16131" width="8.5" style="127" customWidth="1"/>
    <col min="16132" max="16132" width="16.5" style="127" customWidth="1"/>
    <col min="16133" max="16133" width="15" style="127" customWidth="1"/>
    <col min="16134" max="16134" width="8.83203125" style="127"/>
    <col min="16135" max="16135" width="13.83203125" style="127" customWidth="1"/>
    <col min="16136" max="16136" width="0" style="127" hidden="1" customWidth="1"/>
    <col min="16137" max="16137" width="2.5" style="127" customWidth="1"/>
    <col min="16138" max="16138" width="13.6640625" style="127" customWidth="1"/>
    <col min="16139" max="16139" width="11.5" style="127" customWidth="1"/>
    <col min="16140" max="16142" width="12" style="127" customWidth="1"/>
    <col min="16143" max="16143" width="12.33203125" style="127" customWidth="1"/>
    <col min="16144" max="16144" width="2.5" style="127" customWidth="1"/>
    <col min="16145" max="16145" width="22" style="127" customWidth="1"/>
    <col min="16146" max="16384" width="8.83203125" style="127"/>
  </cols>
  <sheetData>
    <row r="1" spans="1:36" s="119" customFormat="1" ht="22.5" customHeight="1">
      <c r="A1" s="39" t="s">
        <v>204</v>
      </c>
      <c r="B1" s="40"/>
      <c r="C1" s="40"/>
      <c r="D1" s="40"/>
      <c r="E1" s="40"/>
      <c r="G1" s="120"/>
      <c r="J1" s="121" t="s">
        <v>205</v>
      </c>
      <c r="K1" s="122"/>
      <c r="L1" s="122"/>
      <c r="M1" s="122"/>
      <c r="N1" s="122"/>
      <c r="O1" s="122"/>
      <c r="P1" s="122"/>
      <c r="Q1" s="122"/>
    </row>
    <row r="2" spans="1:36" s="124" customFormat="1" ht="15" customHeight="1">
      <c r="A2" s="123" t="s">
        <v>206</v>
      </c>
      <c r="B2" s="123"/>
      <c r="J2" s="125" t="s">
        <v>206</v>
      </c>
      <c r="K2" s="126"/>
      <c r="L2" s="126"/>
      <c r="M2" s="126"/>
      <c r="N2" s="126"/>
      <c r="O2" s="126"/>
      <c r="P2" s="126"/>
      <c r="Q2" s="126"/>
    </row>
    <row r="3" spans="1:36" ht="11.25" customHeight="1" thickBot="1">
      <c r="A3" s="2226" t="s">
        <v>124</v>
      </c>
      <c r="B3" s="2226"/>
      <c r="C3" s="2226"/>
      <c r="D3" s="2226"/>
      <c r="E3" s="2226"/>
      <c r="F3" s="2226"/>
      <c r="G3" s="2226"/>
      <c r="H3" s="2226"/>
      <c r="J3" s="2226" t="s">
        <v>124</v>
      </c>
      <c r="K3" s="2226"/>
      <c r="L3" s="2226"/>
      <c r="M3" s="2226"/>
      <c r="N3" s="2226"/>
      <c r="O3" s="2226"/>
      <c r="P3" s="2226"/>
      <c r="Q3" s="2226"/>
    </row>
    <row r="4" spans="1:36" s="132" customFormat="1" ht="11.5" customHeight="1" thickTop="1">
      <c r="A4" s="128"/>
      <c r="B4" s="129" t="s">
        <v>207</v>
      </c>
      <c r="C4" s="129" t="s">
        <v>207</v>
      </c>
      <c r="D4" s="130" t="s">
        <v>208</v>
      </c>
      <c r="E4" s="130" t="s">
        <v>209</v>
      </c>
      <c r="F4" s="129" t="s">
        <v>210</v>
      </c>
      <c r="G4" s="129" t="s">
        <v>211</v>
      </c>
      <c r="H4" s="129"/>
      <c r="I4" s="129"/>
      <c r="J4" s="129" t="s">
        <v>212</v>
      </c>
      <c r="K4" s="129" t="s">
        <v>213</v>
      </c>
      <c r="L4" s="129" t="s">
        <v>19</v>
      </c>
      <c r="M4" s="129" t="s">
        <v>1</v>
      </c>
      <c r="N4" s="129" t="s">
        <v>214</v>
      </c>
      <c r="O4" s="129" t="s">
        <v>132</v>
      </c>
      <c r="P4" s="129"/>
      <c r="Q4" s="131"/>
    </row>
    <row r="5" spans="1:36" s="132" customFormat="1" ht="11.5" customHeight="1">
      <c r="A5" s="128"/>
      <c r="B5" s="129" t="s">
        <v>215</v>
      </c>
      <c r="C5" s="129"/>
      <c r="D5" s="130" t="s">
        <v>216</v>
      </c>
      <c r="E5" s="130" t="s">
        <v>217</v>
      </c>
      <c r="F5" s="129" t="s">
        <v>218</v>
      </c>
      <c r="G5" s="129"/>
      <c r="H5" s="129"/>
      <c r="I5" s="129"/>
      <c r="J5" s="129" t="s">
        <v>219</v>
      </c>
      <c r="K5" s="129" t="s">
        <v>220</v>
      </c>
      <c r="L5" s="129"/>
      <c r="M5" s="129" t="s">
        <v>221</v>
      </c>
      <c r="N5" s="129" t="s">
        <v>222</v>
      </c>
      <c r="O5" s="129" t="s">
        <v>223</v>
      </c>
      <c r="P5" s="129"/>
      <c r="Q5" s="131"/>
    </row>
    <row r="6" spans="1:36" s="132" customFormat="1" ht="11.5" customHeight="1" thickBot="1">
      <c r="A6" s="133"/>
      <c r="B6" s="134"/>
      <c r="C6" s="134"/>
      <c r="D6" s="135" t="s">
        <v>224</v>
      </c>
      <c r="E6" s="135" t="s">
        <v>225</v>
      </c>
      <c r="F6" s="134"/>
      <c r="G6" s="134"/>
      <c r="H6" s="136"/>
      <c r="I6" s="129"/>
      <c r="J6" s="134" t="s">
        <v>226</v>
      </c>
      <c r="K6" s="134" t="s">
        <v>227</v>
      </c>
      <c r="L6" s="134"/>
      <c r="M6" s="137" t="s">
        <v>228</v>
      </c>
      <c r="N6" s="138"/>
      <c r="O6" s="134"/>
      <c r="P6" s="134"/>
      <c r="Q6" s="139"/>
    </row>
    <row r="7" spans="1:36" s="132" customFormat="1" ht="11.25" customHeight="1" thickTop="1">
      <c r="A7" s="131" t="s">
        <v>66</v>
      </c>
      <c r="B7" s="140"/>
      <c r="C7" s="140"/>
      <c r="D7" s="140"/>
      <c r="E7" s="140"/>
      <c r="F7" s="140"/>
      <c r="G7" s="141"/>
      <c r="H7" s="140"/>
      <c r="I7" s="140"/>
      <c r="J7" s="141"/>
      <c r="K7" s="140"/>
      <c r="L7" s="140"/>
      <c r="M7" s="140"/>
      <c r="N7" s="140"/>
      <c r="O7" s="140"/>
      <c r="Q7" s="131" t="s">
        <v>66</v>
      </c>
    </row>
    <row r="8" spans="1:36" ht="10.5" customHeight="1">
      <c r="A8" s="43" t="s">
        <v>229</v>
      </c>
      <c r="B8" s="142">
        <v>101.1875650619121</v>
      </c>
      <c r="C8" s="142">
        <v>331.99579631221934</v>
      </c>
      <c r="D8" s="143">
        <v>270.33103810778744</v>
      </c>
      <c r="E8" s="144">
        <v>494.62931041583352</v>
      </c>
      <c r="F8" s="142">
        <v>212.51681751040667</v>
      </c>
      <c r="G8" s="144">
        <v>1547.4640371807147</v>
      </c>
      <c r="H8" s="145"/>
      <c r="I8" s="145"/>
      <c r="J8" s="144">
        <v>956.13709664840496</v>
      </c>
      <c r="K8" s="144">
        <v>46.921341460000001</v>
      </c>
      <c r="L8" s="144">
        <v>437.52315907136716</v>
      </c>
      <c r="M8" s="144">
        <v>453.47067667950006</v>
      </c>
      <c r="N8" s="144">
        <v>395.52126899999996</v>
      </c>
      <c r="O8" s="146">
        <v>5247.6981074481455</v>
      </c>
      <c r="P8" s="147"/>
      <c r="Q8" s="148" t="s">
        <v>229</v>
      </c>
      <c r="R8" s="149"/>
      <c r="S8" s="150"/>
      <c r="T8" s="150"/>
      <c r="U8" s="150"/>
      <c r="V8" s="150"/>
      <c r="W8" s="150"/>
      <c r="X8" s="150"/>
      <c r="Y8" s="150"/>
      <c r="Z8" s="150"/>
      <c r="AA8" s="150"/>
      <c r="AB8" s="150"/>
      <c r="AC8" s="150"/>
      <c r="AD8" s="150"/>
      <c r="AE8" s="150"/>
      <c r="AF8" s="150"/>
      <c r="AG8" s="150"/>
      <c r="AH8" s="150"/>
      <c r="AI8" s="150"/>
      <c r="AJ8" s="150"/>
    </row>
    <row r="9" spans="1:36" ht="10.5" customHeight="1">
      <c r="A9" s="43" t="s">
        <v>230</v>
      </c>
      <c r="B9" s="144">
        <v>0</v>
      </c>
      <c r="C9" s="144">
        <v>0</v>
      </c>
      <c r="D9" s="144">
        <v>0</v>
      </c>
      <c r="E9" s="145">
        <v>0</v>
      </c>
      <c r="F9" s="144">
        <v>0</v>
      </c>
      <c r="G9" s="144">
        <v>0</v>
      </c>
      <c r="H9" s="145"/>
      <c r="I9" s="145"/>
      <c r="J9" s="144">
        <v>0</v>
      </c>
      <c r="K9" s="144">
        <v>0</v>
      </c>
      <c r="L9" s="144">
        <v>0</v>
      </c>
      <c r="M9" s="144">
        <v>0</v>
      </c>
      <c r="N9" s="144">
        <v>0</v>
      </c>
      <c r="O9" s="144">
        <v>0</v>
      </c>
      <c r="P9" s="151"/>
      <c r="Q9" s="148" t="s">
        <v>230</v>
      </c>
      <c r="S9" s="150"/>
      <c r="T9" s="150"/>
      <c r="U9" s="150"/>
      <c r="V9" s="150"/>
      <c r="W9" s="150"/>
      <c r="X9" s="150"/>
      <c r="Y9" s="150"/>
      <c r="Z9" s="150"/>
      <c r="AA9" s="150"/>
      <c r="AB9" s="150"/>
      <c r="AC9" s="150"/>
      <c r="AD9" s="150"/>
      <c r="AE9" s="150"/>
      <c r="AF9" s="150"/>
      <c r="AG9" s="150"/>
      <c r="AH9" s="150"/>
      <c r="AI9" s="150"/>
      <c r="AJ9" s="150"/>
    </row>
    <row r="10" spans="1:36" ht="10.5" customHeight="1">
      <c r="A10" s="43" t="s">
        <v>4</v>
      </c>
      <c r="B10" s="144">
        <v>0</v>
      </c>
      <c r="C10" s="144">
        <v>0</v>
      </c>
      <c r="D10" s="144">
        <v>0</v>
      </c>
      <c r="E10" s="143">
        <v>378.1990757892263</v>
      </c>
      <c r="F10" s="144">
        <v>0</v>
      </c>
      <c r="G10" s="144">
        <v>0</v>
      </c>
      <c r="H10" s="145"/>
      <c r="I10" s="145"/>
      <c r="J10" s="144">
        <v>0</v>
      </c>
      <c r="K10" s="144">
        <v>0</v>
      </c>
      <c r="L10" s="144">
        <v>0</v>
      </c>
      <c r="M10" s="144">
        <v>0</v>
      </c>
      <c r="N10" s="144">
        <v>0</v>
      </c>
      <c r="O10" s="144">
        <v>378.1990757892263</v>
      </c>
      <c r="P10" s="151"/>
      <c r="Q10" s="148" t="s">
        <v>4</v>
      </c>
      <c r="S10" s="150"/>
      <c r="T10" s="150"/>
      <c r="U10" s="150"/>
      <c r="V10" s="150"/>
      <c r="W10" s="150"/>
      <c r="X10" s="150"/>
      <c r="Y10" s="150"/>
      <c r="Z10" s="150"/>
      <c r="AA10" s="150"/>
      <c r="AB10" s="150"/>
      <c r="AC10" s="150"/>
      <c r="AD10" s="150"/>
      <c r="AE10" s="150"/>
      <c r="AF10" s="150"/>
      <c r="AG10" s="150"/>
      <c r="AH10" s="150"/>
      <c r="AI10" s="150"/>
      <c r="AJ10" s="150"/>
    </row>
    <row r="11" spans="1:36" ht="10.5" customHeight="1">
      <c r="A11" s="43" t="s">
        <v>135</v>
      </c>
      <c r="B11" s="144">
        <v>0</v>
      </c>
      <c r="C11" s="144">
        <v>0</v>
      </c>
      <c r="D11" s="144">
        <v>0</v>
      </c>
      <c r="E11" s="144">
        <v>0</v>
      </c>
      <c r="F11" s="144">
        <v>0</v>
      </c>
      <c r="G11" s="144">
        <v>0</v>
      </c>
      <c r="H11" s="145"/>
      <c r="I11" s="145"/>
      <c r="J11" s="144">
        <v>0</v>
      </c>
      <c r="K11" s="144">
        <v>0</v>
      </c>
      <c r="L11" s="144">
        <v>0</v>
      </c>
      <c r="M11" s="144">
        <v>0</v>
      </c>
      <c r="N11" s="144">
        <v>-33.830762525597777</v>
      </c>
      <c r="O11" s="144">
        <v>-33.830762525597777</v>
      </c>
      <c r="P11" s="151"/>
      <c r="Q11" s="148" t="s">
        <v>135</v>
      </c>
      <c r="S11" s="150"/>
      <c r="T11" s="150"/>
      <c r="U11" s="150"/>
      <c r="V11" s="150"/>
      <c r="W11" s="150"/>
      <c r="X11" s="150"/>
      <c r="Y11" s="150"/>
      <c r="Z11" s="150"/>
      <c r="AA11" s="150"/>
      <c r="AB11" s="150"/>
      <c r="AC11" s="150"/>
      <c r="AD11" s="150"/>
      <c r="AE11" s="150"/>
      <c r="AF11" s="150"/>
      <c r="AG11" s="150"/>
      <c r="AH11" s="150"/>
      <c r="AI11" s="150"/>
      <c r="AJ11" s="150"/>
    </row>
    <row r="12" spans="1:36" ht="10.5" customHeight="1">
      <c r="A12" s="43" t="s">
        <v>136</v>
      </c>
      <c r="B12" s="144">
        <v>0</v>
      </c>
      <c r="C12" s="144">
        <v>0</v>
      </c>
      <c r="D12" s="144">
        <v>0</v>
      </c>
      <c r="E12" s="144">
        <v>0</v>
      </c>
      <c r="F12" s="144">
        <v>0</v>
      </c>
      <c r="G12" s="144">
        <v>0</v>
      </c>
      <c r="H12" s="145"/>
      <c r="I12" s="145"/>
      <c r="J12" s="144">
        <v>0</v>
      </c>
      <c r="K12" s="144">
        <v>0</v>
      </c>
      <c r="L12" s="144">
        <v>0</v>
      </c>
      <c r="M12" s="144">
        <v>0</v>
      </c>
      <c r="N12" s="144">
        <v>0</v>
      </c>
      <c r="O12" s="144">
        <v>0</v>
      </c>
      <c r="P12" s="151"/>
      <c r="Q12" s="148" t="s">
        <v>136</v>
      </c>
      <c r="S12" s="150"/>
      <c r="T12" s="150"/>
      <c r="U12" s="150"/>
      <c r="V12" s="150"/>
      <c r="W12" s="150"/>
      <c r="X12" s="150"/>
      <c r="Y12" s="150"/>
      <c r="Z12" s="150"/>
      <c r="AA12" s="150"/>
      <c r="AB12" s="150"/>
      <c r="AC12" s="150"/>
      <c r="AD12" s="150"/>
      <c r="AE12" s="150"/>
      <c r="AF12" s="150"/>
      <c r="AG12" s="150"/>
      <c r="AH12" s="150"/>
      <c r="AI12" s="150"/>
      <c r="AJ12" s="150"/>
    </row>
    <row r="13" spans="1:36" ht="10.5" customHeight="1">
      <c r="A13" s="43" t="s">
        <v>231</v>
      </c>
      <c r="B13" s="144">
        <v>0</v>
      </c>
      <c r="C13" s="144">
        <v>0</v>
      </c>
      <c r="D13" s="144">
        <v>0</v>
      </c>
      <c r="E13" s="144">
        <v>0</v>
      </c>
      <c r="F13" s="144">
        <v>0</v>
      </c>
      <c r="G13" s="144">
        <v>0</v>
      </c>
      <c r="H13" s="145"/>
      <c r="I13" s="145"/>
      <c r="J13" s="144">
        <v>0</v>
      </c>
      <c r="K13" s="144">
        <v>0</v>
      </c>
      <c r="L13" s="144">
        <v>0</v>
      </c>
      <c r="M13" s="144">
        <v>0</v>
      </c>
      <c r="N13" s="144">
        <v>0</v>
      </c>
      <c r="O13" s="144">
        <v>0</v>
      </c>
      <c r="P13" s="151"/>
      <c r="Q13" s="148" t="s">
        <v>232</v>
      </c>
      <c r="S13" s="150"/>
      <c r="T13" s="150"/>
      <c r="U13" s="150"/>
      <c r="V13" s="150"/>
      <c r="W13" s="150"/>
      <c r="X13" s="150"/>
      <c r="Y13" s="150"/>
      <c r="Z13" s="150"/>
      <c r="AA13" s="150"/>
      <c r="AB13" s="150"/>
      <c r="AC13" s="150"/>
      <c r="AD13" s="150"/>
      <c r="AE13" s="150"/>
      <c r="AF13" s="150"/>
      <c r="AG13" s="150"/>
      <c r="AH13" s="150"/>
      <c r="AI13" s="150"/>
      <c r="AJ13" s="150"/>
    </row>
    <row r="14" spans="1:36" ht="10.5" customHeight="1">
      <c r="A14" s="43" t="s">
        <v>141</v>
      </c>
      <c r="B14" s="144">
        <v>0</v>
      </c>
      <c r="C14" s="144">
        <v>0</v>
      </c>
      <c r="D14" s="144">
        <v>0</v>
      </c>
      <c r="E14" s="144">
        <v>0</v>
      </c>
      <c r="F14" s="144">
        <v>0</v>
      </c>
      <c r="G14" s="144">
        <v>0</v>
      </c>
      <c r="H14" s="145"/>
      <c r="I14" s="145"/>
      <c r="J14" s="144">
        <v>0</v>
      </c>
      <c r="K14" s="144">
        <v>0</v>
      </c>
      <c r="L14" s="144">
        <v>0</v>
      </c>
      <c r="M14" s="144">
        <v>0</v>
      </c>
      <c r="N14" s="144">
        <v>0</v>
      </c>
      <c r="O14" s="152">
        <v>0</v>
      </c>
      <c r="P14" s="151"/>
      <c r="Q14" s="148" t="s">
        <v>141</v>
      </c>
      <c r="S14" s="150"/>
      <c r="T14" s="150"/>
      <c r="U14" s="150"/>
      <c r="V14" s="150"/>
      <c r="W14" s="150"/>
      <c r="X14" s="150"/>
      <c r="Y14" s="150"/>
      <c r="Z14" s="150"/>
      <c r="AA14" s="150"/>
      <c r="AB14" s="150"/>
      <c r="AC14" s="150"/>
      <c r="AD14" s="150"/>
      <c r="AE14" s="150"/>
      <c r="AF14" s="150"/>
      <c r="AG14" s="150"/>
      <c r="AH14" s="150"/>
      <c r="AI14" s="150"/>
      <c r="AJ14" s="150"/>
    </row>
    <row r="15" spans="1:36" s="132" customFormat="1" ht="11" customHeight="1">
      <c r="A15" s="60" t="s">
        <v>233</v>
      </c>
      <c r="B15" s="153">
        <v>101.1875650619121</v>
      </c>
      <c r="C15" s="153">
        <v>331.99579631221934</v>
      </c>
      <c r="D15" s="154">
        <v>270.33103810778744</v>
      </c>
      <c r="E15" s="154">
        <v>872.82838620505981</v>
      </c>
      <c r="F15" s="153">
        <v>212.51681751040667</v>
      </c>
      <c r="G15" s="154">
        <v>1547.4640371807147</v>
      </c>
      <c r="H15" s="155">
        <v>0</v>
      </c>
      <c r="I15" s="156"/>
      <c r="J15" s="154">
        <v>956.13709664840496</v>
      </c>
      <c r="K15" s="154">
        <v>46.921341460000001</v>
      </c>
      <c r="L15" s="154">
        <v>437.52315907136716</v>
      </c>
      <c r="M15" s="154">
        <v>453.47067667950006</v>
      </c>
      <c r="N15" s="154">
        <v>361.69050647440218</v>
      </c>
      <c r="O15" s="157">
        <v>5592.0664207117743</v>
      </c>
      <c r="P15" s="158"/>
      <c r="Q15" s="159" t="s">
        <v>233</v>
      </c>
      <c r="R15" s="149"/>
      <c r="S15" s="150"/>
      <c r="T15" s="150"/>
      <c r="U15" s="150"/>
      <c r="V15" s="150"/>
      <c r="W15" s="150"/>
      <c r="X15" s="150"/>
      <c r="Y15" s="150"/>
      <c r="Z15" s="150"/>
      <c r="AA15" s="150"/>
      <c r="AB15" s="150"/>
      <c r="AC15" s="150"/>
      <c r="AD15" s="150"/>
      <c r="AE15" s="150"/>
      <c r="AF15" s="150"/>
      <c r="AG15" s="150"/>
      <c r="AH15" s="150"/>
      <c r="AI15" s="150"/>
      <c r="AJ15" s="150"/>
    </row>
    <row r="16" spans="1:36" s="132" customFormat="1" ht="11" customHeight="1">
      <c r="A16" s="60" t="s">
        <v>234</v>
      </c>
      <c r="B16" s="160">
        <v>0</v>
      </c>
      <c r="C16" s="160">
        <v>0</v>
      </c>
      <c r="D16" s="160">
        <v>0</v>
      </c>
      <c r="E16" s="160">
        <v>0</v>
      </c>
      <c r="F16" s="160">
        <v>0</v>
      </c>
      <c r="G16" s="160">
        <v>0</v>
      </c>
      <c r="H16" s="161"/>
      <c r="I16" s="162"/>
      <c r="J16" s="163">
        <v>0</v>
      </c>
      <c r="K16" s="163">
        <v>0</v>
      </c>
      <c r="L16" s="163">
        <v>0</v>
      </c>
      <c r="M16" s="163">
        <v>0</v>
      </c>
      <c r="N16" s="163">
        <v>0</v>
      </c>
      <c r="O16" s="163">
        <v>0</v>
      </c>
      <c r="P16" s="164"/>
      <c r="Q16" s="165" t="s">
        <v>235</v>
      </c>
      <c r="S16" s="150"/>
      <c r="T16" s="150"/>
      <c r="U16" s="150"/>
      <c r="V16" s="150"/>
      <c r="W16" s="150"/>
      <c r="X16" s="150"/>
      <c r="Y16" s="150"/>
      <c r="Z16" s="150"/>
      <c r="AA16" s="150"/>
      <c r="AB16" s="150"/>
      <c r="AC16" s="150"/>
      <c r="AD16" s="150"/>
      <c r="AE16" s="150"/>
      <c r="AF16" s="150"/>
      <c r="AG16" s="150"/>
      <c r="AH16" s="150"/>
      <c r="AI16" s="150"/>
      <c r="AJ16" s="150"/>
    </row>
    <row r="17" spans="1:36" s="132" customFormat="1" ht="11" customHeight="1">
      <c r="A17" s="60" t="s">
        <v>236</v>
      </c>
      <c r="B17" s="153">
        <v>101.1875650619121</v>
      </c>
      <c r="C17" s="153">
        <v>331.99579631221934</v>
      </c>
      <c r="D17" s="154">
        <v>270.33103810778744</v>
      </c>
      <c r="E17" s="154">
        <v>872.82838620505981</v>
      </c>
      <c r="F17" s="153">
        <v>212.51681751040667</v>
      </c>
      <c r="G17" s="154">
        <v>1547.4640371807147</v>
      </c>
      <c r="H17" s="155">
        <v>0</v>
      </c>
      <c r="I17" s="156"/>
      <c r="J17" s="154">
        <v>956.13709664840496</v>
      </c>
      <c r="K17" s="154">
        <v>46.921341460000001</v>
      </c>
      <c r="L17" s="154">
        <v>437.52315907136716</v>
      </c>
      <c r="M17" s="154">
        <v>453.47067667950006</v>
      </c>
      <c r="N17" s="154">
        <v>361.69050647440218</v>
      </c>
      <c r="O17" s="153">
        <v>5592.0664207117743</v>
      </c>
      <c r="P17" s="158"/>
      <c r="Q17" s="159" t="s">
        <v>236</v>
      </c>
      <c r="R17" s="149"/>
      <c r="S17" s="150"/>
      <c r="T17" s="150"/>
      <c r="U17" s="150"/>
      <c r="V17" s="150"/>
      <c r="W17" s="150"/>
      <c r="X17" s="150"/>
      <c r="Y17" s="150"/>
      <c r="Z17" s="150"/>
      <c r="AA17" s="150"/>
      <c r="AB17" s="150"/>
      <c r="AC17" s="150"/>
      <c r="AD17" s="150"/>
      <c r="AE17" s="150"/>
      <c r="AF17" s="150"/>
      <c r="AG17" s="150"/>
      <c r="AH17" s="150"/>
      <c r="AI17" s="150"/>
      <c r="AJ17" s="150"/>
    </row>
    <row r="18" spans="1:36" ht="10.5" customHeight="1">
      <c r="A18" s="53" t="s">
        <v>142</v>
      </c>
      <c r="B18" s="166">
        <v>0</v>
      </c>
      <c r="C18" s="166">
        <v>0</v>
      </c>
      <c r="D18" s="166">
        <v>222.50523840438652</v>
      </c>
      <c r="E18" s="167">
        <v>775.50021285667435</v>
      </c>
      <c r="F18" s="167">
        <v>162.54388324040667</v>
      </c>
      <c r="G18" s="166">
        <v>1533.8836011807148</v>
      </c>
      <c r="H18" s="168">
        <v>0</v>
      </c>
      <c r="I18" s="168"/>
      <c r="J18" s="166">
        <v>785.09110660437466</v>
      </c>
      <c r="K18" s="166">
        <v>1.2037900000000001</v>
      </c>
      <c r="L18" s="166">
        <v>437.52315907136716</v>
      </c>
      <c r="M18" s="166">
        <v>453.47067667950006</v>
      </c>
      <c r="N18" s="166">
        <v>0</v>
      </c>
      <c r="O18" s="167">
        <v>4371.721668037424</v>
      </c>
      <c r="P18" s="169"/>
      <c r="Q18" s="170" t="s">
        <v>142</v>
      </c>
      <c r="R18" s="149"/>
      <c r="S18" s="150"/>
      <c r="T18" s="150"/>
      <c r="U18" s="150"/>
      <c r="V18" s="150"/>
      <c r="W18" s="150"/>
      <c r="X18" s="150"/>
      <c r="Y18" s="150"/>
      <c r="Z18" s="150"/>
      <c r="AA18" s="150"/>
      <c r="AB18" s="150"/>
      <c r="AC18" s="150"/>
      <c r="AD18" s="150"/>
      <c r="AE18" s="150"/>
      <c r="AF18" s="150"/>
      <c r="AG18" s="150"/>
      <c r="AH18" s="150"/>
      <c r="AI18" s="150"/>
      <c r="AJ18" s="150"/>
    </row>
    <row r="19" spans="1:36" ht="10.5" customHeight="1">
      <c r="A19" s="43" t="s">
        <v>143</v>
      </c>
      <c r="B19" s="144">
        <v>0</v>
      </c>
      <c r="C19" s="144">
        <v>0</v>
      </c>
      <c r="D19" s="144">
        <v>222.50523840438652</v>
      </c>
      <c r="E19" s="142">
        <v>775.50021285667435</v>
      </c>
      <c r="F19" s="142">
        <v>162.54388324040667</v>
      </c>
      <c r="G19" s="144">
        <v>1533.8836011807148</v>
      </c>
      <c r="H19" s="145">
        <v>0</v>
      </c>
      <c r="I19" s="145"/>
      <c r="J19" s="144">
        <v>785.09110660437466</v>
      </c>
      <c r="K19" s="144">
        <v>1.2037900000000001</v>
      </c>
      <c r="L19" s="144">
        <v>437.52315907136716</v>
      </c>
      <c r="M19" s="144">
        <v>453.47067667950006</v>
      </c>
      <c r="N19" s="144">
        <v>0</v>
      </c>
      <c r="O19" s="142">
        <v>4371.721668037424</v>
      </c>
      <c r="P19" s="147"/>
      <c r="Q19" s="148" t="s">
        <v>143</v>
      </c>
      <c r="R19" s="149"/>
      <c r="S19" s="150"/>
      <c r="T19" s="150"/>
      <c r="U19" s="150"/>
      <c r="V19" s="150"/>
      <c r="W19" s="150"/>
      <c r="X19" s="150"/>
      <c r="Y19" s="150"/>
      <c r="Z19" s="150"/>
      <c r="AA19" s="150"/>
      <c r="AB19" s="150"/>
      <c r="AC19" s="150"/>
      <c r="AD19" s="150"/>
      <c r="AE19" s="150"/>
      <c r="AF19" s="150"/>
      <c r="AG19" s="150"/>
      <c r="AH19" s="150"/>
      <c r="AI19" s="150"/>
      <c r="AJ19" s="150"/>
    </row>
    <row r="20" spans="1:36" ht="10.5" customHeight="1">
      <c r="A20" s="43" t="s">
        <v>237</v>
      </c>
      <c r="B20" s="144">
        <v>0</v>
      </c>
      <c r="C20" s="144">
        <v>0</v>
      </c>
      <c r="D20" s="142">
        <v>145.72270815404957</v>
      </c>
      <c r="E20" s="142">
        <v>421.77473043586184</v>
      </c>
      <c r="F20" s="144">
        <v>0</v>
      </c>
      <c r="G20" s="144">
        <v>0</v>
      </c>
      <c r="H20" s="145"/>
      <c r="I20" s="145"/>
      <c r="J20" s="144">
        <v>57.716952365595006</v>
      </c>
      <c r="K20" s="144">
        <v>0</v>
      </c>
      <c r="L20" s="144">
        <v>356.28366380051591</v>
      </c>
      <c r="M20" s="142">
        <v>306.86472785898536</v>
      </c>
      <c r="N20" s="144">
        <v>0</v>
      </c>
      <c r="O20" s="142">
        <v>1288.3627826150077</v>
      </c>
      <c r="P20" s="151"/>
      <c r="Q20" s="148" t="s">
        <v>237</v>
      </c>
      <c r="R20" s="149"/>
      <c r="S20" s="150"/>
      <c r="T20" s="150"/>
      <c r="U20" s="150"/>
      <c r="V20" s="150"/>
      <c r="W20" s="150"/>
      <c r="X20" s="150"/>
      <c r="Y20" s="150"/>
      <c r="Z20" s="150"/>
      <c r="AA20" s="150"/>
      <c r="AB20" s="150"/>
      <c r="AC20" s="150"/>
      <c r="AD20" s="150"/>
      <c r="AE20" s="150"/>
      <c r="AF20" s="150"/>
      <c r="AG20" s="150"/>
      <c r="AH20" s="150"/>
      <c r="AI20" s="150"/>
      <c r="AJ20" s="150"/>
    </row>
    <row r="21" spans="1:36" ht="10.5" customHeight="1">
      <c r="A21" s="43" t="s">
        <v>238</v>
      </c>
      <c r="B21" s="144">
        <v>0</v>
      </c>
      <c r="C21" s="144">
        <v>0</v>
      </c>
      <c r="D21" s="142">
        <v>76.782530250336947</v>
      </c>
      <c r="E21" s="142">
        <v>353.72548242081251</v>
      </c>
      <c r="F21" s="142">
        <v>162.54388324040667</v>
      </c>
      <c r="G21" s="144">
        <v>1533.8836011807148</v>
      </c>
      <c r="H21" s="145"/>
      <c r="I21" s="145"/>
      <c r="J21" s="144">
        <v>727.37415423877962</v>
      </c>
      <c r="K21" s="144">
        <v>1.2037900000000001</v>
      </c>
      <c r="L21" s="143">
        <v>81.239495270851251</v>
      </c>
      <c r="M21" s="142">
        <v>146.6059488205147</v>
      </c>
      <c r="N21" s="144">
        <v>0</v>
      </c>
      <c r="O21" s="142">
        <v>3083.3588854224167</v>
      </c>
      <c r="P21" s="147"/>
      <c r="Q21" s="148" t="s">
        <v>238</v>
      </c>
      <c r="R21" s="149"/>
      <c r="S21" s="150"/>
      <c r="T21" s="150"/>
      <c r="U21" s="150"/>
      <c r="V21" s="150"/>
      <c r="W21" s="150"/>
      <c r="X21" s="150"/>
      <c r="Y21" s="150"/>
      <c r="Z21" s="150"/>
      <c r="AA21" s="150"/>
      <c r="AB21" s="150"/>
      <c r="AC21" s="150"/>
      <c r="AD21" s="150"/>
      <c r="AE21" s="150"/>
      <c r="AF21" s="150"/>
      <c r="AG21" s="150"/>
      <c r="AH21" s="150"/>
      <c r="AI21" s="150"/>
      <c r="AJ21" s="150"/>
    </row>
    <row r="22" spans="1:36" ht="10.5" customHeight="1">
      <c r="A22" s="43" t="s">
        <v>145</v>
      </c>
      <c r="B22" s="144">
        <v>0</v>
      </c>
      <c r="C22" s="144">
        <v>0</v>
      </c>
      <c r="D22" s="144">
        <v>0</v>
      </c>
      <c r="E22" s="144">
        <v>0</v>
      </c>
      <c r="F22" s="144">
        <v>0</v>
      </c>
      <c r="G22" s="144">
        <v>0</v>
      </c>
      <c r="H22" s="145"/>
      <c r="I22" s="145"/>
      <c r="J22" s="144">
        <v>0</v>
      </c>
      <c r="K22" s="144">
        <v>0</v>
      </c>
      <c r="L22" s="144">
        <v>0</v>
      </c>
      <c r="M22" s="144">
        <v>0</v>
      </c>
      <c r="N22" s="144">
        <v>0</v>
      </c>
      <c r="O22" s="144">
        <v>0</v>
      </c>
      <c r="P22" s="147"/>
      <c r="Q22" s="148" t="s">
        <v>145</v>
      </c>
      <c r="R22" s="149"/>
      <c r="S22" s="150"/>
      <c r="T22" s="150"/>
      <c r="U22" s="150"/>
      <c r="V22" s="150"/>
      <c r="W22" s="150"/>
      <c r="X22" s="150"/>
      <c r="Y22" s="150"/>
      <c r="Z22" s="150"/>
      <c r="AA22" s="150"/>
      <c r="AB22" s="150"/>
      <c r="AC22" s="150"/>
      <c r="AD22" s="150"/>
      <c r="AE22" s="150"/>
      <c r="AF22" s="150"/>
      <c r="AG22" s="150"/>
      <c r="AH22" s="150"/>
      <c r="AI22" s="150"/>
      <c r="AJ22" s="150"/>
    </row>
    <row r="23" spans="1:36" ht="10.5" customHeight="1">
      <c r="A23" s="43" t="s">
        <v>146</v>
      </c>
      <c r="B23" s="144">
        <v>0</v>
      </c>
      <c r="C23" s="144">
        <v>0</v>
      </c>
      <c r="D23" s="144">
        <v>0</v>
      </c>
      <c r="E23" s="144">
        <v>0</v>
      </c>
      <c r="F23" s="144">
        <v>0</v>
      </c>
      <c r="G23" s="144">
        <v>0</v>
      </c>
      <c r="H23" s="145"/>
      <c r="I23" s="145"/>
      <c r="J23" s="144">
        <v>0</v>
      </c>
      <c r="K23" s="144">
        <v>0</v>
      </c>
      <c r="L23" s="144">
        <v>0</v>
      </c>
      <c r="M23" s="144">
        <v>0</v>
      </c>
      <c r="N23" s="144">
        <v>0</v>
      </c>
      <c r="O23" s="144">
        <v>0</v>
      </c>
      <c r="P23" s="151"/>
      <c r="Q23" s="148" t="s">
        <v>146</v>
      </c>
      <c r="S23" s="150"/>
      <c r="T23" s="150"/>
      <c r="U23" s="150"/>
      <c r="V23" s="150"/>
      <c r="W23" s="150"/>
      <c r="X23" s="150"/>
      <c r="Y23" s="150"/>
      <c r="Z23" s="150"/>
      <c r="AA23" s="150"/>
      <c r="AB23" s="150"/>
      <c r="AC23" s="150"/>
      <c r="AD23" s="150"/>
      <c r="AE23" s="150"/>
      <c r="AF23" s="150"/>
      <c r="AG23" s="150"/>
      <c r="AH23" s="150"/>
      <c r="AI23" s="150"/>
      <c r="AJ23" s="150"/>
    </row>
    <row r="24" spans="1:36" ht="10.5" customHeight="1">
      <c r="A24" s="43" t="s">
        <v>147</v>
      </c>
      <c r="B24" s="144">
        <v>0</v>
      </c>
      <c r="C24" s="144">
        <v>0</v>
      </c>
      <c r="D24" s="144">
        <v>0</v>
      </c>
      <c r="E24" s="144">
        <v>0</v>
      </c>
      <c r="F24" s="144">
        <v>0</v>
      </c>
      <c r="G24" s="144">
        <v>0</v>
      </c>
      <c r="H24" s="145"/>
      <c r="I24" s="145"/>
      <c r="J24" s="144">
        <v>0</v>
      </c>
      <c r="K24" s="144">
        <v>0</v>
      </c>
      <c r="L24" s="144">
        <v>0</v>
      </c>
      <c r="M24" s="144">
        <v>0</v>
      </c>
      <c r="N24" s="144">
        <v>0</v>
      </c>
      <c r="O24" s="144">
        <v>0</v>
      </c>
      <c r="P24" s="151"/>
      <c r="Q24" s="148" t="s">
        <v>147</v>
      </c>
      <c r="S24" s="150"/>
      <c r="T24" s="150"/>
      <c r="U24" s="150"/>
      <c r="V24" s="150"/>
      <c r="W24" s="150"/>
      <c r="X24" s="150"/>
      <c r="Y24" s="150"/>
      <c r="Z24" s="150"/>
      <c r="AA24" s="150"/>
      <c r="AB24" s="150"/>
      <c r="AC24" s="150"/>
      <c r="AD24" s="150"/>
      <c r="AE24" s="150"/>
      <c r="AF24" s="150"/>
      <c r="AG24" s="150"/>
      <c r="AH24" s="150"/>
      <c r="AI24" s="150"/>
      <c r="AJ24" s="150"/>
    </row>
    <row r="25" spans="1:36" ht="10.5" customHeight="1">
      <c r="A25" s="43" t="s">
        <v>115</v>
      </c>
      <c r="B25" s="144">
        <v>0</v>
      </c>
      <c r="C25" s="144">
        <v>0</v>
      </c>
      <c r="D25" s="144">
        <v>0</v>
      </c>
      <c r="E25" s="144">
        <v>0</v>
      </c>
      <c r="F25" s="144">
        <v>0</v>
      </c>
      <c r="G25" s="144">
        <v>0</v>
      </c>
      <c r="H25" s="145"/>
      <c r="I25" s="145"/>
      <c r="J25" s="144">
        <v>0</v>
      </c>
      <c r="K25" s="144">
        <v>0</v>
      </c>
      <c r="L25" s="144">
        <v>0</v>
      </c>
      <c r="M25" s="144">
        <v>0</v>
      </c>
      <c r="N25" s="144">
        <v>0</v>
      </c>
      <c r="O25" s="144">
        <v>0</v>
      </c>
      <c r="P25" s="151"/>
      <c r="Q25" s="148" t="s">
        <v>115</v>
      </c>
      <c r="S25" s="150"/>
      <c r="T25" s="150"/>
      <c r="U25" s="150"/>
      <c r="V25" s="150"/>
      <c r="W25" s="150"/>
      <c r="X25" s="150"/>
      <c r="Y25" s="150"/>
      <c r="Z25" s="150"/>
      <c r="AA25" s="150"/>
      <c r="AB25" s="150"/>
      <c r="AC25" s="150"/>
      <c r="AD25" s="150"/>
      <c r="AE25" s="150"/>
      <c r="AF25" s="150"/>
      <c r="AG25" s="150"/>
      <c r="AH25" s="150"/>
      <c r="AI25" s="150"/>
      <c r="AJ25" s="150"/>
    </row>
    <row r="26" spans="1:36" ht="10.5" customHeight="1">
      <c r="A26" s="43" t="s">
        <v>148</v>
      </c>
      <c r="B26" s="144">
        <v>0</v>
      </c>
      <c r="C26" s="144">
        <v>0</v>
      </c>
      <c r="D26" s="144">
        <v>0</v>
      </c>
      <c r="E26" s="144">
        <v>0</v>
      </c>
      <c r="F26" s="144">
        <v>0</v>
      </c>
      <c r="G26" s="144">
        <v>0</v>
      </c>
      <c r="H26" s="145"/>
      <c r="I26" s="145"/>
      <c r="J26" s="144">
        <v>0</v>
      </c>
      <c r="K26" s="144">
        <v>0</v>
      </c>
      <c r="L26" s="144">
        <v>0</v>
      </c>
      <c r="M26" s="144">
        <v>0</v>
      </c>
      <c r="N26" s="144">
        <v>0</v>
      </c>
      <c r="O26" s="144">
        <v>0</v>
      </c>
      <c r="P26" s="151"/>
      <c r="Q26" s="148" t="s">
        <v>148</v>
      </c>
      <c r="S26" s="150"/>
      <c r="T26" s="150"/>
      <c r="U26" s="150"/>
      <c r="V26" s="150"/>
      <c r="W26" s="150"/>
      <c r="X26" s="150"/>
      <c r="Y26" s="150"/>
      <c r="Z26" s="150"/>
      <c r="AA26" s="150"/>
      <c r="AB26" s="150"/>
      <c r="AC26" s="150"/>
      <c r="AD26" s="150"/>
      <c r="AE26" s="150"/>
      <c r="AF26" s="150"/>
      <c r="AG26" s="150"/>
      <c r="AH26" s="150"/>
      <c r="AI26" s="150"/>
      <c r="AJ26" s="150"/>
    </row>
    <row r="27" spans="1:36" ht="10.5" customHeight="1">
      <c r="A27" s="43" t="s">
        <v>113</v>
      </c>
      <c r="B27" s="144">
        <v>0</v>
      </c>
      <c r="C27" s="144">
        <v>0</v>
      </c>
      <c r="D27" s="144">
        <v>0</v>
      </c>
      <c r="E27" s="144">
        <v>0</v>
      </c>
      <c r="F27" s="144">
        <v>0</v>
      </c>
      <c r="G27" s="144">
        <v>0</v>
      </c>
      <c r="H27" s="145"/>
      <c r="I27" s="145"/>
      <c r="J27" s="152">
        <v>0</v>
      </c>
      <c r="K27" s="152">
        <v>0</v>
      </c>
      <c r="L27" s="152">
        <v>0</v>
      </c>
      <c r="M27" s="152">
        <v>0</v>
      </c>
      <c r="N27" s="152">
        <v>0</v>
      </c>
      <c r="O27" s="152">
        <v>0</v>
      </c>
      <c r="P27" s="171"/>
      <c r="Q27" s="172" t="s">
        <v>113</v>
      </c>
      <c r="S27" s="150"/>
      <c r="T27" s="150"/>
      <c r="U27" s="150"/>
      <c r="V27" s="150"/>
      <c r="W27" s="150"/>
      <c r="X27" s="150"/>
      <c r="Y27" s="150"/>
      <c r="Z27" s="150"/>
      <c r="AA27" s="150"/>
      <c r="AB27" s="150"/>
      <c r="AC27" s="150"/>
      <c r="AD27" s="150"/>
      <c r="AE27" s="150"/>
      <c r="AF27" s="150"/>
      <c r="AG27" s="150"/>
      <c r="AH27" s="150"/>
      <c r="AI27" s="150"/>
      <c r="AJ27" s="150"/>
    </row>
    <row r="28" spans="1:36" s="132" customFormat="1" ht="11.25" customHeight="1">
      <c r="A28" s="173" t="s">
        <v>149</v>
      </c>
      <c r="B28" s="174">
        <v>0</v>
      </c>
      <c r="C28" s="174">
        <v>0</v>
      </c>
      <c r="D28" s="174">
        <v>0</v>
      </c>
      <c r="E28" s="174">
        <v>0</v>
      </c>
      <c r="F28" s="174">
        <v>0</v>
      </c>
      <c r="G28" s="174">
        <v>0</v>
      </c>
      <c r="H28" s="175"/>
      <c r="I28" s="162"/>
      <c r="J28" s="176">
        <v>0</v>
      </c>
      <c r="K28" s="176">
        <v>0</v>
      </c>
      <c r="L28" s="176">
        <v>0</v>
      </c>
      <c r="M28" s="176">
        <v>0</v>
      </c>
      <c r="N28" s="176">
        <v>0</v>
      </c>
      <c r="O28" s="144">
        <v>0</v>
      </c>
      <c r="P28" s="177"/>
      <c r="Q28" s="178" t="s">
        <v>149</v>
      </c>
      <c r="S28" s="150"/>
      <c r="T28" s="150"/>
      <c r="U28" s="150"/>
      <c r="V28" s="150"/>
      <c r="W28" s="150"/>
      <c r="X28" s="150"/>
      <c r="Y28" s="150"/>
      <c r="Z28" s="150"/>
      <c r="AA28" s="150"/>
      <c r="AB28" s="150"/>
      <c r="AC28" s="150"/>
      <c r="AD28" s="150"/>
      <c r="AE28" s="150"/>
      <c r="AF28" s="150"/>
      <c r="AG28" s="150"/>
      <c r="AH28" s="150"/>
      <c r="AI28" s="150"/>
      <c r="AJ28" s="150"/>
    </row>
    <row r="29" spans="1:36" ht="10.5" customHeight="1">
      <c r="A29" s="43" t="s">
        <v>143</v>
      </c>
      <c r="B29" s="144">
        <v>0</v>
      </c>
      <c r="C29" s="144">
        <v>0</v>
      </c>
      <c r="D29" s="144">
        <v>0</v>
      </c>
      <c r="E29" s="144">
        <v>0</v>
      </c>
      <c r="F29" s="144">
        <v>0</v>
      </c>
      <c r="G29" s="144">
        <v>0</v>
      </c>
      <c r="H29" s="145"/>
      <c r="I29" s="145"/>
      <c r="J29" s="144">
        <v>0</v>
      </c>
      <c r="K29" s="144">
        <v>0</v>
      </c>
      <c r="L29" s="144">
        <v>0</v>
      </c>
      <c r="M29" s="144">
        <v>0</v>
      </c>
      <c r="N29" s="144">
        <v>0</v>
      </c>
      <c r="O29" s="144">
        <v>0</v>
      </c>
      <c r="P29" s="179"/>
      <c r="Q29" s="148" t="s">
        <v>143</v>
      </c>
      <c r="S29" s="150"/>
      <c r="T29" s="150"/>
      <c r="U29" s="150"/>
      <c r="V29" s="150"/>
      <c r="W29" s="150"/>
      <c r="X29" s="150"/>
      <c r="Y29" s="150"/>
      <c r="Z29" s="150"/>
      <c r="AA29" s="150"/>
      <c r="AB29" s="150"/>
      <c r="AC29" s="150"/>
      <c r="AD29" s="150"/>
      <c r="AE29" s="150"/>
      <c r="AF29" s="150"/>
      <c r="AG29" s="150"/>
      <c r="AH29" s="150"/>
      <c r="AI29" s="150"/>
      <c r="AJ29" s="150"/>
    </row>
    <row r="30" spans="1:36" ht="10.5" customHeight="1">
      <c r="A30" s="43" t="s">
        <v>150</v>
      </c>
      <c r="B30" s="144">
        <v>0</v>
      </c>
      <c r="C30" s="144">
        <v>0</v>
      </c>
      <c r="D30" s="144">
        <v>0</v>
      </c>
      <c r="E30" s="144">
        <v>0</v>
      </c>
      <c r="F30" s="144">
        <v>0</v>
      </c>
      <c r="G30" s="144">
        <v>0</v>
      </c>
      <c r="H30" s="145"/>
      <c r="I30" s="145"/>
      <c r="J30" s="144">
        <v>0</v>
      </c>
      <c r="K30" s="144">
        <v>0</v>
      </c>
      <c r="L30" s="144">
        <v>0</v>
      </c>
      <c r="M30" s="144">
        <v>0</v>
      </c>
      <c r="N30" s="144">
        <v>0</v>
      </c>
      <c r="O30" s="144">
        <v>0</v>
      </c>
      <c r="P30" s="179"/>
      <c r="Q30" s="148" t="s">
        <v>150</v>
      </c>
      <c r="S30" s="150"/>
      <c r="T30" s="150"/>
      <c r="U30" s="150"/>
      <c r="V30" s="150"/>
      <c r="W30" s="150"/>
      <c r="X30" s="150"/>
      <c r="Y30" s="150"/>
      <c r="Z30" s="150"/>
      <c r="AA30" s="150"/>
      <c r="AB30" s="150"/>
      <c r="AC30" s="150"/>
      <c r="AD30" s="150"/>
      <c r="AE30" s="150"/>
      <c r="AF30" s="150"/>
      <c r="AG30" s="150"/>
      <c r="AH30" s="150"/>
      <c r="AI30" s="150"/>
      <c r="AJ30" s="150"/>
    </row>
    <row r="31" spans="1:36" ht="10.5" customHeight="1">
      <c r="A31" s="43" t="s">
        <v>146</v>
      </c>
      <c r="B31" s="144">
        <v>0</v>
      </c>
      <c r="C31" s="144">
        <v>0</v>
      </c>
      <c r="D31" s="144">
        <v>0</v>
      </c>
      <c r="E31" s="144">
        <v>0</v>
      </c>
      <c r="F31" s="144">
        <v>0</v>
      </c>
      <c r="G31" s="144">
        <v>0</v>
      </c>
      <c r="H31" s="145"/>
      <c r="I31" s="145"/>
      <c r="J31" s="144">
        <v>0</v>
      </c>
      <c r="K31" s="144">
        <v>0</v>
      </c>
      <c r="L31" s="144">
        <v>0</v>
      </c>
      <c r="M31" s="144">
        <v>0</v>
      </c>
      <c r="N31" s="144">
        <v>0</v>
      </c>
      <c r="O31" s="144">
        <v>0</v>
      </c>
      <c r="P31" s="179"/>
      <c r="Q31" s="148" t="s">
        <v>146</v>
      </c>
      <c r="S31" s="150"/>
      <c r="T31" s="150"/>
      <c r="U31" s="150"/>
      <c r="V31" s="150"/>
      <c r="W31" s="150"/>
      <c r="X31" s="150"/>
      <c r="Y31" s="150"/>
      <c r="Z31" s="150"/>
      <c r="AA31" s="150"/>
      <c r="AB31" s="150"/>
      <c r="AC31" s="150"/>
      <c r="AD31" s="150"/>
      <c r="AE31" s="150"/>
      <c r="AF31" s="150"/>
      <c r="AG31" s="150"/>
      <c r="AH31" s="150"/>
      <c r="AI31" s="150"/>
      <c r="AJ31" s="150"/>
    </row>
    <row r="32" spans="1:36" ht="10.5" customHeight="1">
      <c r="A32" s="43" t="s">
        <v>151</v>
      </c>
      <c r="B32" s="144">
        <v>0</v>
      </c>
      <c r="C32" s="144">
        <v>0</v>
      </c>
      <c r="D32" s="144">
        <v>0</v>
      </c>
      <c r="E32" s="144">
        <v>0</v>
      </c>
      <c r="F32" s="144">
        <v>0</v>
      </c>
      <c r="G32" s="144">
        <v>0</v>
      </c>
      <c r="H32" s="145"/>
      <c r="I32" s="145"/>
      <c r="J32" s="144">
        <v>0</v>
      </c>
      <c r="K32" s="144">
        <v>0</v>
      </c>
      <c r="L32" s="144">
        <v>0</v>
      </c>
      <c r="M32" s="144">
        <v>0</v>
      </c>
      <c r="N32" s="144">
        <v>0</v>
      </c>
      <c r="O32" s="144">
        <v>0</v>
      </c>
      <c r="P32" s="179"/>
      <c r="Q32" s="148" t="s">
        <v>151</v>
      </c>
      <c r="S32" s="150"/>
      <c r="T32" s="150"/>
      <c r="U32" s="150"/>
      <c r="V32" s="150"/>
      <c r="W32" s="150"/>
      <c r="X32" s="150"/>
      <c r="Y32" s="150"/>
      <c r="Z32" s="150"/>
      <c r="AA32" s="150"/>
      <c r="AB32" s="150"/>
      <c r="AC32" s="150"/>
      <c r="AD32" s="150"/>
      <c r="AE32" s="150"/>
      <c r="AF32" s="150"/>
      <c r="AG32" s="150"/>
      <c r="AH32" s="150"/>
      <c r="AI32" s="150"/>
      <c r="AJ32" s="150"/>
    </row>
    <row r="33" spans="1:36" ht="10.5" customHeight="1">
      <c r="A33" s="43" t="s">
        <v>147</v>
      </c>
      <c r="B33" s="144">
        <v>0</v>
      </c>
      <c r="C33" s="144">
        <v>0</v>
      </c>
      <c r="D33" s="144">
        <v>0</v>
      </c>
      <c r="E33" s="144">
        <v>0</v>
      </c>
      <c r="F33" s="144">
        <v>0</v>
      </c>
      <c r="G33" s="144">
        <v>0</v>
      </c>
      <c r="H33" s="145"/>
      <c r="I33" s="145"/>
      <c r="J33" s="144">
        <v>0</v>
      </c>
      <c r="K33" s="144">
        <v>0</v>
      </c>
      <c r="L33" s="144">
        <v>0</v>
      </c>
      <c r="M33" s="144">
        <v>0</v>
      </c>
      <c r="N33" s="144">
        <v>0</v>
      </c>
      <c r="O33" s="144">
        <v>0</v>
      </c>
      <c r="P33" s="179"/>
      <c r="Q33" s="148" t="s">
        <v>147</v>
      </c>
      <c r="S33" s="150"/>
      <c r="T33" s="150"/>
      <c r="U33" s="150"/>
      <c r="V33" s="150"/>
      <c r="W33" s="150"/>
      <c r="X33" s="150"/>
      <c r="Y33" s="150"/>
      <c r="Z33" s="150"/>
      <c r="AA33" s="150"/>
      <c r="AB33" s="150"/>
      <c r="AC33" s="150"/>
      <c r="AD33" s="150"/>
      <c r="AE33" s="150"/>
      <c r="AF33" s="150"/>
      <c r="AG33" s="150"/>
      <c r="AH33" s="150"/>
      <c r="AI33" s="150"/>
      <c r="AJ33" s="150"/>
    </row>
    <row r="34" spans="1:36" ht="10.5" customHeight="1">
      <c r="A34" s="43" t="s">
        <v>115</v>
      </c>
      <c r="B34" s="144">
        <v>0</v>
      </c>
      <c r="C34" s="144">
        <v>0</v>
      </c>
      <c r="D34" s="144">
        <v>0</v>
      </c>
      <c r="E34" s="144">
        <v>0</v>
      </c>
      <c r="F34" s="144">
        <v>0</v>
      </c>
      <c r="G34" s="144">
        <v>0</v>
      </c>
      <c r="H34" s="145"/>
      <c r="I34" s="145"/>
      <c r="J34" s="144">
        <v>0</v>
      </c>
      <c r="K34" s="144">
        <v>0</v>
      </c>
      <c r="L34" s="144">
        <v>0</v>
      </c>
      <c r="M34" s="144">
        <v>0</v>
      </c>
      <c r="N34" s="144">
        <v>0</v>
      </c>
      <c r="O34" s="144">
        <v>0</v>
      </c>
      <c r="P34" s="179"/>
      <c r="Q34" s="148" t="s">
        <v>115</v>
      </c>
      <c r="S34" s="150"/>
      <c r="T34" s="150"/>
      <c r="U34" s="150"/>
      <c r="V34" s="150"/>
      <c r="W34" s="150"/>
      <c r="X34" s="150"/>
      <c r="Y34" s="150"/>
      <c r="Z34" s="150"/>
      <c r="AA34" s="150"/>
      <c r="AB34" s="150"/>
      <c r="AC34" s="150"/>
      <c r="AD34" s="150"/>
      <c r="AE34" s="150"/>
      <c r="AF34" s="150"/>
      <c r="AG34" s="150"/>
      <c r="AH34" s="150"/>
      <c r="AI34" s="150"/>
      <c r="AJ34" s="150"/>
    </row>
    <row r="35" spans="1:36" ht="10.5" customHeight="1">
      <c r="A35" s="43" t="s">
        <v>148</v>
      </c>
      <c r="B35" s="144">
        <v>0</v>
      </c>
      <c r="C35" s="144">
        <v>0</v>
      </c>
      <c r="D35" s="144">
        <v>0</v>
      </c>
      <c r="E35" s="144">
        <v>0</v>
      </c>
      <c r="F35" s="144">
        <v>0</v>
      </c>
      <c r="G35" s="144">
        <v>0</v>
      </c>
      <c r="H35" s="145"/>
      <c r="I35" s="145"/>
      <c r="J35" s="144">
        <v>0</v>
      </c>
      <c r="K35" s="144">
        <v>0</v>
      </c>
      <c r="L35" s="144">
        <v>0</v>
      </c>
      <c r="M35" s="144">
        <v>0</v>
      </c>
      <c r="N35" s="144">
        <v>0</v>
      </c>
      <c r="O35" s="144">
        <v>0</v>
      </c>
      <c r="P35" s="179"/>
      <c r="Q35" s="148" t="s">
        <v>148</v>
      </c>
      <c r="S35" s="150"/>
      <c r="T35" s="150"/>
      <c r="U35" s="150"/>
      <c r="V35" s="150"/>
      <c r="W35" s="150"/>
      <c r="X35" s="150"/>
      <c r="Y35" s="150"/>
      <c r="Z35" s="150"/>
      <c r="AA35" s="150"/>
      <c r="AB35" s="150"/>
      <c r="AC35" s="150"/>
      <c r="AD35" s="150"/>
      <c r="AE35" s="150"/>
      <c r="AF35" s="150"/>
      <c r="AG35" s="150"/>
      <c r="AH35" s="150"/>
      <c r="AI35" s="150"/>
      <c r="AJ35" s="150"/>
    </row>
    <row r="36" spans="1:36" ht="10.5" customHeight="1">
      <c r="A36" s="43" t="s">
        <v>152</v>
      </c>
      <c r="B36" s="144">
        <v>0</v>
      </c>
      <c r="C36" s="144">
        <v>0</v>
      </c>
      <c r="D36" s="144">
        <v>0</v>
      </c>
      <c r="E36" s="144">
        <v>0</v>
      </c>
      <c r="F36" s="144">
        <v>0</v>
      </c>
      <c r="G36" s="144">
        <v>0</v>
      </c>
      <c r="H36" s="145"/>
      <c r="I36" s="145"/>
      <c r="J36" s="144">
        <v>0</v>
      </c>
      <c r="K36" s="144">
        <v>0</v>
      </c>
      <c r="L36" s="144">
        <v>0</v>
      </c>
      <c r="M36" s="144">
        <v>0</v>
      </c>
      <c r="N36" s="144">
        <v>0</v>
      </c>
      <c r="O36" s="144">
        <v>0</v>
      </c>
      <c r="P36" s="179"/>
      <c r="Q36" s="148" t="s">
        <v>152</v>
      </c>
      <c r="S36" s="150"/>
      <c r="T36" s="150"/>
      <c r="U36" s="150"/>
      <c r="V36" s="150"/>
      <c r="W36" s="150"/>
      <c r="X36" s="150"/>
      <c r="Y36" s="150"/>
      <c r="Z36" s="150"/>
      <c r="AA36" s="150"/>
      <c r="AB36" s="150"/>
      <c r="AC36" s="150"/>
      <c r="AD36" s="150"/>
      <c r="AE36" s="150"/>
      <c r="AF36" s="150"/>
      <c r="AG36" s="150"/>
      <c r="AH36" s="150"/>
      <c r="AI36" s="150"/>
      <c r="AJ36" s="150"/>
    </row>
    <row r="37" spans="1:36" ht="10.5" customHeight="1">
      <c r="A37" s="43" t="s">
        <v>113</v>
      </c>
      <c r="B37" s="144">
        <v>0</v>
      </c>
      <c r="C37" s="144">
        <v>0</v>
      </c>
      <c r="D37" s="144">
        <v>0</v>
      </c>
      <c r="E37" s="144">
        <v>0</v>
      </c>
      <c r="F37" s="144">
        <v>0</v>
      </c>
      <c r="G37" s="144">
        <v>0</v>
      </c>
      <c r="H37" s="145"/>
      <c r="I37" s="145"/>
      <c r="J37" s="144">
        <v>0</v>
      </c>
      <c r="K37" s="144">
        <v>0</v>
      </c>
      <c r="L37" s="144">
        <v>0</v>
      </c>
      <c r="M37" s="144">
        <v>0</v>
      </c>
      <c r="N37" s="144">
        <v>0</v>
      </c>
      <c r="O37" s="144">
        <v>0</v>
      </c>
      <c r="P37" s="179"/>
      <c r="Q37" s="148" t="s">
        <v>113</v>
      </c>
      <c r="S37" s="150"/>
      <c r="T37" s="150"/>
      <c r="U37" s="150"/>
      <c r="V37" s="150"/>
      <c r="W37" s="150"/>
      <c r="X37" s="150"/>
      <c r="Y37" s="150"/>
      <c r="Z37" s="150"/>
      <c r="AA37" s="150"/>
      <c r="AB37" s="150"/>
      <c r="AC37" s="150"/>
      <c r="AD37" s="150"/>
      <c r="AE37" s="150"/>
      <c r="AF37" s="150"/>
      <c r="AG37" s="150"/>
      <c r="AH37" s="150"/>
      <c r="AI37" s="150"/>
      <c r="AJ37" s="150"/>
    </row>
    <row r="38" spans="1:36" ht="10.5" customHeight="1">
      <c r="A38" s="53" t="s">
        <v>52</v>
      </c>
      <c r="B38" s="166">
        <v>0</v>
      </c>
      <c r="C38" s="166">
        <v>0</v>
      </c>
      <c r="D38" s="168">
        <v>0</v>
      </c>
      <c r="E38" s="168">
        <v>0</v>
      </c>
      <c r="F38" s="166">
        <v>0</v>
      </c>
      <c r="G38" s="166">
        <v>0</v>
      </c>
      <c r="H38" s="168"/>
      <c r="I38" s="145"/>
      <c r="J38" s="144">
        <v>0</v>
      </c>
      <c r="K38" s="144">
        <v>0</v>
      </c>
      <c r="L38" s="144">
        <v>0</v>
      </c>
      <c r="M38" s="144">
        <v>0</v>
      </c>
      <c r="N38" s="144">
        <v>0</v>
      </c>
      <c r="O38" s="152">
        <v>0</v>
      </c>
      <c r="P38" s="179"/>
      <c r="Q38" s="170" t="s">
        <v>52</v>
      </c>
      <c r="S38" s="150"/>
      <c r="T38" s="150"/>
      <c r="U38" s="150"/>
      <c r="V38" s="150"/>
      <c r="W38" s="150"/>
      <c r="X38" s="150"/>
      <c r="Y38" s="150"/>
      <c r="Z38" s="150"/>
      <c r="AA38" s="150"/>
      <c r="AB38" s="150"/>
      <c r="AC38" s="150"/>
      <c r="AD38" s="150"/>
      <c r="AE38" s="150"/>
      <c r="AF38" s="150"/>
      <c r="AG38" s="150"/>
      <c r="AH38" s="150"/>
      <c r="AI38" s="150"/>
      <c r="AJ38" s="150"/>
    </row>
    <row r="39" spans="1:36" s="132" customFormat="1" ht="11.25" customHeight="1">
      <c r="A39" s="60" t="s">
        <v>153</v>
      </c>
      <c r="B39" s="153">
        <v>101.1875650619121</v>
      </c>
      <c r="C39" s="153">
        <v>331.99579631221934</v>
      </c>
      <c r="D39" s="154">
        <v>47.825799703400925</v>
      </c>
      <c r="E39" s="154">
        <v>97.328173348385405</v>
      </c>
      <c r="F39" s="153">
        <v>49.972934270000003</v>
      </c>
      <c r="G39" s="154">
        <v>13.580435999999999</v>
      </c>
      <c r="H39" s="155">
        <v>0</v>
      </c>
      <c r="I39" s="156"/>
      <c r="J39" s="154">
        <v>171.04599004403033</v>
      </c>
      <c r="K39" s="154">
        <v>45.717551460000003</v>
      </c>
      <c r="L39" s="154">
        <v>0</v>
      </c>
      <c r="M39" s="154">
        <v>0</v>
      </c>
      <c r="N39" s="154">
        <v>361.69050647440218</v>
      </c>
      <c r="O39" s="180">
        <v>1220.3447526743503</v>
      </c>
      <c r="P39" s="155"/>
      <c r="Q39" s="159" t="s">
        <v>153</v>
      </c>
      <c r="R39" s="149"/>
      <c r="S39" s="150"/>
      <c r="T39" s="150"/>
      <c r="U39" s="150"/>
      <c r="V39" s="150"/>
      <c r="W39" s="150"/>
      <c r="X39" s="150"/>
      <c r="Y39" s="150"/>
      <c r="Z39" s="150"/>
      <c r="AA39" s="150"/>
      <c r="AB39" s="150"/>
      <c r="AC39" s="150"/>
      <c r="AD39" s="150"/>
      <c r="AE39" s="150"/>
      <c r="AF39" s="150"/>
      <c r="AG39" s="150"/>
      <c r="AH39" s="150"/>
      <c r="AI39" s="150"/>
      <c r="AJ39" s="150"/>
    </row>
    <row r="40" spans="1:36" ht="11.25" customHeight="1">
      <c r="A40" s="53" t="s">
        <v>39</v>
      </c>
      <c r="B40" s="167">
        <v>101.1875650619121</v>
      </c>
      <c r="C40" s="166">
        <v>0</v>
      </c>
      <c r="D40" s="166">
        <v>45.822349203400925</v>
      </c>
      <c r="E40" s="166">
        <v>25.460301710136619</v>
      </c>
      <c r="F40" s="166">
        <v>0</v>
      </c>
      <c r="G40" s="166">
        <v>13.580435999999999</v>
      </c>
      <c r="H40" s="168"/>
      <c r="I40" s="145"/>
      <c r="J40" s="166">
        <v>90.27999525857301</v>
      </c>
      <c r="K40" s="166">
        <v>0</v>
      </c>
      <c r="L40" s="166">
        <v>0</v>
      </c>
      <c r="M40" s="166">
        <v>0</v>
      </c>
      <c r="N40" s="166">
        <v>0</v>
      </c>
      <c r="O40" s="167">
        <v>276.33064723402265</v>
      </c>
      <c r="P40" s="181"/>
      <c r="Q40" s="170" t="s">
        <v>39</v>
      </c>
      <c r="R40" s="149"/>
      <c r="S40" s="150"/>
      <c r="T40" s="150"/>
      <c r="U40" s="150"/>
      <c r="V40" s="150"/>
      <c r="W40" s="150"/>
      <c r="X40" s="150"/>
      <c r="Y40" s="150"/>
      <c r="Z40" s="150"/>
      <c r="AA40" s="150"/>
      <c r="AB40" s="150"/>
      <c r="AC40" s="150"/>
      <c r="AD40" s="150"/>
      <c r="AE40" s="150"/>
      <c r="AF40" s="150"/>
      <c r="AG40" s="150"/>
      <c r="AH40" s="150"/>
      <c r="AI40" s="150"/>
      <c r="AJ40" s="150"/>
    </row>
    <row r="41" spans="1:36" ht="10.5" customHeight="1">
      <c r="A41" s="43" t="s">
        <v>154</v>
      </c>
      <c r="B41" s="142">
        <v>101.1875650619121</v>
      </c>
      <c r="C41" s="144">
        <v>0</v>
      </c>
      <c r="D41" s="144">
        <v>45.822349203400925</v>
      </c>
      <c r="E41" s="144">
        <v>25.460301710136619</v>
      </c>
      <c r="F41" s="144">
        <v>0</v>
      </c>
      <c r="G41" s="144">
        <v>13.580435999999999</v>
      </c>
      <c r="H41" s="145"/>
      <c r="I41" s="145"/>
      <c r="J41" s="144">
        <v>90.27999525857301</v>
      </c>
      <c r="K41" s="144">
        <v>0</v>
      </c>
      <c r="L41" s="144">
        <v>0</v>
      </c>
      <c r="M41" s="144">
        <v>0</v>
      </c>
      <c r="N41" s="144">
        <v>0</v>
      </c>
      <c r="O41" s="142">
        <v>276.33064723402265</v>
      </c>
      <c r="P41" s="151"/>
      <c r="Q41" s="148" t="s">
        <v>154</v>
      </c>
      <c r="R41" s="149"/>
      <c r="S41" s="150"/>
      <c r="T41" s="150"/>
      <c r="U41" s="150"/>
      <c r="V41" s="150"/>
      <c r="W41" s="150"/>
      <c r="X41" s="150"/>
      <c r="Y41" s="150"/>
      <c r="Z41" s="150"/>
      <c r="AA41" s="150"/>
      <c r="AB41" s="150"/>
      <c r="AC41" s="150"/>
      <c r="AD41" s="150"/>
      <c r="AE41" s="150"/>
      <c r="AF41" s="150"/>
      <c r="AG41" s="150"/>
      <c r="AH41" s="150"/>
      <c r="AI41" s="150"/>
      <c r="AJ41" s="150"/>
    </row>
    <row r="42" spans="1:36" ht="10.5" customHeight="1">
      <c r="A42" s="43" t="s">
        <v>155</v>
      </c>
      <c r="B42" s="144">
        <v>0</v>
      </c>
      <c r="C42" s="144">
        <v>0</v>
      </c>
      <c r="D42" s="144">
        <v>0</v>
      </c>
      <c r="E42" s="144">
        <v>0</v>
      </c>
      <c r="F42" s="144">
        <v>0</v>
      </c>
      <c r="G42" s="144">
        <v>0</v>
      </c>
      <c r="H42" s="145"/>
      <c r="I42" s="145"/>
      <c r="J42" s="144">
        <v>0</v>
      </c>
      <c r="K42" s="144">
        <v>0</v>
      </c>
      <c r="L42" s="144">
        <v>0</v>
      </c>
      <c r="M42" s="144">
        <v>0</v>
      </c>
      <c r="N42" s="144">
        <v>0</v>
      </c>
      <c r="O42" s="144">
        <v>0</v>
      </c>
      <c r="P42" s="151"/>
      <c r="Q42" s="148" t="s">
        <v>155</v>
      </c>
      <c r="S42" s="150"/>
      <c r="T42" s="150"/>
      <c r="U42" s="150"/>
      <c r="V42" s="150"/>
      <c r="W42" s="150"/>
      <c r="X42" s="150"/>
      <c r="Y42" s="150"/>
      <c r="Z42" s="150"/>
      <c r="AA42" s="150"/>
      <c r="AB42" s="150"/>
      <c r="AC42" s="150"/>
      <c r="AD42" s="150"/>
      <c r="AE42" s="150"/>
      <c r="AF42" s="150"/>
      <c r="AG42" s="150"/>
      <c r="AH42" s="150"/>
      <c r="AI42" s="150"/>
      <c r="AJ42" s="150"/>
    </row>
    <row r="43" spans="1:36" ht="10.5" customHeight="1">
      <c r="A43" s="43" t="s">
        <v>156</v>
      </c>
      <c r="B43" s="144">
        <v>0</v>
      </c>
      <c r="C43" s="144">
        <v>0</v>
      </c>
      <c r="D43" s="144">
        <v>0</v>
      </c>
      <c r="E43" s="144">
        <v>0</v>
      </c>
      <c r="F43" s="144">
        <v>0</v>
      </c>
      <c r="G43" s="144">
        <v>0</v>
      </c>
      <c r="H43" s="145"/>
      <c r="I43" s="145"/>
      <c r="J43" s="144">
        <v>0</v>
      </c>
      <c r="K43" s="144">
        <v>0</v>
      </c>
      <c r="L43" s="144">
        <v>0</v>
      </c>
      <c r="M43" s="144">
        <v>0</v>
      </c>
      <c r="N43" s="144">
        <v>0</v>
      </c>
      <c r="O43" s="144">
        <v>0</v>
      </c>
      <c r="P43" s="151"/>
      <c r="Q43" s="148" t="s">
        <v>156</v>
      </c>
      <c r="S43" s="150"/>
      <c r="T43" s="150"/>
      <c r="U43" s="150"/>
      <c r="V43" s="150"/>
      <c r="W43" s="150"/>
      <c r="X43" s="150"/>
      <c r="Y43" s="150"/>
      <c r="Z43" s="150"/>
      <c r="AA43" s="150"/>
      <c r="AB43" s="150"/>
      <c r="AC43" s="150"/>
      <c r="AD43" s="150"/>
      <c r="AE43" s="150"/>
      <c r="AF43" s="150"/>
      <c r="AG43" s="150"/>
      <c r="AH43" s="150"/>
      <c r="AI43" s="150"/>
      <c r="AJ43" s="150"/>
    </row>
    <row r="44" spans="1:36" ht="10.5" customHeight="1">
      <c r="A44" s="43" t="s">
        <v>157</v>
      </c>
      <c r="B44" s="144">
        <v>0</v>
      </c>
      <c r="C44" s="144">
        <v>0</v>
      </c>
      <c r="D44" s="144">
        <v>0</v>
      </c>
      <c r="E44" s="144">
        <v>0</v>
      </c>
      <c r="F44" s="144">
        <v>0</v>
      </c>
      <c r="G44" s="144">
        <v>0</v>
      </c>
      <c r="H44" s="145"/>
      <c r="I44" s="145"/>
      <c r="J44" s="144">
        <v>0</v>
      </c>
      <c r="K44" s="144">
        <v>0</v>
      </c>
      <c r="L44" s="144">
        <v>0</v>
      </c>
      <c r="M44" s="144">
        <v>0</v>
      </c>
      <c r="N44" s="144">
        <v>0</v>
      </c>
      <c r="O44" s="144">
        <v>0</v>
      </c>
      <c r="P44" s="151"/>
      <c r="Q44" s="148" t="s">
        <v>157</v>
      </c>
      <c r="S44" s="150"/>
      <c r="T44" s="150"/>
      <c r="U44" s="150"/>
      <c r="V44" s="150"/>
      <c r="W44" s="150"/>
      <c r="X44" s="150"/>
      <c r="Y44" s="150"/>
      <c r="Z44" s="150"/>
      <c r="AA44" s="150"/>
      <c r="AB44" s="150"/>
      <c r="AC44" s="150"/>
      <c r="AD44" s="150"/>
      <c r="AE44" s="150"/>
      <c r="AF44" s="150"/>
      <c r="AG44" s="150"/>
      <c r="AH44" s="150"/>
      <c r="AI44" s="150"/>
      <c r="AJ44" s="150"/>
    </row>
    <row r="45" spans="1:36" ht="10.5" customHeight="1">
      <c r="A45" s="43" t="s">
        <v>158</v>
      </c>
      <c r="B45" s="144">
        <v>0</v>
      </c>
      <c r="C45" s="144">
        <v>0</v>
      </c>
      <c r="D45" s="144">
        <v>0</v>
      </c>
      <c r="E45" s="144">
        <v>0</v>
      </c>
      <c r="F45" s="144">
        <v>0</v>
      </c>
      <c r="G45" s="144">
        <v>0</v>
      </c>
      <c r="H45" s="145"/>
      <c r="I45" s="145"/>
      <c r="J45" s="144">
        <v>0</v>
      </c>
      <c r="K45" s="144">
        <v>0</v>
      </c>
      <c r="L45" s="144">
        <v>0</v>
      </c>
      <c r="M45" s="144">
        <v>0</v>
      </c>
      <c r="N45" s="144">
        <v>0</v>
      </c>
      <c r="O45" s="144">
        <v>0</v>
      </c>
      <c r="P45" s="151"/>
      <c r="Q45" s="148" t="s">
        <v>158</v>
      </c>
      <c r="S45" s="150"/>
      <c r="T45" s="150"/>
      <c r="U45" s="150"/>
      <c r="V45" s="150"/>
      <c r="W45" s="150"/>
      <c r="X45" s="150"/>
      <c r="Y45" s="150"/>
      <c r="Z45" s="150"/>
      <c r="AA45" s="150"/>
      <c r="AB45" s="150"/>
      <c r="AC45" s="150"/>
      <c r="AD45" s="150"/>
      <c r="AE45" s="150"/>
      <c r="AF45" s="150"/>
      <c r="AG45" s="150"/>
      <c r="AH45" s="150"/>
      <c r="AI45" s="150"/>
      <c r="AJ45" s="150"/>
    </row>
    <row r="46" spans="1:36" ht="10.5" customHeight="1">
      <c r="A46" s="43" t="s">
        <v>239</v>
      </c>
      <c r="B46" s="144">
        <v>0</v>
      </c>
      <c r="C46" s="144">
        <v>0</v>
      </c>
      <c r="D46" s="144">
        <v>0</v>
      </c>
      <c r="E46" s="144">
        <v>0</v>
      </c>
      <c r="F46" s="144">
        <v>0</v>
      </c>
      <c r="G46" s="144">
        <v>0</v>
      </c>
      <c r="H46" s="145"/>
      <c r="I46" s="145"/>
      <c r="J46" s="144">
        <v>0</v>
      </c>
      <c r="K46" s="144">
        <v>0</v>
      </c>
      <c r="L46" s="144">
        <v>0</v>
      </c>
      <c r="M46" s="144">
        <v>0</v>
      </c>
      <c r="N46" s="144">
        <v>0</v>
      </c>
      <c r="O46" s="144">
        <v>0</v>
      </c>
      <c r="P46" s="151"/>
      <c r="Q46" s="148" t="s">
        <v>239</v>
      </c>
      <c r="S46" s="150"/>
      <c r="T46" s="150"/>
      <c r="U46" s="150"/>
      <c r="V46" s="150"/>
      <c r="W46" s="150"/>
      <c r="X46" s="150"/>
      <c r="Y46" s="150"/>
      <c r="Z46" s="150"/>
      <c r="AA46" s="150"/>
      <c r="AB46" s="150"/>
      <c r="AC46" s="150"/>
      <c r="AD46" s="150"/>
      <c r="AE46" s="150"/>
      <c r="AF46" s="150"/>
      <c r="AG46" s="150"/>
      <c r="AH46" s="150"/>
      <c r="AI46" s="150"/>
      <c r="AJ46" s="150"/>
    </row>
    <row r="47" spans="1:36" ht="10.5" customHeight="1">
      <c r="A47" s="43" t="s">
        <v>240</v>
      </c>
      <c r="B47" s="144">
        <v>0</v>
      </c>
      <c r="C47" s="144">
        <v>0</v>
      </c>
      <c r="D47" s="144">
        <v>0</v>
      </c>
      <c r="E47" s="144">
        <v>0</v>
      </c>
      <c r="F47" s="144">
        <v>0</v>
      </c>
      <c r="G47" s="144">
        <v>0</v>
      </c>
      <c r="H47" s="145"/>
      <c r="I47" s="145"/>
      <c r="J47" s="144">
        <v>0</v>
      </c>
      <c r="K47" s="144">
        <v>0</v>
      </c>
      <c r="L47" s="144">
        <v>0</v>
      </c>
      <c r="M47" s="144">
        <v>0</v>
      </c>
      <c r="N47" s="144">
        <v>0</v>
      </c>
      <c r="O47" s="144">
        <v>0</v>
      </c>
      <c r="P47" s="151"/>
      <c r="Q47" s="148" t="s">
        <v>240</v>
      </c>
      <c r="S47" s="150"/>
      <c r="T47" s="150"/>
      <c r="U47" s="150"/>
      <c r="V47" s="150"/>
      <c r="W47" s="150"/>
      <c r="X47" s="150"/>
      <c r="Y47" s="150"/>
      <c r="Z47" s="150"/>
      <c r="AA47" s="150"/>
      <c r="AB47" s="150"/>
      <c r="AC47" s="150"/>
      <c r="AD47" s="150"/>
      <c r="AE47" s="150"/>
      <c r="AF47" s="150"/>
      <c r="AG47" s="150"/>
      <c r="AH47" s="150"/>
      <c r="AI47" s="150"/>
      <c r="AJ47" s="150"/>
    </row>
    <row r="48" spans="1:36" ht="10.5" customHeight="1">
      <c r="A48" s="43" t="s">
        <v>161</v>
      </c>
      <c r="B48" s="144">
        <v>0</v>
      </c>
      <c r="C48" s="144">
        <v>0</v>
      </c>
      <c r="D48" s="144">
        <v>0</v>
      </c>
      <c r="E48" s="144">
        <v>0</v>
      </c>
      <c r="F48" s="144">
        <v>0</v>
      </c>
      <c r="G48" s="144">
        <v>0</v>
      </c>
      <c r="H48" s="145"/>
      <c r="I48" s="145"/>
      <c r="J48" s="144">
        <v>0</v>
      </c>
      <c r="K48" s="144">
        <v>0</v>
      </c>
      <c r="L48" s="144">
        <v>0</v>
      </c>
      <c r="M48" s="144">
        <v>0</v>
      </c>
      <c r="N48" s="144">
        <v>0</v>
      </c>
      <c r="O48" s="144">
        <v>0</v>
      </c>
      <c r="P48" s="151"/>
      <c r="Q48" s="148" t="s">
        <v>161</v>
      </c>
      <c r="S48" s="150"/>
      <c r="T48" s="150"/>
      <c r="U48" s="150"/>
      <c r="V48" s="150"/>
      <c r="W48" s="150"/>
      <c r="X48" s="150"/>
      <c r="Y48" s="150"/>
      <c r="Z48" s="150"/>
      <c r="AA48" s="150"/>
      <c r="AB48" s="150"/>
      <c r="AC48" s="150"/>
      <c r="AD48" s="150"/>
      <c r="AE48" s="150"/>
      <c r="AF48" s="150"/>
      <c r="AG48" s="150"/>
      <c r="AH48" s="150"/>
      <c r="AI48" s="150"/>
      <c r="AJ48" s="150"/>
    </row>
    <row r="49" spans="1:36" ht="10.5" customHeight="1">
      <c r="A49" s="43" t="s">
        <v>241</v>
      </c>
      <c r="B49" s="144">
        <v>0</v>
      </c>
      <c r="C49" s="144">
        <v>0</v>
      </c>
      <c r="D49" s="144">
        <v>0</v>
      </c>
      <c r="E49" s="144">
        <v>0</v>
      </c>
      <c r="F49" s="144">
        <v>0</v>
      </c>
      <c r="G49" s="144">
        <v>0</v>
      </c>
      <c r="H49" s="145"/>
      <c r="I49" s="145"/>
      <c r="J49" s="144">
        <v>0</v>
      </c>
      <c r="K49" s="144">
        <v>0</v>
      </c>
      <c r="L49" s="144">
        <v>0</v>
      </c>
      <c r="M49" s="144">
        <v>0</v>
      </c>
      <c r="N49" s="144">
        <v>0</v>
      </c>
      <c r="O49" s="144">
        <v>0</v>
      </c>
      <c r="P49" s="151"/>
      <c r="Q49" s="148" t="s">
        <v>241</v>
      </c>
      <c r="S49" s="150"/>
      <c r="T49" s="150"/>
      <c r="U49" s="150"/>
      <c r="V49" s="150"/>
      <c r="W49" s="150"/>
      <c r="X49" s="150"/>
      <c r="Y49" s="150"/>
      <c r="Z49" s="150"/>
      <c r="AA49" s="150"/>
      <c r="AB49" s="150"/>
      <c r="AC49" s="150"/>
      <c r="AD49" s="150"/>
      <c r="AE49" s="150"/>
      <c r="AF49" s="150"/>
      <c r="AG49" s="150"/>
      <c r="AH49" s="150"/>
      <c r="AI49" s="150"/>
      <c r="AJ49" s="150"/>
    </row>
    <row r="50" spans="1:36" ht="10.5" customHeight="1">
      <c r="A50" s="43" t="s">
        <v>242</v>
      </c>
      <c r="B50" s="144">
        <v>0</v>
      </c>
      <c r="C50" s="144">
        <v>0</v>
      </c>
      <c r="D50" s="144">
        <v>0</v>
      </c>
      <c r="E50" s="144">
        <v>0</v>
      </c>
      <c r="F50" s="144">
        <v>0</v>
      </c>
      <c r="G50" s="144">
        <v>0</v>
      </c>
      <c r="H50" s="145"/>
      <c r="I50" s="145"/>
      <c r="J50" s="144">
        <v>0</v>
      </c>
      <c r="K50" s="144">
        <v>0</v>
      </c>
      <c r="L50" s="144">
        <v>0</v>
      </c>
      <c r="M50" s="144">
        <v>0</v>
      </c>
      <c r="N50" s="144">
        <v>0</v>
      </c>
      <c r="O50" s="144">
        <v>0</v>
      </c>
      <c r="P50" s="151"/>
      <c r="Q50" s="148" t="s">
        <v>242</v>
      </c>
      <c r="S50" s="150"/>
      <c r="T50" s="150"/>
      <c r="U50" s="150"/>
      <c r="V50" s="150"/>
      <c r="W50" s="150"/>
      <c r="X50" s="150"/>
      <c r="Y50" s="150"/>
      <c r="Z50" s="150"/>
      <c r="AA50" s="150"/>
      <c r="AB50" s="150"/>
      <c r="AC50" s="150"/>
      <c r="AD50" s="150"/>
      <c r="AE50" s="150"/>
      <c r="AF50" s="150"/>
      <c r="AG50" s="150"/>
      <c r="AH50" s="150"/>
      <c r="AI50" s="150"/>
      <c r="AJ50" s="150"/>
    </row>
    <row r="51" spans="1:36" ht="10.5" customHeight="1">
      <c r="A51" s="43" t="s">
        <v>243</v>
      </c>
      <c r="B51" s="144">
        <v>0</v>
      </c>
      <c r="C51" s="144">
        <v>0</v>
      </c>
      <c r="D51" s="144">
        <v>0</v>
      </c>
      <c r="E51" s="144">
        <v>0</v>
      </c>
      <c r="F51" s="144">
        <v>0</v>
      </c>
      <c r="G51" s="144">
        <v>0</v>
      </c>
      <c r="H51" s="145"/>
      <c r="I51" s="145"/>
      <c r="J51" s="144">
        <v>0</v>
      </c>
      <c r="K51" s="144">
        <v>0</v>
      </c>
      <c r="L51" s="144">
        <v>0</v>
      </c>
      <c r="M51" s="144">
        <v>0</v>
      </c>
      <c r="N51" s="144">
        <v>0</v>
      </c>
      <c r="O51" s="144">
        <v>0</v>
      </c>
      <c r="P51" s="151"/>
      <c r="Q51" s="148" t="s">
        <v>243</v>
      </c>
      <c r="S51" s="150"/>
      <c r="T51" s="150"/>
      <c r="U51" s="150"/>
      <c r="V51" s="150"/>
      <c r="W51" s="150"/>
      <c r="X51" s="150"/>
      <c r="Y51" s="150"/>
      <c r="Z51" s="150"/>
      <c r="AA51" s="150"/>
      <c r="AB51" s="150"/>
      <c r="AC51" s="150"/>
      <c r="AD51" s="150"/>
      <c r="AE51" s="150"/>
      <c r="AF51" s="150"/>
      <c r="AG51" s="150"/>
      <c r="AH51" s="150"/>
      <c r="AI51" s="150"/>
      <c r="AJ51" s="150"/>
    </row>
    <row r="52" spans="1:36" ht="10.5" customHeight="1">
      <c r="A52" s="43" t="s">
        <v>165</v>
      </c>
      <c r="B52" s="144">
        <v>0</v>
      </c>
      <c r="C52" s="144">
        <v>0</v>
      </c>
      <c r="D52" s="144">
        <v>0</v>
      </c>
      <c r="E52" s="144">
        <v>0</v>
      </c>
      <c r="F52" s="144">
        <v>0</v>
      </c>
      <c r="G52" s="144">
        <v>0</v>
      </c>
      <c r="H52" s="145"/>
      <c r="I52" s="145"/>
      <c r="J52" s="144">
        <v>0</v>
      </c>
      <c r="K52" s="144">
        <v>0</v>
      </c>
      <c r="L52" s="144">
        <v>0</v>
      </c>
      <c r="M52" s="144">
        <v>0</v>
      </c>
      <c r="N52" s="144">
        <v>0</v>
      </c>
      <c r="O52" s="144">
        <v>0</v>
      </c>
      <c r="P52" s="151"/>
      <c r="Q52" s="148" t="s">
        <v>165</v>
      </c>
      <c r="S52" s="150"/>
      <c r="T52" s="150"/>
      <c r="U52" s="150"/>
      <c r="V52" s="150"/>
      <c r="W52" s="150"/>
      <c r="X52" s="150"/>
      <c r="Y52" s="150"/>
      <c r="Z52" s="150"/>
      <c r="AA52" s="150"/>
      <c r="AB52" s="150"/>
      <c r="AC52" s="150"/>
      <c r="AD52" s="150"/>
      <c r="AE52" s="150"/>
      <c r="AF52" s="150"/>
      <c r="AG52" s="150"/>
      <c r="AH52" s="150"/>
      <c r="AI52" s="150"/>
      <c r="AJ52" s="150"/>
    </row>
    <row r="53" spans="1:36" ht="10.5" customHeight="1">
      <c r="A53" s="43" t="s">
        <v>166</v>
      </c>
      <c r="B53" s="144">
        <v>0</v>
      </c>
      <c r="C53" s="144">
        <v>0</v>
      </c>
      <c r="D53" s="144">
        <v>0</v>
      </c>
      <c r="E53" s="144">
        <v>0</v>
      </c>
      <c r="F53" s="144">
        <v>0</v>
      </c>
      <c r="G53" s="144">
        <v>0</v>
      </c>
      <c r="H53" s="145"/>
      <c r="I53" s="145"/>
      <c r="J53" s="144">
        <v>0</v>
      </c>
      <c r="K53" s="144">
        <v>0</v>
      </c>
      <c r="L53" s="144">
        <v>0</v>
      </c>
      <c r="M53" s="144">
        <v>0</v>
      </c>
      <c r="N53" s="144">
        <v>0</v>
      </c>
      <c r="O53" s="144">
        <v>0</v>
      </c>
      <c r="P53" s="151"/>
      <c r="Q53" s="148" t="s">
        <v>166</v>
      </c>
      <c r="S53" s="150"/>
      <c r="T53" s="150"/>
      <c r="U53" s="150"/>
      <c r="V53" s="150"/>
      <c r="W53" s="150"/>
      <c r="X53" s="150"/>
      <c r="Y53" s="150"/>
      <c r="Z53" s="150"/>
      <c r="AA53" s="150"/>
      <c r="AB53" s="150"/>
      <c r="AC53" s="150"/>
      <c r="AD53" s="150"/>
      <c r="AE53" s="150"/>
      <c r="AF53" s="150"/>
      <c r="AG53" s="150"/>
      <c r="AH53" s="150"/>
      <c r="AI53" s="150"/>
      <c r="AJ53" s="150"/>
    </row>
    <row r="54" spans="1:36" ht="10.5" customHeight="1">
      <c r="A54" s="53" t="s">
        <v>244</v>
      </c>
      <c r="B54" s="166">
        <v>0</v>
      </c>
      <c r="C54" s="166">
        <v>0</v>
      </c>
      <c r="D54" s="166">
        <v>0</v>
      </c>
      <c r="E54" s="166">
        <v>0</v>
      </c>
      <c r="F54" s="166">
        <v>0</v>
      </c>
      <c r="G54" s="166">
        <v>0</v>
      </c>
      <c r="H54" s="168"/>
      <c r="I54" s="145"/>
      <c r="J54" s="144">
        <v>0</v>
      </c>
      <c r="K54" s="144">
        <v>0</v>
      </c>
      <c r="L54" s="144">
        <v>0</v>
      </c>
      <c r="M54" s="144">
        <v>0</v>
      </c>
      <c r="N54" s="166">
        <v>361.69050647440218</v>
      </c>
      <c r="O54" s="166">
        <v>361.69050647440218</v>
      </c>
      <c r="P54" s="151"/>
      <c r="Q54" s="170" t="s">
        <v>244</v>
      </c>
      <c r="S54" s="150"/>
      <c r="T54" s="150"/>
      <c r="U54" s="150"/>
      <c r="V54" s="150"/>
      <c r="W54" s="150"/>
      <c r="X54" s="150"/>
      <c r="Y54" s="150"/>
      <c r="Z54" s="150"/>
      <c r="AA54" s="150"/>
      <c r="AB54" s="150"/>
      <c r="AC54" s="150"/>
      <c r="AD54" s="150"/>
      <c r="AE54" s="150"/>
      <c r="AF54" s="150"/>
      <c r="AG54" s="150"/>
      <c r="AH54" s="150"/>
      <c r="AI54" s="150"/>
      <c r="AJ54" s="150"/>
    </row>
    <row r="55" spans="1:36" ht="10.5" customHeight="1">
      <c r="A55" s="43" t="s">
        <v>168</v>
      </c>
      <c r="B55" s="144">
        <v>0</v>
      </c>
      <c r="C55" s="144">
        <v>0</v>
      </c>
      <c r="D55" s="144">
        <v>0</v>
      </c>
      <c r="E55" s="144">
        <v>0</v>
      </c>
      <c r="F55" s="144">
        <v>0</v>
      </c>
      <c r="G55" s="144">
        <v>0</v>
      </c>
      <c r="H55" s="145"/>
      <c r="I55" s="145"/>
      <c r="J55" s="144">
        <v>0</v>
      </c>
      <c r="K55" s="144">
        <v>0</v>
      </c>
      <c r="L55" s="144">
        <v>0</v>
      </c>
      <c r="M55" s="144">
        <v>0</v>
      </c>
      <c r="N55" s="144">
        <v>0</v>
      </c>
      <c r="O55" s="144">
        <v>0</v>
      </c>
      <c r="P55" s="151"/>
      <c r="Q55" s="148" t="s">
        <v>168</v>
      </c>
      <c r="S55" s="150"/>
      <c r="T55" s="150"/>
      <c r="U55" s="150"/>
      <c r="V55" s="150"/>
      <c r="W55" s="150"/>
      <c r="X55" s="150"/>
      <c r="Y55" s="150"/>
      <c r="Z55" s="150"/>
      <c r="AA55" s="150"/>
      <c r="AB55" s="150"/>
      <c r="AC55" s="150"/>
      <c r="AD55" s="150"/>
      <c r="AE55" s="150"/>
      <c r="AF55" s="150"/>
      <c r="AG55" s="150"/>
      <c r="AH55" s="150"/>
      <c r="AI55" s="150"/>
      <c r="AJ55" s="150"/>
    </row>
    <row r="56" spans="1:36" ht="10.5" customHeight="1">
      <c r="A56" s="43" t="s">
        <v>24</v>
      </c>
      <c r="B56" s="144">
        <v>0</v>
      </c>
      <c r="C56" s="144">
        <v>0</v>
      </c>
      <c r="D56" s="144">
        <v>0</v>
      </c>
      <c r="E56" s="144">
        <v>0</v>
      </c>
      <c r="F56" s="144">
        <v>0</v>
      </c>
      <c r="G56" s="144">
        <v>0</v>
      </c>
      <c r="H56" s="145"/>
      <c r="I56" s="145"/>
      <c r="J56" s="144">
        <v>0</v>
      </c>
      <c r="K56" s="144">
        <v>0</v>
      </c>
      <c r="L56" s="144">
        <v>0</v>
      </c>
      <c r="M56" s="144">
        <v>0</v>
      </c>
      <c r="N56" s="144">
        <v>0</v>
      </c>
      <c r="O56" s="144">
        <v>0</v>
      </c>
      <c r="P56" s="151"/>
      <c r="Q56" s="148" t="s">
        <v>24</v>
      </c>
      <c r="S56" s="150"/>
      <c r="T56" s="150"/>
      <c r="U56" s="150"/>
      <c r="V56" s="150"/>
      <c r="W56" s="150"/>
      <c r="X56" s="150"/>
      <c r="Y56" s="150"/>
      <c r="Z56" s="150"/>
      <c r="AA56" s="150"/>
      <c r="AB56" s="150"/>
      <c r="AC56" s="150"/>
      <c r="AD56" s="150"/>
      <c r="AE56" s="150"/>
      <c r="AF56" s="150"/>
      <c r="AG56" s="150"/>
      <c r="AH56" s="150"/>
      <c r="AI56" s="150"/>
      <c r="AJ56" s="150"/>
    </row>
    <row r="57" spans="1:36" ht="10.5" customHeight="1">
      <c r="A57" s="43" t="s">
        <v>23</v>
      </c>
      <c r="B57" s="144">
        <v>0</v>
      </c>
      <c r="C57" s="144">
        <v>0</v>
      </c>
      <c r="D57" s="144">
        <v>0</v>
      </c>
      <c r="E57" s="144">
        <v>0</v>
      </c>
      <c r="F57" s="144">
        <v>0</v>
      </c>
      <c r="G57" s="144">
        <v>0</v>
      </c>
      <c r="H57" s="145"/>
      <c r="I57" s="145"/>
      <c r="J57" s="144">
        <v>0</v>
      </c>
      <c r="K57" s="144">
        <v>0</v>
      </c>
      <c r="L57" s="144">
        <v>0</v>
      </c>
      <c r="M57" s="144">
        <v>0</v>
      </c>
      <c r="N57" s="144">
        <v>361.69050647440218</v>
      </c>
      <c r="O57" s="144">
        <v>361.69050647440218</v>
      </c>
      <c r="P57" s="151"/>
      <c r="Q57" s="148" t="s">
        <v>23</v>
      </c>
      <c r="S57" s="150"/>
      <c r="T57" s="150"/>
      <c r="U57" s="150"/>
      <c r="V57" s="150"/>
      <c r="W57" s="150"/>
      <c r="X57" s="150"/>
      <c r="Y57" s="150"/>
      <c r="Z57" s="150"/>
      <c r="AA57" s="150"/>
      <c r="AB57" s="150"/>
      <c r="AC57" s="150"/>
      <c r="AD57" s="150"/>
      <c r="AE57" s="150"/>
      <c r="AF57" s="150"/>
      <c r="AG57" s="150"/>
      <c r="AH57" s="150"/>
      <c r="AI57" s="150"/>
      <c r="AJ57" s="150"/>
    </row>
    <row r="58" spans="1:36" ht="10.5" customHeight="1">
      <c r="A58" s="43" t="s">
        <v>169</v>
      </c>
      <c r="B58" s="144">
        <v>0</v>
      </c>
      <c r="C58" s="144">
        <v>0</v>
      </c>
      <c r="D58" s="144">
        <v>0</v>
      </c>
      <c r="E58" s="144">
        <v>0</v>
      </c>
      <c r="F58" s="144">
        <v>0</v>
      </c>
      <c r="G58" s="144">
        <v>0</v>
      </c>
      <c r="H58" s="145"/>
      <c r="I58" s="145"/>
      <c r="J58" s="144">
        <v>0</v>
      </c>
      <c r="K58" s="144">
        <v>0</v>
      </c>
      <c r="L58" s="144">
        <v>0</v>
      </c>
      <c r="M58" s="144">
        <v>0</v>
      </c>
      <c r="N58" s="144">
        <v>0</v>
      </c>
      <c r="O58" s="144">
        <v>0</v>
      </c>
      <c r="P58" s="151"/>
      <c r="Q58" s="148" t="s">
        <v>169</v>
      </c>
      <c r="S58" s="150"/>
      <c r="T58" s="150"/>
      <c r="U58" s="150"/>
      <c r="V58" s="150"/>
      <c r="W58" s="150"/>
      <c r="X58" s="150"/>
      <c r="Y58" s="150"/>
      <c r="Z58" s="150"/>
      <c r="AA58" s="150"/>
      <c r="AB58" s="150"/>
      <c r="AC58" s="150"/>
      <c r="AD58" s="150"/>
      <c r="AE58" s="150"/>
      <c r="AF58" s="150"/>
      <c r="AG58" s="150"/>
      <c r="AH58" s="150"/>
      <c r="AI58" s="150"/>
      <c r="AJ58" s="150"/>
    </row>
    <row r="59" spans="1:36" ht="10.5" customHeight="1">
      <c r="A59" s="43" t="s">
        <v>170</v>
      </c>
      <c r="B59" s="144">
        <v>0</v>
      </c>
      <c r="C59" s="144">
        <v>0</v>
      </c>
      <c r="D59" s="144">
        <v>0</v>
      </c>
      <c r="E59" s="144">
        <v>0</v>
      </c>
      <c r="F59" s="144">
        <v>0</v>
      </c>
      <c r="G59" s="144">
        <v>0</v>
      </c>
      <c r="H59" s="145"/>
      <c r="I59" s="145"/>
      <c r="J59" s="144">
        <v>0</v>
      </c>
      <c r="K59" s="144">
        <v>0</v>
      </c>
      <c r="L59" s="144">
        <v>0</v>
      </c>
      <c r="M59" s="144">
        <v>0</v>
      </c>
      <c r="N59" s="144">
        <v>0</v>
      </c>
      <c r="O59" s="144">
        <v>0</v>
      </c>
      <c r="P59" s="151"/>
      <c r="Q59" s="148" t="s">
        <v>170</v>
      </c>
      <c r="S59" s="150"/>
      <c r="T59" s="150"/>
      <c r="U59" s="150"/>
      <c r="V59" s="150"/>
      <c r="W59" s="150"/>
      <c r="X59" s="150"/>
      <c r="Y59" s="150"/>
      <c r="Z59" s="150"/>
      <c r="AA59" s="150"/>
      <c r="AB59" s="150"/>
      <c r="AC59" s="150"/>
      <c r="AD59" s="150"/>
      <c r="AE59" s="150"/>
      <c r="AF59" s="150"/>
      <c r="AG59" s="150"/>
      <c r="AH59" s="150"/>
      <c r="AI59" s="150"/>
      <c r="AJ59" s="150"/>
    </row>
    <row r="60" spans="1:36" ht="10.5" customHeight="1">
      <c r="A60" s="53" t="s">
        <v>113</v>
      </c>
      <c r="B60" s="166">
        <v>0</v>
      </c>
      <c r="C60" s="167">
        <v>331.99579631221934</v>
      </c>
      <c r="D60" s="166">
        <v>2.0034505</v>
      </c>
      <c r="E60" s="166">
        <v>71.867871638248786</v>
      </c>
      <c r="F60" s="167">
        <v>49.972934270000003</v>
      </c>
      <c r="G60" s="166">
        <v>0</v>
      </c>
      <c r="H60" s="168">
        <v>0</v>
      </c>
      <c r="I60" s="168"/>
      <c r="J60" s="166">
        <v>80.765994785457323</v>
      </c>
      <c r="K60" s="166">
        <v>45.717551460000003</v>
      </c>
      <c r="L60" s="166">
        <v>0</v>
      </c>
      <c r="M60" s="166">
        <v>0</v>
      </c>
      <c r="N60" s="166">
        <v>0</v>
      </c>
      <c r="O60" s="167">
        <v>582.32359896592538</v>
      </c>
      <c r="P60" s="181"/>
      <c r="Q60" s="170" t="s">
        <v>113</v>
      </c>
      <c r="R60" s="149"/>
      <c r="S60" s="150"/>
      <c r="T60" s="150"/>
      <c r="U60" s="150"/>
      <c r="V60" s="150"/>
      <c r="W60" s="150"/>
      <c r="X60" s="150"/>
      <c r="Y60" s="150"/>
      <c r="Z60" s="150"/>
      <c r="AA60" s="150"/>
      <c r="AB60" s="150"/>
      <c r="AC60" s="150"/>
      <c r="AD60" s="150"/>
      <c r="AE60" s="150"/>
      <c r="AF60" s="150"/>
      <c r="AG60" s="150"/>
      <c r="AH60" s="150"/>
      <c r="AI60" s="150"/>
      <c r="AJ60" s="150"/>
    </row>
    <row r="61" spans="1:36" ht="10.5" customHeight="1">
      <c r="A61" s="43" t="s">
        <v>38</v>
      </c>
      <c r="B61" s="144">
        <v>0</v>
      </c>
      <c r="C61" s="142">
        <v>331.99579631221934</v>
      </c>
      <c r="D61" s="144">
        <v>0</v>
      </c>
      <c r="E61" s="144">
        <v>0</v>
      </c>
      <c r="F61" s="144">
        <v>0</v>
      </c>
      <c r="G61" s="144">
        <v>0</v>
      </c>
      <c r="H61" s="145"/>
      <c r="I61" s="145"/>
      <c r="J61" s="144">
        <v>22.84432501434253</v>
      </c>
      <c r="K61" s="142">
        <v>44.889000000000003</v>
      </c>
      <c r="L61" s="144">
        <v>0</v>
      </c>
      <c r="M61" s="144">
        <v>0</v>
      </c>
      <c r="N61" s="144">
        <v>0</v>
      </c>
      <c r="O61" s="142">
        <v>399.72912132656188</v>
      </c>
      <c r="P61" s="151"/>
      <c r="Q61" s="148" t="s">
        <v>38</v>
      </c>
      <c r="R61" s="149"/>
      <c r="S61" s="150"/>
      <c r="T61" s="150"/>
      <c r="U61" s="150"/>
      <c r="V61" s="150"/>
      <c r="W61" s="150"/>
      <c r="X61" s="150"/>
      <c r="Y61" s="150"/>
      <c r="Z61" s="150"/>
      <c r="AA61" s="150"/>
      <c r="AB61" s="150"/>
      <c r="AC61" s="150"/>
      <c r="AD61" s="150"/>
      <c r="AE61" s="150"/>
      <c r="AF61" s="150"/>
      <c r="AG61" s="150"/>
      <c r="AH61" s="150"/>
      <c r="AI61" s="150"/>
      <c r="AJ61" s="150"/>
    </row>
    <row r="62" spans="1:36" ht="10.5" customHeight="1">
      <c r="A62" s="43" t="s">
        <v>171</v>
      </c>
      <c r="B62" s="144">
        <v>0</v>
      </c>
      <c r="C62" s="144">
        <v>0</v>
      </c>
      <c r="D62" s="144">
        <v>0</v>
      </c>
      <c r="E62" s="144">
        <v>0</v>
      </c>
      <c r="F62" s="142">
        <v>49.972934270000003</v>
      </c>
      <c r="G62" s="144">
        <v>0</v>
      </c>
      <c r="H62" s="145"/>
      <c r="I62" s="145"/>
      <c r="J62" s="144">
        <v>38.644019430691657</v>
      </c>
      <c r="K62" s="142">
        <v>0.41427573000000001</v>
      </c>
      <c r="L62" s="144">
        <v>0</v>
      </c>
      <c r="M62" s="144">
        <v>0</v>
      </c>
      <c r="N62" s="144">
        <v>0</v>
      </c>
      <c r="O62" s="142">
        <v>89.031229430691653</v>
      </c>
      <c r="P62" s="151"/>
      <c r="Q62" s="148" t="s">
        <v>171</v>
      </c>
      <c r="R62" s="149"/>
      <c r="S62" s="150"/>
      <c r="T62" s="150"/>
      <c r="U62" s="150"/>
      <c r="V62" s="150"/>
      <c r="W62" s="150"/>
      <c r="X62" s="150"/>
      <c r="Y62" s="150"/>
      <c r="Z62" s="150"/>
      <c r="AA62" s="150"/>
      <c r="AB62" s="150"/>
      <c r="AC62" s="150"/>
      <c r="AD62" s="150"/>
      <c r="AE62" s="150"/>
      <c r="AF62" s="150"/>
      <c r="AG62" s="150"/>
      <c r="AH62" s="150"/>
      <c r="AI62" s="150"/>
      <c r="AJ62" s="150"/>
    </row>
    <row r="63" spans="1:36" ht="10.5" customHeight="1">
      <c r="A63" s="43" t="s">
        <v>47</v>
      </c>
      <c r="B63" s="144">
        <v>0</v>
      </c>
      <c r="C63" s="144">
        <v>0</v>
      </c>
      <c r="D63" s="144">
        <v>0</v>
      </c>
      <c r="E63" s="144">
        <v>0</v>
      </c>
      <c r="F63" s="144">
        <v>0</v>
      </c>
      <c r="G63" s="144">
        <v>0</v>
      </c>
      <c r="H63" s="145"/>
      <c r="I63" s="145"/>
      <c r="J63" s="144">
        <v>19.277650340423136</v>
      </c>
      <c r="K63" s="142">
        <v>0.41427573000000001</v>
      </c>
      <c r="L63" s="144">
        <v>0</v>
      </c>
      <c r="M63" s="144">
        <v>0</v>
      </c>
      <c r="N63" s="144">
        <v>0</v>
      </c>
      <c r="O63" s="142">
        <v>19.691926070423136</v>
      </c>
      <c r="P63" s="151"/>
      <c r="Q63" s="148" t="s">
        <v>47</v>
      </c>
      <c r="R63" s="149"/>
      <c r="S63" s="150"/>
      <c r="T63" s="150"/>
      <c r="U63" s="150"/>
      <c r="V63" s="150"/>
      <c r="W63" s="150"/>
      <c r="X63" s="150"/>
      <c r="Y63" s="150"/>
      <c r="Z63" s="150"/>
      <c r="AA63" s="150"/>
      <c r="AB63" s="150"/>
      <c r="AC63" s="150"/>
      <c r="AD63" s="150"/>
      <c r="AE63" s="150"/>
      <c r="AF63" s="150"/>
      <c r="AG63" s="150"/>
      <c r="AH63" s="150"/>
      <c r="AI63" s="150"/>
      <c r="AJ63" s="150"/>
    </row>
    <row r="64" spans="1:36" ht="10.5" customHeight="1">
      <c r="A64" s="43" t="s">
        <v>172</v>
      </c>
      <c r="B64" s="144">
        <v>0</v>
      </c>
      <c r="C64" s="144">
        <v>0</v>
      </c>
      <c r="D64" s="144">
        <v>2.0034505</v>
      </c>
      <c r="E64" s="144">
        <v>71.867871638248786</v>
      </c>
      <c r="F64" s="144">
        <v>0</v>
      </c>
      <c r="G64" s="144">
        <v>0</v>
      </c>
      <c r="H64" s="145"/>
      <c r="I64" s="145"/>
      <c r="J64" s="144">
        <v>0</v>
      </c>
      <c r="K64" s="144">
        <v>0</v>
      </c>
      <c r="L64" s="144">
        <v>0</v>
      </c>
      <c r="M64" s="144">
        <v>0</v>
      </c>
      <c r="N64" s="144">
        <v>0</v>
      </c>
      <c r="O64" s="144">
        <v>73.871322138248786</v>
      </c>
      <c r="P64" s="151"/>
      <c r="Q64" s="148" t="s">
        <v>172</v>
      </c>
      <c r="R64" s="149"/>
      <c r="S64" s="150"/>
      <c r="T64" s="150"/>
      <c r="U64" s="150"/>
      <c r="V64" s="150"/>
      <c r="W64" s="150"/>
      <c r="X64" s="150"/>
      <c r="Y64" s="150"/>
      <c r="Z64" s="150"/>
      <c r="AA64" s="150"/>
      <c r="AB64" s="150"/>
      <c r="AC64" s="150"/>
      <c r="AD64" s="150"/>
      <c r="AE64" s="150"/>
      <c r="AF64" s="150"/>
      <c r="AG64" s="150"/>
      <c r="AH64" s="150"/>
      <c r="AI64" s="150"/>
      <c r="AJ64" s="150"/>
    </row>
    <row r="65" spans="1:36" ht="11.25" customHeight="1">
      <c r="A65" s="43" t="s">
        <v>173</v>
      </c>
      <c r="B65" s="144">
        <v>0</v>
      </c>
      <c r="C65" s="144">
        <v>0</v>
      </c>
      <c r="D65" s="144">
        <v>0</v>
      </c>
      <c r="E65" s="144">
        <v>0</v>
      </c>
      <c r="F65" s="144">
        <v>0</v>
      </c>
      <c r="G65" s="144">
        <v>0</v>
      </c>
      <c r="H65" s="145"/>
      <c r="I65" s="145"/>
      <c r="J65" s="142">
        <v>0</v>
      </c>
      <c r="K65" s="144">
        <v>0</v>
      </c>
      <c r="L65" s="144">
        <v>0</v>
      </c>
      <c r="M65" s="144">
        <v>0</v>
      </c>
      <c r="N65" s="144">
        <v>0</v>
      </c>
      <c r="O65" s="182">
        <v>0</v>
      </c>
      <c r="P65" s="151"/>
      <c r="Q65" s="148" t="s">
        <v>173</v>
      </c>
      <c r="R65" s="149"/>
      <c r="S65" s="150"/>
      <c r="T65" s="150"/>
      <c r="U65" s="150"/>
      <c r="V65" s="150"/>
      <c r="W65" s="150"/>
      <c r="X65" s="150"/>
      <c r="Y65" s="150"/>
      <c r="Z65" s="150"/>
      <c r="AA65" s="150"/>
      <c r="AB65" s="150"/>
      <c r="AC65" s="150"/>
      <c r="AD65" s="150"/>
      <c r="AE65" s="150"/>
      <c r="AF65" s="150"/>
      <c r="AG65" s="150"/>
      <c r="AH65" s="150"/>
      <c r="AI65" s="150"/>
      <c r="AJ65" s="150"/>
    </row>
    <row r="66" spans="1:36" s="132" customFormat="1" ht="11.25" customHeight="1" thickBot="1">
      <c r="A66" s="77" t="s">
        <v>174</v>
      </c>
      <c r="B66" s="183">
        <v>0</v>
      </c>
      <c r="C66" s="183">
        <v>0</v>
      </c>
      <c r="D66" s="183">
        <v>0</v>
      </c>
      <c r="E66" s="183">
        <v>0</v>
      </c>
      <c r="F66" s="183">
        <v>0</v>
      </c>
      <c r="G66" s="183">
        <v>0</v>
      </c>
      <c r="H66" s="184">
        <v>0</v>
      </c>
      <c r="I66" s="184"/>
      <c r="J66" s="183">
        <v>0</v>
      </c>
      <c r="K66" s="183">
        <v>0</v>
      </c>
      <c r="L66" s="183">
        <v>0</v>
      </c>
      <c r="M66" s="183">
        <v>0</v>
      </c>
      <c r="N66" s="183">
        <v>0</v>
      </c>
      <c r="O66" s="185">
        <v>0</v>
      </c>
      <c r="P66" s="186"/>
      <c r="Q66" s="187" t="s">
        <v>174</v>
      </c>
      <c r="S66" s="150"/>
      <c r="T66" s="150"/>
      <c r="U66" s="150"/>
      <c r="V66" s="150"/>
      <c r="W66" s="150"/>
      <c r="X66" s="150"/>
      <c r="Y66" s="150"/>
      <c r="Z66" s="150"/>
      <c r="AA66" s="150"/>
      <c r="AB66" s="150"/>
      <c r="AC66" s="150"/>
      <c r="AD66" s="150"/>
      <c r="AE66" s="150"/>
      <c r="AF66" s="150"/>
      <c r="AG66" s="150"/>
      <c r="AH66" s="150"/>
      <c r="AI66" s="150"/>
      <c r="AJ66" s="150"/>
    </row>
    <row r="67" spans="1:36" ht="2.25" customHeight="1" thickTop="1">
      <c r="A67" s="188"/>
      <c r="B67" s="189"/>
      <c r="C67" s="189"/>
      <c r="D67" s="189"/>
      <c r="E67" s="189"/>
      <c r="F67" s="189"/>
      <c r="G67" s="189"/>
      <c r="H67" s="189"/>
      <c r="I67" s="189"/>
      <c r="J67" s="189"/>
      <c r="K67" s="189"/>
      <c r="L67" s="189"/>
      <c r="M67" s="189"/>
      <c r="N67" s="189"/>
      <c r="O67" s="189"/>
      <c r="P67" s="189"/>
      <c r="S67" s="150"/>
      <c r="T67" s="150"/>
      <c r="U67" s="150"/>
      <c r="V67" s="150"/>
      <c r="W67" s="150"/>
      <c r="X67" s="150"/>
      <c r="Y67" s="150"/>
      <c r="Z67" s="150"/>
      <c r="AA67" s="150"/>
      <c r="AB67" s="150"/>
      <c r="AC67" s="150"/>
      <c r="AD67" s="150"/>
      <c r="AE67" s="150"/>
      <c r="AF67" s="150"/>
      <c r="AG67" s="150"/>
      <c r="AH67" s="150"/>
      <c r="AI67" s="150"/>
      <c r="AJ67" s="150"/>
    </row>
    <row r="68" spans="1:36" s="189" customFormat="1" ht="10.5" customHeight="1">
      <c r="A68" s="80" t="s">
        <v>245</v>
      </c>
      <c r="B68" s="43"/>
      <c r="C68" s="48"/>
      <c r="D68" s="80" t="s">
        <v>246</v>
      </c>
      <c r="E68" s="80"/>
      <c r="F68" s="48"/>
      <c r="G68" s="48"/>
      <c r="Q68" s="190"/>
      <c r="S68" s="150"/>
      <c r="T68" s="150"/>
      <c r="U68" s="150"/>
      <c r="V68" s="150"/>
      <c r="W68" s="150"/>
      <c r="X68" s="150"/>
      <c r="Y68" s="150"/>
      <c r="Z68" s="150"/>
      <c r="AA68" s="150"/>
      <c r="AB68" s="150"/>
      <c r="AC68" s="150"/>
      <c r="AD68" s="150"/>
      <c r="AE68" s="150"/>
      <c r="AF68" s="150"/>
      <c r="AG68" s="150"/>
      <c r="AH68" s="150"/>
      <c r="AI68" s="150"/>
      <c r="AJ68" s="150"/>
    </row>
    <row r="69" spans="1:36" s="189" customFormat="1" ht="10.5" customHeight="1">
      <c r="A69" s="80" t="s">
        <v>247</v>
      </c>
      <c r="B69" s="43"/>
      <c r="C69" s="48"/>
      <c r="D69" s="80" t="s">
        <v>248</v>
      </c>
      <c r="E69" s="80"/>
      <c r="F69" s="48"/>
      <c r="G69" s="48"/>
      <c r="Q69" s="190"/>
    </row>
    <row r="70" spans="1:36" s="189" customFormat="1" ht="10.5" customHeight="1">
      <c r="A70" s="80" t="s">
        <v>249</v>
      </c>
      <c r="B70" s="43"/>
      <c r="C70" s="48"/>
      <c r="D70" s="48"/>
      <c r="E70" s="48"/>
      <c r="F70" s="48"/>
      <c r="G70" s="48"/>
      <c r="Q70" s="190"/>
    </row>
    <row r="71" spans="1:36" ht="10.5" customHeight="1">
      <c r="A71" s="189"/>
      <c r="B71" s="189"/>
      <c r="C71" s="189"/>
      <c r="D71" s="189"/>
      <c r="E71" s="189"/>
      <c r="F71" s="189"/>
      <c r="G71" s="189"/>
      <c r="J71" s="191"/>
    </row>
    <row r="72" spans="1:36" ht="10.5" customHeight="1">
      <c r="A72" s="189"/>
      <c r="B72" s="189"/>
      <c r="C72" s="189"/>
      <c r="D72" s="189"/>
      <c r="E72" s="189"/>
      <c r="F72" s="189"/>
      <c r="G72" s="189"/>
    </row>
  </sheetData>
  <mergeCells count="2">
    <mergeCell ref="A3:H3"/>
    <mergeCell ref="J3:Q3"/>
  </mergeCells>
  <pageMargins left="0.74803149606299213" right="0.74803149606299213" top="0.98425196850393704" bottom="0.98425196850393704" header="0.51181102362204722" footer="0.51181102362204722"/>
  <pageSetup paperSize="9" scale="24" orientation="portrait"/>
  <headerFooter alignWithMargins="0">
    <oddHeader>&amp;R&amp;"Arial,Bold"RENEWABLES</oddHeader>
    <oddFooter>&amp;C&amp;P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enableFormatConditionsCalculation="0">
    <pageSetUpPr fitToPage="1"/>
  </sheetPr>
  <dimension ref="A1:U76"/>
  <sheetViews>
    <sheetView workbookViewId="0"/>
  </sheetViews>
  <sheetFormatPr baseColWidth="10" defaultColWidth="8.83203125" defaultRowHeight="12" x14ac:dyDescent="0"/>
  <cols>
    <col min="1" max="1" width="43.6640625" style="879" customWidth="1"/>
    <col min="2" max="8" width="9.1640625" style="879" hidden="1" customWidth="1"/>
    <col min="9" max="9" width="0" style="879" hidden="1" customWidth="1"/>
    <col min="10" max="10" width="8.83203125" style="1007"/>
    <col min="11" max="256" width="8.83203125" style="879"/>
    <col min="257" max="257" width="43.6640625" style="879" customWidth="1"/>
    <col min="258" max="265" width="0" style="879" hidden="1" customWidth="1"/>
    <col min="266" max="512" width="8.83203125" style="879"/>
    <col min="513" max="513" width="43.6640625" style="879" customWidth="1"/>
    <col min="514" max="521" width="0" style="879" hidden="1" customWidth="1"/>
    <col min="522" max="768" width="8.83203125" style="879"/>
    <col min="769" max="769" width="43.6640625" style="879" customWidth="1"/>
    <col min="770" max="777" width="0" style="879" hidden="1" customWidth="1"/>
    <col min="778" max="1024" width="8.83203125" style="879"/>
    <col min="1025" max="1025" width="43.6640625" style="879" customWidth="1"/>
    <col min="1026" max="1033" width="0" style="879" hidden="1" customWidth="1"/>
    <col min="1034" max="1280" width="8.83203125" style="879"/>
    <col min="1281" max="1281" width="43.6640625" style="879" customWidth="1"/>
    <col min="1282" max="1289" width="0" style="879" hidden="1" customWidth="1"/>
    <col min="1290" max="1536" width="8.83203125" style="879"/>
    <col min="1537" max="1537" width="43.6640625" style="879" customWidth="1"/>
    <col min="1538" max="1545" width="0" style="879" hidden="1" customWidth="1"/>
    <col min="1546" max="1792" width="8.83203125" style="879"/>
    <col min="1793" max="1793" width="43.6640625" style="879" customWidth="1"/>
    <col min="1794" max="1801" width="0" style="879" hidden="1" customWidth="1"/>
    <col min="1802" max="2048" width="8.83203125" style="879"/>
    <col min="2049" max="2049" width="43.6640625" style="879" customWidth="1"/>
    <col min="2050" max="2057" width="0" style="879" hidden="1" customWidth="1"/>
    <col min="2058" max="2304" width="8.83203125" style="879"/>
    <col min="2305" max="2305" width="43.6640625" style="879" customWidth="1"/>
    <col min="2306" max="2313" width="0" style="879" hidden="1" customWidth="1"/>
    <col min="2314" max="2560" width="8.83203125" style="879"/>
    <col min="2561" max="2561" width="43.6640625" style="879" customWidth="1"/>
    <col min="2562" max="2569" width="0" style="879" hidden="1" customWidth="1"/>
    <col min="2570" max="2816" width="8.83203125" style="879"/>
    <col min="2817" max="2817" width="43.6640625" style="879" customWidth="1"/>
    <col min="2818" max="2825" width="0" style="879" hidden="1" customWidth="1"/>
    <col min="2826" max="3072" width="8.83203125" style="879"/>
    <col min="3073" max="3073" width="43.6640625" style="879" customWidth="1"/>
    <col min="3074" max="3081" width="0" style="879" hidden="1" customWidth="1"/>
    <col min="3082" max="3328" width="8.83203125" style="879"/>
    <col min="3329" max="3329" width="43.6640625" style="879" customWidth="1"/>
    <col min="3330" max="3337" width="0" style="879" hidden="1" customWidth="1"/>
    <col min="3338" max="3584" width="8.83203125" style="879"/>
    <col min="3585" max="3585" width="43.6640625" style="879" customWidth="1"/>
    <col min="3586" max="3593" width="0" style="879" hidden="1" customWidth="1"/>
    <col min="3594" max="3840" width="8.83203125" style="879"/>
    <col min="3841" max="3841" width="43.6640625" style="879" customWidth="1"/>
    <col min="3842" max="3849" width="0" style="879" hidden="1" customWidth="1"/>
    <col min="3850" max="4096" width="8.83203125" style="879"/>
    <col min="4097" max="4097" width="43.6640625" style="879" customWidth="1"/>
    <col min="4098" max="4105" width="0" style="879" hidden="1" customWidth="1"/>
    <col min="4106" max="4352" width="8.83203125" style="879"/>
    <col min="4353" max="4353" width="43.6640625" style="879" customWidth="1"/>
    <col min="4354" max="4361" width="0" style="879" hidden="1" customWidth="1"/>
    <col min="4362" max="4608" width="8.83203125" style="879"/>
    <col min="4609" max="4609" width="43.6640625" style="879" customWidth="1"/>
    <col min="4610" max="4617" width="0" style="879" hidden="1" customWidth="1"/>
    <col min="4618" max="4864" width="8.83203125" style="879"/>
    <col min="4865" max="4865" width="43.6640625" style="879" customWidth="1"/>
    <col min="4866" max="4873" width="0" style="879" hidden="1" customWidth="1"/>
    <col min="4874" max="5120" width="8.83203125" style="879"/>
    <col min="5121" max="5121" width="43.6640625" style="879" customWidth="1"/>
    <col min="5122" max="5129" width="0" style="879" hidden="1" customWidth="1"/>
    <col min="5130" max="5376" width="8.83203125" style="879"/>
    <col min="5377" max="5377" width="43.6640625" style="879" customWidth="1"/>
    <col min="5378" max="5385" width="0" style="879" hidden="1" customWidth="1"/>
    <col min="5386" max="5632" width="8.83203125" style="879"/>
    <col min="5633" max="5633" width="43.6640625" style="879" customWidth="1"/>
    <col min="5634" max="5641" width="0" style="879" hidden="1" customWidth="1"/>
    <col min="5642" max="5888" width="8.83203125" style="879"/>
    <col min="5889" max="5889" width="43.6640625" style="879" customWidth="1"/>
    <col min="5890" max="5897" width="0" style="879" hidden="1" customWidth="1"/>
    <col min="5898" max="6144" width="8.83203125" style="879"/>
    <col min="6145" max="6145" width="43.6640625" style="879" customWidth="1"/>
    <col min="6146" max="6153" width="0" style="879" hidden="1" customWidth="1"/>
    <col min="6154" max="6400" width="8.83203125" style="879"/>
    <col min="6401" max="6401" width="43.6640625" style="879" customWidth="1"/>
    <col min="6402" max="6409" width="0" style="879" hidden="1" customWidth="1"/>
    <col min="6410" max="6656" width="8.83203125" style="879"/>
    <col min="6657" max="6657" width="43.6640625" style="879" customWidth="1"/>
    <col min="6658" max="6665" width="0" style="879" hidden="1" customWidth="1"/>
    <col min="6666" max="6912" width="8.83203125" style="879"/>
    <col min="6913" max="6913" width="43.6640625" style="879" customWidth="1"/>
    <col min="6914" max="6921" width="0" style="879" hidden="1" customWidth="1"/>
    <col min="6922" max="7168" width="8.83203125" style="879"/>
    <col min="7169" max="7169" width="43.6640625" style="879" customWidth="1"/>
    <col min="7170" max="7177" width="0" style="879" hidden="1" customWidth="1"/>
    <col min="7178" max="7424" width="8.83203125" style="879"/>
    <col min="7425" max="7425" width="43.6640625" style="879" customWidth="1"/>
    <col min="7426" max="7433" width="0" style="879" hidden="1" customWidth="1"/>
    <col min="7434" max="7680" width="8.83203125" style="879"/>
    <col min="7681" max="7681" width="43.6640625" style="879" customWidth="1"/>
    <col min="7682" max="7689" width="0" style="879" hidden="1" customWidth="1"/>
    <col min="7690" max="7936" width="8.83203125" style="879"/>
    <col min="7937" max="7937" width="43.6640625" style="879" customWidth="1"/>
    <col min="7938" max="7945" width="0" style="879" hidden="1" customWidth="1"/>
    <col min="7946" max="8192" width="8.83203125" style="879"/>
    <col min="8193" max="8193" width="43.6640625" style="879" customWidth="1"/>
    <col min="8194" max="8201" width="0" style="879" hidden="1" customWidth="1"/>
    <col min="8202" max="8448" width="8.83203125" style="879"/>
    <col min="8449" max="8449" width="43.6640625" style="879" customWidth="1"/>
    <col min="8450" max="8457" width="0" style="879" hidden="1" customWidth="1"/>
    <col min="8458" max="8704" width="8.83203125" style="879"/>
    <col min="8705" max="8705" width="43.6640625" style="879" customWidth="1"/>
    <col min="8706" max="8713" width="0" style="879" hidden="1" customWidth="1"/>
    <col min="8714" max="8960" width="8.83203125" style="879"/>
    <col min="8961" max="8961" width="43.6640625" style="879" customWidth="1"/>
    <col min="8962" max="8969" width="0" style="879" hidden="1" customWidth="1"/>
    <col min="8970" max="9216" width="8.83203125" style="879"/>
    <col min="9217" max="9217" width="43.6640625" style="879" customWidth="1"/>
    <col min="9218" max="9225" width="0" style="879" hidden="1" customWidth="1"/>
    <col min="9226" max="9472" width="8.83203125" style="879"/>
    <col min="9473" max="9473" width="43.6640625" style="879" customWidth="1"/>
    <col min="9474" max="9481" width="0" style="879" hidden="1" customWidth="1"/>
    <col min="9482" max="9728" width="8.83203125" style="879"/>
    <col min="9729" max="9729" width="43.6640625" style="879" customWidth="1"/>
    <col min="9730" max="9737" width="0" style="879" hidden="1" customWidth="1"/>
    <col min="9738" max="9984" width="8.83203125" style="879"/>
    <col min="9985" max="9985" width="43.6640625" style="879" customWidth="1"/>
    <col min="9986" max="9993" width="0" style="879" hidden="1" customWidth="1"/>
    <col min="9994" max="10240" width="8.83203125" style="879"/>
    <col min="10241" max="10241" width="43.6640625" style="879" customWidth="1"/>
    <col min="10242" max="10249" width="0" style="879" hidden="1" customWidth="1"/>
    <col min="10250" max="10496" width="8.83203125" style="879"/>
    <col min="10497" max="10497" width="43.6640625" style="879" customWidth="1"/>
    <col min="10498" max="10505" width="0" style="879" hidden="1" customWidth="1"/>
    <col min="10506" max="10752" width="8.83203125" style="879"/>
    <col min="10753" max="10753" width="43.6640625" style="879" customWidth="1"/>
    <col min="10754" max="10761" width="0" style="879" hidden="1" customWidth="1"/>
    <col min="10762" max="11008" width="8.83203125" style="879"/>
    <col min="11009" max="11009" width="43.6640625" style="879" customWidth="1"/>
    <col min="11010" max="11017" width="0" style="879" hidden="1" customWidth="1"/>
    <col min="11018" max="11264" width="8.83203125" style="879"/>
    <col min="11265" max="11265" width="43.6640625" style="879" customWidth="1"/>
    <col min="11266" max="11273" width="0" style="879" hidden="1" customWidth="1"/>
    <col min="11274" max="11520" width="8.83203125" style="879"/>
    <col min="11521" max="11521" width="43.6640625" style="879" customWidth="1"/>
    <col min="11522" max="11529" width="0" style="879" hidden="1" customWidth="1"/>
    <col min="11530" max="11776" width="8.83203125" style="879"/>
    <col min="11777" max="11777" width="43.6640625" style="879" customWidth="1"/>
    <col min="11778" max="11785" width="0" style="879" hidden="1" customWidth="1"/>
    <col min="11786" max="12032" width="8.83203125" style="879"/>
    <col min="12033" max="12033" width="43.6640625" style="879" customWidth="1"/>
    <col min="12034" max="12041" width="0" style="879" hidden="1" customWidth="1"/>
    <col min="12042" max="12288" width="8.83203125" style="879"/>
    <col min="12289" max="12289" width="43.6640625" style="879" customWidth="1"/>
    <col min="12290" max="12297" width="0" style="879" hidden="1" customWidth="1"/>
    <col min="12298" max="12544" width="8.83203125" style="879"/>
    <col min="12545" max="12545" width="43.6640625" style="879" customWidth="1"/>
    <col min="12546" max="12553" width="0" style="879" hidden="1" customWidth="1"/>
    <col min="12554" max="12800" width="8.83203125" style="879"/>
    <col min="12801" max="12801" width="43.6640625" style="879" customWidth="1"/>
    <col min="12802" max="12809" width="0" style="879" hidden="1" customWidth="1"/>
    <col min="12810" max="13056" width="8.83203125" style="879"/>
    <col min="13057" max="13057" width="43.6640625" style="879" customWidth="1"/>
    <col min="13058" max="13065" width="0" style="879" hidden="1" customWidth="1"/>
    <col min="13066" max="13312" width="8.83203125" style="879"/>
    <col min="13313" max="13313" width="43.6640625" style="879" customWidth="1"/>
    <col min="13314" max="13321" width="0" style="879" hidden="1" customWidth="1"/>
    <col min="13322" max="13568" width="8.83203125" style="879"/>
    <col min="13569" max="13569" width="43.6640625" style="879" customWidth="1"/>
    <col min="13570" max="13577" width="0" style="879" hidden="1" customWidth="1"/>
    <col min="13578" max="13824" width="8.83203125" style="879"/>
    <col min="13825" max="13825" width="43.6640625" style="879" customWidth="1"/>
    <col min="13826" max="13833" width="0" style="879" hidden="1" customWidth="1"/>
    <col min="13834" max="14080" width="8.83203125" style="879"/>
    <col min="14081" max="14081" width="43.6640625" style="879" customWidth="1"/>
    <col min="14082" max="14089" width="0" style="879" hidden="1" customWidth="1"/>
    <col min="14090" max="14336" width="8.83203125" style="879"/>
    <col min="14337" max="14337" width="43.6640625" style="879" customWidth="1"/>
    <col min="14338" max="14345" width="0" style="879" hidden="1" customWidth="1"/>
    <col min="14346" max="14592" width="8.83203125" style="879"/>
    <col min="14593" max="14593" width="43.6640625" style="879" customWidth="1"/>
    <col min="14594" max="14601" width="0" style="879" hidden="1" customWidth="1"/>
    <col min="14602" max="14848" width="8.83203125" style="879"/>
    <col min="14849" max="14849" width="43.6640625" style="879" customWidth="1"/>
    <col min="14850" max="14857" width="0" style="879" hidden="1" customWidth="1"/>
    <col min="14858" max="15104" width="8.83203125" style="879"/>
    <col min="15105" max="15105" width="43.6640625" style="879" customWidth="1"/>
    <col min="15106" max="15113" width="0" style="879" hidden="1" customWidth="1"/>
    <col min="15114" max="15360" width="8.83203125" style="879"/>
    <col min="15361" max="15361" width="43.6640625" style="879" customWidth="1"/>
    <col min="15362" max="15369" width="0" style="879" hidden="1" customWidth="1"/>
    <col min="15370" max="15616" width="8.83203125" style="879"/>
    <col min="15617" max="15617" width="43.6640625" style="879" customWidth="1"/>
    <col min="15618" max="15625" width="0" style="879" hidden="1" customWidth="1"/>
    <col min="15626" max="15872" width="8.83203125" style="879"/>
    <col min="15873" max="15873" width="43.6640625" style="879" customWidth="1"/>
    <col min="15874" max="15881" width="0" style="879" hidden="1" customWidth="1"/>
    <col min="15882" max="16128" width="8.83203125" style="879"/>
    <col min="16129" max="16129" width="43.6640625" style="879" customWidth="1"/>
    <col min="16130" max="16137" width="0" style="879" hidden="1" customWidth="1"/>
    <col min="16138" max="16384" width="8.83203125" style="879"/>
  </cols>
  <sheetData>
    <row r="1" spans="1:21" s="872" customFormat="1" ht="21">
      <c r="A1" s="865" t="s">
        <v>1018</v>
      </c>
      <c r="B1" s="1260"/>
      <c r="C1" s="1260"/>
      <c r="D1" s="1260"/>
      <c r="E1" s="1260"/>
      <c r="F1" s="1260"/>
      <c r="J1" s="1261"/>
    </row>
    <row r="2" spans="1:21" s="872" customFormat="1" ht="21">
      <c r="A2" s="865" t="s">
        <v>1019</v>
      </c>
      <c r="B2" s="1260"/>
      <c r="C2" s="1260"/>
      <c r="D2" s="1260"/>
      <c r="E2" s="1262"/>
      <c r="F2" s="1262"/>
      <c r="G2" s="1262"/>
      <c r="J2" s="1007"/>
    </row>
    <row r="3" spans="1:21" ht="13" thickBot="1">
      <c r="M3" s="1263"/>
      <c r="N3" s="1263"/>
    </row>
    <row r="4" spans="1:21" ht="13" thickTop="1">
      <c r="A4" s="887"/>
      <c r="B4" s="887">
        <v>1996</v>
      </c>
      <c r="C4" s="887">
        <v>1997</v>
      </c>
      <c r="D4" s="887">
        <v>1998</v>
      </c>
      <c r="E4" s="887">
        <v>1999</v>
      </c>
      <c r="F4" s="887">
        <v>2000</v>
      </c>
      <c r="G4" s="887">
        <v>2001</v>
      </c>
      <c r="H4" s="887">
        <v>2002</v>
      </c>
      <c r="I4" s="887">
        <v>2003</v>
      </c>
      <c r="J4" s="1264">
        <v>2004</v>
      </c>
      <c r="K4" s="1264">
        <v>2005</v>
      </c>
      <c r="L4" s="1264">
        <v>2006</v>
      </c>
      <c r="M4" s="1265">
        <v>2007</v>
      </c>
      <c r="N4" s="1265">
        <v>2008</v>
      </c>
    </row>
    <row r="5" spans="1:21" ht="12.75" customHeight="1">
      <c r="A5" s="1266" t="s">
        <v>1020</v>
      </c>
      <c r="B5" s="950"/>
      <c r="C5" s="950"/>
      <c r="D5" s="950"/>
      <c r="E5" s="950"/>
      <c r="F5" s="950"/>
      <c r="G5" s="950"/>
      <c r="H5" s="950"/>
      <c r="I5" s="950"/>
      <c r="J5" s="944"/>
      <c r="K5" s="944"/>
      <c r="L5" s="944"/>
    </row>
    <row r="6" spans="1:21" ht="12.75" customHeight="1">
      <c r="A6" s="877" t="s">
        <v>1021</v>
      </c>
      <c r="B6" s="950"/>
      <c r="C6" s="950"/>
      <c r="D6" s="950"/>
      <c r="E6" s="950"/>
      <c r="F6" s="950"/>
      <c r="G6" s="950"/>
      <c r="H6" s="950"/>
      <c r="I6" s="950"/>
      <c r="J6" s="944"/>
      <c r="K6" s="944"/>
      <c r="L6" s="944"/>
    </row>
    <row r="7" spans="1:21" ht="12.75" customHeight="1">
      <c r="A7" s="875" t="s">
        <v>1022</v>
      </c>
      <c r="B7" s="1267">
        <v>237.67899999999997</v>
      </c>
      <c r="C7" s="1267">
        <v>321.68399999999997</v>
      </c>
      <c r="D7" s="1267">
        <v>331.32</v>
      </c>
      <c r="E7" s="1267">
        <v>356.99</v>
      </c>
      <c r="F7" s="1267">
        <v>407.99</v>
      </c>
      <c r="G7" s="1267">
        <v>423.44699999999989</v>
      </c>
      <c r="H7" s="1267">
        <v>530.63700000000006</v>
      </c>
      <c r="I7" s="1267">
        <v>678.37700051857405</v>
      </c>
      <c r="J7" s="1267">
        <v>809.36</v>
      </c>
      <c r="K7" s="1267">
        <v>1351.2</v>
      </c>
      <c r="L7" s="1267">
        <v>1650.7156</v>
      </c>
      <c r="M7" s="1267">
        <v>2083.375</v>
      </c>
      <c r="N7" s="1267">
        <v>2820.223</v>
      </c>
      <c r="Q7" s="1268"/>
      <c r="R7" s="1268"/>
      <c r="S7" s="1268"/>
      <c r="T7" s="1268"/>
      <c r="U7" s="1268"/>
    </row>
    <row r="8" spans="1:21" ht="12.75" customHeight="1">
      <c r="A8" s="875" t="s">
        <v>1023</v>
      </c>
      <c r="B8" s="1267">
        <v>0</v>
      </c>
      <c r="C8" s="1267">
        <v>0</v>
      </c>
      <c r="D8" s="1267">
        <v>0</v>
      </c>
      <c r="E8" s="1267">
        <v>0</v>
      </c>
      <c r="F8" s="1267">
        <v>3.8</v>
      </c>
      <c r="G8" s="1267">
        <v>3.8</v>
      </c>
      <c r="H8" s="1267">
        <v>3.8</v>
      </c>
      <c r="I8" s="1267">
        <v>63.8</v>
      </c>
      <c r="J8" s="1267">
        <v>123.8</v>
      </c>
      <c r="K8" s="1267">
        <v>213.8</v>
      </c>
      <c r="L8" s="1267">
        <v>303.8</v>
      </c>
      <c r="M8" s="1267">
        <v>393.8</v>
      </c>
      <c r="N8" s="1267">
        <v>586</v>
      </c>
      <c r="Q8" s="1268"/>
      <c r="R8" s="1268"/>
      <c r="S8" s="1268"/>
      <c r="T8" s="1268"/>
      <c r="U8" s="1268"/>
    </row>
    <row r="9" spans="1:21" ht="12.75" customHeight="1">
      <c r="A9" s="875" t="s">
        <v>1024</v>
      </c>
      <c r="B9" s="1267">
        <v>0</v>
      </c>
      <c r="C9" s="1267">
        <v>0</v>
      </c>
      <c r="D9" s="1267">
        <v>0</v>
      </c>
      <c r="E9" s="1267">
        <v>0</v>
      </c>
      <c r="F9" s="1267">
        <v>0.5</v>
      </c>
      <c r="G9" s="1267">
        <v>0.5</v>
      </c>
      <c r="H9" s="1267">
        <v>0.5</v>
      </c>
      <c r="I9" s="1267">
        <v>0.5</v>
      </c>
      <c r="J9" s="1267">
        <v>0.5</v>
      </c>
      <c r="K9" s="1267">
        <v>0.5</v>
      </c>
      <c r="L9" s="1267">
        <v>0.5</v>
      </c>
      <c r="M9" s="1267">
        <v>0.5</v>
      </c>
      <c r="N9" s="1267">
        <v>0.5</v>
      </c>
      <c r="Q9" s="1268"/>
      <c r="R9" s="1268"/>
      <c r="S9" s="1268"/>
      <c r="T9" s="1268"/>
      <c r="U9" s="1268"/>
    </row>
    <row r="10" spans="1:21" ht="12.75" customHeight="1">
      <c r="A10" s="875" t="s">
        <v>1025</v>
      </c>
      <c r="B10" s="1267">
        <v>0.42299999999999999</v>
      </c>
      <c r="C10" s="1267">
        <v>0.58899999999999997</v>
      </c>
      <c r="D10" s="1267">
        <v>0.69</v>
      </c>
      <c r="E10" s="1267">
        <v>1.131</v>
      </c>
      <c r="F10" s="1267">
        <v>1.929</v>
      </c>
      <c r="G10" s="1267">
        <v>2.746</v>
      </c>
      <c r="H10" s="1267">
        <v>4.1360000000000001</v>
      </c>
      <c r="I10" s="1267">
        <v>6.0019999999999998</v>
      </c>
      <c r="J10" s="1267">
        <v>8.1639999999999997</v>
      </c>
      <c r="K10" s="1267">
        <v>10.9</v>
      </c>
      <c r="L10" s="1267">
        <v>14.26</v>
      </c>
      <c r="M10" s="1269">
        <v>18.100000000000001</v>
      </c>
      <c r="N10" s="1267">
        <v>22.5</v>
      </c>
      <c r="Q10" s="1268"/>
      <c r="R10" s="1268"/>
      <c r="S10" s="1268"/>
      <c r="T10" s="1268"/>
      <c r="U10" s="1268"/>
    </row>
    <row r="11" spans="1:21" ht="12.75" customHeight="1">
      <c r="A11" s="875" t="s">
        <v>1026</v>
      </c>
      <c r="B11" s="1267">
        <v>0</v>
      </c>
      <c r="C11" s="1267">
        <v>0</v>
      </c>
      <c r="D11" s="1267">
        <v>0</v>
      </c>
      <c r="E11" s="1267">
        <v>0</v>
      </c>
      <c r="F11" s="1267">
        <v>0</v>
      </c>
      <c r="G11" s="1267">
        <v>0</v>
      </c>
      <c r="H11" s="1267">
        <v>0</v>
      </c>
      <c r="I11" s="1267">
        <v>0</v>
      </c>
      <c r="J11" s="1267"/>
      <c r="K11" s="1267"/>
      <c r="L11" s="1267"/>
      <c r="M11" s="1267"/>
      <c r="N11" s="1267"/>
      <c r="Q11" s="1268"/>
      <c r="R11" s="1268"/>
      <c r="S11" s="1268"/>
      <c r="T11" s="1268"/>
      <c r="U11" s="1268"/>
    </row>
    <row r="12" spans="1:21" ht="12.75" customHeight="1">
      <c r="A12" s="875" t="s">
        <v>1027</v>
      </c>
      <c r="B12" s="1267">
        <v>175.17857142857142</v>
      </c>
      <c r="C12" s="1267">
        <v>162.52777777777777</v>
      </c>
      <c r="D12" s="1267">
        <v>171.08277777777778</v>
      </c>
      <c r="E12" s="1267">
        <v>176.69444444444446</v>
      </c>
      <c r="F12" s="1267">
        <v>183.55555555555554</v>
      </c>
      <c r="G12" s="1267">
        <v>188.6958333333333</v>
      </c>
      <c r="H12" s="1267">
        <v>194.24600000000001</v>
      </c>
      <c r="I12" s="1267">
        <v>129.97800000000001</v>
      </c>
      <c r="J12" s="1267">
        <v>142.92700000000005</v>
      </c>
      <c r="K12" s="1267">
        <v>157.93700000000001</v>
      </c>
      <c r="L12" s="1267">
        <v>153.35600000000002</v>
      </c>
      <c r="M12" s="1267">
        <v>166.2295</v>
      </c>
      <c r="N12" s="1267">
        <v>173.29650000000001</v>
      </c>
      <c r="Q12" s="1268"/>
      <c r="R12" s="1268"/>
      <c r="S12" s="1268"/>
      <c r="T12" s="1268"/>
      <c r="U12" s="1268"/>
    </row>
    <row r="13" spans="1:21" ht="12.75" customHeight="1">
      <c r="A13" s="875" t="s">
        <v>1028</v>
      </c>
      <c r="B13" s="1267">
        <v>1405.8</v>
      </c>
      <c r="C13" s="1267">
        <v>1428.8</v>
      </c>
      <c r="D13" s="1267">
        <v>1413</v>
      </c>
      <c r="E13" s="1267">
        <v>1413</v>
      </c>
      <c r="F13" s="1267">
        <v>1419</v>
      </c>
      <c r="G13" s="1267">
        <v>1440</v>
      </c>
      <c r="H13" s="1267">
        <v>1388.8</v>
      </c>
      <c r="I13" s="1267">
        <v>1354.52</v>
      </c>
      <c r="J13" s="1267">
        <v>1355.85</v>
      </c>
      <c r="K13" s="1267">
        <v>1343.15</v>
      </c>
      <c r="L13" s="1267">
        <v>1361.3910000000001</v>
      </c>
      <c r="M13" s="1267">
        <v>1358.6759999999999</v>
      </c>
      <c r="N13" s="1267">
        <v>1456.4760000000001</v>
      </c>
      <c r="Q13" s="1268"/>
      <c r="R13" s="1268"/>
      <c r="S13" s="1268"/>
      <c r="T13" s="1268"/>
      <c r="U13" s="1268"/>
    </row>
    <row r="14" spans="1:21" ht="12.75" customHeight="1">
      <c r="A14" s="875" t="s">
        <v>1029</v>
      </c>
      <c r="B14" s="1267">
        <v>0</v>
      </c>
      <c r="C14" s="1267">
        <v>0</v>
      </c>
      <c r="D14" s="1267">
        <v>0</v>
      </c>
      <c r="E14" s="1267">
        <v>0</v>
      </c>
      <c r="F14" s="1267">
        <v>0</v>
      </c>
      <c r="G14" s="1267">
        <v>0</v>
      </c>
      <c r="H14" s="1267">
        <v>0</v>
      </c>
      <c r="I14" s="1267">
        <v>0</v>
      </c>
      <c r="J14" s="1267"/>
      <c r="K14" s="1267"/>
      <c r="L14" s="1267"/>
      <c r="M14" s="1267"/>
      <c r="N14" s="1267"/>
      <c r="Q14" s="1268"/>
      <c r="R14" s="1268"/>
      <c r="S14" s="1268"/>
      <c r="T14" s="1268"/>
      <c r="U14" s="1268"/>
    </row>
    <row r="15" spans="1:21" ht="12.75" customHeight="1">
      <c r="A15" s="875" t="s">
        <v>1030</v>
      </c>
      <c r="B15" s="1267">
        <v>161.87777777777777</v>
      </c>
      <c r="C15" s="1267">
        <v>188.2</v>
      </c>
      <c r="D15" s="1267">
        <v>245.11111111111109</v>
      </c>
      <c r="E15" s="1267">
        <v>343.3</v>
      </c>
      <c r="F15" s="1267">
        <v>425.13333333333333</v>
      </c>
      <c r="G15" s="1267">
        <v>464.74611111111119</v>
      </c>
      <c r="H15" s="1267">
        <v>472.93466377258301</v>
      </c>
      <c r="I15" s="1267">
        <v>619.05999999999995</v>
      </c>
      <c r="J15" s="1267">
        <v>722.22</v>
      </c>
      <c r="K15" s="1267">
        <v>817.8</v>
      </c>
      <c r="L15" s="1267">
        <v>856.178</v>
      </c>
      <c r="M15" s="1267">
        <v>900.63599999999997</v>
      </c>
      <c r="N15" s="1267">
        <v>908.31500000000005</v>
      </c>
      <c r="Q15" s="1268"/>
      <c r="R15" s="1268"/>
      <c r="S15" s="1268"/>
      <c r="T15" s="1268"/>
      <c r="U15" s="1268"/>
    </row>
    <row r="16" spans="1:21" ht="12.75" customHeight="1">
      <c r="A16" s="875" t="s">
        <v>1031</v>
      </c>
      <c r="B16" s="1267">
        <v>87.2</v>
      </c>
      <c r="C16" s="1267">
        <v>86.8</v>
      </c>
      <c r="D16" s="1267">
        <v>89.8</v>
      </c>
      <c r="E16" s="1267">
        <v>91.3</v>
      </c>
      <c r="F16" s="1267">
        <v>85.3</v>
      </c>
      <c r="G16" s="1267">
        <v>85</v>
      </c>
      <c r="H16" s="1267">
        <v>96.029585830867305</v>
      </c>
      <c r="I16" s="1267">
        <v>123.724</v>
      </c>
      <c r="J16" s="1267">
        <v>131.94200000000001</v>
      </c>
      <c r="K16" s="1267">
        <v>139.63800000000001</v>
      </c>
      <c r="L16" s="1267">
        <v>146.399</v>
      </c>
      <c r="M16" s="1269">
        <v>149.977</v>
      </c>
      <c r="N16" s="1267">
        <v>152.23500000000001</v>
      </c>
      <c r="Q16" s="1268"/>
      <c r="R16" s="1268"/>
      <c r="S16" s="1268"/>
      <c r="T16" s="1268"/>
      <c r="U16" s="1268"/>
    </row>
    <row r="17" spans="1:21" ht="12.75" customHeight="1">
      <c r="A17" s="1270" t="s">
        <v>1032</v>
      </c>
      <c r="B17" s="1267">
        <v>150.58013698630137</v>
      </c>
      <c r="C17" s="1267">
        <v>150.58000000000001</v>
      </c>
      <c r="D17" s="1267">
        <v>204.08</v>
      </c>
      <c r="E17" s="1267">
        <v>229.63</v>
      </c>
      <c r="F17" s="1267">
        <v>253.21</v>
      </c>
      <c r="G17" s="1267">
        <v>260.01</v>
      </c>
      <c r="H17" s="1267">
        <v>278.88397097587585</v>
      </c>
      <c r="I17" s="1267">
        <v>292</v>
      </c>
      <c r="J17" s="1269">
        <v>300.60000000000002</v>
      </c>
      <c r="K17" s="1269">
        <v>314.60000000000002</v>
      </c>
      <c r="L17" s="1267">
        <v>326.45</v>
      </c>
      <c r="M17" s="1267">
        <v>326.404</v>
      </c>
      <c r="N17" s="1267">
        <v>375.9</v>
      </c>
      <c r="Q17" s="1268"/>
      <c r="R17" s="1268"/>
      <c r="S17" s="1268"/>
      <c r="T17" s="1268"/>
      <c r="U17" s="1268"/>
    </row>
    <row r="18" spans="1:21" ht="12.75" customHeight="1">
      <c r="A18" s="1270" t="s">
        <v>1033</v>
      </c>
      <c r="B18" s="1267">
        <v>27.1</v>
      </c>
      <c r="C18" s="1267">
        <v>27.1</v>
      </c>
      <c r="D18" s="1267">
        <v>82.7</v>
      </c>
      <c r="E18" s="1267">
        <v>82.7</v>
      </c>
      <c r="F18" s="1267">
        <v>92.7</v>
      </c>
      <c r="G18" s="1267">
        <v>92.7</v>
      </c>
      <c r="H18" s="1267">
        <v>93.000000190734866</v>
      </c>
      <c r="I18" s="1267">
        <v>94.430000190734873</v>
      </c>
      <c r="J18" s="1267">
        <v>86.486000000000004</v>
      </c>
      <c r="K18" s="1267">
        <v>86.616</v>
      </c>
      <c r="L18" s="1267">
        <v>88.903000000000006</v>
      </c>
      <c r="M18" s="1267">
        <v>114.40300000000001</v>
      </c>
      <c r="N18" s="1267">
        <v>114.40300000000001</v>
      </c>
      <c r="Q18" s="1268"/>
      <c r="R18" s="1268"/>
      <c r="S18" s="1268"/>
      <c r="T18" s="1268"/>
      <c r="U18" s="1268"/>
    </row>
    <row r="19" spans="1:21" ht="12.75" customHeight="1">
      <c r="A19" s="924" t="s">
        <v>1034</v>
      </c>
      <c r="B19" s="1271">
        <v>25</v>
      </c>
      <c r="C19" s="1271">
        <v>25.1</v>
      </c>
      <c r="D19" s="1271">
        <v>25.303999999999998</v>
      </c>
      <c r="E19" s="1271">
        <v>25.3</v>
      </c>
      <c r="F19" s="1271">
        <v>64.304000000000002</v>
      </c>
      <c r="G19" s="1271">
        <v>64.304000000000002</v>
      </c>
      <c r="H19" s="1271">
        <v>83.46</v>
      </c>
      <c r="I19" s="1271">
        <v>89.49</v>
      </c>
      <c r="J19" s="1271">
        <v>89.79</v>
      </c>
      <c r="K19" s="1271">
        <v>99.510999999999996</v>
      </c>
      <c r="L19" s="1271">
        <v>132.44</v>
      </c>
      <c r="M19" s="1271">
        <v>189.476</v>
      </c>
      <c r="N19" s="1271">
        <v>193.25699999999998</v>
      </c>
      <c r="Q19" s="1268"/>
      <c r="R19" s="1268"/>
      <c r="S19" s="1268"/>
      <c r="T19" s="1268"/>
      <c r="U19" s="1268"/>
    </row>
    <row r="20" spans="1:21" ht="12.75" customHeight="1" thickBot="1">
      <c r="A20" s="875" t="s">
        <v>1035</v>
      </c>
      <c r="B20" s="1267">
        <v>451.75791476407915</v>
      </c>
      <c r="C20" s="1267">
        <v>477.78</v>
      </c>
      <c r="D20" s="1267">
        <v>646.9951111111111</v>
      </c>
      <c r="E20" s="1267">
        <v>772.23</v>
      </c>
      <c r="F20" s="1267">
        <v>920.64733333333322</v>
      </c>
      <c r="G20" s="1267">
        <v>966.76011111111109</v>
      </c>
      <c r="H20" s="1267">
        <v>1024.3082207700611</v>
      </c>
      <c r="I20" s="1267">
        <v>1218.7040001907351</v>
      </c>
      <c r="J20" s="1269">
        <v>1331.0380000000002</v>
      </c>
      <c r="K20" s="1269">
        <v>1458.165</v>
      </c>
      <c r="L20" s="1267">
        <v>1550.37</v>
      </c>
      <c r="M20" s="1269">
        <v>1680.8960000000002</v>
      </c>
      <c r="N20" s="1267">
        <v>1744.11</v>
      </c>
      <c r="Q20" s="1268"/>
      <c r="R20" s="1268"/>
      <c r="S20" s="1268"/>
      <c r="T20" s="1268"/>
      <c r="U20" s="1268"/>
    </row>
    <row r="21" spans="1:21" ht="12.75" customHeight="1" thickTop="1" thickBot="1">
      <c r="A21" s="1272" t="s">
        <v>132</v>
      </c>
      <c r="B21" s="1273">
        <v>2270.8384861926506</v>
      </c>
      <c r="C21" s="1273">
        <v>2391.3807777777774</v>
      </c>
      <c r="D21" s="1273">
        <v>2563.0878888888892</v>
      </c>
      <c r="E21" s="1273">
        <v>2720.0454444444449</v>
      </c>
      <c r="F21" s="1273">
        <v>2937.421888888889</v>
      </c>
      <c r="G21" s="1273">
        <v>3025.9489444444444</v>
      </c>
      <c r="H21" s="1273">
        <v>3146.4272207700606</v>
      </c>
      <c r="I21" s="1273">
        <v>3451.8810007093089</v>
      </c>
      <c r="J21" s="1274">
        <v>3771.6389999999997</v>
      </c>
      <c r="K21" s="1274">
        <v>4535.652000000001</v>
      </c>
      <c r="L21" s="1273">
        <v>5034.3926000000001</v>
      </c>
      <c r="M21" s="1274">
        <v>5701.5765000000001</v>
      </c>
      <c r="N21" s="1273">
        <v>6803.1054999999988</v>
      </c>
      <c r="Q21" s="1268"/>
      <c r="R21" s="1268"/>
      <c r="S21" s="1268"/>
      <c r="T21" s="1268"/>
      <c r="U21" s="1268"/>
    </row>
    <row r="22" spans="1:21" ht="12.75" customHeight="1" thickTop="1" thickBot="1">
      <c r="A22" s="1275" t="s">
        <v>1036</v>
      </c>
      <c r="B22" s="1276">
        <v>0</v>
      </c>
      <c r="C22" s="1276">
        <v>0</v>
      </c>
      <c r="D22" s="1276">
        <v>0</v>
      </c>
      <c r="E22" s="1276">
        <v>0</v>
      </c>
      <c r="F22" s="1276">
        <v>0</v>
      </c>
      <c r="G22" s="1276">
        <v>0</v>
      </c>
      <c r="H22" s="1276" t="s">
        <v>263</v>
      </c>
      <c r="I22" s="1276">
        <v>92.4</v>
      </c>
      <c r="J22" s="1276">
        <v>146.16</v>
      </c>
      <c r="K22" s="1276">
        <v>308.79000000000002</v>
      </c>
      <c r="L22" s="1276">
        <v>310.22000000000003</v>
      </c>
      <c r="M22" s="1276">
        <v>247.61</v>
      </c>
      <c r="N22" s="1276">
        <v>226.85</v>
      </c>
      <c r="Q22" s="1268"/>
      <c r="R22" s="1268"/>
      <c r="S22" s="1268"/>
      <c r="T22" s="1268"/>
      <c r="U22" s="1268"/>
    </row>
    <row r="23" spans="1:21" ht="12.75" customHeight="1" thickTop="1">
      <c r="A23" s="1266" t="s">
        <v>1037</v>
      </c>
      <c r="B23" s="944"/>
      <c r="C23" s="944"/>
      <c r="D23" s="944"/>
      <c r="E23" s="944"/>
      <c r="F23" s="944"/>
      <c r="G23" s="944"/>
      <c r="H23" s="944"/>
      <c r="I23" s="944"/>
      <c r="J23" s="944"/>
      <c r="K23" s="944"/>
      <c r="L23" s="944"/>
      <c r="M23" s="944"/>
      <c r="N23" s="944"/>
      <c r="Q23" s="1268"/>
      <c r="R23" s="1268"/>
      <c r="S23" s="1268"/>
      <c r="T23" s="1268"/>
      <c r="U23" s="1268"/>
    </row>
    <row r="24" spans="1:21" ht="12.75" customHeight="1">
      <c r="A24" s="877" t="s">
        <v>1021</v>
      </c>
      <c r="B24" s="944"/>
      <c r="C24" s="944"/>
      <c r="D24" s="944"/>
      <c r="E24" s="944"/>
      <c r="F24" s="944"/>
      <c r="G24" s="944"/>
      <c r="H24" s="944"/>
      <c r="I24" s="944"/>
      <c r="J24" s="944"/>
      <c r="K24" s="944"/>
      <c r="L24" s="944"/>
      <c r="M24" s="1277"/>
      <c r="N24" s="1277"/>
      <c r="Q24" s="1268"/>
      <c r="R24" s="1268"/>
      <c r="S24" s="1268"/>
      <c r="T24" s="1268"/>
      <c r="U24" s="1268"/>
    </row>
    <row r="25" spans="1:21" ht="12.75" customHeight="1">
      <c r="A25" s="875" t="s">
        <v>1038</v>
      </c>
      <c r="B25" s="1277">
        <v>487.71684599999998</v>
      </c>
      <c r="C25" s="1277">
        <v>666.98436000000004</v>
      </c>
      <c r="D25" s="1277">
        <v>876.86161000000004</v>
      </c>
      <c r="E25" s="1277">
        <v>850.1691800000001</v>
      </c>
      <c r="F25" s="1277">
        <v>944.9279600000001</v>
      </c>
      <c r="G25" s="1277">
        <v>960.14426600000013</v>
      </c>
      <c r="H25" s="1277">
        <v>1251.2433685892802</v>
      </c>
      <c r="I25" s="1277">
        <v>1275.5057328800001</v>
      </c>
      <c r="J25" s="1277">
        <v>1736.3943000000002</v>
      </c>
      <c r="K25" s="1277">
        <v>2501.1861400000003</v>
      </c>
      <c r="L25" s="1277">
        <v>3573.6511003999999</v>
      </c>
      <c r="M25" s="1277">
        <v>4491.2822999999999</v>
      </c>
      <c r="N25" s="1277">
        <v>5792.1491539999997</v>
      </c>
      <c r="Q25" s="1268"/>
      <c r="R25" s="1268"/>
      <c r="S25" s="1268"/>
      <c r="T25" s="1268"/>
      <c r="U25" s="1268"/>
    </row>
    <row r="26" spans="1:21" ht="12.75" customHeight="1">
      <c r="A26" s="875" t="s">
        <v>1039</v>
      </c>
      <c r="B26" s="1277">
        <v>0</v>
      </c>
      <c r="C26" s="1277">
        <v>0</v>
      </c>
      <c r="D26" s="1277">
        <v>0</v>
      </c>
      <c r="E26" s="1277">
        <v>0</v>
      </c>
      <c r="F26" s="1277">
        <v>0.9</v>
      </c>
      <c r="G26" s="1277">
        <v>4.9647915555555553</v>
      </c>
      <c r="H26" s="1277">
        <v>4.8328170000000004</v>
      </c>
      <c r="I26" s="1277">
        <v>9.8700010000000002</v>
      </c>
      <c r="J26" s="1277">
        <v>198.715418</v>
      </c>
      <c r="K26" s="1277">
        <v>402.73547000000002</v>
      </c>
      <c r="L26" s="1277">
        <v>651.40650000000005</v>
      </c>
      <c r="M26" s="1277">
        <v>782.55239999999992</v>
      </c>
      <c r="N26" s="1277">
        <v>1305.135227</v>
      </c>
      <c r="Q26" s="1268"/>
      <c r="R26" s="1268"/>
      <c r="S26" s="1268"/>
      <c r="T26" s="1268"/>
      <c r="U26" s="1268"/>
    </row>
    <row r="27" spans="1:21" ht="12.75" customHeight="1">
      <c r="A27" s="875" t="s">
        <v>1025</v>
      </c>
      <c r="B27" s="1277">
        <v>0</v>
      </c>
      <c r="C27" s="1277">
        <v>0</v>
      </c>
      <c r="D27" s="1277">
        <v>0</v>
      </c>
      <c r="E27" s="1277">
        <v>0.67</v>
      </c>
      <c r="F27" s="1277">
        <v>1.2675000000000001</v>
      </c>
      <c r="G27" s="1277">
        <v>1.82</v>
      </c>
      <c r="H27" s="1277">
        <v>2.6974999999999998</v>
      </c>
      <c r="I27" s="1277">
        <v>2.9445100000000002</v>
      </c>
      <c r="J27" s="1277">
        <v>4.0051500000000004</v>
      </c>
      <c r="K27" s="1277">
        <v>8.1750000000000007</v>
      </c>
      <c r="L27" s="1277">
        <v>10.695</v>
      </c>
      <c r="M27" s="1278">
        <v>14</v>
      </c>
      <c r="N27" s="1277">
        <v>17</v>
      </c>
      <c r="Q27" s="1268"/>
      <c r="R27" s="1268"/>
      <c r="S27" s="1268"/>
      <c r="T27" s="1268"/>
      <c r="U27" s="1268"/>
    </row>
    <row r="28" spans="1:21" ht="12.75" customHeight="1">
      <c r="A28" s="875" t="s">
        <v>1026</v>
      </c>
      <c r="B28" s="1277">
        <v>0</v>
      </c>
      <c r="C28" s="1277">
        <v>0</v>
      </c>
      <c r="D28" s="1277">
        <v>0</v>
      </c>
      <c r="E28" s="1277">
        <v>0</v>
      </c>
      <c r="F28" s="1277">
        <v>0</v>
      </c>
      <c r="G28" s="1277">
        <v>0</v>
      </c>
      <c r="H28" s="1277">
        <v>0</v>
      </c>
      <c r="I28" s="1277">
        <v>0</v>
      </c>
      <c r="J28" s="1277"/>
      <c r="K28" s="1277"/>
      <c r="L28" s="1277"/>
      <c r="M28" s="1277"/>
      <c r="N28" s="1277"/>
      <c r="Q28" s="1268"/>
      <c r="R28" s="1268"/>
      <c r="S28" s="1268"/>
      <c r="T28" s="1268"/>
      <c r="U28" s="1268"/>
    </row>
    <row r="29" spans="1:21" ht="12.75" customHeight="1">
      <c r="A29" s="875" t="s">
        <v>1027</v>
      </c>
      <c r="B29" s="1277">
        <v>117.58199999999999</v>
      </c>
      <c r="C29" s="1277">
        <v>163.55699999999999</v>
      </c>
      <c r="D29" s="1277">
        <v>206.38200000000001</v>
      </c>
      <c r="E29" s="1277">
        <v>207.33335215</v>
      </c>
      <c r="F29" s="1277">
        <v>214.21281829999998</v>
      </c>
      <c r="G29" s="1277">
        <v>210.22937319999997</v>
      </c>
      <c r="H29" s="1277">
        <v>203.50029053028399</v>
      </c>
      <c r="I29" s="1277">
        <v>150.0966</v>
      </c>
      <c r="J29" s="1277">
        <v>282.65436459000034</v>
      </c>
      <c r="K29" s="1277">
        <v>443.83478604000004</v>
      </c>
      <c r="L29" s="1277">
        <v>477.56794000000002</v>
      </c>
      <c r="M29" s="1277">
        <v>534.39980100000002</v>
      </c>
      <c r="N29" s="1277">
        <v>567.8575237</v>
      </c>
      <c r="Q29" s="1268"/>
      <c r="R29" s="1268"/>
      <c r="S29" s="1268"/>
      <c r="T29" s="1268"/>
      <c r="U29" s="1268"/>
    </row>
    <row r="30" spans="1:21" ht="12.75" customHeight="1">
      <c r="A30" s="875" t="s">
        <v>1040</v>
      </c>
      <c r="B30" s="1277">
        <v>3274.6280000000002</v>
      </c>
      <c r="C30" s="1277">
        <v>4005.11</v>
      </c>
      <c r="D30" s="1277">
        <v>4910.87</v>
      </c>
      <c r="E30" s="1277">
        <v>5128.4399999999996</v>
      </c>
      <c r="F30" s="1277">
        <v>4871.04</v>
      </c>
      <c r="G30" s="1277">
        <v>3845.48</v>
      </c>
      <c r="H30" s="1277">
        <v>4584.42</v>
      </c>
      <c r="I30" s="1277">
        <v>2987.4119999999998</v>
      </c>
      <c r="J30" s="1277">
        <v>4561.3004884000002</v>
      </c>
      <c r="K30" s="1277">
        <v>4477.6480000000001</v>
      </c>
      <c r="L30" s="1277">
        <v>4115.4997999999996</v>
      </c>
      <c r="M30" s="1277">
        <v>4553.9933000000001</v>
      </c>
      <c r="N30" s="1277">
        <v>4599.9343830000007</v>
      </c>
      <c r="Q30" s="1268"/>
      <c r="R30" s="1268"/>
      <c r="S30" s="1268"/>
      <c r="T30" s="1268"/>
      <c r="U30" s="1268"/>
    </row>
    <row r="31" spans="1:21" ht="12.75" customHeight="1">
      <c r="A31" s="875" t="s">
        <v>1029</v>
      </c>
      <c r="B31" s="1277">
        <v>0</v>
      </c>
      <c r="C31" s="1277">
        <v>0</v>
      </c>
      <c r="D31" s="1277">
        <v>0</v>
      </c>
      <c r="E31" s="1277">
        <v>0</v>
      </c>
      <c r="F31" s="1277">
        <v>0</v>
      </c>
      <c r="G31" s="1277">
        <v>0</v>
      </c>
      <c r="H31" s="1277">
        <v>0</v>
      </c>
      <c r="I31" s="1277">
        <v>0</v>
      </c>
      <c r="J31" s="1277"/>
      <c r="K31" s="1277"/>
      <c r="L31" s="1277"/>
      <c r="M31" s="1277"/>
      <c r="N31" s="1277"/>
      <c r="Q31" s="1268"/>
      <c r="R31" s="1268"/>
      <c r="S31" s="1268"/>
      <c r="T31" s="1268"/>
      <c r="U31" s="1268"/>
    </row>
    <row r="32" spans="1:21" ht="12.75" customHeight="1">
      <c r="A32" s="875" t="s">
        <v>1041</v>
      </c>
      <c r="B32" s="1277">
        <v>707.54</v>
      </c>
      <c r="C32" s="1277">
        <v>917.91</v>
      </c>
      <c r="D32" s="1277">
        <v>1185.3699999999999</v>
      </c>
      <c r="E32" s="1277">
        <v>1702.6</v>
      </c>
      <c r="F32" s="1277">
        <v>2187.8200000000002</v>
      </c>
      <c r="G32" s="1277">
        <v>2507.0201889999998</v>
      </c>
      <c r="H32" s="1277">
        <v>2678.6277871919901</v>
      </c>
      <c r="I32" s="1277">
        <v>3276.2083575622087</v>
      </c>
      <c r="J32" s="1277">
        <v>4003.7444999999998</v>
      </c>
      <c r="K32" s="1277">
        <v>4290.48488</v>
      </c>
      <c r="L32" s="1277">
        <v>4424.4705496999995</v>
      </c>
      <c r="M32" s="1277">
        <v>4676.8110999999999</v>
      </c>
      <c r="N32" s="1277">
        <v>4757.2761</v>
      </c>
      <c r="Q32" s="1268"/>
      <c r="R32" s="1268"/>
      <c r="S32" s="1268"/>
      <c r="T32" s="1268"/>
      <c r="U32" s="1268"/>
    </row>
    <row r="33" spans="1:21" ht="12.75" customHeight="1">
      <c r="A33" s="875" t="s">
        <v>1042</v>
      </c>
      <c r="B33" s="1277">
        <v>410.4</v>
      </c>
      <c r="C33" s="1277">
        <v>407.7</v>
      </c>
      <c r="D33" s="1277">
        <v>385.59205000000003</v>
      </c>
      <c r="E33" s="1277">
        <v>410.4</v>
      </c>
      <c r="F33" s="1277">
        <v>367.1</v>
      </c>
      <c r="G33" s="1277">
        <v>362.9</v>
      </c>
      <c r="H33" s="1277">
        <v>367.56000399999999</v>
      </c>
      <c r="I33" s="1277">
        <v>394.27249999999998</v>
      </c>
      <c r="J33" s="1277">
        <v>440.00780000000003</v>
      </c>
      <c r="K33" s="1277">
        <v>470.39760000000007</v>
      </c>
      <c r="L33" s="1277">
        <v>455.58249999999998</v>
      </c>
      <c r="M33" s="1278">
        <v>495.59629999999993</v>
      </c>
      <c r="N33" s="1277">
        <v>564.45780000000002</v>
      </c>
      <c r="Q33" s="1268"/>
      <c r="R33" s="1268"/>
      <c r="S33" s="1268"/>
      <c r="T33" s="1268"/>
      <c r="U33" s="1268"/>
    </row>
    <row r="34" spans="1:21" ht="12.75" customHeight="1">
      <c r="A34" s="875" t="s">
        <v>1043</v>
      </c>
      <c r="B34" s="1277">
        <v>489.43314000000004</v>
      </c>
      <c r="C34" s="1277">
        <v>585.48797999999999</v>
      </c>
      <c r="D34" s="1277">
        <v>848.9502</v>
      </c>
      <c r="E34" s="1277">
        <v>856.40057999999999</v>
      </c>
      <c r="F34" s="1277">
        <v>839.77620300000001</v>
      </c>
      <c r="G34" s="1277">
        <v>879.7030625000001</v>
      </c>
      <c r="H34" s="1277">
        <v>907.2907567499999</v>
      </c>
      <c r="I34" s="1277">
        <v>964.95762500000001</v>
      </c>
      <c r="J34" s="1277">
        <v>971.07287500000007</v>
      </c>
      <c r="K34" s="1277">
        <v>963.83166875000018</v>
      </c>
      <c r="L34" s="1277">
        <v>1083.0907118749999</v>
      </c>
      <c r="M34" s="1277">
        <v>1177.439083125</v>
      </c>
      <c r="N34" s="1277">
        <v>1225.8643996888752</v>
      </c>
      <c r="Q34" s="1268"/>
      <c r="R34" s="1268"/>
      <c r="S34" s="1268"/>
      <c r="T34" s="1268"/>
      <c r="U34" s="1268"/>
    </row>
    <row r="35" spans="1:21" ht="12.75" customHeight="1">
      <c r="A35" s="875" t="s">
        <v>1044</v>
      </c>
      <c r="B35" s="1277">
        <v>0</v>
      </c>
      <c r="C35" s="1277">
        <v>0</v>
      </c>
      <c r="D35" s="1277">
        <v>0</v>
      </c>
      <c r="E35" s="1277">
        <v>0</v>
      </c>
      <c r="F35" s="1277">
        <v>0</v>
      </c>
      <c r="G35" s="1277">
        <v>0</v>
      </c>
      <c r="H35" s="1277">
        <v>286.49</v>
      </c>
      <c r="I35" s="1277">
        <v>601.69899999999996</v>
      </c>
      <c r="J35" s="1277">
        <v>1021.568</v>
      </c>
      <c r="K35" s="1277">
        <v>2532.6917000000003</v>
      </c>
      <c r="L35" s="1277">
        <v>2527.5057349999997</v>
      </c>
      <c r="M35" s="1277">
        <v>1955.5196000000001</v>
      </c>
      <c r="N35" s="1277">
        <v>1612.753334</v>
      </c>
      <c r="Q35" s="1268"/>
      <c r="R35" s="1268"/>
      <c r="S35" s="1268"/>
      <c r="T35" s="1268"/>
      <c r="U35" s="1268"/>
    </row>
    <row r="36" spans="1:21" ht="12.75" customHeight="1">
      <c r="A36" s="1270" t="s">
        <v>1045</v>
      </c>
      <c r="B36" s="1277">
        <v>197.201188</v>
      </c>
      <c r="C36" s="1277">
        <v>198.64062899999999</v>
      </c>
      <c r="D36" s="1277">
        <v>234.1</v>
      </c>
      <c r="E36" s="1277">
        <v>458.96</v>
      </c>
      <c r="F36" s="1277">
        <v>455.70087000000001</v>
      </c>
      <c r="G36" s="1277">
        <v>542.10099000000002</v>
      </c>
      <c r="H36" s="1277">
        <v>568.24279200000001</v>
      </c>
      <c r="I36" s="1277">
        <v>534.61739999999998</v>
      </c>
      <c r="J36" s="1277">
        <v>565.22840000000008</v>
      </c>
      <c r="K36" s="1277">
        <v>467.67696000000001</v>
      </c>
      <c r="L36" s="1277">
        <v>434.15731</v>
      </c>
      <c r="M36" s="1277">
        <v>555.30909999999994</v>
      </c>
      <c r="N36" s="1277">
        <v>587.08116359999997</v>
      </c>
      <c r="Q36" s="1268"/>
      <c r="R36" s="1268"/>
      <c r="S36" s="1268"/>
      <c r="T36" s="1268"/>
      <c r="U36" s="1268"/>
    </row>
    <row r="37" spans="1:21" ht="12.75" customHeight="1">
      <c r="A37" s="924" t="s">
        <v>1046</v>
      </c>
      <c r="B37" s="1277">
        <v>0</v>
      </c>
      <c r="C37" s="1277">
        <v>4.7548050000000001E-2</v>
      </c>
      <c r="D37" s="1277">
        <v>0.22963489999999998</v>
      </c>
      <c r="E37" s="1277">
        <v>0.75614879999999995</v>
      </c>
      <c r="F37" s="1277">
        <v>31.425058150000002</v>
      </c>
      <c r="G37" s="1277">
        <v>234.31389999999999</v>
      </c>
      <c r="H37" s="1277">
        <v>271.91425500000003</v>
      </c>
      <c r="I37" s="1277">
        <v>401.959</v>
      </c>
      <c r="J37" s="1277">
        <v>362.25628</v>
      </c>
      <c r="K37" s="1277">
        <v>381.70819219999998</v>
      </c>
      <c r="L37" s="1277">
        <v>362.76100000000002</v>
      </c>
      <c r="M37" s="1277">
        <v>408.980549</v>
      </c>
      <c r="N37" s="1277">
        <v>567.94512100000009</v>
      </c>
      <c r="Q37" s="1268"/>
      <c r="R37" s="1268"/>
      <c r="S37" s="1268"/>
      <c r="T37" s="1268"/>
      <c r="U37" s="1268"/>
    </row>
    <row r="38" spans="1:21" ht="12.75" customHeight="1" thickBot="1">
      <c r="A38" s="1279" t="s">
        <v>1047</v>
      </c>
      <c r="B38" s="1280">
        <v>1804.5743280000002</v>
      </c>
      <c r="C38" s="1280">
        <v>2109.7861570499999</v>
      </c>
      <c r="D38" s="1280">
        <v>2654.2418848999996</v>
      </c>
      <c r="E38" s="1280">
        <v>3429.1167288000001</v>
      </c>
      <c r="F38" s="1280">
        <v>3881.8221311500001</v>
      </c>
      <c r="G38" s="1280">
        <v>4526.0381415000002</v>
      </c>
      <c r="H38" s="1280">
        <v>5080.1255949419892</v>
      </c>
      <c r="I38" s="1280">
        <v>6173.7138825622087</v>
      </c>
      <c r="J38" s="1280">
        <v>7363.8778549999997</v>
      </c>
      <c r="K38" s="1280">
        <v>9106.791000950001</v>
      </c>
      <c r="L38" s="1280">
        <v>9287.5678065749998</v>
      </c>
      <c r="M38" s="1281">
        <v>9269.6557321250002</v>
      </c>
      <c r="N38" s="1280">
        <v>9315.3779182888757</v>
      </c>
      <c r="Q38" s="1268"/>
      <c r="R38" s="1268"/>
      <c r="S38" s="1268"/>
      <c r="T38" s="1268"/>
      <c r="U38" s="1268"/>
    </row>
    <row r="39" spans="1:21" ht="12.75" customHeight="1" thickTop="1" thickBot="1">
      <c r="A39" s="1272" t="s">
        <v>1048</v>
      </c>
      <c r="B39" s="1282">
        <v>5684.501174</v>
      </c>
      <c r="C39" s="1282">
        <v>6945.4375170499998</v>
      </c>
      <c r="D39" s="1282">
        <v>8648.3554949000008</v>
      </c>
      <c r="E39" s="1282">
        <v>9615.7292609499964</v>
      </c>
      <c r="F39" s="1282">
        <v>9914.1704094500001</v>
      </c>
      <c r="G39" s="1282">
        <v>9548.6765722555556</v>
      </c>
      <c r="H39" s="1282">
        <v>11126.819571061555</v>
      </c>
      <c r="I39" s="1282">
        <v>10599.542726442209</v>
      </c>
      <c r="J39" s="1282">
        <v>14146.947575989998</v>
      </c>
      <c r="K39" s="1282">
        <v>16940.370396990002</v>
      </c>
      <c r="L39" s="1282">
        <v>18116.388146974994</v>
      </c>
      <c r="M39" s="1283">
        <v>19645.883533124997</v>
      </c>
      <c r="N39" s="1282">
        <v>21597.454205988877</v>
      </c>
      <c r="Q39" s="1268"/>
      <c r="R39" s="1268"/>
      <c r="S39" s="1268"/>
      <c r="T39" s="1268"/>
      <c r="U39" s="1268"/>
    </row>
    <row r="40" spans="1:21" ht="12.75" customHeight="1" thickTop="1" thickBot="1">
      <c r="A40" s="1275" t="s">
        <v>1049</v>
      </c>
      <c r="B40" s="1284">
        <v>416.69885999999997</v>
      </c>
      <c r="C40" s="1284">
        <v>482.90372000000002</v>
      </c>
      <c r="D40" s="1284">
        <v>582.93799999999999</v>
      </c>
      <c r="E40" s="1284">
        <v>558.71442000000002</v>
      </c>
      <c r="F40" s="1284">
        <v>519.26889700000004</v>
      </c>
      <c r="G40" s="1284">
        <v>528.2118375</v>
      </c>
      <c r="H40" s="1284">
        <v>544.76445404999993</v>
      </c>
      <c r="I40" s="1284">
        <v>579.06507499999998</v>
      </c>
      <c r="J40" s="1284">
        <v>582.73422500000015</v>
      </c>
      <c r="K40" s="1284">
        <v>578.38950125000008</v>
      </c>
      <c r="L40" s="1284">
        <v>650.62942712500001</v>
      </c>
      <c r="M40" s="1284">
        <v>707.2384498749999</v>
      </c>
      <c r="N40" s="1284">
        <v>736.29363981332506</v>
      </c>
      <c r="Q40" s="1268"/>
      <c r="R40" s="1268"/>
      <c r="S40" s="1268"/>
      <c r="T40" s="1268"/>
      <c r="U40" s="1268"/>
    </row>
    <row r="41" spans="1:21" ht="12.75" customHeight="1" thickTop="1">
      <c r="A41" s="977" t="s">
        <v>1050</v>
      </c>
      <c r="B41" s="1285"/>
      <c r="C41" s="1286"/>
      <c r="D41" s="1287"/>
      <c r="E41" s="1287"/>
      <c r="F41" s="1287"/>
      <c r="G41" s="1287"/>
      <c r="H41" s="1287"/>
      <c r="I41" s="1287"/>
      <c r="J41" s="1287"/>
      <c r="K41" s="1287"/>
      <c r="L41" s="1287"/>
      <c r="M41" s="1287"/>
      <c r="N41" s="1287"/>
      <c r="Q41" s="1268"/>
      <c r="R41" s="1268"/>
      <c r="S41" s="1268"/>
      <c r="T41" s="1268"/>
      <c r="U41" s="1268"/>
    </row>
    <row r="42" spans="1:21" ht="12.75" customHeight="1">
      <c r="A42" s="875" t="s">
        <v>1051</v>
      </c>
      <c r="B42" s="1267">
        <v>25.4</v>
      </c>
      <c r="C42" s="1267">
        <v>27.223740977965178</v>
      </c>
      <c r="D42" s="1267">
        <v>30.657808315396558</v>
      </c>
      <c r="E42" s="1267">
        <v>28.199873968330479</v>
      </c>
      <c r="F42" s="1267">
        <v>28.201649346250857</v>
      </c>
      <c r="G42" s="1267">
        <v>26.365319276710473</v>
      </c>
      <c r="H42" s="1267">
        <v>29.94201788951737</v>
      </c>
      <c r="I42" s="1267">
        <v>24.086681743462488</v>
      </c>
      <c r="J42" s="1267">
        <v>26.646984961477486</v>
      </c>
      <c r="K42" s="1267">
        <v>26.430511715802417</v>
      </c>
      <c r="L42" s="1267">
        <v>27.179380983159383</v>
      </c>
      <c r="M42" s="1267">
        <v>27.460686620946454</v>
      </c>
      <c r="N42" s="1267">
        <v>26.968125907719223</v>
      </c>
      <c r="Q42" s="1268"/>
      <c r="R42" s="1268"/>
      <c r="S42" s="1268"/>
      <c r="T42" s="1268"/>
      <c r="U42" s="1268"/>
    </row>
    <row r="43" spans="1:21" ht="12.75" customHeight="1">
      <c r="A43" s="875" t="s">
        <v>1052</v>
      </c>
      <c r="B43" s="1267" t="s">
        <v>263</v>
      </c>
      <c r="C43" s="1267" t="s">
        <v>263</v>
      </c>
      <c r="D43" s="1267" t="s">
        <v>263</v>
      </c>
      <c r="E43" s="1267" t="s">
        <v>263</v>
      </c>
      <c r="F43" s="1267" t="s">
        <v>263</v>
      </c>
      <c r="G43" s="1267" t="s">
        <v>1053</v>
      </c>
      <c r="H43" s="1267" t="s">
        <v>1053</v>
      </c>
      <c r="I43" s="1267" t="s">
        <v>1053</v>
      </c>
      <c r="J43" s="1267">
        <v>24.183804315019813</v>
      </c>
      <c r="K43" s="1267">
        <v>27.236000427405912</v>
      </c>
      <c r="L43" s="1267">
        <v>28.733181067519215</v>
      </c>
      <c r="M43" s="1267">
        <v>25.61137206233505</v>
      </c>
      <c r="N43" s="1267">
        <v>30.411928885868988</v>
      </c>
      <c r="Q43" s="1268"/>
      <c r="R43" s="1268"/>
      <c r="S43" s="1268"/>
      <c r="T43" s="1268"/>
      <c r="U43" s="1268"/>
    </row>
    <row r="44" spans="1:21" ht="12.75" customHeight="1">
      <c r="A44" s="1270" t="s">
        <v>1054</v>
      </c>
      <c r="B44" s="1288">
        <v>25.3</v>
      </c>
      <c r="C44" s="1288">
        <v>30.001845718939297</v>
      </c>
      <c r="D44" s="1288">
        <v>36.792797466304926</v>
      </c>
      <c r="E44" s="1288">
        <v>38.383698942964955</v>
      </c>
      <c r="F44" s="1288">
        <v>36.369852774145137</v>
      </c>
      <c r="G44" s="1288">
        <v>28.656422316556238</v>
      </c>
      <c r="H44" s="1288">
        <v>34.035502949747439</v>
      </c>
      <c r="I44" s="1288">
        <v>23.351781242047764</v>
      </c>
      <c r="J44" s="1288">
        <v>37.070862241088442</v>
      </c>
      <c r="K44" s="1288">
        <v>37.455904896303551</v>
      </c>
      <c r="L44" s="1289">
        <v>34.771330343106619</v>
      </c>
      <c r="M44" s="1288">
        <v>38.219289366241576</v>
      </c>
      <c r="N44" s="1288">
        <v>37.400367514948975</v>
      </c>
      <c r="Q44" s="1268"/>
      <c r="R44" s="1268"/>
      <c r="S44" s="1268"/>
      <c r="T44" s="1268"/>
      <c r="U44" s="1268"/>
    </row>
    <row r="45" spans="1:21" ht="12.75" customHeight="1" thickBot="1">
      <c r="A45" s="1290" t="s">
        <v>1055</v>
      </c>
      <c r="B45" s="1291">
        <v>62.6</v>
      </c>
      <c r="C45" s="1291">
        <v>63.680923466563904</v>
      </c>
      <c r="D45" s="1291">
        <v>65.709327864854643</v>
      </c>
      <c r="E45" s="1291">
        <v>64.152171877084243</v>
      </c>
      <c r="F45" s="1291">
        <v>59.355470325311636</v>
      </c>
      <c r="G45" s="1291">
        <v>61.138804700938501</v>
      </c>
      <c r="H45" s="1291">
        <v>61.214011445904148</v>
      </c>
      <c r="I45" s="1291">
        <v>62.610276554490248</v>
      </c>
      <c r="J45" s="1292">
        <v>62.008638211990487</v>
      </c>
      <c r="K45" s="1292">
        <v>58.546771640664602</v>
      </c>
      <c r="L45" s="1292">
        <v>56.237959616003586</v>
      </c>
      <c r="M45" s="1292">
        <v>56.676363376377907</v>
      </c>
      <c r="N45" s="1291">
        <v>56.253730897721681</v>
      </c>
      <c r="Q45" s="1268"/>
      <c r="R45" s="1268"/>
      <c r="S45" s="1268"/>
      <c r="T45" s="1268"/>
      <c r="U45" s="1268"/>
    </row>
    <row r="46" spans="1:21" ht="12.75" customHeight="1" thickTop="1" thickBot="1">
      <c r="A46" s="1293" t="s">
        <v>1056</v>
      </c>
      <c r="B46" s="1291">
        <v>32.299999999999997</v>
      </c>
      <c r="C46" s="1291">
        <v>36.376845938319747</v>
      </c>
      <c r="D46" s="1291">
        <v>42.539400213047649</v>
      </c>
      <c r="E46" s="1291">
        <v>43.968838200478075</v>
      </c>
      <c r="F46" s="1291">
        <v>42.104772829371299</v>
      </c>
      <c r="G46" s="1291">
        <v>38.579848856994452</v>
      </c>
      <c r="H46" s="1291">
        <v>42.112412883430672</v>
      </c>
      <c r="I46" s="1291">
        <v>36.597553190967055</v>
      </c>
      <c r="J46" s="1292">
        <v>43.32661011460717</v>
      </c>
      <c r="K46" s="1292">
        <v>41.186431985939116</v>
      </c>
      <c r="L46" s="1291">
        <v>38.742255232722222</v>
      </c>
      <c r="M46" s="1292">
        <v>39.124235564981085</v>
      </c>
      <c r="N46" s="1291">
        <v>37.832394816557702</v>
      </c>
      <c r="Q46" s="1268"/>
      <c r="R46" s="1268"/>
      <c r="S46" s="1268"/>
      <c r="T46" s="1268"/>
      <c r="U46" s="1268"/>
    </row>
    <row r="47" spans="1:21" ht="12.75" customHeight="1" thickTop="1">
      <c r="A47" s="1294" t="s">
        <v>1057</v>
      </c>
      <c r="B47" s="1270"/>
      <c r="C47" s="1288"/>
      <c r="D47" s="1287"/>
      <c r="E47" s="1287"/>
      <c r="F47" s="1287"/>
      <c r="G47" s="1295"/>
      <c r="H47" s="1295"/>
      <c r="I47" s="1295"/>
      <c r="J47" s="1295"/>
      <c r="K47" s="1295"/>
      <c r="L47" s="1295"/>
      <c r="M47" s="1295"/>
      <c r="N47" s="1295"/>
      <c r="Q47" s="1268"/>
      <c r="R47" s="1268"/>
      <c r="S47" s="1268"/>
      <c r="T47" s="1268"/>
      <c r="U47" s="1268"/>
    </row>
    <row r="48" spans="1:21" ht="12.75" customHeight="1">
      <c r="A48" s="1270" t="s">
        <v>1051</v>
      </c>
      <c r="B48" s="1288" t="s">
        <v>263</v>
      </c>
      <c r="C48" s="1288" t="s">
        <v>263</v>
      </c>
      <c r="D48" s="1288">
        <v>30.88</v>
      </c>
      <c r="E48" s="1288">
        <v>30.51</v>
      </c>
      <c r="F48" s="1288">
        <v>29.06</v>
      </c>
      <c r="G48" s="1288">
        <v>25.57</v>
      </c>
      <c r="H48" s="1288">
        <v>28.36</v>
      </c>
      <c r="I48" s="1288">
        <v>26.15</v>
      </c>
      <c r="J48" s="1288">
        <v>29.15</v>
      </c>
      <c r="K48" s="1288">
        <v>28.13</v>
      </c>
      <c r="L48" s="1288">
        <v>26.7</v>
      </c>
      <c r="M48" s="1288">
        <v>27.3</v>
      </c>
      <c r="N48" s="1288">
        <v>29.427929432093858</v>
      </c>
      <c r="Q48" s="1268"/>
      <c r="R48" s="1268"/>
      <c r="S48" s="1268"/>
      <c r="T48" s="1268"/>
      <c r="U48" s="1268"/>
    </row>
    <row r="49" spans="1:21" ht="12.75" customHeight="1" thickBot="1">
      <c r="A49" s="1290" t="s">
        <v>1058</v>
      </c>
      <c r="B49" s="1291" t="s">
        <v>263</v>
      </c>
      <c r="C49" s="1291" t="s">
        <v>263</v>
      </c>
      <c r="D49" s="1291" t="s">
        <v>263</v>
      </c>
      <c r="E49" s="1291" t="s">
        <v>263</v>
      </c>
      <c r="F49" s="1291" t="s">
        <v>263</v>
      </c>
      <c r="G49" s="1291" t="s">
        <v>263</v>
      </c>
      <c r="H49" s="1291" t="s">
        <v>263</v>
      </c>
      <c r="I49" s="1291" t="s">
        <v>1053</v>
      </c>
      <c r="J49" s="1291" t="s">
        <v>1053</v>
      </c>
      <c r="K49" s="1291" t="s">
        <v>1053</v>
      </c>
      <c r="L49" s="1296">
        <v>27.5</v>
      </c>
      <c r="M49" s="1297">
        <v>28.3</v>
      </c>
      <c r="N49" s="1297">
        <v>34.910519845451354</v>
      </c>
      <c r="Q49" s="1268"/>
      <c r="R49" s="1268"/>
      <c r="S49" s="1268"/>
      <c r="T49" s="1268"/>
      <c r="U49" s="1268"/>
    </row>
    <row r="50" spans="1:21" ht="6.75" customHeight="1" thickTop="1">
      <c r="A50" s="958"/>
      <c r="B50" s="958"/>
      <c r="C50" s="958"/>
      <c r="D50" s="958"/>
      <c r="E50" s="958"/>
      <c r="F50" s="958"/>
      <c r="G50" s="958"/>
      <c r="Q50" s="1268"/>
      <c r="R50" s="1268"/>
      <c r="S50" s="1268"/>
      <c r="T50" s="1268"/>
      <c r="U50" s="1268"/>
    </row>
    <row r="51" spans="1:21" s="872" customFormat="1" ht="10.5" customHeight="1">
      <c r="A51" s="949" t="s">
        <v>1059</v>
      </c>
      <c r="B51" s="1298"/>
      <c r="C51" s="1298"/>
      <c r="D51" s="1298"/>
      <c r="E51" s="1298"/>
      <c r="F51" s="1298"/>
      <c r="G51" s="1299"/>
    </row>
    <row r="52" spans="1:21" s="872" customFormat="1" ht="10.5" customHeight="1">
      <c r="A52" s="949" t="s">
        <v>1060</v>
      </c>
      <c r="B52" s="1298"/>
      <c r="C52" s="1298"/>
      <c r="D52" s="1298"/>
      <c r="E52" s="1298"/>
      <c r="F52" s="1298"/>
      <c r="G52" s="1299"/>
    </row>
    <row r="53" spans="1:21" s="872" customFormat="1" ht="10.5" customHeight="1">
      <c r="A53" s="949" t="s">
        <v>1061</v>
      </c>
      <c r="B53" s="875"/>
      <c r="C53" s="875"/>
      <c r="D53" s="875"/>
      <c r="E53" s="875"/>
      <c r="F53" s="875"/>
      <c r="G53" s="958"/>
      <c r="H53" s="952"/>
      <c r="I53" s="952"/>
      <c r="J53" s="952"/>
      <c r="K53" s="952"/>
    </row>
    <row r="54" spans="1:21" s="872" customFormat="1" ht="10.5" customHeight="1">
      <c r="A54" s="949" t="s">
        <v>1062</v>
      </c>
      <c r="B54" s="875"/>
      <c r="C54" s="875"/>
      <c r="D54" s="875"/>
      <c r="E54" s="875"/>
      <c r="F54" s="875"/>
      <c r="G54" s="958"/>
      <c r="H54" s="952"/>
      <c r="I54" s="952"/>
      <c r="J54" s="952"/>
      <c r="K54" s="952"/>
    </row>
    <row r="55" spans="1:21" s="872" customFormat="1" ht="10.5" customHeight="1">
      <c r="A55" s="949" t="s">
        <v>1063</v>
      </c>
      <c r="B55" s="875"/>
      <c r="C55" s="875"/>
      <c r="D55" s="875"/>
      <c r="E55" s="875"/>
      <c r="F55" s="875"/>
      <c r="G55" s="958"/>
      <c r="H55" s="952"/>
      <c r="I55" s="952"/>
      <c r="J55" s="952"/>
      <c r="K55" s="952"/>
      <c r="L55" s="952"/>
    </row>
    <row r="56" spans="1:21" s="872" customFormat="1" ht="10.5" customHeight="1">
      <c r="A56" s="949" t="s">
        <v>1064</v>
      </c>
      <c r="B56" s="1298"/>
      <c r="C56" s="1298"/>
      <c r="D56" s="1298"/>
      <c r="E56" s="1298"/>
      <c r="F56" s="1298"/>
      <c r="G56" s="1299"/>
    </row>
    <row r="57" spans="1:21" s="872" customFormat="1" ht="10.5" customHeight="1">
      <c r="A57" s="949" t="s">
        <v>1065</v>
      </c>
      <c r="B57" s="1298"/>
      <c r="C57" s="1298"/>
      <c r="D57" s="1298"/>
      <c r="E57" s="1298"/>
      <c r="F57" s="1298"/>
      <c r="G57" s="1299"/>
    </row>
    <row r="58" spans="1:21" s="872" customFormat="1" ht="10.5" customHeight="1">
      <c r="A58" s="949" t="s">
        <v>1066</v>
      </c>
      <c r="B58" s="1298"/>
      <c r="C58" s="1298"/>
      <c r="D58" s="1298"/>
      <c r="E58" s="1298"/>
      <c r="F58" s="1298"/>
      <c r="G58" s="1299"/>
    </row>
    <row r="59" spans="1:21" s="872" customFormat="1" ht="10.5" customHeight="1">
      <c r="A59" s="949" t="s">
        <v>1067</v>
      </c>
      <c r="B59" s="1298"/>
      <c r="C59" s="1298"/>
      <c r="D59" s="1298"/>
      <c r="E59" s="1298"/>
      <c r="F59" s="1298"/>
      <c r="G59" s="1299"/>
    </row>
    <row r="60" spans="1:21" s="872" customFormat="1" ht="10.5" customHeight="1">
      <c r="A60" s="949" t="s">
        <v>1068</v>
      </c>
      <c r="B60" s="1298"/>
      <c r="C60" s="1298"/>
      <c r="D60" s="1298"/>
      <c r="E60" s="1298"/>
      <c r="F60" s="1298"/>
    </row>
    <row r="61" spans="1:21" s="872" customFormat="1" ht="10.5" customHeight="1">
      <c r="A61" s="949" t="s">
        <v>1069</v>
      </c>
      <c r="B61" s="1298"/>
      <c r="C61" s="1298"/>
      <c r="D61" s="1298"/>
      <c r="E61" s="1298"/>
      <c r="F61" s="1298"/>
    </row>
    <row r="62" spans="1:21" s="872" customFormat="1" ht="10.5" customHeight="1">
      <c r="A62" s="949" t="s">
        <v>1070</v>
      </c>
    </row>
    <row r="63" spans="1:21" s="872" customFormat="1" ht="10.5" customHeight="1">
      <c r="A63" s="949" t="s">
        <v>1071</v>
      </c>
    </row>
    <row r="64" spans="1:21" s="872" customFormat="1" ht="10.5" customHeight="1">
      <c r="A64" s="949" t="s">
        <v>1072</v>
      </c>
    </row>
    <row r="65" spans="1:11" s="872" customFormat="1" ht="10.5" customHeight="1">
      <c r="A65" s="949" t="s">
        <v>1073</v>
      </c>
    </row>
    <row r="66" spans="1:11" s="872" customFormat="1" ht="10.5" customHeight="1">
      <c r="A66" s="949" t="s">
        <v>1074</v>
      </c>
    </row>
    <row r="67" spans="1:11" s="872" customFormat="1" ht="10.5" customHeight="1">
      <c r="A67" s="949" t="s">
        <v>1075</v>
      </c>
    </row>
    <row r="68" spans="1:11" ht="10.5" customHeight="1"/>
    <row r="69" spans="1:11">
      <c r="A69" s="1300"/>
    </row>
    <row r="70" spans="1:11">
      <c r="A70" s="955"/>
      <c r="B70" s="955"/>
      <c r="C70" s="955"/>
      <c r="D70" s="955"/>
      <c r="E70" s="955"/>
      <c r="F70" s="955"/>
      <c r="G70" s="955"/>
      <c r="H70" s="955"/>
      <c r="I70" s="955"/>
      <c r="J70" s="1301"/>
      <c r="K70" s="955"/>
    </row>
    <row r="71" spans="1:11">
      <c r="A71" s="1270"/>
      <c r="B71" s="955"/>
      <c r="C71" s="955"/>
      <c r="D71" s="955"/>
      <c r="E71" s="955"/>
      <c r="F71" s="955"/>
      <c r="G71" s="955"/>
      <c r="H71" s="955"/>
      <c r="I71" s="955"/>
      <c r="J71" s="1301"/>
      <c r="K71" s="955"/>
    </row>
    <row r="72" spans="1:11">
      <c r="A72" s="1270"/>
      <c r="B72" s="1302"/>
      <c r="C72" s="1302"/>
      <c r="D72" s="1302"/>
      <c r="E72" s="1302"/>
      <c r="F72" s="1302"/>
      <c r="G72" s="1302"/>
      <c r="H72" s="1302"/>
      <c r="I72" s="1302"/>
      <c r="J72" s="1303"/>
      <c r="K72" s="955"/>
    </row>
    <row r="73" spans="1:11">
      <c r="A73" s="1270"/>
      <c r="B73" s="1304"/>
      <c r="C73" s="1304"/>
      <c r="D73" s="1304"/>
      <c r="E73" s="1304"/>
      <c r="F73" s="1304"/>
      <c r="G73" s="1304"/>
      <c r="H73" s="1304"/>
      <c r="I73" s="1304"/>
      <c r="J73" s="1305"/>
      <c r="K73" s="955"/>
    </row>
    <row r="74" spans="1:11">
      <c r="A74" s="1270"/>
      <c r="B74" s="1304"/>
      <c r="C74" s="1304"/>
      <c r="D74" s="1304"/>
      <c r="E74" s="1304"/>
      <c r="F74" s="1304"/>
      <c r="G74" s="1304"/>
      <c r="H74" s="1304"/>
      <c r="I74" s="1304"/>
      <c r="J74" s="1305"/>
      <c r="K74" s="955"/>
    </row>
    <row r="75" spans="1:11">
      <c r="A75" s="1270"/>
      <c r="B75" s="1304"/>
      <c r="C75" s="1304"/>
      <c r="D75" s="1304"/>
      <c r="E75" s="1304"/>
      <c r="F75" s="1304"/>
      <c r="G75" s="1304"/>
      <c r="H75" s="1304"/>
      <c r="I75" s="1304"/>
      <c r="J75" s="1305"/>
      <c r="K75" s="955"/>
    </row>
    <row r="76" spans="1:11">
      <c r="A76" s="955"/>
      <c r="B76" s="955"/>
      <c r="C76" s="955"/>
      <c r="D76" s="955"/>
      <c r="E76" s="955"/>
      <c r="F76" s="955"/>
      <c r="G76" s="955"/>
      <c r="H76" s="955"/>
      <c r="I76" s="955"/>
      <c r="J76" s="1301"/>
      <c r="K76" s="955"/>
    </row>
  </sheetData>
  <pageMargins left="0.6692913385826772" right="0.6692913385826772" top="0.51181102362204722" bottom="0.51181102362204722" header="0.27559055118110237" footer="0.27559055118110237"/>
  <pageSetup paperSize="9" scale="60" orientation="portrait"/>
  <headerFooter alignWithMargins="0">
    <oddFooter>&amp;C206</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autoPageBreaks="0"/>
  </sheetPr>
  <dimension ref="A3:G9"/>
  <sheetViews>
    <sheetView workbookViewId="0">
      <selection activeCell="E11" sqref="E11"/>
    </sheetView>
  </sheetViews>
  <sheetFormatPr baseColWidth="10" defaultColWidth="8.83203125" defaultRowHeight="13" x14ac:dyDescent="0"/>
  <cols>
    <col min="1" max="1" width="3.6640625" customWidth="1"/>
    <col min="2" max="2" width="24.33203125" bestFit="1" customWidth="1"/>
    <col min="3" max="3" width="20.33203125" customWidth="1"/>
    <col min="4" max="4" width="4.33203125" customWidth="1"/>
    <col min="5" max="5" width="12.33203125" bestFit="1" customWidth="1"/>
    <col min="6" max="6" width="10.1640625" bestFit="1" customWidth="1"/>
  </cols>
  <sheetData>
    <row r="3" spans="1:7" s="528" customFormat="1" ht="20">
      <c r="A3" s="536"/>
      <c r="B3" s="533" t="s">
        <v>581</v>
      </c>
      <c r="C3" s="537" t="s">
        <v>81</v>
      </c>
      <c r="E3" s="528" t="s">
        <v>615</v>
      </c>
      <c r="F3" s="548">
        <f>1/Unit.J</f>
        <v>3599999999999999.5</v>
      </c>
      <c r="G3" s="528" t="s">
        <v>78</v>
      </c>
    </row>
    <row r="5" spans="1:7" ht="20">
      <c r="A5" s="535"/>
      <c r="B5" s="533" t="s">
        <v>582</v>
      </c>
      <c r="C5" s="537" t="s">
        <v>586</v>
      </c>
      <c r="E5" s="528" t="s">
        <v>615</v>
      </c>
      <c r="F5" s="548">
        <f>1/Unit.W</f>
        <v>999999999.99999988</v>
      </c>
      <c r="G5" s="528" t="s">
        <v>585</v>
      </c>
    </row>
    <row r="7" spans="1:7" ht="20">
      <c r="A7" s="535"/>
      <c r="B7" s="533" t="s">
        <v>1115</v>
      </c>
      <c r="C7" s="537" t="s">
        <v>1107</v>
      </c>
      <c r="D7" s="117"/>
      <c r="E7" s="528" t="s">
        <v>615</v>
      </c>
      <c r="F7" s="548">
        <f>1/Unit.m2</f>
        <v>1000000</v>
      </c>
      <c r="G7" s="528" t="s">
        <v>1110</v>
      </c>
    </row>
    <row r="9" spans="1:7" s="1682" customFormat="1" ht="15">
      <c r="B9" s="533" t="s">
        <v>1571</v>
      </c>
      <c r="C9" s="537" t="s">
        <v>1557</v>
      </c>
      <c r="E9" s="528" t="s">
        <v>615</v>
      </c>
      <c r="F9" s="548">
        <f>1/GBP</f>
        <v>1000000</v>
      </c>
      <c r="G9" s="528" t="s">
        <v>1550</v>
      </c>
    </row>
  </sheetData>
  <dataValidations count="4">
    <dataValidation type="list" allowBlank="1" showInputMessage="1" showErrorMessage="1" sqref="C3">
      <formula1>Conversions.Energy.Units</formula1>
    </dataValidation>
    <dataValidation type="list" allowBlank="1" showInputMessage="1" showErrorMessage="1" sqref="C5">
      <formula1>Conversions.Power.Units</formula1>
    </dataValidation>
    <dataValidation type="list" allowBlank="1" showInputMessage="1" showErrorMessage="1" sqref="C7">
      <formula1>Conversions.Area.Units</formula1>
    </dataValidation>
    <dataValidation type="list" allowBlank="1" showInputMessage="1" showErrorMessage="1" sqref="C9">
      <formula1>Conversions.Money.Units</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enableFormatConditionsCalculation="0"/>
  <dimension ref="A1:H67"/>
  <sheetViews>
    <sheetView workbookViewId="0"/>
  </sheetViews>
  <sheetFormatPr baseColWidth="10" defaultColWidth="8.83203125" defaultRowHeight="13" x14ac:dyDescent="0"/>
  <cols>
    <col min="1" max="1" width="27.33203125" style="219" customWidth="1"/>
    <col min="2" max="3" width="7.83203125" style="219" customWidth="1"/>
    <col min="4" max="4" width="31" style="219" customWidth="1"/>
    <col min="5" max="6" width="7.83203125" style="219" customWidth="1"/>
    <col min="7" max="256" width="8.83203125" style="219"/>
    <col min="257" max="257" width="27.33203125" style="219" customWidth="1"/>
    <col min="258" max="259" width="7.83203125" style="219" customWidth="1"/>
    <col min="260" max="260" width="31" style="219" customWidth="1"/>
    <col min="261" max="262" width="7.83203125" style="219" customWidth="1"/>
    <col min="263" max="512" width="8.83203125" style="219"/>
    <col min="513" max="513" width="27.33203125" style="219" customWidth="1"/>
    <col min="514" max="515" width="7.83203125" style="219" customWidth="1"/>
    <col min="516" max="516" width="31" style="219" customWidth="1"/>
    <col min="517" max="518" width="7.83203125" style="219" customWidth="1"/>
    <col min="519" max="768" width="8.83203125" style="219"/>
    <col min="769" max="769" width="27.33203125" style="219" customWidth="1"/>
    <col min="770" max="771" width="7.83203125" style="219" customWidth="1"/>
    <col min="772" max="772" width="31" style="219" customWidth="1"/>
    <col min="773" max="774" width="7.83203125" style="219" customWidth="1"/>
    <col min="775" max="1024" width="8.83203125" style="219"/>
    <col min="1025" max="1025" width="27.33203125" style="219" customWidth="1"/>
    <col min="1026" max="1027" width="7.83203125" style="219" customWidth="1"/>
    <col min="1028" max="1028" width="31" style="219" customWidth="1"/>
    <col min="1029" max="1030" width="7.83203125" style="219" customWidth="1"/>
    <col min="1031" max="1280" width="8.83203125" style="219"/>
    <col min="1281" max="1281" width="27.33203125" style="219" customWidth="1"/>
    <col min="1282" max="1283" width="7.83203125" style="219" customWidth="1"/>
    <col min="1284" max="1284" width="31" style="219" customWidth="1"/>
    <col min="1285" max="1286" width="7.83203125" style="219" customWidth="1"/>
    <col min="1287" max="1536" width="8.83203125" style="219"/>
    <col min="1537" max="1537" width="27.33203125" style="219" customWidth="1"/>
    <col min="1538" max="1539" width="7.83203125" style="219" customWidth="1"/>
    <col min="1540" max="1540" width="31" style="219" customWidth="1"/>
    <col min="1541" max="1542" width="7.83203125" style="219" customWidth="1"/>
    <col min="1543" max="1792" width="8.83203125" style="219"/>
    <col min="1793" max="1793" width="27.33203125" style="219" customWidth="1"/>
    <col min="1794" max="1795" width="7.83203125" style="219" customWidth="1"/>
    <col min="1796" max="1796" width="31" style="219" customWidth="1"/>
    <col min="1797" max="1798" width="7.83203125" style="219" customWidth="1"/>
    <col min="1799" max="2048" width="8.83203125" style="219"/>
    <col min="2049" max="2049" width="27.33203125" style="219" customWidth="1"/>
    <col min="2050" max="2051" width="7.83203125" style="219" customWidth="1"/>
    <col min="2052" max="2052" width="31" style="219" customWidth="1"/>
    <col min="2053" max="2054" width="7.83203125" style="219" customWidth="1"/>
    <col min="2055" max="2304" width="8.83203125" style="219"/>
    <col min="2305" max="2305" width="27.33203125" style="219" customWidth="1"/>
    <col min="2306" max="2307" width="7.83203125" style="219" customWidth="1"/>
    <col min="2308" max="2308" width="31" style="219" customWidth="1"/>
    <col min="2309" max="2310" width="7.83203125" style="219" customWidth="1"/>
    <col min="2311" max="2560" width="8.83203125" style="219"/>
    <col min="2561" max="2561" width="27.33203125" style="219" customWidth="1"/>
    <col min="2562" max="2563" width="7.83203125" style="219" customWidth="1"/>
    <col min="2564" max="2564" width="31" style="219" customWidth="1"/>
    <col min="2565" max="2566" width="7.83203125" style="219" customWidth="1"/>
    <col min="2567" max="2816" width="8.83203125" style="219"/>
    <col min="2817" max="2817" width="27.33203125" style="219" customWidth="1"/>
    <col min="2818" max="2819" width="7.83203125" style="219" customWidth="1"/>
    <col min="2820" max="2820" width="31" style="219" customWidth="1"/>
    <col min="2821" max="2822" width="7.83203125" style="219" customWidth="1"/>
    <col min="2823" max="3072" width="8.83203125" style="219"/>
    <col min="3073" max="3073" width="27.33203125" style="219" customWidth="1"/>
    <col min="3074" max="3075" width="7.83203125" style="219" customWidth="1"/>
    <col min="3076" max="3076" width="31" style="219" customWidth="1"/>
    <col min="3077" max="3078" width="7.83203125" style="219" customWidth="1"/>
    <col min="3079" max="3328" width="8.83203125" style="219"/>
    <col min="3329" max="3329" width="27.33203125" style="219" customWidth="1"/>
    <col min="3330" max="3331" width="7.83203125" style="219" customWidth="1"/>
    <col min="3332" max="3332" width="31" style="219" customWidth="1"/>
    <col min="3333" max="3334" width="7.83203125" style="219" customWidth="1"/>
    <col min="3335" max="3584" width="8.83203125" style="219"/>
    <col min="3585" max="3585" width="27.33203125" style="219" customWidth="1"/>
    <col min="3586" max="3587" width="7.83203125" style="219" customWidth="1"/>
    <col min="3588" max="3588" width="31" style="219" customWidth="1"/>
    <col min="3589" max="3590" width="7.83203125" style="219" customWidth="1"/>
    <col min="3591" max="3840" width="8.83203125" style="219"/>
    <col min="3841" max="3841" width="27.33203125" style="219" customWidth="1"/>
    <col min="3842" max="3843" width="7.83203125" style="219" customWidth="1"/>
    <col min="3844" max="3844" width="31" style="219" customWidth="1"/>
    <col min="3845" max="3846" width="7.83203125" style="219" customWidth="1"/>
    <col min="3847" max="4096" width="8.83203125" style="219"/>
    <col min="4097" max="4097" width="27.33203125" style="219" customWidth="1"/>
    <col min="4098" max="4099" width="7.83203125" style="219" customWidth="1"/>
    <col min="4100" max="4100" width="31" style="219" customWidth="1"/>
    <col min="4101" max="4102" width="7.83203125" style="219" customWidth="1"/>
    <col min="4103" max="4352" width="8.83203125" style="219"/>
    <col min="4353" max="4353" width="27.33203125" style="219" customWidth="1"/>
    <col min="4354" max="4355" width="7.83203125" style="219" customWidth="1"/>
    <col min="4356" max="4356" width="31" style="219" customWidth="1"/>
    <col min="4357" max="4358" width="7.83203125" style="219" customWidth="1"/>
    <col min="4359" max="4608" width="8.83203125" style="219"/>
    <col min="4609" max="4609" width="27.33203125" style="219" customWidth="1"/>
    <col min="4610" max="4611" width="7.83203125" style="219" customWidth="1"/>
    <col min="4612" max="4612" width="31" style="219" customWidth="1"/>
    <col min="4613" max="4614" width="7.83203125" style="219" customWidth="1"/>
    <col min="4615" max="4864" width="8.83203125" style="219"/>
    <col min="4865" max="4865" width="27.33203125" style="219" customWidth="1"/>
    <col min="4866" max="4867" width="7.83203125" style="219" customWidth="1"/>
    <col min="4868" max="4868" width="31" style="219" customWidth="1"/>
    <col min="4869" max="4870" width="7.83203125" style="219" customWidth="1"/>
    <col min="4871" max="5120" width="8.83203125" style="219"/>
    <col min="5121" max="5121" width="27.33203125" style="219" customWidth="1"/>
    <col min="5122" max="5123" width="7.83203125" style="219" customWidth="1"/>
    <col min="5124" max="5124" width="31" style="219" customWidth="1"/>
    <col min="5125" max="5126" width="7.83203125" style="219" customWidth="1"/>
    <col min="5127" max="5376" width="8.83203125" style="219"/>
    <col min="5377" max="5377" width="27.33203125" style="219" customWidth="1"/>
    <col min="5378" max="5379" width="7.83203125" style="219" customWidth="1"/>
    <col min="5380" max="5380" width="31" style="219" customWidth="1"/>
    <col min="5381" max="5382" width="7.83203125" style="219" customWidth="1"/>
    <col min="5383" max="5632" width="8.83203125" style="219"/>
    <col min="5633" max="5633" width="27.33203125" style="219" customWidth="1"/>
    <col min="5634" max="5635" width="7.83203125" style="219" customWidth="1"/>
    <col min="5636" max="5636" width="31" style="219" customWidth="1"/>
    <col min="5637" max="5638" width="7.83203125" style="219" customWidth="1"/>
    <col min="5639" max="5888" width="8.83203125" style="219"/>
    <col min="5889" max="5889" width="27.33203125" style="219" customWidth="1"/>
    <col min="5890" max="5891" width="7.83203125" style="219" customWidth="1"/>
    <col min="5892" max="5892" width="31" style="219" customWidth="1"/>
    <col min="5893" max="5894" width="7.83203125" style="219" customWidth="1"/>
    <col min="5895" max="6144" width="8.83203125" style="219"/>
    <col min="6145" max="6145" width="27.33203125" style="219" customWidth="1"/>
    <col min="6146" max="6147" width="7.83203125" style="219" customWidth="1"/>
    <col min="6148" max="6148" width="31" style="219" customWidth="1"/>
    <col min="6149" max="6150" width="7.83203125" style="219" customWidth="1"/>
    <col min="6151" max="6400" width="8.83203125" style="219"/>
    <col min="6401" max="6401" width="27.33203125" style="219" customWidth="1"/>
    <col min="6402" max="6403" width="7.83203125" style="219" customWidth="1"/>
    <col min="6404" max="6404" width="31" style="219" customWidth="1"/>
    <col min="6405" max="6406" width="7.83203125" style="219" customWidth="1"/>
    <col min="6407" max="6656" width="8.83203125" style="219"/>
    <col min="6657" max="6657" width="27.33203125" style="219" customWidth="1"/>
    <col min="6658" max="6659" width="7.83203125" style="219" customWidth="1"/>
    <col min="6660" max="6660" width="31" style="219" customWidth="1"/>
    <col min="6661" max="6662" width="7.83203125" style="219" customWidth="1"/>
    <col min="6663" max="6912" width="8.83203125" style="219"/>
    <col min="6913" max="6913" width="27.33203125" style="219" customWidth="1"/>
    <col min="6914" max="6915" width="7.83203125" style="219" customWidth="1"/>
    <col min="6916" max="6916" width="31" style="219" customWidth="1"/>
    <col min="6917" max="6918" width="7.83203125" style="219" customWidth="1"/>
    <col min="6919" max="7168" width="8.83203125" style="219"/>
    <col min="7169" max="7169" width="27.33203125" style="219" customWidth="1"/>
    <col min="7170" max="7171" width="7.83203125" style="219" customWidth="1"/>
    <col min="7172" max="7172" width="31" style="219" customWidth="1"/>
    <col min="7173" max="7174" width="7.83203125" style="219" customWidth="1"/>
    <col min="7175" max="7424" width="8.83203125" style="219"/>
    <col min="7425" max="7425" width="27.33203125" style="219" customWidth="1"/>
    <col min="7426" max="7427" width="7.83203125" style="219" customWidth="1"/>
    <col min="7428" max="7428" width="31" style="219" customWidth="1"/>
    <col min="7429" max="7430" width="7.83203125" style="219" customWidth="1"/>
    <col min="7431" max="7680" width="8.83203125" style="219"/>
    <col min="7681" max="7681" width="27.33203125" style="219" customWidth="1"/>
    <col min="7682" max="7683" width="7.83203125" style="219" customWidth="1"/>
    <col min="7684" max="7684" width="31" style="219" customWidth="1"/>
    <col min="7685" max="7686" width="7.83203125" style="219" customWidth="1"/>
    <col min="7687" max="7936" width="8.83203125" style="219"/>
    <col min="7937" max="7937" width="27.33203125" style="219" customWidth="1"/>
    <col min="7938" max="7939" width="7.83203125" style="219" customWidth="1"/>
    <col min="7940" max="7940" width="31" style="219" customWidth="1"/>
    <col min="7941" max="7942" width="7.83203125" style="219" customWidth="1"/>
    <col min="7943" max="8192" width="8.83203125" style="219"/>
    <col min="8193" max="8193" width="27.33203125" style="219" customWidth="1"/>
    <col min="8194" max="8195" width="7.83203125" style="219" customWidth="1"/>
    <col min="8196" max="8196" width="31" style="219" customWidth="1"/>
    <col min="8197" max="8198" width="7.83203125" style="219" customWidth="1"/>
    <col min="8199" max="8448" width="8.83203125" style="219"/>
    <col min="8449" max="8449" width="27.33203125" style="219" customWidth="1"/>
    <col min="8450" max="8451" width="7.83203125" style="219" customWidth="1"/>
    <col min="8452" max="8452" width="31" style="219" customWidth="1"/>
    <col min="8453" max="8454" width="7.83203125" style="219" customWidth="1"/>
    <col min="8455" max="8704" width="8.83203125" style="219"/>
    <col min="8705" max="8705" width="27.33203125" style="219" customWidth="1"/>
    <col min="8706" max="8707" width="7.83203125" style="219" customWidth="1"/>
    <col min="8708" max="8708" width="31" style="219" customWidth="1"/>
    <col min="8709" max="8710" width="7.83203125" style="219" customWidth="1"/>
    <col min="8711" max="8960" width="8.83203125" style="219"/>
    <col min="8961" max="8961" width="27.33203125" style="219" customWidth="1"/>
    <col min="8962" max="8963" width="7.83203125" style="219" customWidth="1"/>
    <col min="8964" max="8964" width="31" style="219" customWidth="1"/>
    <col min="8965" max="8966" width="7.83203125" style="219" customWidth="1"/>
    <col min="8967" max="9216" width="8.83203125" style="219"/>
    <col min="9217" max="9217" width="27.33203125" style="219" customWidth="1"/>
    <col min="9218" max="9219" width="7.83203125" style="219" customWidth="1"/>
    <col min="9220" max="9220" width="31" style="219" customWidth="1"/>
    <col min="9221" max="9222" width="7.83203125" style="219" customWidth="1"/>
    <col min="9223" max="9472" width="8.83203125" style="219"/>
    <col min="9473" max="9473" width="27.33203125" style="219" customWidth="1"/>
    <col min="9474" max="9475" width="7.83203125" style="219" customWidth="1"/>
    <col min="9476" max="9476" width="31" style="219" customWidth="1"/>
    <col min="9477" max="9478" width="7.83203125" style="219" customWidth="1"/>
    <col min="9479" max="9728" width="8.83203125" style="219"/>
    <col min="9729" max="9729" width="27.33203125" style="219" customWidth="1"/>
    <col min="9730" max="9731" width="7.83203125" style="219" customWidth="1"/>
    <col min="9732" max="9732" width="31" style="219" customWidth="1"/>
    <col min="9733" max="9734" width="7.83203125" style="219" customWidth="1"/>
    <col min="9735" max="9984" width="8.83203125" style="219"/>
    <col min="9985" max="9985" width="27.33203125" style="219" customWidth="1"/>
    <col min="9986" max="9987" width="7.83203125" style="219" customWidth="1"/>
    <col min="9988" max="9988" width="31" style="219" customWidth="1"/>
    <col min="9989" max="9990" width="7.83203125" style="219" customWidth="1"/>
    <col min="9991" max="10240" width="8.83203125" style="219"/>
    <col min="10241" max="10241" width="27.33203125" style="219" customWidth="1"/>
    <col min="10242" max="10243" width="7.83203125" style="219" customWidth="1"/>
    <col min="10244" max="10244" width="31" style="219" customWidth="1"/>
    <col min="10245" max="10246" width="7.83203125" style="219" customWidth="1"/>
    <col min="10247" max="10496" width="8.83203125" style="219"/>
    <col min="10497" max="10497" width="27.33203125" style="219" customWidth="1"/>
    <col min="10498" max="10499" width="7.83203125" style="219" customWidth="1"/>
    <col min="10500" max="10500" width="31" style="219" customWidth="1"/>
    <col min="10501" max="10502" width="7.83203125" style="219" customWidth="1"/>
    <col min="10503" max="10752" width="8.83203125" style="219"/>
    <col min="10753" max="10753" width="27.33203125" style="219" customWidth="1"/>
    <col min="10754" max="10755" width="7.83203125" style="219" customWidth="1"/>
    <col min="10756" max="10756" width="31" style="219" customWidth="1"/>
    <col min="10757" max="10758" width="7.83203125" style="219" customWidth="1"/>
    <col min="10759" max="11008" width="8.83203125" style="219"/>
    <col min="11009" max="11009" width="27.33203125" style="219" customWidth="1"/>
    <col min="11010" max="11011" width="7.83203125" style="219" customWidth="1"/>
    <col min="11012" max="11012" width="31" style="219" customWidth="1"/>
    <col min="11013" max="11014" width="7.83203125" style="219" customWidth="1"/>
    <col min="11015" max="11264" width="8.83203125" style="219"/>
    <col min="11265" max="11265" width="27.33203125" style="219" customWidth="1"/>
    <col min="11266" max="11267" width="7.83203125" style="219" customWidth="1"/>
    <col min="11268" max="11268" width="31" style="219" customWidth="1"/>
    <col min="11269" max="11270" width="7.83203125" style="219" customWidth="1"/>
    <col min="11271" max="11520" width="8.83203125" style="219"/>
    <col min="11521" max="11521" width="27.33203125" style="219" customWidth="1"/>
    <col min="11522" max="11523" width="7.83203125" style="219" customWidth="1"/>
    <col min="11524" max="11524" width="31" style="219" customWidth="1"/>
    <col min="11525" max="11526" width="7.83203125" style="219" customWidth="1"/>
    <col min="11527" max="11776" width="8.83203125" style="219"/>
    <col min="11777" max="11777" width="27.33203125" style="219" customWidth="1"/>
    <col min="11778" max="11779" width="7.83203125" style="219" customWidth="1"/>
    <col min="11780" max="11780" width="31" style="219" customWidth="1"/>
    <col min="11781" max="11782" width="7.83203125" style="219" customWidth="1"/>
    <col min="11783" max="12032" width="8.83203125" style="219"/>
    <col min="12033" max="12033" width="27.33203125" style="219" customWidth="1"/>
    <col min="12034" max="12035" width="7.83203125" style="219" customWidth="1"/>
    <col min="12036" max="12036" width="31" style="219" customWidth="1"/>
    <col min="12037" max="12038" width="7.83203125" style="219" customWidth="1"/>
    <col min="12039" max="12288" width="8.83203125" style="219"/>
    <col min="12289" max="12289" width="27.33203125" style="219" customWidth="1"/>
    <col min="12290" max="12291" width="7.83203125" style="219" customWidth="1"/>
    <col min="12292" max="12292" width="31" style="219" customWidth="1"/>
    <col min="12293" max="12294" width="7.83203125" style="219" customWidth="1"/>
    <col min="12295" max="12544" width="8.83203125" style="219"/>
    <col min="12545" max="12545" width="27.33203125" style="219" customWidth="1"/>
    <col min="12546" max="12547" width="7.83203125" style="219" customWidth="1"/>
    <col min="12548" max="12548" width="31" style="219" customWidth="1"/>
    <col min="12549" max="12550" width="7.83203125" style="219" customWidth="1"/>
    <col min="12551" max="12800" width="8.83203125" style="219"/>
    <col min="12801" max="12801" width="27.33203125" style="219" customWidth="1"/>
    <col min="12802" max="12803" width="7.83203125" style="219" customWidth="1"/>
    <col min="12804" max="12804" width="31" style="219" customWidth="1"/>
    <col min="12805" max="12806" width="7.83203125" style="219" customWidth="1"/>
    <col min="12807" max="13056" width="8.83203125" style="219"/>
    <col min="13057" max="13057" width="27.33203125" style="219" customWidth="1"/>
    <col min="13058" max="13059" width="7.83203125" style="219" customWidth="1"/>
    <col min="13060" max="13060" width="31" style="219" customWidth="1"/>
    <col min="13061" max="13062" width="7.83203125" style="219" customWidth="1"/>
    <col min="13063" max="13312" width="8.83203125" style="219"/>
    <col min="13313" max="13313" width="27.33203125" style="219" customWidth="1"/>
    <col min="13314" max="13315" width="7.83203125" style="219" customWidth="1"/>
    <col min="13316" max="13316" width="31" style="219" customWidth="1"/>
    <col min="13317" max="13318" width="7.83203125" style="219" customWidth="1"/>
    <col min="13319" max="13568" width="8.83203125" style="219"/>
    <col min="13569" max="13569" width="27.33203125" style="219" customWidth="1"/>
    <col min="13570" max="13571" width="7.83203125" style="219" customWidth="1"/>
    <col min="13572" max="13572" width="31" style="219" customWidth="1"/>
    <col min="13573" max="13574" width="7.83203125" style="219" customWidth="1"/>
    <col min="13575" max="13824" width="8.83203125" style="219"/>
    <col min="13825" max="13825" width="27.33203125" style="219" customWidth="1"/>
    <col min="13826" max="13827" width="7.83203125" style="219" customWidth="1"/>
    <col min="13828" max="13828" width="31" style="219" customWidth="1"/>
    <col min="13829" max="13830" width="7.83203125" style="219" customWidth="1"/>
    <col min="13831" max="14080" width="8.83203125" style="219"/>
    <col min="14081" max="14081" width="27.33203125" style="219" customWidth="1"/>
    <col min="14082" max="14083" width="7.83203125" style="219" customWidth="1"/>
    <col min="14084" max="14084" width="31" style="219" customWidth="1"/>
    <col min="14085" max="14086" width="7.83203125" style="219" customWidth="1"/>
    <col min="14087" max="14336" width="8.83203125" style="219"/>
    <col min="14337" max="14337" width="27.33203125" style="219" customWidth="1"/>
    <col min="14338" max="14339" width="7.83203125" style="219" customWidth="1"/>
    <col min="14340" max="14340" width="31" style="219" customWidth="1"/>
    <col min="14341" max="14342" width="7.83203125" style="219" customWidth="1"/>
    <col min="14343" max="14592" width="8.83203125" style="219"/>
    <col min="14593" max="14593" width="27.33203125" style="219" customWidth="1"/>
    <col min="14594" max="14595" width="7.83203125" style="219" customWidth="1"/>
    <col min="14596" max="14596" width="31" style="219" customWidth="1"/>
    <col min="14597" max="14598" width="7.83203125" style="219" customWidth="1"/>
    <col min="14599" max="14848" width="8.83203125" style="219"/>
    <col min="14849" max="14849" width="27.33203125" style="219" customWidth="1"/>
    <col min="14850" max="14851" width="7.83203125" style="219" customWidth="1"/>
    <col min="14852" max="14852" width="31" style="219" customWidth="1"/>
    <col min="14853" max="14854" width="7.83203125" style="219" customWidth="1"/>
    <col min="14855" max="15104" width="8.83203125" style="219"/>
    <col min="15105" max="15105" width="27.33203125" style="219" customWidth="1"/>
    <col min="15106" max="15107" width="7.83203125" style="219" customWidth="1"/>
    <col min="15108" max="15108" width="31" style="219" customWidth="1"/>
    <col min="15109" max="15110" width="7.83203125" style="219" customWidth="1"/>
    <col min="15111" max="15360" width="8.83203125" style="219"/>
    <col min="15361" max="15361" width="27.33203125" style="219" customWidth="1"/>
    <col min="15362" max="15363" width="7.83203125" style="219" customWidth="1"/>
    <col min="15364" max="15364" width="31" style="219" customWidth="1"/>
    <col min="15365" max="15366" width="7.83203125" style="219" customWidth="1"/>
    <col min="15367" max="15616" width="8.83203125" style="219"/>
    <col min="15617" max="15617" width="27.33203125" style="219" customWidth="1"/>
    <col min="15618" max="15619" width="7.83203125" style="219" customWidth="1"/>
    <col min="15620" max="15620" width="31" style="219" customWidth="1"/>
    <col min="15621" max="15622" width="7.83203125" style="219" customWidth="1"/>
    <col min="15623" max="15872" width="8.83203125" style="219"/>
    <col min="15873" max="15873" width="27.33203125" style="219" customWidth="1"/>
    <col min="15874" max="15875" width="7.83203125" style="219" customWidth="1"/>
    <col min="15876" max="15876" width="31" style="219" customWidth="1"/>
    <col min="15877" max="15878" width="7.83203125" style="219" customWidth="1"/>
    <col min="15879" max="16128" width="8.83203125" style="219"/>
    <col min="16129" max="16129" width="27.33203125" style="219" customWidth="1"/>
    <col min="16130" max="16131" width="7.83203125" style="219" customWidth="1"/>
    <col min="16132" max="16132" width="31" style="219" customWidth="1"/>
    <col min="16133" max="16134" width="7.83203125" style="219" customWidth="1"/>
    <col min="16135" max="16384" width="8.83203125" style="219"/>
  </cols>
  <sheetData>
    <row r="1" spans="1:6" s="216" customFormat="1" ht="26">
      <c r="A1" s="213" t="s">
        <v>270</v>
      </c>
      <c r="B1" s="214"/>
      <c r="C1" s="215"/>
      <c r="D1" s="215"/>
      <c r="E1" s="215"/>
      <c r="F1" s="215"/>
    </row>
    <row r="3" spans="1:6" ht="12" customHeight="1">
      <c r="A3" s="217" t="s">
        <v>271</v>
      </c>
      <c r="B3" s="2231" t="s">
        <v>272</v>
      </c>
      <c r="C3" s="2231"/>
      <c r="D3" s="218"/>
      <c r="E3" s="2231" t="s">
        <v>272</v>
      </c>
      <c r="F3" s="2231"/>
    </row>
    <row r="4" spans="1:6" ht="12" customHeight="1">
      <c r="A4" s="217"/>
      <c r="B4" s="220" t="s">
        <v>273</v>
      </c>
      <c r="C4" s="220" t="s">
        <v>274</v>
      </c>
      <c r="D4" s="218"/>
      <c r="E4" s="220" t="s">
        <v>273</v>
      </c>
      <c r="F4" s="220" t="s">
        <v>274</v>
      </c>
    </row>
    <row r="5" spans="1:6" ht="6" customHeight="1">
      <c r="A5" s="217"/>
      <c r="B5" s="217"/>
      <c r="C5" s="217"/>
      <c r="D5" s="217"/>
      <c r="E5" s="217"/>
      <c r="F5" s="217"/>
    </row>
    <row r="6" spans="1:6" ht="12" customHeight="1">
      <c r="A6" s="221" t="s">
        <v>275</v>
      </c>
      <c r="B6" s="221"/>
      <c r="C6" s="217"/>
      <c r="D6" s="221" t="s">
        <v>276</v>
      </c>
      <c r="E6" s="221"/>
      <c r="F6" s="217"/>
    </row>
    <row r="7" spans="1:6" ht="12" customHeight="1">
      <c r="A7" s="217" t="s">
        <v>277</v>
      </c>
      <c r="B7" s="222">
        <f>C7*0.95</f>
        <v>24.795000000000002</v>
      </c>
      <c r="C7" s="223">
        <v>26.1</v>
      </c>
      <c r="D7" s="217" t="s">
        <v>278</v>
      </c>
      <c r="E7" s="222">
        <v>12.3</v>
      </c>
      <c r="F7" s="223">
        <v>13.9</v>
      </c>
    </row>
    <row r="8" spans="1:6" ht="12" customHeight="1">
      <c r="A8" s="217" t="s">
        <v>279</v>
      </c>
      <c r="B8" s="222">
        <f>C8*0.95</f>
        <v>24.13</v>
      </c>
      <c r="C8" s="223">
        <v>25.4</v>
      </c>
      <c r="D8" s="217" t="s">
        <v>280</v>
      </c>
      <c r="E8" s="222">
        <v>12.1</v>
      </c>
      <c r="F8" s="223">
        <v>13.7</v>
      </c>
    </row>
    <row r="9" spans="1:6" ht="12" customHeight="1">
      <c r="A9" s="217" t="s">
        <v>281</v>
      </c>
      <c r="B9" s="222">
        <f>C9*0.95</f>
        <v>30.97</v>
      </c>
      <c r="C9" s="223">
        <v>32.6</v>
      </c>
      <c r="D9" s="217" t="s">
        <v>282</v>
      </c>
      <c r="E9" s="222">
        <f>F9*0.85</f>
        <v>12.75</v>
      </c>
      <c r="F9" s="223">
        <v>15</v>
      </c>
    </row>
    <row r="10" spans="1:6" ht="12" customHeight="1">
      <c r="A10" s="217" t="s">
        <v>283</v>
      </c>
      <c r="B10" s="224"/>
      <c r="C10" s="225"/>
      <c r="D10" s="217" t="s">
        <v>284</v>
      </c>
      <c r="E10" s="222">
        <f>F10*0.84</f>
        <v>7.3920000000000003</v>
      </c>
      <c r="F10" s="223">
        <v>8.8000000000000007</v>
      </c>
    </row>
    <row r="11" spans="1:6" ht="12" customHeight="1">
      <c r="A11" s="217" t="s">
        <v>285</v>
      </c>
      <c r="B11" s="222">
        <f>C11*0.95</f>
        <v>28.974999999999998</v>
      </c>
      <c r="C11" s="223">
        <v>30.5</v>
      </c>
      <c r="D11" s="217" t="s">
        <v>286</v>
      </c>
      <c r="E11" s="222">
        <f>F11*0.84</f>
        <v>15.624000000000001</v>
      </c>
      <c r="F11" s="223">
        <v>18.600000000000001</v>
      </c>
    </row>
    <row r="12" spans="1:6" ht="12" customHeight="1">
      <c r="A12" s="217" t="s">
        <v>287</v>
      </c>
      <c r="B12" s="222">
        <f t="shared" ref="B12:B21" si="0">C12*0.95</f>
        <v>28.214999999999996</v>
      </c>
      <c r="C12" s="223">
        <v>29.7</v>
      </c>
      <c r="D12" s="217" t="s">
        <v>288</v>
      </c>
      <c r="E12" s="222">
        <f>F12*0.95</f>
        <v>15.2</v>
      </c>
      <c r="F12" s="223">
        <v>16</v>
      </c>
    </row>
    <row r="13" spans="1:6" ht="12" customHeight="1">
      <c r="A13" s="217" t="s">
        <v>289</v>
      </c>
      <c r="B13" s="222">
        <f t="shared" si="0"/>
        <v>26.599999999999998</v>
      </c>
      <c r="C13" s="223">
        <v>28</v>
      </c>
      <c r="D13" s="217" t="s">
        <v>290</v>
      </c>
      <c r="E13" s="222">
        <f>F13*0.95</f>
        <v>13.299999999999999</v>
      </c>
      <c r="F13" s="223">
        <v>14</v>
      </c>
    </row>
    <row r="14" spans="1:6" ht="12" customHeight="1">
      <c r="A14" s="217" t="s">
        <v>291</v>
      </c>
      <c r="B14" s="222">
        <f t="shared" si="0"/>
        <v>28.88</v>
      </c>
      <c r="C14" s="223">
        <v>30.4</v>
      </c>
      <c r="D14" s="217" t="s">
        <v>292</v>
      </c>
      <c r="E14" s="222">
        <f>F14*0.7</f>
        <v>6.6499999999999995</v>
      </c>
      <c r="F14" s="223">
        <v>9.5</v>
      </c>
    </row>
    <row r="15" spans="1:6" ht="12" customHeight="1">
      <c r="A15" s="217" t="s">
        <v>293</v>
      </c>
      <c r="B15" s="222">
        <f t="shared" si="0"/>
        <v>25.65</v>
      </c>
      <c r="C15" s="223">
        <v>27</v>
      </c>
      <c r="D15" s="217" t="s">
        <v>294</v>
      </c>
      <c r="E15" s="222">
        <f>F15*0.7</f>
        <v>12.95</v>
      </c>
      <c r="F15" s="223">
        <v>18.5</v>
      </c>
    </row>
    <row r="16" spans="1:6" ht="12" customHeight="1">
      <c r="A16" s="217" t="s">
        <v>295</v>
      </c>
      <c r="B16" s="222">
        <f t="shared" si="0"/>
        <v>24.13</v>
      </c>
      <c r="C16" s="223">
        <v>25.4</v>
      </c>
      <c r="D16" s="217" t="s">
        <v>296</v>
      </c>
      <c r="E16" s="222">
        <v>9.3000000000000007</v>
      </c>
      <c r="F16" s="223">
        <v>11.1</v>
      </c>
    </row>
    <row r="17" spans="1:8" ht="12" customHeight="1">
      <c r="A17" s="217" t="s">
        <v>297</v>
      </c>
      <c r="B17" s="222">
        <f t="shared" si="0"/>
        <v>28.88</v>
      </c>
      <c r="C17" s="223">
        <v>30.4</v>
      </c>
      <c r="D17" s="217" t="s">
        <v>298</v>
      </c>
      <c r="E17" s="226" t="s">
        <v>263</v>
      </c>
      <c r="F17" s="223">
        <v>32</v>
      </c>
    </row>
    <row r="18" spans="1:8" ht="12" customHeight="1">
      <c r="A18" s="217" t="s">
        <v>299</v>
      </c>
      <c r="B18" s="222">
        <f t="shared" si="0"/>
        <v>25.364999999999998</v>
      </c>
      <c r="C18" s="223">
        <v>26.7</v>
      </c>
      <c r="D18" s="217"/>
      <c r="E18" s="227"/>
      <c r="F18" s="228"/>
    </row>
    <row r="19" spans="1:8" ht="12" customHeight="1">
      <c r="A19" s="217" t="s">
        <v>300</v>
      </c>
      <c r="B19" s="222">
        <f t="shared" si="0"/>
        <v>28.024999999999999</v>
      </c>
      <c r="C19" s="223">
        <v>29.5</v>
      </c>
      <c r="D19" s="221" t="s">
        <v>301</v>
      </c>
      <c r="E19" s="229"/>
      <c r="F19" s="228"/>
    </row>
    <row r="20" spans="1:8" ht="12" customHeight="1">
      <c r="A20" s="217" t="s">
        <v>302</v>
      </c>
      <c r="B20" s="222">
        <f t="shared" si="0"/>
        <v>27.929999999999996</v>
      </c>
      <c r="C20" s="223">
        <v>29.4</v>
      </c>
      <c r="D20" s="217" t="s">
        <v>303</v>
      </c>
      <c r="E20" s="230">
        <v>43.371365384442143</v>
      </c>
      <c r="F20" s="231">
        <v>45.654068825728572</v>
      </c>
      <c r="H20" s="232"/>
    </row>
    <row r="21" spans="1:8" ht="12" customHeight="1">
      <c r="A21" s="217" t="s">
        <v>304</v>
      </c>
      <c r="B21" s="222">
        <f t="shared" si="0"/>
        <v>26.22</v>
      </c>
      <c r="C21" s="223">
        <v>27.6</v>
      </c>
      <c r="D21" s="217" t="s">
        <v>305</v>
      </c>
      <c r="E21" s="230">
        <v>43.754628403318421</v>
      </c>
      <c r="F21" s="233">
        <v>46.057503582440447</v>
      </c>
      <c r="G21" s="219">
        <f>F21*30000000*Unit.MJ</f>
        <v>0.38381252985367037</v>
      </c>
      <c r="H21" s="232"/>
    </row>
    <row r="22" spans="1:8" ht="12" customHeight="1">
      <c r="A22" s="217" t="s">
        <v>306</v>
      </c>
      <c r="B22" s="224"/>
      <c r="C22" s="228"/>
      <c r="D22" s="217" t="s">
        <v>307</v>
      </c>
      <c r="E22" s="230">
        <v>46.601867162581009</v>
      </c>
      <c r="F22" s="231">
        <v>50.654203437588052</v>
      </c>
      <c r="H22" s="232"/>
    </row>
    <row r="23" spans="1:8" ht="12" customHeight="1">
      <c r="A23" s="217" t="s">
        <v>308</v>
      </c>
      <c r="B23" s="224"/>
      <c r="C23" s="228"/>
      <c r="D23" s="217"/>
      <c r="E23" s="224"/>
      <c r="F23" s="228"/>
      <c r="H23" s="232"/>
    </row>
    <row r="24" spans="1:8" ht="12" customHeight="1">
      <c r="A24" s="217" t="s">
        <v>309</v>
      </c>
      <c r="B24" s="222">
        <f>C24*0.95</f>
        <v>28.024999999999999</v>
      </c>
      <c r="C24" s="223">
        <v>29.5</v>
      </c>
      <c r="D24" s="217" t="s">
        <v>310</v>
      </c>
      <c r="E24" s="230">
        <v>45.906668363195465</v>
      </c>
      <c r="F24" s="231">
        <v>49.293104652845983</v>
      </c>
      <c r="H24" s="232"/>
    </row>
    <row r="25" spans="1:8" ht="12" customHeight="1">
      <c r="A25" s="217" t="s">
        <v>311</v>
      </c>
      <c r="B25" s="222">
        <f>C25*0.95</f>
        <v>24.795000000000002</v>
      </c>
      <c r="C25" s="223">
        <v>26.1</v>
      </c>
      <c r="D25" s="217" t="s">
        <v>312</v>
      </c>
      <c r="E25" s="230">
        <v>45.274121759809745</v>
      </c>
      <c r="F25" s="231">
        <v>47.656970273483942</v>
      </c>
      <c r="H25" s="232"/>
    </row>
    <row r="26" spans="1:8" ht="12" customHeight="1">
      <c r="A26" s="217"/>
      <c r="B26" s="227"/>
      <c r="C26" s="228"/>
      <c r="D26" s="217" t="s">
        <v>313</v>
      </c>
      <c r="E26" s="230">
        <v>45.0159854155849</v>
      </c>
      <c r="F26" s="231">
        <v>47.385247805878848</v>
      </c>
      <c r="H26" s="232"/>
    </row>
    <row r="27" spans="1:8" ht="12" customHeight="1">
      <c r="B27" s="234"/>
      <c r="C27" s="235"/>
      <c r="D27" s="217" t="s">
        <v>314</v>
      </c>
      <c r="E27" s="230">
        <v>43.869054390679381</v>
      </c>
      <c r="F27" s="231">
        <v>46.177951990188824</v>
      </c>
      <c r="H27" s="232"/>
    </row>
    <row r="28" spans="1:8" ht="12" customHeight="1">
      <c r="A28" s="221" t="s">
        <v>38</v>
      </c>
      <c r="B28" s="229"/>
      <c r="C28" s="228"/>
      <c r="D28" s="217" t="s">
        <v>315</v>
      </c>
      <c r="E28" s="230">
        <v>44.738426529958893</v>
      </c>
      <c r="F28" s="231">
        <v>47.093080557851472</v>
      </c>
      <c r="H28" s="232"/>
    </row>
    <row r="29" spans="1:8" ht="12" customHeight="1">
      <c r="A29" s="217" t="s">
        <v>316</v>
      </c>
      <c r="B29" s="222">
        <f>C29*0.95</f>
        <v>28.974999999999998</v>
      </c>
      <c r="C29" s="223">
        <v>30.5</v>
      </c>
      <c r="D29" s="217" t="s">
        <v>317</v>
      </c>
      <c r="E29" s="230">
        <v>43.851769299324857</v>
      </c>
      <c r="F29" s="231">
        <v>46.15975715718406</v>
      </c>
      <c r="H29" s="232"/>
    </row>
    <row r="30" spans="1:8" ht="12" customHeight="1">
      <c r="A30" s="217" t="s">
        <v>318</v>
      </c>
      <c r="B30" s="222">
        <f>C30*0.95</f>
        <v>32.965000000000003</v>
      </c>
      <c r="C30" s="223">
        <v>34.700000000000003</v>
      </c>
      <c r="D30" s="217" t="s">
        <v>319</v>
      </c>
      <c r="E30" s="230">
        <v>42.813932275437679</v>
      </c>
      <c r="F30" s="231">
        <v>45.546736463231575</v>
      </c>
      <c r="H30" s="232"/>
    </row>
    <row r="31" spans="1:8" ht="12" customHeight="1">
      <c r="A31" s="217" t="s">
        <v>320</v>
      </c>
      <c r="B31" s="222">
        <f>C31*0.95</f>
        <v>28.12</v>
      </c>
      <c r="C31" s="223">
        <v>29.6</v>
      </c>
      <c r="D31" s="217" t="s">
        <v>321</v>
      </c>
      <c r="E31" s="230">
        <v>40.972793020838921</v>
      </c>
      <c r="F31" s="231">
        <v>43.588077681743535</v>
      </c>
      <c r="H31" s="232"/>
    </row>
    <row r="32" spans="1:8" ht="12" customHeight="1">
      <c r="A32" s="217" t="s">
        <v>322</v>
      </c>
      <c r="B32" s="222">
        <f>C32*0.95</f>
        <v>25.934999999999999</v>
      </c>
      <c r="C32" s="223">
        <v>27.3</v>
      </c>
      <c r="D32" s="217" t="s">
        <v>323</v>
      </c>
      <c r="E32" s="230">
        <v>40.972793020838921</v>
      </c>
      <c r="F32" s="231">
        <v>43.588077681743535</v>
      </c>
      <c r="H32" s="232"/>
    </row>
    <row r="33" spans="1:8" ht="12" customHeight="1">
      <c r="A33" s="217" t="s">
        <v>324</v>
      </c>
      <c r="B33" s="222">
        <f>C33*0.95</f>
        <v>31.349999999999998</v>
      </c>
      <c r="C33" s="223">
        <v>33</v>
      </c>
      <c r="D33" s="217" t="s">
        <v>325</v>
      </c>
      <c r="E33" s="230">
        <v>40.926410956344426</v>
      </c>
      <c r="F33" s="231">
        <v>43.080432585625715</v>
      </c>
      <c r="H33" s="232"/>
    </row>
    <row r="34" spans="1:8" ht="6" customHeight="1">
      <c r="A34" s="217"/>
      <c r="B34" s="224"/>
      <c r="C34" s="228"/>
      <c r="D34" s="217"/>
      <c r="E34" s="227"/>
      <c r="F34" s="227"/>
    </row>
    <row r="35" spans="1:8" ht="12" customHeight="1">
      <c r="A35" s="217"/>
      <c r="B35" s="224"/>
      <c r="C35" s="228"/>
      <c r="D35" s="217"/>
      <c r="E35" s="2232" t="s">
        <v>326</v>
      </c>
      <c r="F35" s="2232"/>
    </row>
    <row r="36" spans="1:8" ht="12" customHeight="1">
      <c r="A36" s="217"/>
      <c r="B36" s="224"/>
      <c r="C36" s="228"/>
      <c r="D36" s="217"/>
      <c r="E36" s="236" t="s">
        <v>273</v>
      </c>
      <c r="F36" s="236" t="s">
        <v>274</v>
      </c>
    </row>
    <row r="37" spans="1:8" ht="12" customHeight="1">
      <c r="A37" s="217" t="s">
        <v>327</v>
      </c>
      <c r="B37" s="234"/>
      <c r="C37" s="234"/>
      <c r="D37" s="217" t="s">
        <v>328</v>
      </c>
      <c r="E37" s="230">
        <v>35.694950436443094</v>
      </c>
      <c r="F37" s="233">
        <v>39.661056040492326</v>
      </c>
    </row>
    <row r="38" spans="1:8" ht="12" customHeight="1">
      <c r="A38" s="217" t="s">
        <v>329</v>
      </c>
      <c r="B38" s="222">
        <f>C38*1</f>
        <v>29.8</v>
      </c>
      <c r="C38" s="223">
        <v>29.8</v>
      </c>
      <c r="D38" s="217" t="s">
        <v>330</v>
      </c>
      <c r="E38" s="222">
        <v>35.5</v>
      </c>
      <c r="F38" s="223">
        <v>39.4</v>
      </c>
    </row>
    <row r="39" spans="1:8" ht="12" customHeight="1">
      <c r="A39" s="217" t="s">
        <v>331</v>
      </c>
      <c r="B39" s="222">
        <f>C39*1</f>
        <v>24.8</v>
      </c>
      <c r="C39" s="223">
        <v>24.8</v>
      </c>
      <c r="D39" s="217" t="s">
        <v>257</v>
      </c>
      <c r="E39" s="222">
        <f>F39*0.9</f>
        <v>16.2</v>
      </c>
      <c r="F39" s="223">
        <v>18</v>
      </c>
    </row>
    <row r="40" spans="1:8" ht="12" customHeight="1">
      <c r="A40" s="217" t="s">
        <v>332</v>
      </c>
      <c r="B40" s="222">
        <f>C40*0.95</f>
        <v>30.97</v>
      </c>
      <c r="C40" s="223">
        <v>32.6</v>
      </c>
      <c r="D40" s="217" t="s">
        <v>252</v>
      </c>
      <c r="E40" s="222">
        <f>F40*0.99</f>
        <v>2.9699999999999998</v>
      </c>
      <c r="F40" s="223">
        <v>3</v>
      </c>
    </row>
    <row r="41" spans="1:8" ht="12" customHeight="1">
      <c r="A41" s="217"/>
      <c r="B41" s="227"/>
      <c r="C41" s="227"/>
      <c r="D41" s="217" t="s">
        <v>333</v>
      </c>
      <c r="E41" s="237" t="s">
        <v>334</v>
      </c>
      <c r="F41" s="237" t="s">
        <v>335</v>
      </c>
    </row>
    <row r="42" spans="1:8" ht="12" customHeight="1">
      <c r="A42" s="217"/>
      <c r="B42" s="227"/>
      <c r="C42" s="227"/>
      <c r="D42" s="217" t="s">
        <v>336</v>
      </c>
      <c r="E42" s="237" t="s">
        <v>334</v>
      </c>
      <c r="F42" s="237" t="s">
        <v>335</v>
      </c>
    </row>
    <row r="43" spans="1:8" ht="6" customHeight="1">
      <c r="A43" s="217"/>
      <c r="B43" s="217"/>
      <c r="C43" s="217"/>
      <c r="D43" s="217"/>
      <c r="E43" s="238"/>
      <c r="F43" s="238"/>
    </row>
    <row r="44" spans="1:8" s="218" customFormat="1" ht="12" customHeight="1">
      <c r="A44" s="239" t="s">
        <v>337</v>
      </c>
      <c r="B44" s="239"/>
      <c r="C44" s="217"/>
      <c r="D44" s="217"/>
      <c r="E44" s="217"/>
      <c r="F44" s="217"/>
    </row>
    <row r="45" spans="1:8" s="218" customFormat="1" ht="12" customHeight="1">
      <c r="A45" s="239" t="s">
        <v>338</v>
      </c>
      <c r="B45" s="239"/>
      <c r="C45" s="217"/>
      <c r="D45" s="217"/>
      <c r="E45" s="217"/>
      <c r="F45" s="217"/>
    </row>
    <row r="46" spans="1:8" s="234" customFormat="1" ht="12" customHeight="1">
      <c r="A46" s="239" t="s">
        <v>339</v>
      </c>
      <c r="B46" s="240"/>
      <c r="C46" s="227"/>
      <c r="D46" s="227"/>
      <c r="E46" s="227"/>
      <c r="F46" s="227"/>
    </row>
    <row r="47" spans="1:8" s="234" customFormat="1" ht="12" customHeight="1">
      <c r="A47" s="239" t="s">
        <v>340</v>
      </c>
      <c r="B47" s="240"/>
      <c r="C47" s="227"/>
      <c r="D47" s="227"/>
      <c r="E47" s="227"/>
      <c r="F47" s="227"/>
    </row>
    <row r="48" spans="1:8" s="234" customFormat="1" ht="12" customHeight="1">
      <c r="A48" s="239" t="s">
        <v>341</v>
      </c>
      <c r="B48" s="240"/>
      <c r="C48" s="227"/>
      <c r="D48" s="227"/>
      <c r="E48" s="227"/>
      <c r="F48" s="227"/>
    </row>
    <row r="49" spans="1:6" s="234" customFormat="1" ht="12" customHeight="1">
      <c r="A49" s="239" t="s">
        <v>342</v>
      </c>
      <c r="B49" s="240"/>
      <c r="C49" s="227"/>
      <c r="D49" s="227"/>
      <c r="E49" s="227"/>
      <c r="F49" s="227"/>
    </row>
    <row r="50" spans="1:6" s="218" customFormat="1" ht="12" customHeight="1">
      <c r="A50" s="239" t="s">
        <v>343</v>
      </c>
      <c r="B50" s="239"/>
      <c r="C50" s="217"/>
      <c r="D50" s="217"/>
      <c r="E50" s="217"/>
      <c r="F50" s="217"/>
    </row>
    <row r="51" spans="1:6" s="218" customFormat="1" ht="12" customHeight="1">
      <c r="A51" s="239" t="s">
        <v>344</v>
      </c>
      <c r="B51" s="239"/>
      <c r="C51" s="217"/>
      <c r="D51" s="217"/>
      <c r="E51" s="217"/>
      <c r="F51" s="217"/>
    </row>
    <row r="52" spans="1:6" s="218" customFormat="1" ht="12" customHeight="1">
      <c r="A52" s="239" t="s">
        <v>345</v>
      </c>
      <c r="B52" s="239"/>
      <c r="C52" s="217"/>
      <c r="D52" s="217"/>
      <c r="E52" s="217"/>
      <c r="F52" s="217"/>
    </row>
    <row r="53" spans="1:6" s="218" customFormat="1" ht="12" customHeight="1">
      <c r="A53" s="239" t="s">
        <v>346</v>
      </c>
      <c r="B53" s="239"/>
      <c r="C53" s="217"/>
      <c r="D53" s="217"/>
      <c r="E53" s="217"/>
      <c r="F53" s="217"/>
    </row>
    <row r="54" spans="1:6" s="218" customFormat="1" ht="12" customHeight="1">
      <c r="A54" s="239" t="s">
        <v>347</v>
      </c>
      <c r="B54" s="239"/>
      <c r="C54" s="217"/>
      <c r="D54" s="217"/>
      <c r="E54" s="217"/>
      <c r="F54" s="217"/>
    </row>
    <row r="55" spans="1:6" s="218" customFormat="1" ht="12" customHeight="1">
      <c r="A55" s="239" t="s">
        <v>348</v>
      </c>
      <c r="B55" s="239"/>
      <c r="C55" s="217"/>
      <c r="D55" s="217"/>
      <c r="E55" s="217"/>
      <c r="F55" s="217"/>
    </row>
    <row r="56" spans="1:6" s="234" customFormat="1" ht="12" customHeight="1">
      <c r="A56" s="239" t="s">
        <v>349</v>
      </c>
      <c r="B56" s="240"/>
      <c r="C56" s="227"/>
      <c r="D56" s="227"/>
      <c r="E56" s="227"/>
      <c r="F56" s="227"/>
    </row>
    <row r="57" spans="1:6" s="234" customFormat="1" ht="6" customHeight="1">
      <c r="A57" s="240"/>
      <c r="B57" s="240"/>
      <c r="C57" s="227"/>
      <c r="D57" s="227"/>
      <c r="E57" s="227"/>
      <c r="F57" s="227"/>
    </row>
    <row r="58" spans="1:6" s="234" customFormat="1" ht="12" customHeight="1">
      <c r="A58" s="217" t="s">
        <v>350</v>
      </c>
      <c r="B58" s="227"/>
      <c r="D58" s="227"/>
      <c r="E58" s="227"/>
      <c r="F58" s="227"/>
    </row>
    <row r="59" spans="1:6" s="234" customFormat="1" ht="12" customHeight="1">
      <c r="A59" s="217" t="s">
        <v>351</v>
      </c>
      <c r="B59" s="227"/>
    </row>
    <row r="60" spans="1:6" s="234" customFormat="1" ht="12" customHeight="1">
      <c r="A60" s="217" t="s">
        <v>352</v>
      </c>
      <c r="B60" s="227"/>
    </row>
    <row r="61" spans="1:6" s="234" customFormat="1" ht="12" customHeight="1">
      <c r="A61" s="217" t="s">
        <v>353</v>
      </c>
      <c r="B61" s="227"/>
    </row>
    <row r="62" spans="1:6" s="234" customFormat="1" ht="12" customHeight="1">
      <c r="A62" s="217" t="s">
        <v>354</v>
      </c>
      <c r="B62" s="227"/>
    </row>
    <row r="63" spans="1:6" s="234" customFormat="1" ht="12" customHeight="1">
      <c r="A63" s="217" t="s">
        <v>355</v>
      </c>
      <c r="B63" s="227"/>
    </row>
    <row r="64" spans="1:6" s="234" customFormat="1" ht="6" customHeight="1">
      <c r="A64" s="218"/>
    </row>
    <row r="65" spans="1:6" s="234" customFormat="1" ht="12" customHeight="1">
      <c r="A65" s="217" t="s">
        <v>356</v>
      </c>
      <c r="B65" s="227"/>
    </row>
    <row r="66" spans="1:6" s="234" customFormat="1" ht="12">
      <c r="A66" s="217" t="s">
        <v>357</v>
      </c>
      <c r="B66" s="227"/>
    </row>
    <row r="67" spans="1:6">
      <c r="F67" s="241"/>
    </row>
  </sheetData>
  <mergeCells count="3">
    <mergeCell ref="B3:C3"/>
    <mergeCell ref="E3:F3"/>
    <mergeCell ref="E35:F35"/>
  </mergeCells>
  <pageMargins left="0.6692913385826772" right="0.51181102362204722" top="0.51181102362204722" bottom="0.51181102362204722" header="0.27559055118110237" footer="0.27559055118110237"/>
  <pageSetup paperSize="9" orientation="portrait"/>
  <headerFooter alignWithMargins="0">
    <oddFooter>&amp;C&amp;P</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enableFormatConditionsCalculation="0">
    <pageSetUpPr fitToPage="1"/>
  </sheetPr>
  <dimension ref="A1:U54"/>
  <sheetViews>
    <sheetView workbookViewId="0"/>
  </sheetViews>
  <sheetFormatPr baseColWidth="10" defaultColWidth="8.83203125" defaultRowHeight="12" x14ac:dyDescent="0"/>
  <cols>
    <col min="1" max="1" width="13.5" style="84" customWidth="1"/>
    <col min="2" max="2" width="25.5" style="84" customWidth="1"/>
    <col min="3" max="3" width="13" style="84" customWidth="1"/>
    <col min="4" max="4" width="8.83203125" style="84"/>
    <col min="5" max="5" width="13" style="84" customWidth="1"/>
    <col min="6" max="6" width="12.1640625" style="84" customWidth="1"/>
    <col min="7" max="9" width="8.83203125" style="84"/>
    <col min="10" max="10" width="29.1640625" style="84" customWidth="1"/>
    <col min="11" max="11" width="11.33203125" style="84" customWidth="1"/>
    <col min="12" max="256" width="8.83203125" style="84"/>
    <col min="257" max="257" width="13.5" style="84" customWidth="1"/>
    <col min="258" max="258" width="25.5" style="84" customWidth="1"/>
    <col min="259" max="259" width="13" style="84" customWidth="1"/>
    <col min="260" max="260" width="8.83203125" style="84"/>
    <col min="261" max="261" width="13" style="84" customWidth="1"/>
    <col min="262" max="262" width="12.1640625" style="84" customWidth="1"/>
    <col min="263" max="265" width="8.83203125" style="84"/>
    <col min="266" max="266" width="29.1640625" style="84" customWidth="1"/>
    <col min="267" max="267" width="11.33203125" style="84" customWidth="1"/>
    <col min="268" max="512" width="8.83203125" style="84"/>
    <col min="513" max="513" width="13.5" style="84" customWidth="1"/>
    <col min="514" max="514" width="25.5" style="84" customWidth="1"/>
    <col min="515" max="515" width="13" style="84" customWidth="1"/>
    <col min="516" max="516" width="8.83203125" style="84"/>
    <col min="517" max="517" width="13" style="84" customWidth="1"/>
    <col min="518" max="518" width="12.1640625" style="84" customWidth="1"/>
    <col min="519" max="521" width="8.83203125" style="84"/>
    <col min="522" max="522" width="29.1640625" style="84" customWidth="1"/>
    <col min="523" max="523" width="11.33203125" style="84" customWidth="1"/>
    <col min="524" max="768" width="8.83203125" style="84"/>
    <col min="769" max="769" width="13.5" style="84" customWidth="1"/>
    <col min="770" max="770" width="25.5" style="84" customWidth="1"/>
    <col min="771" max="771" width="13" style="84" customWidth="1"/>
    <col min="772" max="772" width="8.83203125" style="84"/>
    <col min="773" max="773" width="13" style="84" customWidth="1"/>
    <col min="774" max="774" width="12.1640625" style="84" customWidth="1"/>
    <col min="775" max="777" width="8.83203125" style="84"/>
    <col min="778" max="778" width="29.1640625" style="84" customWidth="1"/>
    <col min="779" max="779" width="11.33203125" style="84" customWidth="1"/>
    <col min="780" max="1024" width="8.83203125" style="84"/>
    <col min="1025" max="1025" width="13.5" style="84" customWidth="1"/>
    <col min="1026" max="1026" width="25.5" style="84" customWidth="1"/>
    <col min="1027" max="1027" width="13" style="84" customWidth="1"/>
    <col min="1028" max="1028" width="8.83203125" style="84"/>
    <col min="1029" max="1029" width="13" style="84" customWidth="1"/>
    <col min="1030" max="1030" width="12.1640625" style="84" customWidth="1"/>
    <col min="1031" max="1033" width="8.83203125" style="84"/>
    <col min="1034" max="1034" width="29.1640625" style="84" customWidth="1"/>
    <col min="1035" max="1035" width="11.33203125" style="84" customWidth="1"/>
    <col min="1036" max="1280" width="8.83203125" style="84"/>
    <col min="1281" max="1281" width="13.5" style="84" customWidth="1"/>
    <col min="1282" max="1282" width="25.5" style="84" customWidth="1"/>
    <col min="1283" max="1283" width="13" style="84" customWidth="1"/>
    <col min="1284" max="1284" width="8.83203125" style="84"/>
    <col min="1285" max="1285" width="13" style="84" customWidth="1"/>
    <col min="1286" max="1286" width="12.1640625" style="84" customWidth="1"/>
    <col min="1287" max="1289" width="8.83203125" style="84"/>
    <col min="1290" max="1290" width="29.1640625" style="84" customWidth="1"/>
    <col min="1291" max="1291" width="11.33203125" style="84" customWidth="1"/>
    <col min="1292" max="1536" width="8.83203125" style="84"/>
    <col min="1537" max="1537" width="13.5" style="84" customWidth="1"/>
    <col min="1538" max="1538" width="25.5" style="84" customWidth="1"/>
    <col min="1539" max="1539" width="13" style="84" customWidth="1"/>
    <col min="1540" max="1540" width="8.83203125" style="84"/>
    <col min="1541" max="1541" width="13" style="84" customWidth="1"/>
    <col min="1542" max="1542" width="12.1640625" style="84" customWidth="1"/>
    <col min="1543" max="1545" width="8.83203125" style="84"/>
    <col min="1546" max="1546" width="29.1640625" style="84" customWidth="1"/>
    <col min="1547" max="1547" width="11.33203125" style="84" customWidth="1"/>
    <col min="1548" max="1792" width="8.83203125" style="84"/>
    <col min="1793" max="1793" width="13.5" style="84" customWidth="1"/>
    <col min="1794" max="1794" width="25.5" style="84" customWidth="1"/>
    <col min="1795" max="1795" width="13" style="84" customWidth="1"/>
    <col min="1796" max="1796" width="8.83203125" style="84"/>
    <col min="1797" max="1797" width="13" style="84" customWidth="1"/>
    <col min="1798" max="1798" width="12.1640625" style="84" customWidth="1"/>
    <col min="1799" max="1801" width="8.83203125" style="84"/>
    <col min="1802" max="1802" width="29.1640625" style="84" customWidth="1"/>
    <col min="1803" max="1803" width="11.33203125" style="84" customWidth="1"/>
    <col min="1804" max="2048" width="8.83203125" style="84"/>
    <col min="2049" max="2049" width="13.5" style="84" customWidth="1"/>
    <col min="2050" max="2050" width="25.5" style="84" customWidth="1"/>
    <col min="2051" max="2051" width="13" style="84" customWidth="1"/>
    <col min="2052" max="2052" width="8.83203125" style="84"/>
    <col min="2053" max="2053" width="13" style="84" customWidth="1"/>
    <col min="2054" max="2054" width="12.1640625" style="84" customWidth="1"/>
    <col min="2055" max="2057" width="8.83203125" style="84"/>
    <col min="2058" max="2058" width="29.1640625" style="84" customWidth="1"/>
    <col min="2059" max="2059" width="11.33203125" style="84" customWidth="1"/>
    <col min="2060" max="2304" width="8.83203125" style="84"/>
    <col min="2305" max="2305" width="13.5" style="84" customWidth="1"/>
    <col min="2306" max="2306" width="25.5" style="84" customWidth="1"/>
    <col min="2307" max="2307" width="13" style="84" customWidth="1"/>
    <col min="2308" max="2308" width="8.83203125" style="84"/>
    <col min="2309" max="2309" width="13" style="84" customWidth="1"/>
    <col min="2310" max="2310" width="12.1640625" style="84" customWidth="1"/>
    <col min="2311" max="2313" width="8.83203125" style="84"/>
    <col min="2314" max="2314" width="29.1640625" style="84" customWidth="1"/>
    <col min="2315" max="2315" width="11.33203125" style="84" customWidth="1"/>
    <col min="2316" max="2560" width="8.83203125" style="84"/>
    <col min="2561" max="2561" width="13.5" style="84" customWidth="1"/>
    <col min="2562" max="2562" width="25.5" style="84" customWidth="1"/>
    <col min="2563" max="2563" width="13" style="84" customWidth="1"/>
    <col min="2564" max="2564" width="8.83203125" style="84"/>
    <col min="2565" max="2565" width="13" style="84" customWidth="1"/>
    <col min="2566" max="2566" width="12.1640625" style="84" customWidth="1"/>
    <col min="2567" max="2569" width="8.83203125" style="84"/>
    <col min="2570" max="2570" width="29.1640625" style="84" customWidth="1"/>
    <col min="2571" max="2571" width="11.33203125" style="84" customWidth="1"/>
    <col min="2572" max="2816" width="8.83203125" style="84"/>
    <col min="2817" max="2817" width="13.5" style="84" customWidth="1"/>
    <col min="2818" max="2818" width="25.5" style="84" customWidth="1"/>
    <col min="2819" max="2819" width="13" style="84" customWidth="1"/>
    <col min="2820" max="2820" width="8.83203125" style="84"/>
    <col min="2821" max="2821" width="13" style="84" customWidth="1"/>
    <col min="2822" max="2822" width="12.1640625" style="84" customWidth="1"/>
    <col min="2823" max="2825" width="8.83203125" style="84"/>
    <col min="2826" max="2826" width="29.1640625" style="84" customWidth="1"/>
    <col min="2827" max="2827" width="11.33203125" style="84" customWidth="1"/>
    <col min="2828" max="3072" width="8.83203125" style="84"/>
    <col min="3073" max="3073" width="13.5" style="84" customWidth="1"/>
    <col min="3074" max="3074" width="25.5" style="84" customWidth="1"/>
    <col min="3075" max="3075" width="13" style="84" customWidth="1"/>
    <col min="3076" max="3076" width="8.83203125" style="84"/>
    <col min="3077" max="3077" width="13" style="84" customWidth="1"/>
    <col min="3078" max="3078" width="12.1640625" style="84" customWidth="1"/>
    <col min="3079" max="3081" width="8.83203125" style="84"/>
    <col min="3082" max="3082" width="29.1640625" style="84" customWidth="1"/>
    <col min="3083" max="3083" width="11.33203125" style="84" customWidth="1"/>
    <col min="3084" max="3328" width="8.83203125" style="84"/>
    <col min="3329" max="3329" width="13.5" style="84" customWidth="1"/>
    <col min="3330" max="3330" width="25.5" style="84" customWidth="1"/>
    <col min="3331" max="3331" width="13" style="84" customWidth="1"/>
    <col min="3332" max="3332" width="8.83203125" style="84"/>
    <col min="3333" max="3333" width="13" style="84" customWidth="1"/>
    <col min="3334" max="3334" width="12.1640625" style="84" customWidth="1"/>
    <col min="3335" max="3337" width="8.83203125" style="84"/>
    <col min="3338" max="3338" width="29.1640625" style="84" customWidth="1"/>
    <col min="3339" max="3339" width="11.33203125" style="84" customWidth="1"/>
    <col min="3340" max="3584" width="8.83203125" style="84"/>
    <col min="3585" max="3585" width="13.5" style="84" customWidth="1"/>
    <col min="3586" max="3586" width="25.5" style="84" customWidth="1"/>
    <col min="3587" max="3587" width="13" style="84" customWidth="1"/>
    <col min="3588" max="3588" width="8.83203125" style="84"/>
    <col min="3589" max="3589" width="13" style="84" customWidth="1"/>
    <col min="3590" max="3590" width="12.1640625" style="84" customWidth="1"/>
    <col min="3591" max="3593" width="8.83203125" style="84"/>
    <col min="3594" max="3594" width="29.1640625" style="84" customWidth="1"/>
    <col min="3595" max="3595" width="11.33203125" style="84" customWidth="1"/>
    <col min="3596" max="3840" width="8.83203125" style="84"/>
    <col min="3841" max="3841" width="13.5" style="84" customWidth="1"/>
    <col min="3842" max="3842" width="25.5" style="84" customWidth="1"/>
    <col min="3843" max="3843" width="13" style="84" customWidth="1"/>
    <col min="3844" max="3844" width="8.83203125" style="84"/>
    <col min="3845" max="3845" width="13" style="84" customWidth="1"/>
    <col min="3846" max="3846" width="12.1640625" style="84" customWidth="1"/>
    <col min="3847" max="3849" width="8.83203125" style="84"/>
    <col min="3850" max="3850" width="29.1640625" style="84" customWidth="1"/>
    <col min="3851" max="3851" width="11.33203125" style="84" customWidth="1"/>
    <col min="3852" max="4096" width="8.83203125" style="84"/>
    <col min="4097" max="4097" width="13.5" style="84" customWidth="1"/>
    <col min="4098" max="4098" width="25.5" style="84" customWidth="1"/>
    <col min="4099" max="4099" width="13" style="84" customWidth="1"/>
    <col min="4100" max="4100" width="8.83203125" style="84"/>
    <col min="4101" max="4101" width="13" style="84" customWidth="1"/>
    <col min="4102" max="4102" width="12.1640625" style="84" customWidth="1"/>
    <col min="4103" max="4105" width="8.83203125" style="84"/>
    <col min="4106" max="4106" width="29.1640625" style="84" customWidth="1"/>
    <col min="4107" max="4107" width="11.33203125" style="84" customWidth="1"/>
    <col min="4108" max="4352" width="8.83203125" style="84"/>
    <col min="4353" max="4353" width="13.5" style="84" customWidth="1"/>
    <col min="4354" max="4354" width="25.5" style="84" customWidth="1"/>
    <col min="4355" max="4355" width="13" style="84" customWidth="1"/>
    <col min="4356" max="4356" width="8.83203125" style="84"/>
    <col min="4357" max="4357" width="13" style="84" customWidth="1"/>
    <col min="4358" max="4358" width="12.1640625" style="84" customWidth="1"/>
    <col min="4359" max="4361" width="8.83203125" style="84"/>
    <col min="4362" max="4362" width="29.1640625" style="84" customWidth="1"/>
    <col min="4363" max="4363" width="11.33203125" style="84" customWidth="1"/>
    <col min="4364" max="4608" width="8.83203125" style="84"/>
    <col min="4609" max="4609" width="13.5" style="84" customWidth="1"/>
    <col min="4610" max="4610" width="25.5" style="84" customWidth="1"/>
    <col min="4611" max="4611" width="13" style="84" customWidth="1"/>
    <col min="4612" max="4612" width="8.83203125" style="84"/>
    <col min="4613" max="4613" width="13" style="84" customWidth="1"/>
    <col min="4614" max="4614" width="12.1640625" style="84" customWidth="1"/>
    <col min="4615" max="4617" width="8.83203125" style="84"/>
    <col min="4618" max="4618" width="29.1640625" style="84" customWidth="1"/>
    <col min="4619" max="4619" width="11.33203125" style="84" customWidth="1"/>
    <col min="4620" max="4864" width="8.83203125" style="84"/>
    <col min="4865" max="4865" width="13.5" style="84" customWidth="1"/>
    <col min="4866" max="4866" width="25.5" style="84" customWidth="1"/>
    <col min="4867" max="4867" width="13" style="84" customWidth="1"/>
    <col min="4868" max="4868" width="8.83203125" style="84"/>
    <col min="4869" max="4869" width="13" style="84" customWidth="1"/>
    <col min="4870" max="4870" width="12.1640625" style="84" customWidth="1"/>
    <col min="4871" max="4873" width="8.83203125" style="84"/>
    <col min="4874" max="4874" width="29.1640625" style="84" customWidth="1"/>
    <col min="4875" max="4875" width="11.33203125" style="84" customWidth="1"/>
    <col min="4876" max="5120" width="8.83203125" style="84"/>
    <col min="5121" max="5121" width="13.5" style="84" customWidth="1"/>
    <col min="5122" max="5122" width="25.5" style="84" customWidth="1"/>
    <col min="5123" max="5123" width="13" style="84" customWidth="1"/>
    <col min="5124" max="5124" width="8.83203125" style="84"/>
    <col min="5125" max="5125" width="13" style="84" customWidth="1"/>
    <col min="5126" max="5126" width="12.1640625" style="84" customWidth="1"/>
    <col min="5127" max="5129" width="8.83203125" style="84"/>
    <col min="5130" max="5130" width="29.1640625" style="84" customWidth="1"/>
    <col min="5131" max="5131" width="11.33203125" style="84" customWidth="1"/>
    <col min="5132" max="5376" width="8.83203125" style="84"/>
    <col min="5377" max="5377" width="13.5" style="84" customWidth="1"/>
    <col min="5378" max="5378" width="25.5" style="84" customWidth="1"/>
    <col min="5379" max="5379" width="13" style="84" customWidth="1"/>
    <col min="5380" max="5380" width="8.83203125" style="84"/>
    <col min="5381" max="5381" width="13" style="84" customWidth="1"/>
    <col min="5382" max="5382" width="12.1640625" style="84" customWidth="1"/>
    <col min="5383" max="5385" width="8.83203125" style="84"/>
    <col min="5386" max="5386" width="29.1640625" style="84" customWidth="1"/>
    <col min="5387" max="5387" width="11.33203125" style="84" customWidth="1"/>
    <col min="5388" max="5632" width="8.83203125" style="84"/>
    <col min="5633" max="5633" width="13.5" style="84" customWidth="1"/>
    <col min="5634" max="5634" width="25.5" style="84" customWidth="1"/>
    <col min="5635" max="5635" width="13" style="84" customWidth="1"/>
    <col min="5636" max="5636" width="8.83203125" style="84"/>
    <col min="5637" max="5637" width="13" style="84" customWidth="1"/>
    <col min="5638" max="5638" width="12.1640625" style="84" customWidth="1"/>
    <col min="5639" max="5641" width="8.83203125" style="84"/>
    <col min="5642" max="5642" width="29.1640625" style="84" customWidth="1"/>
    <col min="5643" max="5643" width="11.33203125" style="84" customWidth="1"/>
    <col min="5644" max="5888" width="8.83203125" style="84"/>
    <col min="5889" max="5889" width="13.5" style="84" customWidth="1"/>
    <col min="5890" max="5890" width="25.5" style="84" customWidth="1"/>
    <col min="5891" max="5891" width="13" style="84" customWidth="1"/>
    <col min="5892" max="5892" width="8.83203125" style="84"/>
    <col min="5893" max="5893" width="13" style="84" customWidth="1"/>
    <col min="5894" max="5894" width="12.1640625" style="84" customWidth="1"/>
    <col min="5895" max="5897" width="8.83203125" style="84"/>
    <col min="5898" max="5898" width="29.1640625" style="84" customWidth="1"/>
    <col min="5899" max="5899" width="11.33203125" style="84" customWidth="1"/>
    <col min="5900" max="6144" width="8.83203125" style="84"/>
    <col min="6145" max="6145" width="13.5" style="84" customWidth="1"/>
    <col min="6146" max="6146" width="25.5" style="84" customWidth="1"/>
    <col min="6147" max="6147" width="13" style="84" customWidth="1"/>
    <col min="6148" max="6148" width="8.83203125" style="84"/>
    <col min="6149" max="6149" width="13" style="84" customWidth="1"/>
    <col min="6150" max="6150" width="12.1640625" style="84" customWidth="1"/>
    <col min="6151" max="6153" width="8.83203125" style="84"/>
    <col min="6154" max="6154" width="29.1640625" style="84" customWidth="1"/>
    <col min="6155" max="6155" width="11.33203125" style="84" customWidth="1"/>
    <col min="6156" max="6400" width="8.83203125" style="84"/>
    <col min="6401" max="6401" width="13.5" style="84" customWidth="1"/>
    <col min="6402" max="6402" width="25.5" style="84" customWidth="1"/>
    <col min="6403" max="6403" width="13" style="84" customWidth="1"/>
    <col min="6404" max="6404" width="8.83203125" style="84"/>
    <col min="6405" max="6405" width="13" style="84" customWidth="1"/>
    <col min="6406" max="6406" width="12.1640625" style="84" customWidth="1"/>
    <col min="6407" max="6409" width="8.83203125" style="84"/>
    <col min="6410" max="6410" width="29.1640625" style="84" customWidth="1"/>
    <col min="6411" max="6411" width="11.33203125" style="84" customWidth="1"/>
    <col min="6412" max="6656" width="8.83203125" style="84"/>
    <col min="6657" max="6657" width="13.5" style="84" customWidth="1"/>
    <col min="6658" max="6658" width="25.5" style="84" customWidth="1"/>
    <col min="6659" max="6659" width="13" style="84" customWidth="1"/>
    <col min="6660" max="6660" width="8.83203125" style="84"/>
    <col min="6661" max="6661" width="13" style="84" customWidth="1"/>
    <col min="6662" max="6662" width="12.1640625" style="84" customWidth="1"/>
    <col min="6663" max="6665" width="8.83203125" style="84"/>
    <col min="6666" max="6666" width="29.1640625" style="84" customWidth="1"/>
    <col min="6667" max="6667" width="11.33203125" style="84" customWidth="1"/>
    <col min="6668" max="6912" width="8.83203125" style="84"/>
    <col min="6913" max="6913" width="13.5" style="84" customWidth="1"/>
    <col min="6914" max="6914" width="25.5" style="84" customWidth="1"/>
    <col min="6915" max="6915" width="13" style="84" customWidth="1"/>
    <col min="6916" max="6916" width="8.83203125" style="84"/>
    <col min="6917" max="6917" width="13" style="84" customWidth="1"/>
    <col min="6918" max="6918" width="12.1640625" style="84" customWidth="1"/>
    <col min="6919" max="6921" width="8.83203125" style="84"/>
    <col min="6922" max="6922" width="29.1640625" style="84" customWidth="1"/>
    <col min="6923" max="6923" width="11.33203125" style="84" customWidth="1"/>
    <col min="6924" max="7168" width="8.83203125" style="84"/>
    <col min="7169" max="7169" width="13.5" style="84" customWidth="1"/>
    <col min="7170" max="7170" width="25.5" style="84" customWidth="1"/>
    <col min="7171" max="7171" width="13" style="84" customWidth="1"/>
    <col min="7172" max="7172" width="8.83203125" style="84"/>
    <col min="7173" max="7173" width="13" style="84" customWidth="1"/>
    <col min="7174" max="7174" width="12.1640625" style="84" customWidth="1"/>
    <col min="7175" max="7177" width="8.83203125" style="84"/>
    <col min="7178" max="7178" width="29.1640625" style="84" customWidth="1"/>
    <col min="7179" max="7179" width="11.33203125" style="84" customWidth="1"/>
    <col min="7180" max="7424" width="8.83203125" style="84"/>
    <col min="7425" max="7425" width="13.5" style="84" customWidth="1"/>
    <col min="7426" max="7426" width="25.5" style="84" customWidth="1"/>
    <col min="7427" max="7427" width="13" style="84" customWidth="1"/>
    <col min="7428" max="7428" width="8.83203125" style="84"/>
    <col min="7429" max="7429" width="13" style="84" customWidth="1"/>
    <col min="7430" max="7430" width="12.1640625" style="84" customWidth="1"/>
    <col min="7431" max="7433" width="8.83203125" style="84"/>
    <col min="7434" max="7434" width="29.1640625" style="84" customWidth="1"/>
    <col min="7435" max="7435" width="11.33203125" style="84" customWidth="1"/>
    <col min="7436" max="7680" width="8.83203125" style="84"/>
    <col min="7681" max="7681" width="13.5" style="84" customWidth="1"/>
    <col min="7682" max="7682" width="25.5" style="84" customWidth="1"/>
    <col min="7683" max="7683" width="13" style="84" customWidth="1"/>
    <col min="7684" max="7684" width="8.83203125" style="84"/>
    <col min="7685" max="7685" width="13" style="84" customWidth="1"/>
    <col min="7686" max="7686" width="12.1640625" style="84" customWidth="1"/>
    <col min="7687" max="7689" width="8.83203125" style="84"/>
    <col min="7690" max="7690" width="29.1640625" style="84" customWidth="1"/>
    <col min="7691" max="7691" width="11.33203125" style="84" customWidth="1"/>
    <col min="7692" max="7936" width="8.83203125" style="84"/>
    <col min="7937" max="7937" width="13.5" style="84" customWidth="1"/>
    <col min="7938" max="7938" width="25.5" style="84" customWidth="1"/>
    <col min="7939" max="7939" width="13" style="84" customWidth="1"/>
    <col min="7940" max="7940" width="8.83203125" style="84"/>
    <col min="7941" max="7941" width="13" style="84" customWidth="1"/>
    <col min="7942" max="7942" width="12.1640625" style="84" customWidth="1"/>
    <col min="7943" max="7945" width="8.83203125" style="84"/>
    <col min="7946" max="7946" width="29.1640625" style="84" customWidth="1"/>
    <col min="7947" max="7947" width="11.33203125" style="84" customWidth="1"/>
    <col min="7948" max="8192" width="8.83203125" style="84"/>
    <col min="8193" max="8193" width="13.5" style="84" customWidth="1"/>
    <col min="8194" max="8194" width="25.5" style="84" customWidth="1"/>
    <col min="8195" max="8195" width="13" style="84" customWidth="1"/>
    <col min="8196" max="8196" width="8.83203125" style="84"/>
    <col min="8197" max="8197" width="13" style="84" customWidth="1"/>
    <col min="8198" max="8198" width="12.1640625" style="84" customWidth="1"/>
    <col min="8199" max="8201" width="8.83203125" style="84"/>
    <col min="8202" max="8202" width="29.1640625" style="84" customWidth="1"/>
    <col min="8203" max="8203" width="11.33203125" style="84" customWidth="1"/>
    <col min="8204" max="8448" width="8.83203125" style="84"/>
    <col min="8449" max="8449" width="13.5" style="84" customWidth="1"/>
    <col min="8450" max="8450" width="25.5" style="84" customWidth="1"/>
    <col min="8451" max="8451" width="13" style="84" customWidth="1"/>
    <col min="8452" max="8452" width="8.83203125" style="84"/>
    <col min="8453" max="8453" width="13" style="84" customWidth="1"/>
    <col min="8454" max="8454" width="12.1640625" style="84" customWidth="1"/>
    <col min="8455" max="8457" width="8.83203125" style="84"/>
    <col min="8458" max="8458" width="29.1640625" style="84" customWidth="1"/>
    <col min="8459" max="8459" width="11.33203125" style="84" customWidth="1"/>
    <col min="8460" max="8704" width="8.83203125" style="84"/>
    <col min="8705" max="8705" width="13.5" style="84" customWidth="1"/>
    <col min="8706" max="8706" width="25.5" style="84" customWidth="1"/>
    <col min="8707" max="8707" width="13" style="84" customWidth="1"/>
    <col min="8708" max="8708" width="8.83203125" style="84"/>
    <col min="8709" max="8709" width="13" style="84" customWidth="1"/>
    <col min="8710" max="8710" width="12.1640625" style="84" customWidth="1"/>
    <col min="8711" max="8713" width="8.83203125" style="84"/>
    <col min="8714" max="8714" width="29.1640625" style="84" customWidth="1"/>
    <col min="8715" max="8715" width="11.33203125" style="84" customWidth="1"/>
    <col min="8716" max="8960" width="8.83203125" style="84"/>
    <col min="8961" max="8961" width="13.5" style="84" customWidth="1"/>
    <col min="8962" max="8962" width="25.5" style="84" customWidth="1"/>
    <col min="8963" max="8963" width="13" style="84" customWidth="1"/>
    <col min="8964" max="8964" width="8.83203125" style="84"/>
    <col min="8965" max="8965" width="13" style="84" customWidth="1"/>
    <col min="8966" max="8966" width="12.1640625" style="84" customWidth="1"/>
    <col min="8967" max="8969" width="8.83203125" style="84"/>
    <col min="8970" max="8970" width="29.1640625" style="84" customWidth="1"/>
    <col min="8971" max="8971" width="11.33203125" style="84" customWidth="1"/>
    <col min="8972" max="9216" width="8.83203125" style="84"/>
    <col min="9217" max="9217" width="13.5" style="84" customWidth="1"/>
    <col min="9218" max="9218" width="25.5" style="84" customWidth="1"/>
    <col min="9219" max="9219" width="13" style="84" customWidth="1"/>
    <col min="9220" max="9220" width="8.83203125" style="84"/>
    <col min="9221" max="9221" width="13" style="84" customWidth="1"/>
    <col min="9222" max="9222" width="12.1640625" style="84" customWidth="1"/>
    <col min="9223" max="9225" width="8.83203125" style="84"/>
    <col min="9226" max="9226" width="29.1640625" style="84" customWidth="1"/>
    <col min="9227" max="9227" width="11.33203125" style="84" customWidth="1"/>
    <col min="9228" max="9472" width="8.83203125" style="84"/>
    <col min="9473" max="9473" width="13.5" style="84" customWidth="1"/>
    <col min="9474" max="9474" width="25.5" style="84" customWidth="1"/>
    <col min="9475" max="9475" width="13" style="84" customWidth="1"/>
    <col min="9476" max="9476" width="8.83203125" style="84"/>
    <col min="9477" max="9477" width="13" style="84" customWidth="1"/>
    <col min="9478" max="9478" width="12.1640625" style="84" customWidth="1"/>
    <col min="9479" max="9481" width="8.83203125" style="84"/>
    <col min="9482" max="9482" width="29.1640625" style="84" customWidth="1"/>
    <col min="9483" max="9483" width="11.33203125" style="84" customWidth="1"/>
    <col min="9484" max="9728" width="8.83203125" style="84"/>
    <col min="9729" max="9729" width="13.5" style="84" customWidth="1"/>
    <col min="9730" max="9730" width="25.5" style="84" customWidth="1"/>
    <col min="9731" max="9731" width="13" style="84" customWidth="1"/>
    <col min="9732" max="9732" width="8.83203125" style="84"/>
    <col min="9733" max="9733" width="13" style="84" customWidth="1"/>
    <col min="9734" max="9734" width="12.1640625" style="84" customWidth="1"/>
    <col min="9735" max="9737" width="8.83203125" style="84"/>
    <col min="9738" max="9738" width="29.1640625" style="84" customWidth="1"/>
    <col min="9739" max="9739" width="11.33203125" style="84" customWidth="1"/>
    <col min="9740" max="9984" width="8.83203125" style="84"/>
    <col min="9985" max="9985" width="13.5" style="84" customWidth="1"/>
    <col min="9986" max="9986" width="25.5" style="84" customWidth="1"/>
    <col min="9987" max="9987" width="13" style="84" customWidth="1"/>
    <col min="9988" max="9988" width="8.83203125" style="84"/>
    <col min="9989" max="9989" width="13" style="84" customWidth="1"/>
    <col min="9990" max="9990" width="12.1640625" style="84" customWidth="1"/>
    <col min="9991" max="9993" width="8.83203125" style="84"/>
    <col min="9994" max="9994" width="29.1640625" style="84" customWidth="1"/>
    <col min="9995" max="9995" width="11.33203125" style="84" customWidth="1"/>
    <col min="9996" max="10240" width="8.83203125" style="84"/>
    <col min="10241" max="10241" width="13.5" style="84" customWidth="1"/>
    <col min="10242" max="10242" width="25.5" style="84" customWidth="1"/>
    <col min="10243" max="10243" width="13" style="84" customWidth="1"/>
    <col min="10244" max="10244" width="8.83203125" style="84"/>
    <col min="10245" max="10245" width="13" style="84" customWidth="1"/>
    <col min="10246" max="10246" width="12.1640625" style="84" customWidth="1"/>
    <col min="10247" max="10249" width="8.83203125" style="84"/>
    <col min="10250" max="10250" width="29.1640625" style="84" customWidth="1"/>
    <col min="10251" max="10251" width="11.33203125" style="84" customWidth="1"/>
    <col min="10252" max="10496" width="8.83203125" style="84"/>
    <col min="10497" max="10497" width="13.5" style="84" customWidth="1"/>
    <col min="10498" max="10498" width="25.5" style="84" customWidth="1"/>
    <col min="10499" max="10499" width="13" style="84" customWidth="1"/>
    <col min="10500" max="10500" width="8.83203125" style="84"/>
    <col min="10501" max="10501" width="13" style="84" customWidth="1"/>
    <col min="10502" max="10502" width="12.1640625" style="84" customWidth="1"/>
    <col min="10503" max="10505" width="8.83203125" style="84"/>
    <col min="10506" max="10506" width="29.1640625" style="84" customWidth="1"/>
    <col min="10507" max="10507" width="11.33203125" style="84" customWidth="1"/>
    <col min="10508" max="10752" width="8.83203125" style="84"/>
    <col min="10753" max="10753" width="13.5" style="84" customWidth="1"/>
    <col min="10754" max="10754" width="25.5" style="84" customWidth="1"/>
    <col min="10755" max="10755" width="13" style="84" customWidth="1"/>
    <col min="10756" max="10756" width="8.83203125" style="84"/>
    <col min="10757" max="10757" width="13" style="84" customWidth="1"/>
    <col min="10758" max="10758" width="12.1640625" style="84" customWidth="1"/>
    <col min="10759" max="10761" width="8.83203125" style="84"/>
    <col min="10762" max="10762" width="29.1640625" style="84" customWidth="1"/>
    <col min="10763" max="10763" width="11.33203125" style="84" customWidth="1"/>
    <col min="10764" max="11008" width="8.83203125" style="84"/>
    <col min="11009" max="11009" width="13.5" style="84" customWidth="1"/>
    <col min="11010" max="11010" width="25.5" style="84" customWidth="1"/>
    <col min="11011" max="11011" width="13" style="84" customWidth="1"/>
    <col min="11012" max="11012" width="8.83203125" style="84"/>
    <col min="11013" max="11013" width="13" style="84" customWidth="1"/>
    <col min="11014" max="11014" width="12.1640625" style="84" customWidth="1"/>
    <col min="11015" max="11017" width="8.83203125" style="84"/>
    <col min="11018" max="11018" width="29.1640625" style="84" customWidth="1"/>
    <col min="11019" max="11019" width="11.33203125" style="84" customWidth="1"/>
    <col min="11020" max="11264" width="8.83203125" style="84"/>
    <col min="11265" max="11265" width="13.5" style="84" customWidth="1"/>
    <col min="11266" max="11266" width="25.5" style="84" customWidth="1"/>
    <col min="11267" max="11267" width="13" style="84" customWidth="1"/>
    <col min="11268" max="11268" width="8.83203125" style="84"/>
    <col min="11269" max="11269" width="13" style="84" customWidth="1"/>
    <col min="11270" max="11270" width="12.1640625" style="84" customWidth="1"/>
    <col min="11271" max="11273" width="8.83203125" style="84"/>
    <col min="11274" max="11274" width="29.1640625" style="84" customWidth="1"/>
    <col min="11275" max="11275" width="11.33203125" style="84" customWidth="1"/>
    <col min="11276" max="11520" width="8.83203125" style="84"/>
    <col min="11521" max="11521" width="13.5" style="84" customWidth="1"/>
    <col min="11522" max="11522" width="25.5" style="84" customWidth="1"/>
    <col min="11523" max="11523" width="13" style="84" customWidth="1"/>
    <col min="11524" max="11524" width="8.83203125" style="84"/>
    <col min="11525" max="11525" width="13" style="84" customWidth="1"/>
    <col min="11526" max="11526" width="12.1640625" style="84" customWidth="1"/>
    <col min="11527" max="11529" width="8.83203125" style="84"/>
    <col min="11530" max="11530" width="29.1640625" style="84" customWidth="1"/>
    <col min="11531" max="11531" width="11.33203125" style="84" customWidth="1"/>
    <col min="11532" max="11776" width="8.83203125" style="84"/>
    <col min="11777" max="11777" width="13.5" style="84" customWidth="1"/>
    <col min="11778" max="11778" width="25.5" style="84" customWidth="1"/>
    <col min="11779" max="11779" width="13" style="84" customWidth="1"/>
    <col min="11780" max="11780" width="8.83203125" style="84"/>
    <col min="11781" max="11781" width="13" style="84" customWidth="1"/>
    <col min="11782" max="11782" width="12.1640625" style="84" customWidth="1"/>
    <col min="11783" max="11785" width="8.83203125" style="84"/>
    <col min="11786" max="11786" width="29.1640625" style="84" customWidth="1"/>
    <col min="11787" max="11787" width="11.33203125" style="84" customWidth="1"/>
    <col min="11788" max="12032" width="8.83203125" style="84"/>
    <col min="12033" max="12033" width="13.5" style="84" customWidth="1"/>
    <col min="12034" max="12034" width="25.5" style="84" customWidth="1"/>
    <col min="12035" max="12035" width="13" style="84" customWidth="1"/>
    <col min="12036" max="12036" width="8.83203125" style="84"/>
    <col min="12037" max="12037" width="13" style="84" customWidth="1"/>
    <col min="12038" max="12038" width="12.1640625" style="84" customWidth="1"/>
    <col min="12039" max="12041" width="8.83203125" style="84"/>
    <col min="12042" max="12042" width="29.1640625" style="84" customWidth="1"/>
    <col min="12043" max="12043" width="11.33203125" style="84" customWidth="1"/>
    <col min="12044" max="12288" width="8.83203125" style="84"/>
    <col min="12289" max="12289" width="13.5" style="84" customWidth="1"/>
    <col min="12290" max="12290" width="25.5" style="84" customWidth="1"/>
    <col min="12291" max="12291" width="13" style="84" customWidth="1"/>
    <col min="12292" max="12292" width="8.83203125" style="84"/>
    <col min="12293" max="12293" width="13" style="84" customWidth="1"/>
    <col min="12294" max="12294" width="12.1640625" style="84" customWidth="1"/>
    <col min="12295" max="12297" width="8.83203125" style="84"/>
    <col min="12298" max="12298" width="29.1640625" style="84" customWidth="1"/>
    <col min="12299" max="12299" width="11.33203125" style="84" customWidth="1"/>
    <col min="12300" max="12544" width="8.83203125" style="84"/>
    <col min="12545" max="12545" width="13.5" style="84" customWidth="1"/>
    <col min="12546" max="12546" width="25.5" style="84" customWidth="1"/>
    <col min="12547" max="12547" width="13" style="84" customWidth="1"/>
    <col min="12548" max="12548" width="8.83203125" style="84"/>
    <col min="12549" max="12549" width="13" style="84" customWidth="1"/>
    <col min="12550" max="12550" width="12.1640625" style="84" customWidth="1"/>
    <col min="12551" max="12553" width="8.83203125" style="84"/>
    <col min="12554" max="12554" width="29.1640625" style="84" customWidth="1"/>
    <col min="12555" max="12555" width="11.33203125" style="84" customWidth="1"/>
    <col min="12556" max="12800" width="8.83203125" style="84"/>
    <col min="12801" max="12801" width="13.5" style="84" customWidth="1"/>
    <col min="12802" max="12802" width="25.5" style="84" customWidth="1"/>
    <col min="12803" max="12803" width="13" style="84" customWidth="1"/>
    <col min="12804" max="12804" width="8.83203125" style="84"/>
    <col min="12805" max="12805" width="13" style="84" customWidth="1"/>
    <col min="12806" max="12806" width="12.1640625" style="84" customWidth="1"/>
    <col min="12807" max="12809" width="8.83203125" style="84"/>
    <col min="12810" max="12810" width="29.1640625" style="84" customWidth="1"/>
    <col min="12811" max="12811" width="11.33203125" style="84" customWidth="1"/>
    <col min="12812" max="13056" width="8.83203125" style="84"/>
    <col min="13057" max="13057" width="13.5" style="84" customWidth="1"/>
    <col min="13058" max="13058" width="25.5" style="84" customWidth="1"/>
    <col min="13059" max="13059" width="13" style="84" customWidth="1"/>
    <col min="13060" max="13060" width="8.83203125" style="84"/>
    <col min="13061" max="13061" width="13" style="84" customWidth="1"/>
    <col min="13062" max="13062" width="12.1640625" style="84" customWidth="1"/>
    <col min="13063" max="13065" width="8.83203125" style="84"/>
    <col min="13066" max="13066" width="29.1640625" style="84" customWidth="1"/>
    <col min="13067" max="13067" width="11.33203125" style="84" customWidth="1"/>
    <col min="13068" max="13312" width="8.83203125" style="84"/>
    <col min="13313" max="13313" width="13.5" style="84" customWidth="1"/>
    <col min="13314" max="13314" width="25.5" style="84" customWidth="1"/>
    <col min="13315" max="13315" width="13" style="84" customWidth="1"/>
    <col min="13316" max="13316" width="8.83203125" style="84"/>
    <col min="13317" max="13317" width="13" style="84" customWidth="1"/>
    <col min="13318" max="13318" width="12.1640625" style="84" customWidth="1"/>
    <col min="13319" max="13321" width="8.83203125" style="84"/>
    <col min="13322" max="13322" width="29.1640625" style="84" customWidth="1"/>
    <col min="13323" max="13323" width="11.33203125" style="84" customWidth="1"/>
    <col min="13324" max="13568" width="8.83203125" style="84"/>
    <col min="13569" max="13569" width="13.5" style="84" customWidth="1"/>
    <col min="13570" max="13570" width="25.5" style="84" customWidth="1"/>
    <col min="13571" max="13571" width="13" style="84" customWidth="1"/>
    <col min="13572" max="13572" width="8.83203125" style="84"/>
    <col min="13573" max="13573" width="13" style="84" customWidth="1"/>
    <col min="13574" max="13574" width="12.1640625" style="84" customWidth="1"/>
    <col min="13575" max="13577" width="8.83203125" style="84"/>
    <col min="13578" max="13578" width="29.1640625" style="84" customWidth="1"/>
    <col min="13579" max="13579" width="11.33203125" style="84" customWidth="1"/>
    <col min="13580" max="13824" width="8.83203125" style="84"/>
    <col min="13825" max="13825" width="13.5" style="84" customWidth="1"/>
    <col min="13826" max="13826" width="25.5" style="84" customWidth="1"/>
    <col min="13827" max="13827" width="13" style="84" customWidth="1"/>
    <col min="13828" max="13828" width="8.83203125" style="84"/>
    <col min="13829" max="13829" width="13" style="84" customWidth="1"/>
    <col min="13830" max="13830" width="12.1640625" style="84" customWidth="1"/>
    <col min="13831" max="13833" width="8.83203125" style="84"/>
    <col min="13834" max="13834" width="29.1640625" style="84" customWidth="1"/>
    <col min="13835" max="13835" width="11.33203125" style="84" customWidth="1"/>
    <col min="13836" max="14080" width="8.83203125" style="84"/>
    <col min="14081" max="14081" width="13.5" style="84" customWidth="1"/>
    <col min="14082" max="14082" width="25.5" style="84" customWidth="1"/>
    <col min="14083" max="14083" width="13" style="84" customWidth="1"/>
    <col min="14084" max="14084" width="8.83203125" style="84"/>
    <col min="14085" max="14085" width="13" style="84" customWidth="1"/>
    <col min="14086" max="14086" width="12.1640625" style="84" customWidth="1"/>
    <col min="14087" max="14089" width="8.83203125" style="84"/>
    <col min="14090" max="14090" width="29.1640625" style="84" customWidth="1"/>
    <col min="14091" max="14091" width="11.33203125" style="84" customWidth="1"/>
    <col min="14092" max="14336" width="8.83203125" style="84"/>
    <col min="14337" max="14337" width="13.5" style="84" customWidth="1"/>
    <col min="14338" max="14338" width="25.5" style="84" customWidth="1"/>
    <col min="14339" max="14339" width="13" style="84" customWidth="1"/>
    <col min="14340" max="14340" width="8.83203125" style="84"/>
    <col min="14341" max="14341" width="13" style="84" customWidth="1"/>
    <col min="14342" max="14342" width="12.1640625" style="84" customWidth="1"/>
    <col min="14343" max="14345" width="8.83203125" style="84"/>
    <col min="14346" max="14346" width="29.1640625" style="84" customWidth="1"/>
    <col min="14347" max="14347" width="11.33203125" style="84" customWidth="1"/>
    <col min="14348" max="14592" width="8.83203125" style="84"/>
    <col min="14593" max="14593" width="13.5" style="84" customWidth="1"/>
    <col min="14594" max="14594" width="25.5" style="84" customWidth="1"/>
    <col min="14595" max="14595" width="13" style="84" customWidth="1"/>
    <col min="14596" max="14596" width="8.83203125" style="84"/>
    <col min="14597" max="14597" width="13" style="84" customWidth="1"/>
    <col min="14598" max="14598" width="12.1640625" style="84" customWidth="1"/>
    <col min="14599" max="14601" width="8.83203125" style="84"/>
    <col min="14602" max="14602" width="29.1640625" style="84" customWidth="1"/>
    <col min="14603" max="14603" width="11.33203125" style="84" customWidth="1"/>
    <col min="14604" max="14848" width="8.83203125" style="84"/>
    <col min="14849" max="14849" width="13.5" style="84" customWidth="1"/>
    <col min="14850" max="14850" width="25.5" style="84" customWidth="1"/>
    <col min="14851" max="14851" width="13" style="84" customWidth="1"/>
    <col min="14852" max="14852" width="8.83203125" style="84"/>
    <col min="14853" max="14853" width="13" style="84" customWidth="1"/>
    <col min="14854" max="14854" width="12.1640625" style="84" customWidth="1"/>
    <col min="14855" max="14857" width="8.83203125" style="84"/>
    <col min="14858" max="14858" width="29.1640625" style="84" customWidth="1"/>
    <col min="14859" max="14859" width="11.33203125" style="84" customWidth="1"/>
    <col min="14860" max="15104" width="8.83203125" style="84"/>
    <col min="15105" max="15105" width="13.5" style="84" customWidth="1"/>
    <col min="15106" max="15106" width="25.5" style="84" customWidth="1"/>
    <col min="15107" max="15107" width="13" style="84" customWidth="1"/>
    <col min="15108" max="15108" width="8.83203125" style="84"/>
    <col min="15109" max="15109" width="13" style="84" customWidth="1"/>
    <col min="15110" max="15110" width="12.1640625" style="84" customWidth="1"/>
    <col min="15111" max="15113" width="8.83203125" style="84"/>
    <col min="15114" max="15114" width="29.1640625" style="84" customWidth="1"/>
    <col min="15115" max="15115" width="11.33203125" style="84" customWidth="1"/>
    <col min="15116" max="15360" width="8.83203125" style="84"/>
    <col min="15361" max="15361" width="13.5" style="84" customWidth="1"/>
    <col min="15362" max="15362" width="25.5" style="84" customWidth="1"/>
    <col min="15363" max="15363" width="13" style="84" customWidth="1"/>
    <col min="15364" max="15364" width="8.83203125" style="84"/>
    <col min="15365" max="15365" width="13" style="84" customWidth="1"/>
    <col min="15366" max="15366" width="12.1640625" style="84" customWidth="1"/>
    <col min="15367" max="15369" width="8.83203125" style="84"/>
    <col min="15370" max="15370" width="29.1640625" style="84" customWidth="1"/>
    <col min="15371" max="15371" width="11.33203125" style="84" customWidth="1"/>
    <col min="15372" max="15616" width="8.83203125" style="84"/>
    <col min="15617" max="15617" width="13.5" style="84" customWidth="1"/>
    <col min="15618" max="15618" width="25.5" style="84" customWidth="1"/>
    <col min="15619" max="15619" width="13" style="84" customWidth="1"/>
    <col min="15620" max="15620" width="8.83203125" style="84"/>
    <col min="15621" max="15621" width="13" style="84" customWidth="1"/>
    <col min="15622" max="15622" width="12.1640625" style="84" customWidth="1"/>
    <col min="15623" max="15625" width="8.83203125" style="84"/>
    <col min="15626" max="15626" width="29.1640625" style="84" customWidth="1"/>
    <col min="15627" max="15627" width="11.33203125" style="84" customWidth="1"/>
    <col min="15628" max="15872" width="8.83203125" style="84"/>
    <col min="15873" max="15873" width="13.5" style="84" customWidth="1"/>
    <col min="15874" max="15874" width="25.5" style="84" customWidth="1"/>
    <col min="15875" max="15875" width="13" style="84" customWidth="1"/>
    <col min="15876" max="15876" width="8.83203125" style="84"/>
    <col min="15877" max="15877" width="13" style="84" customWidth="1"/>
    <col min="15878" max="15878" width="12.1640625" style="84" customWidth="1"/>
    <col min="15879" max="15881" width="8.83203125" style="84"/>
    <col min="15882" max="15882" width="29.1640625" style="84" customWidth="1"/>
    <col min="15883" max="15883" width="11.33203125" style="84" customWidth="1"/>
    <col min="15884" max="16128" width="8.83203125" style="84"/>
    <col min="16129" max="16129" width="13.5" style="84" customWidth="1"/>
    <col min="16130" max="16130" width="25.5" style="84" customWidth="1"/>
    <col min="16131" max="16131" width="13" style="84" customWidth="1"/>
    <col min="16132" max="16132" width="8.83203125" style="84"/>
    <col min="16133" max="16133" width="13" style="84" customWidth="1"/>
    <col min="16134" max="16134" width="12.1640625" style="84" customWidth="1"/>
    <col min="16135" max="16137" width="8.83203125" style="84"/>
    <col min="16138" max="16138" width="29.1640625" style="84" customWidth="1"/>
    <col min="16139" max="16139" width="11.33203125" style="84" customWidth="1"/>
    <col min="16140" max="16384" width="8.83203125" style="84"/>
  </cols>
  <sheetData>
    <row r="1" spans="1:21" ht="21" customHeight="1">
      <c r="A1" s="83" t="s">
        <v>183</v>
      </c>
    </row>
    <row r="2" spans="1:21" ht="15" customHeight="1" thickBot="1">
      <c r="A2" s="85"/>
      <c r="B2" s="86"/>
      <c r="C2" s="86"/>
      <c r="D2" s="86"/>
      <c r="E2" s="86"/>
      <c r="F2" s="86"/>
      <c r="G2" s="87" t="s">
        <v>124</v>
      </c>
      <c r="I2" s="88"/>
      <c r="R2" s="88"/>
      <c r="S2" s="88"/>
      <c r="T2" s="88"/>
      <c r="U2" s="88"/>
    </row>
    <row r="3" spans="1:21" ht="15" customHeight="1" thickTop="1">
      <c r="A3" s="89" t="s">
        <v>184</v>
      </c>
      <c r="B3" s="90" t="s">
        <v>185</v>
      </c>
      <c r="C3" s="91" t="s">
        <v>14</v>
      </c>
      <c r="D3" s="91" t="s">
        <v>186</v>
      </c>
      <c r="E3" s="91" t="s">
        <v>187</v>
      </c>
      <c r="F3" s="91" t="s">
        <v>5</v>
      </c>
      <c r="G3" s="91" t="s">
        <v>132</v>
      </c>
      <c r="I3" s="88"/>
      <c r="R3" s="88"/>
      <c r="S3" s="88"/>
      <c r="T3" s="88"/>
      <c r="U3" s="88"/>
    </row>
    <row r="4" spans="1:21" ht="15" customHeight="1">
      <c r="A4" s="84" t="s">
        <v>38</v>
      </c>
      <c r="B4" s="92" t="s">
        <v>107</v>
      </c>
      <c r="C4" s="93">
        <v>20761.808160068431</v>
      </c>
      <c r="D4" s="93">
        <v>2123.3524133312758</v>
      </c>
      <c r="E4" s="93">
        <v>524.2644503326494</v>
      </c>
      <c r="F4" s="93">
        <v>1201.3294743559929</v>
      </c>
      <c r="G4" s="93">
        <v>24610.754498088347</v>
      </c>
      <c r="R4" s="88"/>
      <c r="S4" s="88"/>
      <c r="T4" s="88"/>
      <c r="U4" s="88"/>
    </row>
    <row r="5" spans="1:21" ht="15" customHeight="1">
      <c r="B5" s="92" t="s">
        <v>188</v>
      </c>
      <c r="C5" s="93">
        <v>8900.1650974163058</v>
      </c>
      <c r="D5" s="93">
        <v>749.68389888293814</v>
      </c>
      <c r="E5" s="93">
        <v>152.75342740376871</v>
      </c>
      <c r="F5" s="93">
        <v>1391.0011648617194</v>
      </c>
      <c r="G5" s="93">
        <v>11193.603588564732</v>
      </c>
      <c r="I5" s="1470">
        <f>11194*Unit.ktoe</f>
        <v>130.18621999999999</v>
      </c>
      <c r="J5" s="86"/>
      <c r="K5" s="86"/>
      <c r="L5" s="86"/>
      <c r="M5" s="86"/>
      <c r="N5" s="87"/>
      <c r="O5" s="87"/>
      <c r="P5" s="88"/>
      <c r="R5" s="88"/>
      <c r="S5" s="88"/>
      <c r="T5" s="88"/>
      <c r="U5" s="88"/>
    </row>
    <row r="6" spans="1:21" ht="15" customHeight="1">
      <c r="B6" s="92" t="s">
        <v>189</v>
      </c>
      <c r="C6" s="93">
        <v>682.38249995224271</v>
      </c>
      <c r="D6" s="93">
        <v>3.5181593929284705</v>
      </c>
      <c r="E6" s="93">
        <v>2.977912368790709</v>
      </c>
      <c r="F6" s="93">
        <v>586.86909715644913</v>
      </c>
      <c r="G6" s="93">
        <v>1275.747668870411</v>
      </c>
      <c r="I6" s="94"/>
      <c r="J6" s="95"/>
      <c r="K6" s="95"/>
      <c r="L6" s="95"/>
      <c r="M6" s="95"/>
      <c r="N6" s="95"/>
      <c r="O6" s="95"/>
      <c r="P6" s="88"/>
      <c r="R6" s="88"/>
      <c r="S6" s="88"/>
      <c r="T6" s="88"/>
      <c r="U6" s="88"/>
    </row>
    <row r="7" spans="1:21" ht="15" customHeight="1">
      <c r="B7" s="96" t="s">
        <v>190</v>
      </c>
      <c r="C7" s="96">
        <v>30344.355757436981</v>
      </c>
      <c r="D7" s="96">
        <v>2876.5544716071422</v>
      </c>
      <c r="E7" s="96">
        <v>679.99579010520881</v>
      </c>
      <c r="F7" s="96">
        <v>3179.1997363741616</v>
      </c>
      <c r="G7" s="96">
        <v>37080.105755523495</v>
      </c>
      <c r="I7" s="97"/>
      <c r="J7" s="87"/>
      <c r="K7" s="87"/>
      <c r="L7" s="87"/>
      <c r="M7" s="87"/>
      <c r="N7" s="87"/>
      <c r="O7" s="87"/>
      <c r="P7" s="88"/>
      <c r="R7" s="88"/>
      <c r="S7" s="88"/>
      <c r="T7" s="88"/>
      <c r="U7" s="88"/>
    </row>
    <row r="8" spans="1:21" ht="15" customHeight="1">
      <c r="B8" s="96" t="s">
        <v>65</v>
      </c>
      <c r="C8" s="98">
        <v>3.2402428691751259</v>
      </c>
      <c r="D8" s="99" t="s">
        <v>191</v>
      </c>
      <c r="E8" s="99" t="s">
        <v>191</v>
      </c>
      <c r="F8" s="96">
        <v>6713.3698951860279</v>
      </c>
      <c r="G8" s="96">
        <v>6716.6101380552027</v>
      </c>
      <c r="I8" s="97"/>
      <c r="J8" s="87"/>
      <c r="K8" s="87"/>
      <c r="L8" s="87"/>
      <c r="M8" s="87"/>
      <c r="N8" s="87"/>
      <c r="O8" s="87"/>
      <c r="P8" s="88"/>
      <c r="R8" s="88"/>
      <c r="S8" s="88"/>
      <c r="T8" s="88"/>
      <c r="U8" s="88"/>
    </row>
    <row r="9" spans="1:21" ht="18" customHeight="1" thickBot="1">
      <c r="B9" s="100" t="s">
        <v>192</v>
      </c>
      <c r="C9" s="100">
        <v>30347.596000306155</v>
      </c>
      <c r="D9" s="100">
        <v>2876.5544716071422</v>
      </c>
      <c r="E9" s="100">
        <v>679.99579010520881</v>
      </c>
      <c r="F9" s="100">
        <v>9892.569631560189</v>
      </c>
      <c r="G9" s="100">
        <v>43796.715893578701</v>
      </c>
      <c r="I9" s="97"/>
      <c r="J9" s="87"/>
      <c r="K9" s="87"/>
      <c r="L9" s="87"/>
      <c r="M9" s="87"/>
      <c r="N9" s="87"/>
      <c r="O9" s="87"/>
      <c r="P9" s="88"/>
      <c r="R9" s="88"/>
      <c r="S9" s="88"/>
      <c r="T9" s="88"/>
      <c r="U9" s="88"/>
    </row>
    <row r="10" spans="1:21" ht="15" customHeight="1" thickTop="1">
      <c r="B10" s="86"/>
      <c r="C10" s="86"/>
      <c r="D10" s="86"/>
      <c r="E10" s="86"/>
      <c r="F10" s="86"/>
      <c r="G10" s="86"/>
      <c r="I10" s="97"/>
      <c r="J10" s="87"/>
      <c r="K10" s="87"/>
      <c r="L10" s="87"/>
      <c r="M10" s="87"/>
      <c r="N10" s="87"/>
      <c r="O10" s="87"/>
      <c r="P10" s="88"/>
      <c r="R10" s="88"/>
      <c r="S10" s="88"/>
      <c r="T10" s="88"/>
      <c r="U10" s="88"/>
    </row>
    <row r="11" spans="1:21" ht="15" customHeight="1">
      <c r="A11" s="84" t="s">
        <v>193</v>
      </c>
      <c r="B11" s="92" t="s">
        <v>107</v>
      </c>
      <c r="C11" s="101">
        <v>6228.4146697154792</v>
      </c>
      <c r="D11" s="101">
        <v>1056.729525903982</v>
      </c>
      <c r="E11" s="101">
        <v>10.104010221874312</v>
      </c>
      <c r="F11" s="101">
        <v>1207.7243864928994</v>
      </c>
      <c r="G11" s="101">
        <v>8502.9725923342339</v>
      </c>
      <c r="I11" s="97"/>
      <c r="J11" s="87"/>
      <c r="K11" s="87"/>
      <c r="L11" s="87"/>
      <c r="M11" s="87"/>
      <c r="N11" s="87"/>
      <c r="O11" s="87"/>
      <c r="P11" s="88"/>
      <c r="R11" s="88"/>
      <c r="S11" s="88"/>
      <c r="T11" s="88"/>
      <c r="U11" s="88"/>
    </row>
    <row r="12" spans="1:21" ht="15" customHeight="1">
      <c r="B12" s="92" t="s">
        <v>188</v>
      </c>
      <c r="C12" s="101">
        <v>1251.2212731879906</v>
      </c>
      <c r="D12" s="101">
        <v>100.03914835165267</v>
      </c>
      <c r="E12" s="101">
        <v>1.061255973783479</v>
      </c>
      <c r="F12" s="101">
        <v>284.8159539711279</v>
      </c>
      <c r="G12" s="101">
        <v>1637.1376314845547</v>
      </c>
      <c r="I12" s="94"/>
      <c r="J12" s="87"/>
      <c r="K12" s="87"/>
      <c r="L12" s="87"/>
      <c r="M12" s="87"/>
      <c r="N12" s="87"/>
      <c r="O12" s="87"/>
      <c r="P12" s="88"/>
      <c r="R12" s="88"/>
      <c r="S12" s="88"/>
      <c r="T12" s="88"/>
      <c r="U12" s="88"/>
    </row>
    <row r="13" spans="1:21" ht="15" customHeight="1">
      <c r="B13" s="92" t="s">
        <v>189</v>
      </c>
      <c r="C13" s="101">
        <v>755.68635160556403</v>
      </c>
      <c r="D13" s="101">
        <v>38.014686919374739</v>
      </c>
      <c r="E13" s="101" t="s">
        <v>191</v>
      </c>
      <c r="F13" s="101">
        <v>1137.719344181108</v>
      </c>
      <c r="G13" s="101">
        <v>1931.4203827060469</v>
      </c>
      <c r="I13" s="86"/>
      <c r="J13" s="87"/>
      <c r="K13" s="87"/>
      <c r="L13" s="87"/>
      <c r="M13" s="87"/>
      <c r="N13" s="87"/>
      <c r="O13" s="87"/>
      <c r="P13" s="88"/>
      <c r="R13" s="88"/>
      <c r="S13" s="88"/>
      <c r="T13" s="88"/>
      <c r="U13" s="88"/>
    </row>
    <row r="14" spans="1:21" ht="15" customHeight="1">
      <c r="B14" s="96" t="s">
        <v>190</v>
      </c>
      <c r="C14" s="99">
        <v>8235.3222945090347</v>
      </c>
      <c r="D14" s="99">
        <v>1194.7833611750095</v>
      </c>
      <c r="E14" s="99">
        <v>11.165266195657791</v>
      </c>
      <c r="F14" s="99">
        <v>2630.2596846451352</v>
      </c>
      <c r="G14" s="99">
        <v>12071.530606524837</v>
      </c>
      <c r="I14" s="94"/>
      <c r="J14" s="102"/>
      <c r="K14" s="102"/>
      <c r="L14" s="102"/>
      <c r="M14" s="102"/>
      <c r="N14" s="102"/>
      <c r="O14" s="102"/>
      <c r="P14" s="88"/>
      <c r="R14" s="88"/>
      <c r="S14" s="88"/>
      <c r="T14" s="88"/>
      <c r="U14" s="88"/>
    </row>
    <row r="15" spans="1:21" ht="15" customHeight="1">
      <c r="B15" s="92" t="s">
        <v>110</v>
      </c>
      <c r="C15" s="101" t="s">
        <v>191</v>
      </c>
      <c r="D15" s="101" t="s">
        <v>191</v>
      </c>
      <c r="E15" s="101" t="s">
        <v>191</v>
      </c>
      <c r="F15" s="101">
        <v>453.17031975990915</v>
      </c>
      <c r="G15" s="101">
        <v>453.17031975990915</v>
      </c>
      <c r="I15" s="86"/>
      <c r="J15" s="88"/>
      <c r="K15" s="88"/>
      <c r="L15" s="88"/>
      <c r="M15" s="88"/>
      <c r="N15" s="88"/>
      <c r="O15" s="88"/>
      <c r="P15" s="88"/>
      <c r="R15" s="88"/>
      <c r="S15" s="88"/>
      <c r="T15" s="88"/>
      <c r="U15" s="88"/>
    </row>
    <row r="16" spans="1:21" ht="15" customHeight="1">
      <c r="B16" s="92" t="s">
        <v>111</v>
      </c>
      <c r="C16" s="101">
        <v>34.98397921679743</v>
      </c>
      <c r="D16" s="101" t="s">
        <v>191</v>
      </c>
      <c r="E16" s="101" t="s">
        <v>191</v>
      </c>
      <c r="F16" s="101">
        <v>775.39567838460971</v>
      </c>
      <c r="G16" s="101">
        <v>810.37965760140719</v>
      </c>
      <c r="I16" s="88"/>
      <c r="J16" s="88"/>
      <c r="K16" s="88"/>
      <c r="L16" s="88"/>
      <c r="M16" s="88"/>
      <c r="N16" s="88"/>
      <c r="O16" s="88"/>
      <c r="P16" s="88"/>
    </row>
    <row r="17" spans="1:16" ht="15" customHeight="1">
      <c r="B17" s="92" t="s">
        <v>112</v>
      </c>
      <c r="C17" s="101" t="s">
        <v>191</v>
      </c>
      <c r="D17" s="101" t="s">
        <v>191</v>
      </c>
      <c r="E17" s="101" t="s">
        <v>191</v>
      </c>
      <c r="F17" s="101">
        <v>3373.2875772165198</v>
      </c>
      <c r="G17" s="101">
        <v>3373.2875772165198</v>
      </c>
      <c r="I17" s="88"/>
      <c r="J17" s="88"/>
      <c r="K17" s="88"/>
      <c r="L17" s="88"/>
      <c r="M17" s="88"/>
      <c r="N17" s="88"/>
      <c r="O17" s="88"/>
      <c r="P17" s="88"/>
    </row>
    <row r="18" spans="1:16" ht="15" customHeight="1">
      <c r="B18" s="92" t="s">
        <v>113</v>
      </c>
      <c r="C18" s="101">
        <v>133.08471060015648</v>
      </c>
      <c r="D18" s="101">
        <v>11.649257784068206</v>
      </c>
      <c r="E18" s="101" t="s">
        <v>191</v>
      </c>
      <c r="F18" s="101">
        <v>1115.3734578442952</v>
      </c>
      <c r="G18" s="101">
        <v>1260.1074262285199</v>
      </c>
      <c r="I18" s="88"/>
      <c r="J18" s="88"/>
      <c r="K18" s="88"/>
      <c r="L18" s="88"/>
      <c r="M18" s="88"/>
      <c r="N18" s="88"/>
      <c r="O18" s="88"/>
      <c r="P18" s="88"/>
    </row>
    <row r="19" spans="1:16" ht="17.25" customHeight="1" thickBot="1">
      <c r="B19" s="100" t="s">
        <v>192</v>
      </c>
      <c r="C19" s="103">
        <v>8403.390984325988</v>
      </c>
      <c r="D19" s="103">
        <v>1206.4326189590777</v>
      </c>
      <c r="E19" s="103">
        <v>11.165266195657791</v>
      </c>
      <c r="F19" s="103">
        <v>8347.4867178504683</v>
      </c>
      <c r="G19" s="103">
        <v>17968.475587331191</v>
      </c>
    </row>
    <row r="20" spans="1:16" ht="15" customHeight="1" thickTop="1">
      <c r="B20" s="86"/>
      <c r="C20" s="87"/>
      <c r="D20" s="87"/>
      <c r="E20" s="87"/>
      <c r="F20" s="87"/>
      <c r="G20" s="87"/>
    </row>
    <row r="21" spans="1:16" ht="15" customHeight="1">
      <c r="A21" s="84" t="s">
        <v>194</v>
      </c>
      <c r="B21" s="92" t="s">
        <v>107</v>
      </c>
      <c r="C21" s="93">
        <v>1369.4177746045293</v>
      </c>
      <c r="D21" s="93">
        <v>689.35063688899413</v>
      </c>
      <c r="E21" s="93">
        <v>93.4622114043284</v>
      </c>
      <c r="F21" s="93">
        <v>798.18708166868896</v>
      </c>
      <c r="G21" s="93">
        <v>2950.417704566541</v>
      </c>
    </row>
    <row r="22" spans="1:16" ht="15" customHeight="1">
      <c r="B22" s="92" t="s">
        <v>116</v>
      </c>
      <c r="C22" s="93">
        <v>2152.7854444625532</v>
      </c>
      <c r="D22" s="93">
        <v>259.32568093147376</v>
      </c>
      <c r="E22" s="93">
        <v>1189.3091878280718</v>
      </c>
      <c r="F22" s="93">
        <v>1286.0583033816426</v>
      </c>
      <c r="G22" s="93">
        <v>4887.478616603742</v>
      </c>
    </row>
    <row r="23" spans="1:16" ht="15" customHeight="1">
      <c r="B23" s="92" t="s">
        <v>117</v>
      </c>
      <c r="C23" s="93">
        <v>4793.4818800379771</v>
      </c>
      <c r="D23" s="93">
        <v>1834.1450867625672</v>
      </c>
      <c r="E23" s="93">
        <v>243.02101718527183</v>
      </c>
      <c r="F23" s="93">
        <v>1679.6365789530998</v>
      </c>
      <c r="G23" s="93">
        <v>8550.2845629389158</v>
      </c>
    </row>
    <row r="24" spans="1:16" ht="15" customHeight="1">
      <c r="B24" s="92" t="s">
        <v>118</v>
      </c>
      <c r="C24" s="93">
        <v>1679.4997615193138</v>
      </c>
      <c r="D24" s="93">
        <v>741.97706310508181</v>
      </c>
      <c r="E24" s="93">
        <v>151.6871471618133</v>
      </c>
      <c r="F24" s="93">
        <v>621.53506222563453</v>
      </c>
      <c r="G24" s="93">
        <v>3194.6990340118437</v>
      </c>
    </row>
    <row r="25" spans="1:16" ht="15" customHeight="1">
      <c r="B25" s="96" t="s">
        <v>190</v>
      </c>
      <c r="C25" s="96">
        <v>9995.184860624373</v>
      </c>
      <c r="D25" s="96">
        <v>3524.7984676881169</v>
      </c>
      <c r="E25" s="96">
        <v>1677.4795635794853</v>
      </c>
      <c r="F25" s="96">
        <v>4385.4170262290663</v>
      </c>
      <c r="G25" s="96">
        <v>19582.879918121042</v>
      </c>
    </row>
    <row r="26" spans="1:16" ht="15" customHeight="1">
      <c r="B26" s="92" t="s">
        <v>119</v>
      </c>
      <c r="C26" s="101" t="s">
        <v>191</v>
      </c>
      <c r="D26" s="101" t="s">
        <v>191</v>
      </c>
      <c r="E26" s="101" t="s">
        <v>191</v>
      </c>
      <c r="F26" s="101">
        <v>3210.6270060518964</v>
      </c>
      <c r="G26" s="86">
        <v>3210.6270060518964</v>
      </c>
    </row>
    <row r="27" spans="1:16" ht="15" customHeight="1">
      <c r="B27" s="92" t="s">
        <v>120</v>
      </c>
      <c r="C27" s="101" t="s">
        <v>191</v>
      </c>
      <c r="D27" s="101" t="s">
        <v>191</v>
      </c>
      <c r="E27" s="101" t="s">
        <v>191</v>
      </c>
      <c r="F27" s="101">
        <v>933.55506550179769</v>
      </c>
      <c r="G27" s="101">
        <v>933.55506550179769</v>
      </c>
    </row>
    <row r="28" spans="1:16" ht="15" customHeight="1">
      <c r="B28" s="92" t="s">
        <v>112</v>
      </c>
      <c r="C28" s="101" t="s">
        <v>191</v>
      </c>
      <c r="D28" s="101" t="s">
        <v>191</v>
      </c>
      <c r="E28" s="101" t="s">
        <v>191</v>
      </c>
      <c r="F28" s="101">
        <v>319.64348874124767</v>
      </c>
      <c r="G28" s="101">
        <v>319.64348874124767</v>
      </c>
    </row>
    <row r="29" spans="1:16" ht="15" customHeight="1">
      <c r="B29" s="92" t="s">
        <v>121</v>
      </c>
      <c r="C29" s="101" t="s">
        <v>191</v>
      </c>
      <c r="D29" s="101" t="s">
        <v>191</v>
      </c>
      <c r="E29" s="101" t="s">
        <v>191</v>
      </c>
      <c r="F29" s="101">
        <v>574.07630569071762</v>
      </c>
      <c r="G29" s="101">
        <v>574.07630569071762</v>
      </c>
    </row>
    <row r="30" spans="1:16" ht="15" customHeight="1">
      <c r="B30" s="92" t="s">
        <v>113</v>
      </c>
      <c r="C30" s="101">
        <v>1400.9454452386162</v>
      </c>
      <c r="D30" s="101">
        <v>492.8719860068295</v>
      </c>
      <c r="E30" s="101">
        <v>187.03051501601595</v>
      </c>
      <c r="F30" s="101">
        <v>500.03599669065829</v>
      </c>
      <c r="G30" s="101">
        <v>2580.8839429521204</v>
      </c>
    </row>
    <row r="31" spans="1:16" ht="15" customHeight="1" thickBot="1">
      <c r="B31" s="100" t="s">
        <v>195</v>
      </c>
      <c r="C31" s="103">
        <v>11396.130305862989</v>
      </c>
      <c r="D31" s="103">
        <v>4017.6704536949464</v>
      </c>
      <c r="E31" s="103">
        <v>1864.5100785955012</v>
      </c>
      <c r="F31" s="103">
        <v>9923.3548889053836</v>
      </c>
      <c r="G31" s="103">
        <v>27201.665727058818</v>
      </c>
    </row>
    <row r="32" spans="1:16" ht="15" customHeight="1" thickTop="1"/>
    <row r="33" spans="1:9" ht="15" customHeight="1">
      <c r="A33" s="104" t="s">
        <v>132</v>
      </c>
      <c r="B33" s="105" t="s">
        <v>107</v>
      </c>
      <c r="C33" s="106">
        <v>28359.640604388442</v>
      </c>
      <c r="D33" s="106">
        <v>3869.4325761242517</v>
      </c>
      <c r="E33" s="106">
        <v>627.83067195885212</v>
      </c>
      <c r="F33" s="106">
        <v>3207.2409425175811</v>
      </c>
      <c r="G33" s="106">
        <v>36064.144794989123</v>
      </c>
    </row>
    <row r="34" spans="1:9" ht="15" customHeight="1">
      <c r="A34" s="104"/>
      <c r="B34" s="105" t="s">
        <v>188</v>
      </c>
      <c r="C34" s="106">
        <v>10151.386370604296</v>
      </c>
      <c r="D34" s="106">
        <v>849.72304723459081</v>
      </c>
      <c r="E34" s="106">
        <v>153.8146833775522</v>
      </c>
      <c r="F34" s="106">
        <v>1675.8171188328474</v>
      </c>
      <c r="G34" s="106">
        <v>12830.741220049287</v>
      </c>
    </row>
    <row r="35" spans="1:9" ht="15" customHeight="1">
      <c r="A35" s="104"/>
      <c r="B35" s="105" t="s">
        <v>189</v>
      </c>
      <c r="C35" s="106">
        <v>1438.0688515578067</v>
      </c>
      <c r="D35" s="106">
        <v>41.532846312303207</v>
      </c>
      <c r="E35" s="106">
        <v>2.977912368790709</v>
      </c>
      <c r="F35" s="106">
        <v>1724.588441337557</v>
      </c>
      <c r="G35" s="106">
        <v>3207.1680515764579</v>
      </c>
    </row>
    <row r="36" spans="1:9" ht="15" customHeight="1">
      <c r="A36" s="104"/>
      <c r="B36" s="105" t="s">
        <v>196</v>
      </c>
      <c r="C36" s="106">
        <v>6946.2673245005299</v>
      </c>
      <c r="D36" s="106">
        <v>2093.4707676940411</v>
      </c>
      <c r="E36" s="106">
        <v>1432.3302050133436</v>
      </c>
      <c r="F36" s="106">
        <v>2965.6948823347425</v>
      </c>
      <c r="G36" s="106">
        <v>13437.763179542657</v>
      </c>
    </row>
    <row r="37" spans="1:9" ht="15" customHeight="1">
      <c r="A37" s="104"/>
      <c r="B37" s="105" t="s">
        <v>197</v>
      </c>
      <c r="C37" s="106">
        <v>1679.4997615193138</v>
      </c>
      <c r="D37" s="106">
        <v>741.97706310508181</v>
      </c>
      <c r="E37" s="106">
        <v>151.6871471618133</v>
      </c>
      <c r="F37" s="106">
        <v>621.53506222563453</v>
      </c>
      <c r="G37" s="106">
        <v>3194.6990340118437</v>
      </c>
    </row>
    <row r="38" spans="1:9" ht="15" customHeight="1">
      <c r="A38" s="104"/>
      <c r="B38" s="107" t="s">
        <v>190</v>
      </c>
      <c r="C38" s="108">
        <v>48574.862912570388</v>
      </c>
      <c r="D38" s="108">
        <v>7596.1363004702689</v>
      </c>
      <c r="E38" s="108">
        <v>2368.640619880352</v>
      </c>
      <c r="F38" s="108">
        <v>10194.876447248362</v>
      </c>
      <c r="G38" s="108">
        <v>68734.51628016938</v>
      </c>
      <c r="I38" s="109"/>
    </row>
    <row r="39" spans="1:9" ht="15" customHeight="1">
      <c r="A39" s="104"/>
      <c r="B39" s="105" t="s">
        <v>110</v>
      </c>
      <c r="C39" s="110" t="s">
        <v>191</v>
      </c>
      <c r="D39" s="110" t="s">
        <v>191</v>
      </c>
      <c r="E39" s="110" t="s">
        <v>191</v>
      </c>
      <c r="F39" s="106">
        <v>453.17031975990915</v>
      </c>
      <c r="G39" s="106">
        <v>453.17031975990915</v>
      </c>
    </row>
    <row r="40" spans="1:9" ht="15" customHeight="1">
      <c r="A40" s="104"/>
      <c r="B40" s="105" t="s">
        <v>111</v>
      </c>
      <c r="C40" s="106">
        <v>34.98397921679743</v>
      </c>
      <c r="D40" s="110" t="s">
        <v>191</v>
      </c>
      <c r="E40" s="110" t="s">
        <v>191</v>
      </c>
      <c r="F40" s="106">
        <v>775.39567838460971</v>
      </c>
      <c r="G40" s="106">
        <v>810.37965760140719</v>
      </c>
    </row>
    <row r="41" spans="1:9" ht="15" customHeight="1">
      <c r="A41" s="104"/>
      <c r="B41" s="105" t="s">
        <v>65</v>
      </c>
      <c r="C41" s="106">
        <v>3.2402428691751259</v>
      </c>
      <c r="D41" s="110" t="s">
        <v>191</v>
      </c>
      <c r="E41" s="110" t="s">
        <v>191</v>
      </c>
      <c r="F41" s="106">
        <v>10406.300961143796</v>
      </c>
      <c r="G41" s="106">
        <v>10409.54120401297</v>
      </c>
    </row>
    <row r="42" spans="1:9" ht="15" customHeight="1">
      <c r="A42" s="104"/>
      <c r="B42" s="105" t="s">
        <v>119</v>
      </c>
      <c r="C42" s="110" t="s">
        <v>191</v>
      </c>
      <c r="D42" s="110" t="s">
        <v>191</v>
      </c>
      <c r="E42" s="110" t="s">
        <v>191</v>
      </c>
      <c r="F42" s="106">
        <v>3210.6270060518964</v>
      </c>
      <c r="G42" s="106">
        <v>3210.6270060518964</v>
      </c>
    </row>
    <row r="43" spans="1:9" ht="15" customHeight="1">
      <c r="A43" s="104"/>
      <c r="B43" s="105" t="s">
        <v>120</v>
      </c>
      <c r="C43" s="110" t="s">
        <v>191</v>
      </c>
      <c r="D43" s="110" t="s">
        <v>191</v>
      </c>
      <c r="E43" s="110" t="s">
        <v>191</v>
      </c>
      <c r="F43" s="106">
        <v>933.55506550179769</v>
      </c>
      <c r="G43" s="106">
        <v>933.55506550179769</v>
      </c>
    </row>
    <row r="44" spans="1:9" ht="15" customHeight="1">
      <c r="A44" s="104"/>
      <c r="B44" s="105" t="s">
        <v>121</v>
      </c>
      <c r="C44" s="110" t="s">
        <v>191</v>
      </c>
      <c r="D44" s="110" t="s">
        <v>191</v>
      </c>
      <c r="E44" s="110" t="s">
        <v>191</v>
      </c>
      <c r="F44" s="106">
        <v>574.07630569071762</v>
      </c>
      <c r="G44" s="106">
        <v>574.07630569071762</v>
      </c>
    </row>
    <row r="45" spans="1:9" ht="15" customHeight="1">
      <c r="A45" s="104"/>
      <c r="B45" s="111" t="s">
        <v>113</v>
      </c>
      <c r="C45" s="112">
        <v>1534.0301558387728</v>
      </c>
      <c r="D45" s="112">
        <v>504.5212437908977</v>
      </c>
      <c r="E45" s="112">
        <v>187.03051501601595</v>
      </c>
      <c r="F45" s="112">
        <v>1615.4094545349535</v>
      </c>
      <c r="G45" s="112">
        <v>3840.9913691806405</v>
      </c>
    </row>
    <row r="46" spans="1:9" ht="15" customHeight="1">
      <c r="A46" s="104"/>
      <c r="B46" s="105" t="s">
        <v>198</v>
      </c>
      <c r="C46" s="106">
        <v>1572.2543779247453</v>
      </c>
      <c r="D46" s="106">
        <v>504.5212437908977</v>
      </c>
      <c r="E46" s="106">
        <v>187.03051501601595</v>
      </c>
      <c r="F46" s="106">
        <v>17968.534791067679</v>
      </c>
      <c r="G46" s="106">
        <v>20232.340927799338</v>
      </c>
    </row>
    <row r="47" spans="1:9" ht="15" customHeight="1" thickBot="1">
      <c r="A47" s="113"/>
      <c r="B47" s="114" t="s">
        <v>199</v>
      </c>
      <c r="C47" s="115">
        <v>50147.117290495131</v>
      </c>
      <c r="D47" s="115">
        <v>8100.6575442611665</v>
      </c>
      <c r="E47" s="115">
        <v>2555.6711348963681</v>
      </c>
      <c r="F47" s="115">
        <v>28163.411238316039</v>
      </c>
      <c r="G47" s="115">
        <v>88966.857207968715</v>
      </c>
    </row>
    <row r="48" spans="1:9" ht="15" customHeight="1" thickTop="1">
      <c r="A48" s="116" t="s">
        <v>200</v>
      </c>
    </row>
    <row r="49" spans="1:3" ht="15" customHeight="1">
      <c r="A49" s="117" t="s">
        <v>201</v>
      </c>
    </row>
    <row r="50" spans="1:3" ht="15" customHeight="1"/>
    <row r="51" spans="1:3" ht="15" customHeight="1">
      <c r="A51" s="118" t="s">
        <v>202</v>
      </c>
    </row>
    <row r="52" spans="1:3" ht="15" customHeight="1">
      <c r="A52" s="118" t="s">
        <v>203</v>
      </c>
      <c r="B52" s="118"/>
      <c r="C52" s="118"/>
    </row>
    <row r="53" spans="1:3" ht="15" customHeight="1"/>
    <row r="54" spans="1:3" ht="15" customHeight="1"/>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enableFormatConditionsCalculation="0">
    <pageSetUpPr fitToPage="1"/>
  </sheetPr>
  <dimension ref="A1:BM48"/>
  <sheetViews>
    <sheetView workbookViewId="0"/>
  </sheetViews>
  <sheetFormatPr baseColWidth="10" defaultColWidth="8.83203125" defaultRowHeight="12" x14ac:dyDescent="0"/>
  <cols>
    <col min="1" max="1" width="8.83203125" style="84"/>
    <col min="2" max="2" width="13.33203125" style="84" customWidth="1"/>
    <col min="3" max="3" width="16" style="84" customWidth="1"/>
    <col min="4" max="4" width="16.6640625" style="84" customWidth="1"/>
    <col min="5" max="5" width="18.6640625" style="84" customWidth="1"/>
    <col min="6" max="6" width="14.6640625" style="84" customWidth="1"/>
    <col min="7" max="7" width="10.83203125" style="84" customWidth="1"/>
    <col min="8" max="8" width="13.83203125" style="84" customWidth="1"/>
    <col min="9" max="10" width="12" style="84" customWidth="1"/>
    <col min="11" max="11" width="13.1640625" style="84" customWidth="1"/>
    <col min="12" max="12" width="11.6640625" style="84" customWidth="1"/>
    <col min="13" max="13" width="9.33203125" style="84" customWidth="1"/>
    <col min="14" max="257" width="8.83203125" style="84"/>
    <col min="258" max="258" width="13.33203125" style="84" customWidth="1"/>
    <col min="259" max="259" width="16" style="84" customWidth="1"/>
    <col min="260" max="260" width="16.6640625" style="84" customWidth="1"/>
    <col min="261" max="261" width="18.6640625" style="84" customWidth="1"/>
    <col min="262" max="262" width="14.6640625" style="84" customWidth="1"/>
    <col min="263" max="263" width="10.83203125" style="84" customWidth="1"/>
    <col min="264" max="264" width="13.83203125" style="84" customWidth="1"/>
    <col min="265" max="266" width="12" style="84" customWidth="1"/>
    <col min="267" max="267" width="13.1640625" style="84" customWidth="1"/>
    <col min="268" max="268" width="11.6640625" style="84" customWidth="1"/>
    <col min="269" max="269" width="9.33203125" style="84" customWidth="1"/>
    <col min="270" max="513" width="8.83203125" style="84"/>
    <col min="514" max="514" width="13.33203125" style="84" customWidth="1"/>
    <col min="515" max="515" width="16" style="84" customWidth="1"/>
    <col min="516" max="516" width="16.6640625" style="84" customWidth="1"/>
    <col min="517" max="517" width="18.6640625" style="84" customWidth="1"/>
    <col min="518" max="518" width="14.6640625" style="84" customWidth="1"/>
    <col min="519" max="519" width="10.83203125" style="84" customWidth="1"/>
    <col min="520" max="520" width="13.83203125" style="84" customWidth="1"/>
    <col min="521" max="522" width="12" style="84" customWidth="1"/>
    <col min="523" max="523" width="13.1640625" style="84" customWidth="1"/>
    <col min="524" max="524" width="11.6640625" style="84" customWidth="1"/>
    <col min="525" max="525" width="9.33203125" style="84" customWidth="1"/>
    <col min="526" max="769" width="8.83203125" style="84"/>
    <col min="770" max="770" width="13.33203125" style="84" customWidth="1"/>
    <col min="771" max="771" width="16" style="84" customWidth="1"/>
    <col min="772" max="772" width="16.6640625" style="84" customWidth="1"/>
    <col min="773" max="773" width="18.6640625" style="84" customWidth="1"/>
    <col min="774" max="774" width="14.6640625" style="84" customWidth="1"/>
    <col min="775" max="775" width="10.83203125" style="84" customWidth="1"/>
    <col min="776" max="776" width="13.83203125" style="84" customWidth="1"/>
    <col min="777" max="778" width="12" style="84" customWidth="1"/>
    <col min="779" max="779" width="13.1640625" style="84" customWidth="1"/>
    <col min="780" max="780" width="11.6640625" style="84" customWidth="1"/>
    <col min="781" max="781" width="9.33203125" style="84" customWidth="1"/>
    <col min="782" max="1025" width="8.83203125" style="84"/>
    <col min="1026" max="1026" width="13.33203125" style="84" customWidth="1"/>
    <col min="1027" max="1027" width="16" style="84" customWidth="1"/>
    <col min="1028" max="1028" width="16.6640625" style="84" customWidth="1"/>
    <col min="1029" max="1029" width="18.6640625" style="84" customWidth="1"/>
    <col min="1030" max="1030" width="14.6640625" style="84" customWidth="1"/>
    <col min="1031" max="1031" width="10.83203125" style="84" customWidth="1"/>
    <col min="1032" max="1032" width="13.83203125" style="84" customWidth="1"/>
    <col min="1033" max="1034" width="12" style="84" customWidth="1"/>
    <col min="1035" max="1035" width="13.1640625" style="84" customWidth="1"/>
    <col min="1036" max="1036" width="11.6640625" style="84" customWidth="1"/>
    <col min="1037" max="1037" width="9.33203125" style="84" customWidth="1"/>
    <col min="1038" max="1281" width="8.83203125" style="84"/>
    <col min="1282" max="1282" width="13.33203125" style="84" customWidth="1"/>
    <col min="1283" max="1283" width="16" style="84" customWidth="1"/>
    <col min="1284" max="1284" width="16.6640625" style="84" customWidth="1"/>
    <col min="1285" max="1285" width="18.6640625" style="84" customWidth="1"/>
    <col min="1286" max="1286" width="14.6640625" style="84" customWidth="1"/>
    <col min="1287" max="1287" width="10.83203125" style="84" customWidth="1"/>
    <col min="1288" max="1288" width="13.83203125" style="84" customWidth="1"/>
    <col min="1289" max="1290" width="12" style="84" customWidth="1"/>
    <col min="1291" max="1291" width="13.1640625" style="84" customWidth="1"/>
    <col min="1292" max="1292" width="11.6640625" style="84" customWidth="1"/>
    <col min="1293" max="1293" width="9.33203125" style="84" customWidth="1"/>
    <col min="1294" max="1537" width="8.83203125" style="84"/>
    <col min="1538" max="1538" width="13.33203125" style="84" customWidth="1"/>
    <col min="1539" max="1539" width="16" style="84" customWidth="1"/>
    <col min="1540" max="1540" width="16.6640625" style="84" customWidth="1"/>
    <col min="1541" max="1541" width="18.6640625" style="84" customWidth="1"/>
    <col min="1542" max="1542" width="14.6640625" style="84" customWidth="1"/>
    <col min="1543" max="1543" width="10.83203125" style="84" customWidth="1"/>
    <col min="1544" max="1544" width="13.83203125" style="84" customWidth="1"/>
    <col min="1545" max="1546" width="12" style="84" customWidth="1"/>
    <col min="1547" max="1547" width="13.1640625" style="84" customWidth="1"/>
    <col min="1548" max="1548" width="11.6640625" style="84" customWidth="1"/>
    <col min="1549" max="1549" width="9.33203125" style="84" customWidth="1"/>
    <col min="1550" max="1793" width="8.83203125" style="84"/>
    <col min="1794" max="1794" width="13.33203125" style="84" customWidth="1"/>
    <col min="1795" max="1795" width="16" style="84" customWidth="1"/>
    <col min="1796" max="1796" width="16.6640625" style="84" customWidth="1"/>
    <col min="1797" max="1797" width="18.6640625" style="84" customWidth="1"/>
    <col min="1798" max="1798" width="14.6640625" style="84" customWidth="1"/>
    <col min="1799" max="1799" width="10.83203125" style="84" customWidth="1"/>
    <col min="1800" max="1800" width="13.83203125" style="84" customWidth="1"/>
    <col min="1801" max="1802" width="12" style="84" customWidth="1"/>
    <col min="1803" max="1803" width="13.1640625" style="84" customWidth="1"/>
    <col min="1804" max="1804" width="11.6640625" style="84" customWidth="1"/>
    <col min="1805" max="1805" width="9.33203125" style="84" customWidth="1"/>
    <col min="1806" max="2049" width="8.83203125" style="84"/>
    <col min="2050" max="2050" width="13.33203125" style="84" customWidth="1"/>
    <col min="2051" max="2051" width="16" style="84" customWidth="1"/>
    <col min="2052" max="2052" width="16.6640625" style="84" customWidth="1"/>
    <col min="2053" max="2053" width="18.6640625" style="84" customWidth="1"/>
    <col min="2054" max="2054" width="14.6640625" style="84" customWidth="1"/>
    <col min="2055" max="2055" width="10.83203125" style="84" customWidth="1"/>
    <col min="2056" max="2056" width="13.83203125" style="84" customWidth="1"/>
    <col min="2057" max="2058" width="12" style="84" customWidth="1"/>
    <col min="2059" max="2059" width="13.1640625" style="84" customWidth="1"/>
    <col min="2060" max="2060" width="11.6640625" style="84" customWidth="1"/>
    <col min="2061" max="2061" width="9.33203125" style="84" customWidth="1"/>
    <col min="2062" max="2305" width="8.83203125" style="84"/>
    <col min="2306" max="2306" width="13.33203125" style="84" customWidth="1"/>
    <col min="2307" max="2307" width="16" style="84" customWidth="1"/>
    <col min="2308" max="2308" width="16.6640625" style="84" customWidth="1"/>
    <col min="2309" max="2309" width="18.6640625" style="84" customWidth="1"/>
    <col min="2310" max="2310" width="14.6640625" style="84" customWidth="1"/>
    <col min="2311" max="2311" width="10.83203125" style="84" customWidth="1"/>
    <col min="2312" max="2312" width="13.83203125" style="84" customWidth="1"/>
    <col min="2313" max="2314" width="12" style="84" customWidth="1"/>
    <col min="2315" max="2315" width="13.1640625" style="84" customWidth="1"/>
    <col min="2316" max="2316" width="11.6640625" style="84" customWidth="1"/>
    <col min="2317" max="2317" width="9.33203125" style="84" customWidth="1"/>
    <col min="2318" max="2561" width="8.83203125" style="84"/>
    <col min="2562" max="2562" width="13.33203125" style="84" customWidth="1"/>
    <col min="2563" max="2563" width="16" style="84" customWidth="1"/>
    <col min="2564" max="2564" width="16.6640625" style="84" customWidth="1"/>
    <col min="2565" max="2565" width="18.6640625" style="84" customWidth="1"/>
    <col min="2566" max="2566" width="14.6640625" style="84" customWidth="1"/>
    <col min="2567" max="2567" width="10.83203125" style="84" customWidth="1"/>
    <col min="2568" max="2568" width="13.83203125" style="84" customWidth="1"/>
    <col min="2569" max="2570" width="12" style="84" customWidth="1"/>
    <col min="2571" max="2571" width="13.1640625" style="84" customWidth="1"/>
    <col min="2572" max="2572" width="11.6640625" style="84" customWidth="1"/>
    <col min="2573" max="2573" width="9.33203125" style="84" customWidth="1"/>
    <col min="2574" max="2817" width="8.83203125" style="84"/>
    <col min="2818" max="2818" width="13.33203125" style="84" customWidth="1"/>
    <col min="2819" max="2819" width="16" style="84" customWidth="1"/>
    <col min="2820" max="2820" width="16.6640625" style="84" customWidth="1"/>
    <col min="2821" max="2821" width="18.6640625" style="84" customWidth="1"/>
    <col min="2822" max="2822" width="14.6640625" style="84" customWidth="1"/>
    <col min="2823" max="2823" width="10.83203125" style="84" customWidth="1"/>
    <col min="2824" max="2824" width="13.83203125" style="84" customWidth="1"/>
    <col min="2825" max="2826" width="12" style="84" customWidth="1"/>
    <col min="2827" max="2827" width="13.1640625" style="84" customWidth="1"/>
    <col min="2828" max="2828" width="11.6640625" style="84" customWidth="1"/>
    <col min="2829" max="2829" width="9.33203125" style="84" customWidth="1"/>
    <col min="2830" max="3073" width="8.83203125" style="84"/>
    <col min="3074" max="3074" width="13.33203125" style="84" customWidth="1"/>
    <col min="3075" max="3075" width="16" style="84" customWidth="1"/>
    <col min="3076" max="3076" width="16.6640625" style="84" customWidth="1"/>
    <col min="3077" max="3077" width="18.6640625" style="84" customWidth="1"/>
    <col min="3078" max="3078" width="14.6640625" style="84" customWidth="1"/>
    <col min="3079" max="3079" width="10.83203125" style="84" customWidth="1"/>
    <col min="3080" max="3080" width="13.83203125" style="84" customWidth="1"/>
    <col min="3081" max="3082" width="12" style="84" customWidth="1"/>
    <col min="3083" max="3083" width="13.1640625" style="84" customWidth="1"/>
    <col min="3084" max="3084" width="11.6640625" style="84" customWidth="1"/>
    <col min="3085" max="3085" width="9.33203125" style="84" customWidth="1"/>
    <col min="3086" max="3329" width="8.83203125" style="84"/>
    <col min="3330" max="3330" width="13.33203125" style="84" customWidth="1"/>
    <col min="3331" max="3331" width="16" style="84" customWidth="1"/>
    <col min="3332" max="3332" width="16.6640625" style="84" customWidth="1"/>
    <col min="3333" max="3333" width="18.6640625" style="84" customWidth="1"/>
    <col min="3334" max="3334" width="14.6640625" style="84" customWidth="1"/>
    <col min="3335" max="3335" width="10.83203125" style="84" customWidth="1"/>
    <col min="3336" max="3336" width="13.83203125" style="84" customWidth="1"/>
    <col min="3337" max="3338" width="12" style="84" customWidth="1"/>
    <col min="3339" max="3339" width="13.1640625" style="84" customWidth="1"/>
    <col min="3340" max="3340" width="11.6640625" style="84" customWidth="1"/>
    <col min="3341" max="3341" width="9.33203125" style="84" customWidth="1"/>
    <col min="3342" max="3585" width="8.83203125" style="84"/>
    <col min="3586" max="3586" width="13.33203125" style="84" customWidth="1"/>
    <col min="3587" max="3587" width="16" style="84" customWidth="1"/>
    <col min="3588" max="3588" width="16.6640625" style="84" customWidth="1"/>
    <col min="3589" max="3589" width="18.6640625" style="84" customWidth="1"/>
    <col min="3590" max="3590" width="14.6640625" style="84" customWidth="1"/>
    <col min="3591" max="3591" width="10.83203125" style="84" customWidth="1"/>
    <col min="3592" max="3592" width="13.83203125" style="84" customWidth="1"/>
    <col min="3593" max="3594" width="12" style="84" customWidth="1"/>
    <col min="3595" max="3595" width="13.1640625" style="84" customWidth="1"/>
    <col min="3596" max="3596" width="11.6640625" style="84" customWidth="1"/>
    <col min="3597" max="3597" width="9.33203125" style="84" customWidth="1"/>
    <col min="3598" max="3841" width="8.83203125" style="84"/>
    <col min="3842" max="3842" width="13.33203125" style="84" customWidth="1"/>
    <col min="3843" max="3843" width="16" style="84" customWidth="1"/>
    <col min="3844" max="3844" width="16.6640625" style="84" customWidth="1"/>
    <col min="3845" max="3845" width="18.6640625" style="84" customWidth="1"/>
    <col min="3846" max="3846" width="14.6640625" style="84" customWidth="1"/>
    <col min="3847" max="3847" width="10.83203125" style="84" customWidth="1"/>
    <col min="3848" max="3848" width="13.83203125" style="84" customWidth="1"/>
    <col min="3849" max="3850" width="12" style="84" customWidth="1"/>
    <col min="3851" max="3851" width="13.1640625" style="84" customWidth="1"/>
    <col min="3852" max="3852" width="11.6640625" style="84" customWidth="1"/>
    <col min="3853" max="3853" width="9.33203125" style="84" customWidth="1"/>
    <col min="3854" max="4097" width="8.83203125" style="84"/>
    <col min="4098" max="4098" width="13.33203125" style="84" customWidth="1"/>
    <col min="4099" max="4099" width="16" style="84" customWidth="1"/>
    <col min="4100" max="4100" width="16.6640625" style="84" customWidth="1"/>
    <col min="4101" max="4101" width="18.6640625" style="84" customWidth="1"/>
    <col min="4102" max="4102" width="14.6640625" style="84" customWidth="1"/>
    <col min="4103" max="4103" width="10.83203125" style="84" customWidth="1"/>
    <col min="4104" max="4104" width="13.83203125" style="84" customWidth="1"/>
    <col min="4105" max="4106" width="12" style="84" customWidth="1"/>
    <col min="4107" max="4107" width="13.1640625" style="84" customWidth="1"/>
    <col min="4108" max="4108" width="11.6640625" style="84" customWidth="1"/>
    <col min="4109" max="4109" width="9.33203125" style="84" customWidth="1"/>
    <col min="4110" max="4353" width="8.83203125" style="84"/>
    <col min="4354" max="4354" width="13.33203125" style="84" customWidth="1"/>
    <col min="4355" max="4355" width="16" style="84" customWidth="1"/>
    <col min="4356" max="4356" width="16.6640625" style="84" customWidth="1"/>
    <col min="4357" max="4357" width="18.6640625" style="84" customWidth="1"/>
    <col min="4358" max="4358" width="14.6640625" style="84" customWidth="1"/>
    <col min="4359" max="4359" width="10.83203125" style="84" customWidth="1"/>
    <col min="4360" max="4360" width="13.83203125" style="84" customWidth="1"/>
    <col min="4361" max="4362" width="12" style="84" customWidth="1"/>
    <col min="4363" max="4363" width="13.1640625" style="84" customWidth="1"/>
    <col min="4364" max="4364" width="11.6640625" style="84" customWidth="1"/>
    <col min="4365" max="4365" width="9.33203125" style="84" customWidth="1"/>
    <col min="4366" max="4609" width="8.83203125" style="84"/>
    <col min="4610" max="4610" width="13.33203125" style="84" customWidth="1"/>
    <col min="4611" max="4611" width="16" style="84" customWidth="1"/>
    <col min="4612" max="4612" width="16.6640625" style="84" customWidth="1"/>
    <col min="4613" max="4613" width="18.6640625" style="84" customWidth="1"/>
    <col min="4614" max="4614" width="14.6640625" style="84" customWidth="1"/>
    <col min="4615" max="4615" width="10.83203125" style="84" customWidth="1"/>
    <col min="4616" max="4616" width="13.83203125" style="84" customWidth="1"/>
    <col min="4617" max="4618" width="12" style="84" customWidth="1"/>
    <col min="4619" max="4619" width="13.1640625" style="84" customWidth="1"/>
    <col min="4620" max="4620" width="11.6640625" style="84" customWidth="1"/>
    <col min="4621" max="4621" width="9.33203125" style="84" customWidth="1"/>
    <col min="4622" max="4865" width="8.83203125" style="84"/>
    <col min="4866" max="4866" width="13.33203125" style="84" customWidth="1"/>
    <col min="4867" max="4867" width="16" style="84" customWidth="1"/>
    <col min="4868" max="4868" width="16.6640625" style="84" customWidth="1"/>
    <col min="4869" max="4869" width="18.6640625" style="84" customWidth="1"/>
    <col min="4870" max="4870" width="14.6640625" style="84" customWidth="1"/>
    <col min="4871" max="4871" width="10.83203125" style="84" customWidth="1"/>
    <col min="4872" max="4872" width="13.83203125" style="84" customWidth="1"/>
    <col min="4873" max="4874" width="12" style="84" customWidth="1"/>
    <col min="4875" max="4875" width="13.1640625" style="84" customWidth="1"/>
    <col min="4876" max="4876" width="11.6640625" style="84" customWidth="1"/>
    <col min="4877" max="4877" width="9.33203125" style="84" customWidth="1"/>
    <col min="4878" max="5121" width="8.83203125" style="84"/>
    <col min="5122" max="5122" width="13.33203125" style="84" customWidth="1"/>
    <col min="5123" max="5123" width="16" style="84" customWidth="1"/>
    <col min="5124" max="5124" width="16.6640625" style="84" customWidth="1"/>
    <col min="5125" max="5125" width="18.6640625" style="84" customWidth="1"/>
    <col min="5126" max="5126" width="14.6640625" style="84" customWidth="1"/>
    <col min="5127" max="5127" width="10.83203125" style="84" customWidth="1"/>
    <col min="5128" max="5128" width="13.83203125" style="84" customWidth="1"/>
    <col min="5129" max="5130" width="12" style="84" customWidth="1"/>
    <col min="5131" max="5131" width="13.1640625" style="84" customWidth="1"/>
    <col min="5132" max="5132" width="11.6640625" style="84" customWidth="1"/>
    <col min="5133" max="5133" width="9.33203125" style="84" customWidth="1"/>
    <col min="5134" max="5377" width="8.83203125" style="84"/>
    <col min="5378" max="5378" width="13.33203125" style="84" customWidth="1"/>
    <col min="5379" max="5379" width="16" style="84" customWidth="1"/>
    <col min="5380" max="5380" width="16.6640625" style="84" customWidth="1"/>
    <col min="5381" max="5381" width="18.6640625" style="84" customWidth="1"/>
    <col min="5382" max="5382" width="14.6640625" style="84" customWidth="1"/>
    <col min="5383" max="5383" width="10.83203125" style="84" customWidth="1"/>
    <col min="5384" max="5384" width="13.83203125" style="84" customWidth="1"/>
    <col min="5385" max="5386" width="12" style="84" customWidth="1"/>
    <col min="5387" max="5387" width="13.1640625" style="84" customWidth="1"/>
    <col min="5388" max="5388" width="11.6640625" style="84" customWidth="1"/>
    <col min="5389" max="5389" width="9.33203125" style="84" customWidth="1"/>
    <col min="5390" max="5633" width="8.83203125" style="84"/>
    <col min="5634" max="5634" width="13.33203125" style="84" customWidth="1"/>
    <col min="5635" max="5635" width="16" style="84" customWidth="1"/>
    <col min="5636" max="5636" width="16.6640625" style="84" customWidth="1"/>
    <col min="5637" max="5637" width="18.6640625" style="84" customWidth="1"/>
    <col min="5638" max="5638" width="14.6640625" style="84" customWidth="1"/>
    <col min="5639" max="5639" width="10.83203125" style="84" customWidth="1"/>
    <col min="5640" max="5640" width="13.83203125" style="84" customWidth="1"/>
    <col min="5641" max="5642" width="12" style="84" customWidth="1"/>
    <col min="5643" max="5643" width="13.1640625" style="84" customWidth="1"/>
    <col min="5644" max="5644" width="11.6640625" style="84" customWidth="1"/>
    <col min="5645" max="5645" width="9.33203125" style="84" customWidth="1"/>
    <col min="5646" max="5889" width="8.83203125" style="84"/>
    <col min="5890" max="5890" width="13.33203125" style="84" customWidth="1"/>
    <col min="5891" max="5891" width="16" style="84" customWidth="1"/>
    <col min="5892" max="5892" width="16.6640625" style="84" customWidth="1"/>
    <col min="5893" max="5893" width="18.6640625" style="84" customWidth="1"/>
    <col min="5894" max="5894" width="14.6640625" style="84" customWidth="1"/>
    <col min="5895" max="5895" width="10.83203125" style="84" customWidth="1"/>
    <col min="5896" max="5896" width="13.83203125" style="84" customWidth="1"/>
    <col min="5897" max="5898" width="12" style="84" customWidth="1"/>
    <col min="5899" max="5899" width="13.1640625" style="84" customWidth="1"/>
    <col min="5900" max="5900" width="11.6640625" style="84" customWidth="1"/>
    <col min="5901" max="5901" width="9.33203125" style="84" customWidth="1"/>
    <col min="5902" max="6145" width="8.83203125" style="84"/>
    <col min="6146" max="6146" width="13.33203125" style="84" customWidth="1"/>
    <col min="6147" max="6147" width="16" style="84" customWidth="1"/>
    <col min="6148" max="6148" width="16.6640625" style="84" customWidth="1"/>
    <col min="6149" max="6149" width="18.6640625" style="84" customWidth="1"/>
    <col min="6150" max="6150" width="14.6640625" style="84" customWidth="1"/>
    <col min="6151" max="6151" width="10.83203125" style="84" customWidth="1"/>
    <col min="6152" max="6152" width="13.83203125" style="84" customWidth="1"/>
    <col min="6153" max="6154" width="12" style="84" customWidth="1"/>
    <col min="6155" max="6155" width="13.1640625" style="84" customWidth="1"/>
    <col min="6156" max="6156" width="11.6640625" style="84" customWidth="1"/>
    <col min="6157" max="6157" width="9.33203125" style="84" customWidth="1"/>
    <col min="6158" max="6401" width="8.83203125" style="84"/>
    <col min="6402" max="6402" width="13.33203125" style="84" customWidth="1"/>
    <col min="6403" max="6403" width="16" style="84" customWidth="1"/>
    <col min="6404" max="6404" width="16.6640625" style="84" customWidth="1"/>
    <col min="6405" max="6405" width="18.6640625" style="84" customWidth="1"/>
    <col min="6406" max="6406" width="14.6640625" style="84" customWidth="1"/>
    <col min="6407" max="6407" width="10.83203125" style="84" customWidth="1"/>
    <col min="6408" max="6408" width="13.83203125" style="84" customWidth="1"/>
    <col min="6409" max="6410" width="12" style="84" customWidth="1"/>
    <col min="6411" max="6411" width="13.1640625" style="84" customWidth="1"/>
    <col min="6412" max="6412" width="11.6640625" style="84" customWidth="1"/>
    <col min="6413" max="6413" width="9.33203125" style="84" customWidth="1"/>
    <col min="6414" max="6657" width="8.83203125" style="84"/>
    <col min="6658" max="6658" width="13.33203125" style="84" customWidth="1"/>
    <col min="6659" max="6659" width="16" style="84" customWidth="1"/>
    <col min="6660" max="6660" width="16.6640625" style="84" customWidth="1"/>
    <col min="6661" max="6661" width="18.6640625" style="84" customWidth="1"/>
    <col min="6662" max="6662" width="14.6640625" style="84" customWidth="1"/>
    <col min="6663" max="6663" width="10.83203125" style="84" customWidth="1"/>
    <col min="6664" max="6664" width="13.83203125" style="84" customWidth="1"/>
    <col min="6665" max="6666" width="12" style="84" customWidth="1"/>
    <col min="6667" max="6667" width="13.1640625" style="84" customWidth="1"/>
    <col min="6668" max="6668" width="11.6640625" style="84" customWidth="1"/>
    <col min="6669" max="6669" width="9.33203125" style="84" customWidth="1"/>
    <col min="6670" max="6913" width="8.83203125" style="84"/>
    <col min="6914" max="6914" width="13.33203125" style="84" customWidth="1"/>
    <col min="6915" max="6915" width="16" style="84" customWidth="1"/>
    <col min="6916" max="6916" width="16.6640625" style="84" customWidth="1"/>
    <col min="6917" max="6917" width="18.6640625" style="84" customWidth="1"/>
    <col min="6918" max="6918" width="14.6640625" style="84" customWidth="1"/>
    <col min="6919" max="6919" width="10.83203125" style="84" customWidth="1"/>
    <col min="6920" max="6920" width="13.83203125" style="84" customWidth="1"/>
    <col min="6921" max="6922" width="12" style="84" customWidth="1"/>
    <col min="6923" max="6923" width="13.1640625" style="84" customWidth="1"/>
    <col min="6924" max="6924" width="11.6640625" style="84" customWidth="1"/>
    <col min="6925" max="6925" width="9.33203125" style="84" customWidth="1"/>
    <col min="6926" max="7169" width="8.83203125" style="84"/>
    <col min="7170" max="7170" width="13.33203125" style="84" customWidth="1"/>
    <col min="7171" max="7171" width="16" style="84" customWidth="1"/>
    <col min="7172" max="7172" width="16.6640625" style="84" customWidth="1"/>
    <col min="7173" max="7173" width="18.6640625" style="84" customWidth="1"/>
    <col min="7174" max="7174" width="14.6640625" style="84" customWidth="1"/>
    <col min="7175" max="7175" width="10.83203125" style="84" customWidth="1"/>
    <col min="7176" max="7176" width="13.83203125" style="84" customWidth="1"/>
    <col min="7177" max="7178" width="12" style="84" customWidth="1"/>
    <col min="7179" max="7179" width="13.1640625" style="84" customWidth="1"/>
    <col min="7180" max="7180" width="11.6640625" style="84" customWidth="1"/>
    <col min="7181" max="7181" width="9.33203125" style="84" customWidth="1"/>
    <col min="7182" max="7425" width="8.83203125" style="84"/>
    <col min="7426" max="7426" width="13.33203125" style="84" customWidth="1"/>
    <col min="7427" max="7427" width="16" style="84" customWidth="1"/>
    <col min="7428" max="7428" width="16.6640625" style="84" customWidth="1"/>
    <col min="7429" max="7429" width="18.6640625" style="84" customWidth="1"/>
    <col min="7430" max="7430" width="14.6640625" style="84" customWidth="1"/>
    <col min="7431" max="7431" width="10.83203125" style="84" customWidth="1"/>
    <col min="7432" max="7432" width="13.83203125" style="84" customWidth="1"/>
    <col min="7433" max="7434" width="12" style="84" customWidth="1"/>
    <col min="7435" max="7435" width="13.1640625" style="84" customWidth="1"/>
    <col min="7436" max="7436" width="11.6640625" style="84" customWidth="1"/>
    <col min="7437" max="7437" width="9.33203125" style="84" customWidth="1"/>
    <col min="7438" max="7681" width="8.83203125" style="84"/>
    <col min="7682" max="7682" width="13.33203125" style="84" customWidth="1"/>
    <col min="7683" max="7683" width="16" style="84" customWidth="1"/>
    <col min="7684" max="7684" width="16.6640625" style="84" customWidth="1"/>
    <col min="7685" max="7685" width="18.6640625" style="84" customWidth="1"/>
    <col min="7686" max="7686" width="14.6640625" style="84" customWidth="1"/>
    <col min="7687" max="7687" width="10.83203125" style="84" customWidth="1"/>
    <col min="7688" max="7688" width="13.83203125" style="84" customWidth="1"/>
    <col min="7689" max="7690" width="12" style="84" customWidth="1"/>
    <col min="7691" max="7691" width="13.1640625" style="84" customWidth="1"/>
    <col min="7692" max="7692" width="11.6640625" style="84" customWidth="1"/>
    <col min="7693" max="7693" width="9.33203125" style="84" customWidth="1"/>
    <col min="7694" max="7937" width="8.83203125" style="84"/>
    <col min="7938" max="7938" width="13.33203125" style="84" customWidth="1"/>
    <col min="7939" max="7939" width="16" style="84" customWidth="1"/>
    <col min="7940" max="7940" width="16.6640625" style="84" customWidth="1"/>
    <col min="7941" max="7941" width="18.6640625" style="84" customWidth="1"/>
    <col min="7942" max="7942" width="14.6640625" style="84" customWidth="1"/>
    <col min="7943" max="7943" width="10.83203125" style="84" customWidth="1"/>
    <col min="7944" max="7944" width="13.83203125" style="84" customWidth="1"/>
    <col min="7945" max="7946" width="12" style="84" customWidth="1"/>
    <col min="7947" max="7947" width="13.1640625" style="84" customWidth="1"/>
    <col min="7948" max="7948" width="11.6640625" style="84" customWidth="1"/>
    <col min="7949" max="7949" width="9.33203125" style="84" customWidth="1"/>
    <col min="7950" max="8193" width="8.83203125" style="84"/>
    <col min="8194" max="8194" width="13.33203125" style="84" customWidth="1"/>
    <col min="8195" max="8195" width="16" style="84" customWidth="1"/>
    <col min="8196" max="8196" width="16.6640625" style="84" customWidth="1"/>
    <col min="8197" max="8197" width="18.6640625" style="84" customWidth="1"/>
    <col min="8198" max="8198" width="14.6640625" style="84" customWidth="1"/>
    <col min="8199" max="8199" width="10.83203125" style="84" customWidth="1"/>
    <col min="8200" max="8200" width="13.83203125" style="84" customWidth="1"/>
    <col min="8201" max="8202" width="12" style="84" customWidth="1"/>
    <col min="8203" max="8203" width="13.1640625" style="84" customWidth="1"/>
    <col min="8204" max="8204" width="11.6640625" style="84" customWidth="1"/>
    <col min="8205" max="8205" width="9.33203125" style="84" customWidth="1"/>
    <col min="8206" max="8449" width="8.83203125" style="84"/>
    <col min="8450" max="8450" width="13.33203125" style="84" customWidth="1"/>
    <col min="8451" max="8451" width="16" style="84" customWidth="1"/>
    <col min="8452" max="8452" width="16.6640625" style="84" customWidth="1"/>
    <col min="8453" max="8453" width="18.6640625" style="84" customWidth="1"/>
    <col min="8454" max="8454" width="14.6640625" style="84" customWidth="1"/>
    <col min="8455" max="8455" width="10.83203125" style="84" customWidth="1"/>
    <col min="8456" max="8456" width="13.83203125" style="84" customWidth="1"/>
    <col min="8457" max="8458" width="12" style="84" customWidth="1"/>
    <col min="8459" max="8459" width="13.1640625" style="84" customWidth="1"/>
    <col min="8460" max="8460" width="11.6640625" style="84" customWidth="1"/>
    <col min="8461" max="8461" width="9.33203125" style="84" customWidth="1"/>
    <col min="8462" max="8705" width="8.83203125" style="84"/>
    <col min="8706" max="8706" width="13.33203125" style="84" customWidth="1"/>
    <col min="8707" max="8707" width="16" style="84" customWidth="1"/>
    <col min="8708" max="8708" width="16.6640625" style="84" customWidth="1"/>
    <col min="8709" max="8709" width="18.6640625" style="84" customWidth="1"/>
    <col min="8710" max="8710" width="14.6640625" style="84" customWidth="1"/>
    <col min="8711" max="8711" width="10.83203125" style="84" customWidth="1"/>
    <col min="8712" max="8712" width="13.83203125" style="84" customWidth="1"/>
    <col min="8713" max="8714" width="12" style="84" customWidth="1"/>
    <col min="8715" max="8715" width="13.1640625" style="84" customWidth="1"/>
    <col min="8716" max="8716" width="11.6640625" style="84" customWidth="1"/>
    <col min="8717" max="8717" width="9.33203125" style="84" customWidth="1"/>
    <col min="8718" max="8961" width="8.83203125" style="84"/>
    <col min="8962" max="8962" width="13.33203125" style="84" customWidth="1"/>
    <col min="8963" max="8963" width="16" style="84" customWidth="1"/>
    <col min="8964" max="8964" width="16.6640625" style="84" customWidth="1"/>
    <col min="8965" max="8965" width="18.6640625" style="84" customWidth="1"/>
    <col min="8966" max="8966" width="14.6640625" style="84" customWidth="1"/>
    <col min="8967" max="8967" width="10.83203125" style="84" customWidth="1"/>
    <col min="8968" max="8968" width="13.83203125" style="84" customWidth="1"/>
    <col min="8969" max="8970" width="12" style="84" customWidth="1"/>
    <col min="8971" max="8971" width="13.1640625" style="84" customWidth="1"/>
    <col min="8972" max="8972" width="11.6640625" style="84" customWidth="1"/>
    <col min="8973" max="8973" width="9.33203125" style="84" customWidth="1"/>
    <col min="8974" max="9217" width="8.83203125" style="84"/>
    <col min="9218" max="9218" width="13.33203125" style="84" customWidth="1"/>
    <col min="9219" max="9219" width="16" style="84" customWidth="1"/>
    <col min="9220" max="9220" width="16.6640625" style="84" customWidth="1"/>
    <col min="9221" max="9221" width="18.6640625" style="84" customWidth="1"/>
    <col min="9222" max="9222" width="14.6640625" style="84" customWidth="1"/>
    <col min="9223" max="9223" width="10.83203125" style="84" customWidth="1"/>
    <col min="9224" max="9224" width="13.83203125" style="84" customWidth="1"/>
    <col min="9225" max="9226" width="12" style="84" customWidth="1"/>
    <col min="9227" max="9227" width="13.1640625" style="84" customWidth="1"/>
    <col min="9228" max="9228" width="11.6640625" style="84" customWidth="1"/>
    <col min="9229" max="9229" width="9.33203125" style="84" customWidth="1"/>
    <col min="9230" max="9473" width="8.83203125" style="84"/>
    <col min="9474" max="9474" width="13.33203125" style="84" customWidth="1"/>
    <col min="9475" max="9475" width="16" style="84" customWidth="1"/>
    <col min="9476" max="9476" width="16.6640625" style="84" customWidth="1"/>
    <col min="9477" max="9477" width="18.6640625" style="84" customWidth="1"/>
    <col min="9478" max="9478" width="14.6640625" style="84" customWidth="1"/>
    <col min="9479" max="9479" width="10.83203125" style="84" customWidth="1"/>
    <col min="9480" max="9480" width="13.83203125" style="84" customWidth="1"/>
    <col min="9481" max="9482" width="12" style="84" customWidth="1"/>
    <col min="9483" max="9483" width="13.1640625" style="84" customWidth="1"/>
    <col min="9484" max="9484" width="11.6640625" style="84" customWidth="1"/>
    <col min="9485" max="9485" width="9.33203125" style="84" customWidth="1"/>
    <col min="9486" max="9729" width="8.83203125" style="84"/>
    <col min="9730" max="9730" width="13.33203125" style="84" customWidth="1"/>
    <col min="9731" max="9731" width="16" style="84" customWidth="1"/>
    <col min="9732" max="9732" width="16.6640625" style="84" customWidth="1"/>
    <col min="9733" max="9733" width="18.6640625" style="84" customWidth="1"/>
    <col min="9734" max="9734" width="14.6640625" style="84" customWidth="1"/>
    <col min="9735" max="9735" width="10.83203125" style="84" customWidth="1"/>
    <col min="9736" max="9736" width="13.83203125" style="84" customWidth="1"/>
    <col min="9737" max="9738" width="12" style="84" customWidth="1"/>
    <col min="9739" max="9739" width="13.1640625" style="84" customWidth="1"/>
    <col min="9740" max="9740" width="11.6640625" style="84" customWidth="1"/>
    <col min="9741" max="9741" width="9.33203125" style="84" customWidth="1"/>
    <col min="9742" max="9985" width="8.83203125" style="84"/>
    <col min="9986" max="9986" width="13.33203125" style="84" customWidth="1"/>
    <col min="9987" max="9987" width="16" style="84" customWidth="1"/>
    <col min="9988" max="9988" width="16.6640625" style="84" customWidth="1"/>
    <col min="9989" max="9989" width="18.6640625" style="84" customWidth="1"/>
    <col min="9990" max="9990" width="14.6640625" style="84" customWidth="1"/>
    <col min="9991" max="9991" width="10.83203125" style="84" customWidth="1"/>
    <col min="9992" max="9992" width="13.83203125" style="84" customWidth="1"/>
    <col min="9993" max="9994" width="12" style="84" customWidth="1"/>
    <col min="9995" max="9995" width="13.1640625" style="84" customWidth="1"/>
    <col min="9996" max="9996" width="11.6640625" style="84" customWidth="1"/>
    <col min="9997" max="9997" width="9.33203125" style="84" customWidth="1"/>
    <col min="9998" max="10241" width="8.83203125" style="84"/>
    <col min="10242" max="10242" width="13.33203125" style="84" customWidth="1"/>
    <col min="10243" max="10243" width="16" style="84" customWidth="1"/>
    <col min="10244" max="10244" width="16.6640625" style="84" customWidth="1"/>
    <col min="10245" max="10245" width="18.6640625" style="84" customWidth="1"/>
    <col min="10246" max="10246" width="14.6640625" style="84" customWidth="1"/>
    <col min="10247" max="10247" width="10.83203125" style="84" customWidth="1"/>
    <col min="10248" max="10248" width="13.83203125" style="84" customWidth="1"/>
    <col min="10249" max="10250" width="12" style="84" customWidth="1"/>
    <col min="10251" max="10251" width="13.1640625" style="84" customWidth="1"/>
    <col min="10252" max="10252" width="11.6640625" style="84" customWidth="1"/>
    <col min="10253" max="10253" width="9.33203125" style="84" customWidth="1"/>
    <col min="10254" max="10497" width="8.83203125" style="84"/>
    <col min="10498" max="10498" width="13.33203125" style="84" customWidth="1"/>
    <col min="10499" max="10499" width="16" style="84" customWidth="1"/>
    <col min="10500" max="10500" width="16.6640625" style="84" customWidth="1"/>
    <col min="10501" max="10501" width="18.6640625" style="84" customWidth="1"/>
    <col min="10502" max="10502" width="14.6640625" style="84" customWidth="1"/>
    <col min="10503" max="10503" width="10.83203125" style="84" customWidth="1"/>
    <col min="10504" max="10504" width="13.83203125" style="84" customWidth="1"/>
    <col min="10505" max="10506" width="12" style="84" customWidth="1"/>
    <col min="10507" max="10507" width="13.1640625" style="84" customWidth="1"/>
    <col min="10508" max="10508" width="11.6640625" style="84" customWidth="1"/>
    <col min="10509" max="10509" width="9.33203125" style="84" customWidth="1"/>
    <col min="10510" max="10753" width="8.83203125" style="84"/>
    <col min="10754" max="10754" width="13.33203125" style="84" customWidth="1"/>
    <col min="10755" max="10755" width="16" style="84" customWidth="1"/>
    <col min="10756" max="10756" width="16.6640625" style="84" customWidth="1"/>
    <col min="10757" max="10757" width="18.6640625" style="84" customWidth="1"/>
    <col min="10758" max="10758" width="14.6640625" style="84" customWidth="1"/>
    <col min="10759" max="10759" width="10.83203125" style="84" customWidth="1"/>
    <col min="10760" max="10760" width="13.83203125" style="84" customWidth="1"/>
    <col min="10761" max="10762" width="12" style="84" customWidth="1"/>
    <col min="10763" max="10763" width="13.1640625" style="84" customWidth="1"/>
    <col min="10764" max="10764" width="11.6640625" style="84" customWidth="1"/>
    <col min="10765" max="10765" width="9.33203125" style="84" customWidth="1"/>
    <col min="10766" max="11009" width="8.83203125" style="84"/>
    <col min="11010" max="11010" width="13.33203125" style="84" customWidth="1"/>
    <col min="11011" max="11011" width="16" style="84" customWidth="1"/>
    <col min="11012" max="11012" width="16.6640625" style="84" customWidth="1"/>
    <col min="11013" max="11013" width="18.6640625" style="84" customWidth="1"/>
    <col min="11014" max="11014" width="14.6640625" style="84" customWidth="1"/>
    <col min="11015" max="11015" width="10.83203125" style="84" customWidth="1"/>
    <col min="11016" max="11016" width="13.83203125" style="84" customWidth="1"/>
    <col min="11017" max="11018" width="12" style="84" customWidth="1"/>
    <col min="11019" max="11019" width="13.1640625" style="84" customWidth="1"/>
    <col min="11020" max="11020" width="11.6640625" style="84" customWidth="1"/>
    <col min="11021" max="11021" width="9.33203125" style="84" customWidth="1"/>
    <col min="11022" max="11265" width="8.83203125" style="84"/>
    <col min="11266" max="11266" width="13.33203125" style="84" customWidth="1"/>
    <col min="11267" max="11267" width="16" style="84" customWidth="1"/>
    <col min="11268" max="11268" width="16.6640625" style="84" customWidth="1"/>
    <col min="11269" max="11269" width="18.6640625" style="84" customWidth="1"/>
    <col min="11270" max="11270" width="14.6640625" style="84" customWidth="1"/>
    <col min="11271" max="11271" width="10.83203125" style="84" customWidth="1"/>
    <col min="11272" max="11272" width="13.83203125" style="84" customWidth="1"/>
    <col min="11273" max="11274" width="12" style="84" customWidth="1"/>
    <col min="11275" max="11275" width="13.1640625" style="84" customWidth="1"/>
    <col min="11276" max="11276" width="11.6640625" style="84" customWidth="1"/>
    <col min="11277" max="11277" width="9.33203125" style="84" customWidth="1"/>
    <col min="11278" max="11521" width="8.83203125" style="84"/>
    <col min="11522" max="11522" width="13.33203125" style="84" customWidth="1"/>
    <col min="11523" max="11523" width="16" style="84" customWidth="1"/>
    <col min="11524" max="11524" width="16.6640625" style="84" customWidth="1"/>
    <col min="11525" max="11525" width="18.6640625" style="84" customWidth="1"/>
    <col min="11526" max="11526" width="14.6640625" style="84" customWidth="1"/>
    <col min="11527" max="11527" width="10.83203125" style="84" customWidth="1"/>
    <col min="11528" max="11528" width="13.83203125" style="84" customWidth="1"/>
    <col min="11529" max="11530" width="12" style="84" customWidth="1"/>
    <col min="11531" max="11531" width="13.1640625" style="84" customWidth="1"/>
    <col min="11532" max="11532" width="11.6640625" style="84" customWidth="1"/>
    <col min="11533" max="11533" width="9.33203125" style="84" customWidth="1"/>
    <col min="11534" max="11777" width="8.83203125" style="84"/>
    <col min="11778" max="11778" width="13.33203125" style="84" customWidth="1"/>
    <col min="11779" max="11779" width="16" style="84" customWidth="1"/>
    <col min="11780" max="11780" width="16.6640625" style="84" customWidth="1"/>
    <col min="11781" max="11781" width="18.6640625" style="84" customWidth="1"/>
    <col min="11782" max="11782" width="14.6640625" style="84" customWidth="1"/>
    <col min="11783" max="11783" width="10.83203125" style="84" customWidth="1"/>
    <col min="11784" max="11784" width="13.83203125" style="84" customWidth="1"/>
    <col min="11785" max="11786" width="12" style="84" customWidth="1"/>
    <col min="11787" max="11787" width="13.1640625" style="84" customWidth="1"/>
    <col min="11788" max="11788" width="11.6640625" style="84" customWidth="1"/>
    <col min="11789" max="11789" width="9.33203125" style="84" customWidth="1"/>
    <col min="11790" max="12033" width="8.83203125" style="84"/>
    <col min="12034" max="12034" width="13.33203125" style="84" customWidth="1"/>
    <col min="12035" max="12035" width="16" style="84" customWidth="1"/>
    <col min="12036" max="12036" width="16.6640625" style="84" customWidth="1"/>
    <col min="12037" max="12037" width="18.6640625" style="84" customWidth="1"/>
    <col min="12038" max="12038" width="14.6640625" style="84" customWidth="1"/>
    <col min="12039" max="12039" width="10.83203125" style="84" customWidth="1"/>
    <col min="12040" max="12040" width="13.83203125" style="84" customWidth="1"/>
    <col min="12041" max="12042" width="12" style="84" customWidth="1"/>
    <col min="12043" max="12043" width="13.1640625" style="84" customWidth="1"/>
    <col min="12044" max="12044" width="11.6640625" style="84" customWidth="1"/>
    <col min="12045" max="12045" width="9.33203125" style="84" customWidth="1"/>
    <col min="12046" max="12289" width="8.83203125" style="84"/>
    <col min="12290" max="12290" width="13.33203125" style="84" customWidth="1"/>
    <col min="12291" max="12291" width="16" style="84" customWidth="1"/>
    <col min="12292" max="12292" width="16.6640625" style="84" customWidth="1"/>
    <col min="12293" max="12293" width="18.6640625" style="84" customWidth="1"/>
    <col min="12294" max="12294" width="14.6640625" style="84" customWidth="1"/>
    <col min="12295" max="12295" width="10.83203125" style="84" customWidth="1"/>
    <col min="12296" max="12296" width="13.83203125" style="84" customWidth="1"/>
    <col min="12297" max="12298" width="12" style="84" customWidth="1"/>
    <col min="12299" max="12299" width="13.1640625" style="84" customWidth="1"/>
    <col min="12300" max="12300" width="11.6640625" style="84" customWidth="1"/>
    <col min="12301" max="12301" width="9.33203125" style="84" customWidth="1"/>
    <col min="12302" max="12545" width="8.83203125" style="84"/>
    <col min="12546" max="12546" width="13.33203125" style="84" customWidth="1"/>
    <col min="12547" max="12547" width="16" style="84" customWidth="1"/>
    <col min="12548" max="12548" width="16.6640625" style="84" customWidth="1"/>
    <col min="12549" max="12549" width="18.6640625" style="84" customWidth="1"/>
    <col min="12550" max="12550" width="14.6640625" style="84" customWidth="1"/>
    <col min="12551" max="12551" width="10.83203125" style="84" customWidth="1"/>
    <col min="12552" max="12552" width="13.83203125" style="84" customWidth="1"/>
    <col min="12553" max="12554" width="12" style="84" customWidth="1"/>
    <col min="12555" max="12555" width="13.1640625" style="84" customWidth="1"/>
    <col min="12556" max="12556" width="11.6640625" style="84" customWidth="1"/>
    <col min="12557" max="12557" width="9.33203125" style="84" customWidth="1"/>
    <col min="12558" max="12801" width="8.83203125" style="84"/>
    <col min="12802" max="12802" width="13.33203125" style="84" customWidth="1"/>
    <col min="12803" max="12803" width="16" style="84" customWidth="1"/>
    <col min="12804" max="12804" width="16.6640625" style="84" customWidth="1"/>
    <col min="12805" max="12805" width="18.6640625" style="84" customWidth="1"/>
    <col min="12806" max="12806" width="14.6640625" style="84" customWidth="1"/>
    <col min="12807" max="12807" width="10.83203125" style="84" customWidth="1"/>
    <col min="12808" max="12808" width="13.83203125" style="84" customWidth="1"/>
    <col min="12809" max="12810" width="12" style="84" customWidth="1"/>
    <col min="12811" max="12811" width="13.1640625" style="84" customWidth="1"/>
    <col min="12812" max="12812" width="11.6640625" style="84" customWidth="1"/>
    <col min="12813" max="12813" width="9.33203125" style="84" customWidth="1"/>
    <col min="12814" max="13057" width="8.83203125" style="84"/>
    <col min="13058" max="13058" width="13.33203125" style="84" customWidth="1"/>
    <col min="13059" max="13059" width="16" style="84" customWidth="1"/>
    <col min="13060" max="13060" width="16.6640625" style="84" customWidth="1"/>
    <col min="13061" max="13061" width="18.6640625" style="84" customWidth="1"/>
    <col min="13062" max="13062" width="14.6640625" style="84" customWidth="1"/>
    <col min="13063" max="13063" width="10.83203125" style="84" customWidth="1"/>
    <col min="13064" max="13064" width="13.83203125" style="84" customWidth="1"/>
    <col min="13065" max="13066" width="12" style="84" customWidth="1"/>
    <col min="13067" max="13067" width="13.1640625" style="84" customWidth="1"/>
    <col min="13068" max="13068" width="11.6640625" style="84" customWidth="1"/>
    <col min="13069" max="13069" width="9.33203125" style="84" customWidth="1"/>
    <col min="13070" max="13313" width="8.83203125" style="84"/>
    <col min="13314" max="13314" width="13.33203125" style="84" customWidth="1"/>
    <col min="13315" max="13315" width="16" style="84" customWidth="1"/>
    <col min="13316" max="13316" width="16.6640625" style="84" customWidth="1"/>
    <col min="13317" max="13317" width="18.6640625" style="84" customWidth="1"/>
    <col min="13318" max="13318" width="14.6640625" style="84" customWidth="1"/>
    <col min="13319" max="13319" width="10.83203125" style="84" customWidth="1"/>
    <col min="13320" max="13320" width="13.83203125" style="84" customWidth="1"/>
    <col min="13321" max="13322" width="12" style="84" customWidth="1"/>
    <col min="13323" max="13323" width="13.1640625" style="84" customWidth="1"/>
    <col min="13324" max="13324" width="11.6640625" style="84" customWidth="1"/>
    <col min="13325" max="13325" width="9.33203125" style="84" customWidth="1"/>
    <col min="13326" max="13569" width="8.83203125" style="84"/>
    <col min="13570" max="13570" width="13.33203125" style="84" customWidth="1"/>
    <col min="13571" max="13571" width="16" style="84" customWidth="1"/>
    <col min="13572" max="13572" width="16.6640625" style="84" customWidth="1"/>
    <col min="13573" max="13573" width="18.6640625" style="84" customWidth="1"/>
    <col min="13574" max="13574" width="14.6640625" style="84" customWidth="1"/>
    <col min="13575" max="13575" width="10.83203125" style="84" customWidth="1"/>
    <col min="13576" max="13576" width="13.83203125" style="84" customWidth="1"/>
    <col min="13577" max="13578" width="12" style="84" customWidth="1"/>
    <col min="13579" max="13579" width="13.1640625" style="84" customWidth="1"/>
    <col min="13580" max="13580" width="11.6640625" style="84" customWidth="1"/>
    <col min="13581" max="13581" width="9.33203125" style="84" customWidth="1"/>
    <col min="13582" max="13825" width="8.83203125" style="84"/>
    <col min="13826" max="13826" width="13.33203125" style="84" customWidth="1"/>
    <col min="13827" max="13827" width="16" style="84" customWidth="1"/>
    <col min="13828" max="13828" width="16.6640625" style="84" customWidth="1"/>
    <col min="13829" max="13829" width="18.6640625" style="84" customWidth="1"/>
    <col min="13830" max="13830" width="14.6640625" style="84" customWidth="1"/>
    <col min="13831" max="13831" width="10.83203125" style="84" customWidth="1"/>
    <col min="13832" max="13832" width="13.83203125" style="84" customWidth="1"/>
    <col min="13833" max="13834" width="12" style="84" customWidth="1"/>
    <col min="13835" max="13835" width="13.1640625" style="84" customWidth="1"/>
    <col min="13836" max="13836" width="11.6640625" style="84" customWidth="1"/>
    <col min="13837" max="13837" width="9.33203125" style="84" customWidth="1"/>
    <col min="13838" max="14081" width="8.83203125" style="84"/>
    <col min="14082" max="14082" width="13.33203125" style="84" customWidth="1"/>
    <col min="14083" max="14083" width="16" style="84" customWidth="1"/>
    <col min="14084" max="14084" width="16.6640625" style="84" customWidth="1"/>
    <col min="14085" max="14085" width="18.6640625" style="84" customWidth="1"/>
    <col min="14086" max="14086" width="14.6640625" style="84" customWidth="1"/>
    <col min="14087" max="14087" width="10.83203125" style="84" customWidth="1"/>
    <col min="14088" max="14088" width="13.83203125" style="84" customWidth="1"/>
    <col min="14089" max="14090" width="12" style="84" customWidth="1"/>
    <col min="14091" max="14091" width="13.1640625" style="84" customWidth="1"/>
    <col min="14092" max="14092" width="11.6640625" style="84" customWidth="1"/>
    <col min="14093" max="14093" width="9.33203125" style="84" customWidth="1"/>
    <col min="14094" max="14337" width="8.83203125" style="84"/>
    <col min="14338" max="14338" width="13.33203125" style="84" customWidth="1"/>
    <col min="14339" max="14339" width="16" style="84" customWidth="1"/>
    <col min="14340" max="14340" width="16.6640625" style="84" customWidth="1"/>
    <col min="14341" max="14341" width="18.6640625" style="84" customWidth="1"/>
    <col min="14342" max="14342" width="14.6640625" style="84" customWidth="1"/>
    <col min="14343" max="14343" width="10.83203125" style="84" customWidth="1"/>
    <col min="14344" max="14344" width="13.83203125" style="84" customWidth="1"/>
    <col min="14345" max="14346" width="12" style="84" customWidth="1"/>
    <col min="14347" max="14347" width="13.1640625" style="84" customWidth="1"/>
    <col min="14348" max="14348" width="11.6640625" style="84" customWidth="1"/>
    <col min="14349" max="14349" width="9.33203125" style="84" customWidth="1"/>
    <col min="14350" max="14593" width="8.83203125" style="84"/>
    <col min="14594" max="14594" width="13.33203125" style="84" customWidth="1"/>
    <col min="14595" max="14595" width="16" style="84" customWidth="1"/>
    <col min="14596" max="14596" width="16.6640625" style="84" customWidth="1"/>
    <col min="14597" max="14597" width="18.6640625" style="84" customWidth="1"/>
    <col min="14598" max="14598" width="14.6640625" style="84" customWidth="1"/>
    <col min="14599" max="14599" width="10.83203125" style="84" customWidth="1"/>
    <col min="14600" max="14600" width="13.83203125" style="84" customWidth="1"/>
    <col min="14601" max="14602" width="12" style="84" customWidth="1"/>
    <col min="14603" max="14603" width="13.1640625" style="84" customWidth="1"/>
    <col min="14604" max="14604" width="11.6640625" style="84" customWidth="1"/>
    <col min="14605" max="14605" width="9.33203125" style="84" customWidth="1"/>
    <col min="14606" max="14849" width="8.83203125" style="84"/>
    <col min="14850" max="14850" width="13.33203125" style="84" customWidth="1"/>
    <col min="14851" max="14851" width="16" style="84" customWidth="1"/>
    <col min="14852" max="14852" width="16.6640625" style="84" customWidth="1"/>
    <col min="14853" max="14853" width="18.6640625" style="84" customWidth="1"/>
    <col min="14854" max="14854" width="14.6640625" style="84" customWidth="1"/>
    <col min="14855" max="14855" width="10.83203125" style="84" customWidth="1"/>
    <col min="14856" max="14856" width="13.83203125" style="84" customWidth="1"/>
    <col min="14857" max="14858" width="12" style="84" customWidth="1"/>
    <col min="14859" max="14859" width="13.1640625" style="84" customWidth="1"/>
    <col min="14860" max="14860" width="11.6640625" style="84" customWidth="1"/>
    <col min="14861" max="14861" width="9.33203125" style="84" customWidth="1"/>
    <col min="14862" max="15105" width="8.83203125" style="84"/>
    <col min="15106" max="15106" width="13.33203125" style="84" customWidth="1"/>
    <col min="15107" max="15107" width="16" style="84" customWidth="1"/>
    <col min="15108" max="15108" width="16.6640625" style="84" customWidth="1"/>
    <col min="15109" max="15109" width="18.6640625" style="84" customWidth="1"/>
    <col min="15110" max="15110" width="14.6640625" style="84" customWidth="1"/>
    <col min="15111" max="15111" width="10.83203125" style="84" customWidth="1"/>
    <col min="15112" max="15112" width="13.83203125" style="84" customWidth="1"/>
    <col min="15113" max="15114" width="12" style="84" customWidth="1"/>
    <col min="15115" max="15115" width="13.1640625" style="84" customWidth="1"/>
    <col min="15116" max="15116" width="11.6640625" style="84" customWidth="1"/>
    <col min="15117" max="15117" width="9.33203125" style="84" customWidth="1"/>
    <col min="15118" max="15361" width="8.83203125" style="84"/>
    <col min="15362" max="15362" width="13.33203125" style="84" customWidth="1"/>
    <col min="15363" max="15363" width="16" style="84" customWidth="1"/>
    <col min="15364" max="15364" width="16.6640625" style="84" customWidth="1"/>
    <col min="15365" max="15365" width="18.6640625" style="84" customWidth="1"/>
    <col min="15366" max="15366" width="14.6640625" style="84" customWidth="1"/>
    <col min="15367" max="15367" width="10.83203125" style="84" customWidth="1"/>
    <col min="15368" max="15368" width="13.83203125" style="84" customWidth="1"/>
    <col min="15369" max="15370" width="12" style="84" customWidth="1"/>
    <col min="15371" max="15371" width="13.1640625" style="84" customWidth="1"/>
    <col min="15372" max="15372" width="11.6640625" style="84" customWidth="1"/>
    <col min="15373" max="15373" width="9.33203125" style="84" customWidth="1"/>
    <col min="15374" max="15617" width="8.83203125" style="84"/>
    <col min="15618" max="15618" width="13.33203125" style="84" customWidth="1"/>
    <col min="15619" max="15619" width="16" style="84" customWidth="1"/>
    <col min="15620" max="15620" width="16.6640625" style="84" customWidth="1"/>
    <col min="15621" max="15621" width="18.6640625" style="84" customWidth="1"/>
    <col min="15622" max="15622" width="14.6640625" style="84" customWidth="1"/>
    <col min="15623" max="15623" width="10.83203125" style="84" customWidth="1"/>
    <col min="15624" max="15624" width="13.83203125" style="84" customWidth="1"/>
    <col min="15625" max="15626" width="12" style="84" customWidth="1"/>
    <col min="15627" max="15627" width="13.1640625" style="84" customWidth="1"/>
    <col min="15628" max="15628" width="11.6640625" style="84" customWidth="1"/>
    <col min="15629" max="15629" width="9.33203125" style="84" customWidth="1"/>
    <col min="15630" max="15873" width="8.83203125" style="84"/>
    <col min="15874" max="15874" width="13.33203125" style="84" customWidth="1"/>
    <col min="15875" max="15875" width="16" style="84" customWidth="1"/>
    <col min="15876" max="15876" width="16.6640625" style="84" customWidth="1"/>
    <col min="15877" max="15877" width="18.6640625" style="84" customWidth="1"/>
    <col min="15878" max="15878" width="14.6640625" style="84" customWidth="1"/>
    <col min="15879" max="15879" width="10.83203125" style="84" customWidth="1"/>
    <col min="15880" max="15880" width="13.83203125" style="84" customWidth="1"/>
    <col min="15881" max="15882" width="12" style="84" customWidth="1"/>
    <col min="15883" max="15883" width="13.1640625" style="84" customWidth="1"/>
    <col min="15884" max="15884" width="11.6640625" style="84" customWidth="1"/>
    <col min="15885" max="15885" width="9.33203125" style="84" customWidth="1"/>
    <col min="15886" max="16129" width="8.83203125" style="84"/>
    <col min="16130" max="16130" width="13.33203125" style="84" customWidth="1"/>
    <col min="16131" max="16131" width="16" style="84" customWidth="1"/>
    <col min="16132" max="16132" width="16.6640625" style="84" customWidth="1"/>
    <col min="16133" max="16133" width="18.6640625" style="84" customWidth="1"/>
    <col min="16134" max="16134" width="14.6640625" style="84" customWidth="1"/>
    <col min="16135" max="16135" width="10.83203125" style="84" customWidth="1"/>
    <col min="16136" max="16136" width="13.83203125" style="84" customWidth="1"/>
    <col min="16137" max="16138" width="12" style="84" customWidth="1"/>
    <col min="16139" max="16139" width="13.1640625" style="84" customWidth="1"/>
    <col min="16140" max="16140" width="11.6640625" style="84" customWidth="1"/>
    <col min="16141" max="16141" width="9.33203125" style="84" customWidth="1"/>
    <col min="16142" max="16384" width="8.83203125" style="84"/>
  </cols>
  <sheetData>
    <row r="1" spans="1:14" ht="21" customHeight="1">
      <c r="A1" s="192" t="s">
        <v>253</v>
      </c>
      <c r="B1" s="193"/>
      <c r="C1" s="194"/>
      <c r="D1" s="194"/>
      <c r="E1" s="194"/>
      <c r="F1" s="194"/>
      <c r="G1" s="194"/>
      <c r="H1" s="194"/>
      <c r="I1" s="194"/>
      <c r="J1" s="194"/>
      <c r="K1" s="194"/>
      <c r="L1" s="194"/>
      <c r="M1" s="194"/>
      <c r="N1" s="194"/>
    </row>
    <row r="2" spans="1:14" ht="15" customHeight="1" thickBot="1">
      <c r="A2" s="195"/>
      <c r="B2" s="195"/>
      <c r="C2" s="85"/>
      <c r="D2" s="85"/>
      <c r="E2" s="85"/>
      <c r="F2" s="85"/>
      <c r="G2" s="85"/>
      <c r="H2" s="85"/>
      <c r="I2" s="196"/>
      <c r="J2" s="196"/>
      <c r="K2" s="85"/>
      <c r="L2" s="85"/>
      <c r="M2" s="195" t="s">
        <v>124</v>
      </c>
    </row>
    <row r="3" spans="1:14" s="200" customFormat="1" ht="15" customHeight="1" thickTop="1">
      <c r="A3" s="197"/>
      <c r="B3" s="197" t="s">
        <v>125</v>
      </c>
      <c r="C3" s="197" t="s">
        <v>254</v>
      </c>
      <c r="D3" s="197" t="s">
        <v>255</v>
      </c>
      <c r="E3" s="197" t="s">
        <v>256</v>
      </c>
      <c r="F3" s="197" t="s">
        <v>257</v>
      </c>
      <c r="G3" s="197" t="s">
        <v>258</v>
      </c>
      <c r="H3" s="197" t="s">
        <v>259</v>
      </c>
      <c r="I3" s="197" t="s">
        <v>5</v>
      </c>
      <c r="J3" s="197" t="s">
        <v>260</v>
      </c>
      <c r="K3" s="197" t="s">
        <v>46</v>
      </c>
      <c r="L3" s="197" t="s">
        <v>261</v>
      </c>
      <c r="M3" s="198" t="s">
        <v>262</v>
      </c>
      <c r="N3" s="199"/>
    </row>
    <row r="4" spans="1:14" ht="15" customHeight="1">
      <c r="A4" s="201">
        <v>1970</v>
      </c>
      <c r="B4" s="202">
        <v>12681</v>
      </c>
      <c r="C4" s="202">
        <v>9655</v>
      </c>
      <c r="D4" s="202">
        <v>209</v>
      </c>
      <c r="E4" s="203" t="s">
        <v>263</v>
      </c>
      <c r="F4" s="202">
        <v>1164</v>
      </c>
      <c r="G4" s="202">
        <v>1778</v>
      </c>
      <c r="H4" s="202">
        <v>1788</v>
      </c>
      <c r="I4" s="202">
        <v>6275</v>
      </c>
      <c r="J4" s="203" t="s">
        <v>263</v>
      </c>
      <c r="K4" s="203" t="s">
        <v>263</v>
      </c>
      <c r="L4" s="202">
        <v>28397</v>
      </c>
      <c r="M4" s="202">
        <v>62333</v>
      </c>
      <c r="N4" s="116"/>
    </row>
    <row r="5" spans="1:14" ht="15" customHeight="1">
      <c r="A5" s="201">
        <v>1971</v>
      </c>
      <c r="B5" s="202">
        <v>10232</v>
      </c>
      <c r="C5" s="202">
        <v>8298</v>
      </c>
      <c r="D5" s="202">
        <v>176</v>
      </c>
      <c r="E5" s="203" t="s">
        <v>263</v>
      </c>
      <c r="F5" s="202">
        <v>1118</v>
      </c>
      <c r="G5" s="202">
        <v>1038</v>
      </c>
      <c r="H5" s="202">
        <v>5194</v>
      </c>
      <c r="I5" s="202">
        <v>6313</v>
      </c>
      <c r="J5" s="203" t="s">
        <v>263</v>
      </c>
      <c r="K5" s="203" t="s">
        <v>263</v>
      </c>
      <c r="L5" s="202">
        <v>28130</v>
      </c>
      <c r="M5" s="202">
        <v>60746</v>
      </c>
      <c r="N5" s="116"/>
    </row>
    <row r="6" spans="1:14" ht="15" customHeight="1">
      <c r="A6" s="201">
        <v>1972</v>
      </c>
      <c r="B6" s="202">
        <v>7675</v>
      </c>
      <c r="C6" s="202">
        <v>7832</v>
      </c>
      <c r="D6" s="202">
        <v>252</v>
      </c>
      <c r="E6" s="203" t="s">
        <v>263</v>
      </c>
      <c r="F6" s="202">
        <v>1111</v>
      </c>
      <c r="G6" s="202">
        <v>1154</v>
      </c>
      <c r="H6" s="202">
        <v>8136</v>
      </c>
      <c r="I6" s="202">
        <v>6292</v>
      </c>
      <c r="J6" s="203" t="s">
        <v>263</v>
      </c>
      <c r="K6" s="203" t="s">
        <v>263</v>
      </c>
      <c r="L6" s="202">
        <v>28674</v>
      </c>
      <c r="M6" s="202">
        <v>61307</v>
      </c>
      <c r="N6" s="116"/>
    </row>
    <row r="7" spans="1:14" ht="15" customHeight="1">
      <c r="A7" s="201">
        <v>1973</v>
      </c>
      <c r="B7" s="202">
        <v>7950</v>
      </c>
      <c r="C7" s="202">
        <v>8340</v>
      </c>
      <c r="D7" s="202">
        <v>226</v>
      </c>
      <c r="E7" s="203" t="s">
        <v>263</v>
      </c>
      <c r="F7" s="202">
        <v>1290</v>
      </c>
      <c r="G7" s="202">
        <v>788</v>
      </c>
      <c r="H7" s="202">
        <v>10791</v>
      </c>
      <c r="I7" s="202">
        <v>6884</v>
      </c>
      <c r="J7" s="203" t="s">
        <v>263</v>
      </c>
      <c r="K7" s="203" t="s">
        <v>263</v>
      </c>
      <c r="L7" s="202">
        <v>28691</v>
      </c>
      <c r="M7" s="202">
        <v>65149</v>
      </c>
      <c r="N7" s="116"/>
    </row>
    <row r="8" spans="1:14" ht="15" customHeight="1">
      <c r="A8" s="201">
        <v>1974</v>
      </c>
      <c r="B8" s="202">
        <v>7290</v>
      </c>
      <c r="C8" s="202">
        <v>7167</v>
      </c>
      <c r="D8" s="202">
        <v>201</v>
      </c>
      <c r="E8" s="203" t="s">
        <v>263</v>
      </c>
      <c r="F8" s="202">
        <v>975</v>
      </c>
      <c r="G8" s="202">
        <v>494</v>
      </c>
      <c r="H8" s="202">
        <v>12320</v>
      </c>
      <c r="I8" s="202">
        <v>6517</v>
      </c>
      <c r="J8" s="203" t="s">
        <v>263</v>
      </c>
      <c r="K8" s="203" t="s">
        <v>263</v>
      </c>
      <c r="L8" s="202">
        <v>24968</v>
      </c>
      <c r="M8" s="202">
        <v>60058</v>
      </c>
      <c r="N8" s="116"/>
    </row>
    <row r="9" spans="1:14" ht="15" customHeight="1">
      <c r="A9" s="201">
        <v>1975</v>
      </c>
      <c r="B9" s="202">
        <v>6373</v>
      </c>
      <c r="C9" s="202">
        <v>6338</v>
      </c>
      <c r="D9" s="202">
        <v>199</v>
      </c>
      <c r="E9" s="203" t="s">
        <v>263</v>
      </c>
      <c r="F9" s="202">
        <v>1038</v>
      </c>
      <c r="G9" s="202">
        <v>222</v>
      </c>
      <c r="H9" s="202">
        <v>12555</v>
      </c>
      <c r="I9" s="202">
        <v>6479</v>
      </c>
      <c r="J9" s="203" t="s">
        <v>263</v>
      </c>
      <c r="K9" s="203" t="s">
        <v>263</v>
      </c>
      <c r="L9" s="202">
        <v>22145</v>
      </c>
      <c r="M9" s="202">
        <v>55444</v>
      </c>
      <c r="N9" s="116"/>
    </row>
    <row r="10" spans="1:14" ht="15" customHeight="1">
      <c r="A10" s="201">
        <v>1976</v>
      </c>
      <c r="B10" s="202">
        <v>5902</v>
      </c>
      <c r="C10" s="202">
        <v>7129</v>
      </c>
      <c r="D10" s="202">
        <v>131</v>
      </c>
      <c r="E10" s="203" t="s">
        <v>263</v>
      </c>
      <c r="F10" s="202">
        <v>1091</v>
      </c>
      <c r="G10" s="202">
        <v>68</v>
      </c>
      <c r="H10" s="202">
        <v>14237</v>
      </c>
      <c r="I10" s="202">
        <v>6950</v>
      </c>
      <c r="J10" s="203" t="s">
        <v>263</v>
      </c>
      <c r="K10" s="203" t="s">
        <v>263</v>
      </c>
      <c r="L10" s="202">
        <v>21966</v>
      </c>
      <c r="M10" s="202">
        <v>57584</v>
      </c>
      <c r="N10" s="116"/>
    </row>
    <row r="11" spans="1:14" ht="15" customHeight="1">
      <c r="A11" s="201">
        <v>1977</v>
      </c>
      <c r="B11" s="202">
        <v>5947</v>
      </c>
      <c r="C11" s="202">
        <v>6368</v>
      </c>
      <c r="D11" s="202">
        <v>158</v>
      </c>
      <c r="E11" s="203" t="s">
        <v>263</v>
      </c>
      <c r="F11" s="202">
        <v>1010</v>
      </c>
      <c r="G11" s="202">
        <v>30</v>
      </c>
      <c r="H11" s="202">
        <v>14940</v>
      </c>
      <c r="I11" s="202">
        <v>7053</v>
      </c>
      <c r="J11" s="203" t="s">
        <v>263</v>
      </c>
      <c r="K11" s="203" t="s">
        <v>263</v>
      </c>
      <c r="L11" s="202">
        <v>21978</v>
      </c>
      <c r="M11" s="202">
        <v>57574</v>
      </c>
      <c r="N11" s="116"/>
    </row>
    <row r="12" spans="1:14" ht="15" customHeight="1">
      <c r="A12" s="201">
        <v>1978</v>
      </c>
      <c r="B12" s="202">
        <v>5627</v>
      </c>
      <c r="C12" s="202">
        <v>5932</v>
      </c>
      <c r="D12" s="202">
        <v>179</v>
      </c>
      <c r="E12" s="203" t="s">
        <v>263</v>
      </c>
      <c r="F12" s="202">
        <v>899</v>
      </c>
      <c r="G12" s="202">
        <v>15</v>
      </c>
      <c r="H12" s="202">
        <v>15149</v>
      </c>
      <c r="I12" s="202">
        <v>7222</v>
      </c>
      <c r="J12" s="203" t="s">
        <v>263</v>
      </c>
      <c r="K12" s="203" t="s">
        <v>263</v>
      </c>
      <c r="L12" s="202">
        <v>21570</v>
      </c>
      <c r="M12" s="202">
        <v>56673</v>
      </c>
      <c r="N12" s="116"/>
    </row>
    <row r="13" spans="1:14" ht="15" customHeight="1">
      <c r="A13" s="201">
        <v>1979</v>
      </c>
      <c r="B13" s="202">
        <v>6081</v>
      </c>
      <c r="C13" s="202">
        <v>6512</v>
      </c>
      <c r="D13" s="202">
        <v>148</v>
      </c>
      <c r="E13" s="203" t="s">
        <v>263</v>
      </c>
      <c r="F13" s="202">
        <v>977</v>
      </c>
      <c r="G13" s="202">
        <v>18</v>
      </c>
      <c r="H13" s="202">
        <v>15663</v>
      </c>
      <c r="I13" s="202">
        <v>7527</v>
      </c>
      <c r="J13" s="203" t="s">
        <v>263</v>
      </c>
      <c r="K13" s="203" t="s">
        <v>263</v>
      </c>
      <c r="L13" s="202">
        <v>21590</v>
      </c>
      <c r="M13" s="202">
        <v>58564</v>
      </c>
      <c r="N13" s="116"/>
    </row>
    <row r="14" spans="1:14" ht="15" customHeight="1">
      <c r="A14" s="201"/>
      <c r="B14" s="202"/>
      <c r="C14" s="202"/>
      <c r="D14" s="202"/>
      <c r="E14" s="203"/>
      <c r="F14" s="202"/>
      <c r="G14" s="202"/>
      <c r="H14" s="202"/>
      <c r="I14" s="202"/>
      <c r="J14" s="203"/>
      <c r="K14" s="203"/>
      <c r="L14" s="202"/>
      <c r="M14" s="202"/>
      <c r="N14" s="116"/>
    </row>
    <row r="15" spans="1:14" ht="15" customHeight="1">
      <c r="A15" s="201">
        <v>1980</v>
      </c>
      <c r="B15" s="202">
        <v>5083</v>
      </c>
      <c r="C15" s="202">
        <v>3335</v>
      </c>
      <c r="D15" s="202">
        <v>133</v>
      </c>
      <c r="E15" s="203" t="s">
        <v>263</v>
      </c>
      <c r="F15" s="202">
        <v>642</v>
      </c>
      <c r="G15" s="202">
        <v>13</v>
      </c>
      <c r="H15" s="202">
        <v>15258</v>
      </c>
      <c r="I15" s="202">
        <v>6854</v>
      </c>
      <c r="J15" s="203" t="s">
        <v>263</v>
      </c>
      <c r="K15" s="203" t="s">
        <v>263</v>
      </c>
      <c r="L15" s="202">
        <v>16938</v>
      </c>
      <c r="M15" s="202">
        <v>48291</v>
      </c>
      <c r="N15" s="116"/>
    </row>
    <row r="16" spans="1:14" ht="15" customHeight="1">
      <c r="A16" s="201">
        <v>1981</v>
      </c>
      <c r="B16" s="202">
        <v>4534</v>
      </c>
      <c r="C16" s="202">
        <v>4564</v>
      </c>
      <c r="D16" s="202">
        <v>116</v>
      </c>
      <c r="E16" s="203" t="s">
        <v>263</v>
      </c>
      <c r="F16" s="202">
        <v>665</v>
      </c>
      <c r="G16" s="202">
        <v>13</v>
      </c>
      <c r="H16" s="202">
        <v>14489</v>
      </c>
      <c r="I16" s="202">
        <v>6622</v>
      </c>
      <c r="J16" s="203" t="s">
        <v>263</v>
      </c>
      <c r="K16" s="203" t="s">
        <v>263</v>
      </c>
      <c r="L16" s="202">
        <v>14761</v>
      </c>
      <c r="M16" s="202">
        <v>45776</v>
      </c>
      <c r="N16" s="116"/>
    </row>
    <row r="17" spans="1:14" ht="15" customHeight="1">
      <c r="A17" s="201">
        <v>1982</v>
      </c>
      <c r="B17" s="202">
        <v>4668</v>
      </c>
      <c r="C17" s="202">
        <v>4083</v>
      </c>
      <c r="D17" s="202">
        <v>144</v>
      </c>
      <c r="E17" s="203" t="s">
        <v>263</v>
      </c>
      <c r="F17" s="202">
        <v>605</v>
      </c>
      <c r="G17" s="202">
        <v>8</v>
      </c>
      <c r="H17" s="202">
        <v>14588</v>
      </c>
      <c r="I17" s="202">
        <v>6353</v>
      </c>
      <c r="J17" s="203" t="s">
        <v>263</v>
      </c>
      <c r="K17" s="203" t="s">
        <v>263</v>
      </c>
      <c r="L17" s="202">
        <v>13530</v>
      </c>
      <c r="M17" s="202">
        <v>44007</v>
      </c>
      <c r="N17" s="116"/>
    </row>
    <row r="18" spans="1:14" ht="15" customHeight="1">
      <c r="A18" s="201">
        <v>1983</v>
      </c>
      <c r="B18" s="202">
        <v>4708</v>
      </c>
      <c r="C18" s="202">
        <v>4307</v>
      </c>
      <c r="D18" s="202">
        <v>126</v>
      </c>
      <c r="E18" s="203" t="s">
        <v>263</v>
      </c>
      <c r="F18" s="202">
        <v>635</v>
      </c>
      <c r="G18" s="202">
        <v>5</v>
      </c>
      <c r="H18" s="202">
        <v>14021</v>
      </c>
      <c r="I18" s="202">
        <v>6376</v>
      </c>
      <c r="J18" s="203" t="s">
        <v>263</v>
      </c>
      <c r="K18" s="203" t="s">
        <v>263</v>
      </c>
      <c r="L18" s="202">
        <v>11988</v>
      </c>
      <c r="M18" s="202">
        <v>42191</v>
      </c>
      <c r="N18" s="116"/>
    </row>
    <row r="19" spans="1:14" ht="15" customHeight="1">
      <c r="A19" s="201">
        <v>1984</v>
      </c>
      <c r="B19" s="202">
        <v>3796</v>
      </c>
      <c r="C19" s="202">
        <v>4408</v>
      </c>
      <c r="D19" s="202">
        <v>68</v>
      </c>
      <c r="E19" s="203" t="s">
        <v>263</v>
      </c>
      <c r="F19" s="202">
        <v>537</v>
      </c>
      <c r="G19" s="202">
        <v>5</v>
      </c>
      <c r="H19" s="202">
        <v>14686</v>
      </c>
      <c r="I19" s="202">
        <v>6758</v>
      </c>
      <c r="J19" s="203" t="s">
        <v>263</v>
      </c>
      <c r="K19" s="203" t="s">
        <v>263</v>
      </c>
      <c r="L19" s="202">
        <v>10859</v>
      </c>
      <c r="M19" s="202">
        <v>41138</v>
      </c>
      <c r="N19" s="116"/>
    </row>
    <row r="20" spans="1:14" ht="15" customHeight="1">
      <c r="A20" s="201">
        <v>1985</v>
      </c>
      <c r="B20" s="202">
        <v>4708</v>
      </c>
      <c r="C20" s="202">
        <v>4655</v>
      </c>
      <c r="D20" s="202">
        <v>151</v>
      </c>
      <c r="E20" s="203" t="s">
        <v>263</v>
      </c>
      <c r="F20" s="202">
        <v>768</v>
      </c>
      <c r="G20" s="202">
        <v>3</v>
      </c>
      <c r="H20" s="202">
        <v>14865</v>
      </c>
      <c r="I20" s="202">
        <v>6837</v>
      </c>
      <c r="J20" s="203" t="s">
        <v>263</v>
      </c>
      <c r="K20" s="203" t="s">
        <v>263</v>
      </c>
      <c r="L20" s="202">
        <v>9701</v>
      </c>
      <c r="M20" s="202">
        <v>41702</v>
      </c>
      <c r="N20" s="116"/>
    </row>
    <row r="21" spans="1:14" ht="15" customHeight="1">
      <c r="A21" s="201">
        <v>1986</v>
      </c>
      <c r="B21" s="202">
        <v>5242</v>
      </c>
      <c r="C21" s="202">
        <v>4144</v>
      </c>
      <c r="D21" s="202">
        <v>98</v>
      </c>
      <c r="E21" s="203" t="s">
        <v>263</v>
      </c>
      <c r="F21" s="202">
        <v>778</v>
      </c>
      <c r="G21" s="202">
        <v>3</v>
      </c>
      <c r="H21" s="202">
        <v>13542</v>
      </c>
      <c r="I21" s="202">
        <v>6884</v>
      </c>
      <c r="J21" s="203" t="s">
        <v>263</v>
      </c>
      <c r="K21" s="203" t="s">
        <v>263</v>
      </c>
      <c r="L21" s="202">
        <v>10240</v>
      </c>
      <c r="M21" s="202">
        <v>40931</v>
      </c>
      <c r="N21" s="116"/>
    </row>
    <row r="22" spans="1:14" ht="15" customHeight="1">
      <c r="A22" s="201">
        <v>1987</v>
      </c>
      <c r="B22" s="202">
        <v>4048</v>
      </c>
      <c r="C22" s="202">
        <v>4660</v>
      </c>
      <c r="D22" s="202">
        <v>80</v>
      </c>
      <c r="E22" s="203" t="s">
        <v>263</v>
      </c>
      <c r="F22" s="202">
        <v>821</v>
      </c>
      <c r="G22" s="202">
        <v>3</v>
      </c>
      <c r="H22" s="202">
        <v>14137</v>
      </c>
      <c r="I22" s="202">
        <v>8005</v>
      </c>
      <c r="J22" s="203" t="s">
        <v>263</v>
      </c>
      <c r="K22" s="203" t="s">
        <v>263</v>
      </c>
      <c r="L22" s="202">
        <v>8456</v>
      </c>
      <c r="M22" s="202">
        <v>40211</v>
      </c>
      <c r="N22" s="116"/>
    </row>
    <row r="23" spans="1:14" ht="15" customHeight="1">
      <c r="A23" s="201">
        <v>1988</v>
      </c>
      <c r="B23" s="202">
        <v>4166</v>
      </c>
      <c r="C23" s="202">
        <v>5041</v>
      </c>
      <c r="D23" s="202">
        <v>55</v>
      </c>
      <c r="E23" s="203" t="s">
        <v>263</v>
      </c>
      <c r="F23" s="202">
        <v>771</v>
      </c>
      <c r="G23" s="203" t="s">
        <v>191</v>
      </c>
      <c r="H23" s="202">
        <v>12883</v>
      </c>
      <c r="I23" s="202">
        <v>8350</v>
      </c>
      <c r="J23" s="203" t="s">
        <v>263</v>
      </c>
      <c r="K23" s="202">
        <v>100</v>
      </c>
      <c r="L23" s="202">
        <v>9441</v>
      </c>
      <c r="M23" s="202">
        <v>40807</v>
      </c>
      <c r="N23" s="116"/>
    </row>
    <row r="24" spans="1:14" ht="15" customHeight="1">
      <c r="A24" s="201">
        <v>1989</v>
      </c>
      <c r="B24" s="202">
        <v>4489</v>
      </c>
      <c r="C24" s="202">
        <v>4286</v>
      </c>
      <c r="D24" s="202">
        <v>30</v>
      </c>
      <c r="E24" s="203" t="s">
        <v>263</v>
      </c>
      <c r="F24" s="202">
        <v>613</v>
      </c>
      <c r="G24" s="203" t="s">
        <v>191</v>
      </c>
      <c r="H24" s="202">
        <v>12515</v>
      </c>
      <c r="I24" s="202">
        <v>8550</v>
      </c>
      <c r="J24" s="203" t="s">
        <v>263</v>
      </c>
      <c r="K24" s="202">
        <v>101.8</v>
      </c>
      <c r="L24" s="202">
        <v>8820</v>
      </c>
      <c r="M24" s="202">
        <v>39404.800000000003</v>
      </c>
      <c r="N24" s="116"/>
    </row>
    <row r="25" spans="1:14" ht="15" customHeight="1">
      <c r="B25" s="201"/>
      <c r="D25" s="201"/>
      <c r="E25" s="203"/>
      <c r="G25" s="200"/>
      <c r="H25" s="202"/>
      <c r="I25" s="202"/>
      <c r="J25" s="202"/>
      <c r="K25" s="202"/>
      <c r="L25" s="202"/>
      <c r="M25" s="202"/>
      <c r="N25" s="116"/>
    </row>
    <row r="26" spans="1:14" ht="15" customHeight="1">
      <c r="A26" s="201">
        <v>1990</v>
      </c>
      <c r="B26" s="202">
        <v>4172</v>
      </c>
      <c r="C26" s="202">
        <v>3951</v>
      </c>
      <c r="D26" s="202">
        <v>42</v>
      </c>
      <c r="E26" s="203" t="s">
        <v>263</v>
      </c>
      <c r="F26" s="202">
        <v>602</v>
      </c>
      <c r="G26" s="203" t="s">
        <v>191</v>
      </c>
      <c r="H26" s="202">
        <v>12889</v>
      </c>
      <c r="I26" s="202">
        <v>8655</v>
      </c>
      <c r="J26" s="203" t="s">
        <v>263</v>
      </c>
      <c r="K26" s="202">
        <v>106.6</v>
      </c>
      <c r="L26" s="202">
        <v>8242</v>
      </c>
      <c r="M26" s="202">
        <v>38659.599999999999</v>
      </c>
      <c r="N26" s="116"/>
    </row>
    <row r="27" spans="1:14" ht="15" customHeight="1">
      <c r="A27" s="201">
        <v>1991</v>
      </c>
      <c r="B27" s="202">
        <v>4270</v>
      </c>
      <c r="C27" s="202">
        <v>3691</v>
      </c>
      <c r="D27" s="202">
        <v>14</v>
      </c>
      <c r="E27" s="203" t="s">
        <v>263</v>
      </c>
      <c r="F27" s="202">
        <v>570</v>
      </c>
      <c r="G27" s="203" t="s">
        <v>191</v>
      </c>
      <c r="H27" s="202">
        <v>12311</v>
      </c>
      <c r="I27" s="202">
        <v>8563</v>
      </c>
      <c r="J27" s="203" t="s">
        <v>263</v>
      </c>
      <c r="K27" s="202">
        <v>108.7</v>
      </c>
      <c r="L27" s="202">
        <v>8729</v>
      </c>
      <c r="M27" s="202">
        <v>38256.699999999997</v>
      </c>
      <c r="N27" s="116"/>
    </row>
    <row r="28" spans="1:14" ht="15" customHeight="1">
      <c r="A28" s="201">
        <v>1992</v>
      </c>
      <c r="B28" s="202">
        <v>4375</v>
      </c>
      <c r="C28" s="202">
        <v>3601</v>
      </c>
      <c r="D28" s="202">
        <v>14</v>
      </c>
      <c r="E28" s="203" t="s">
        <v>263</v>
      </c>
      <c r="F28" s="202">
        <v>534</v>
      </c>
      <c r="G28" s="203" t="s">
        <v>191</v>
      </c>
      <c r="H28" s="202">
        <v>11380</v>
      </c>
      <c r="I28" s="202">
        <v>8194</v>
      </c>
      <c r="J28" s="203" t="s">
        <v>263</v>
      </c>
      <c r="K28" s="202">
        <v>278.60000000000002</v>
      </c>
      <c r="L28" s="202">
        <v>8334</v>
      </c>
      <c r="M28" s="202">
        <v>36710.6</v>
      </c>
      <c r="N28" s="116"/>
    </row>
    <row r="29" spans="1:14" ht="15" customHeight="1">
      <c r="A29" s="201">
        <v>1993</v>
      </c>
      <c r="B29" s="202">
        <v>3553</v>
      </c>
      <c r="C29" s="202">
        <v>3613</v>
      </c>
      <c r="D29" s="202">
        <v>7</v>
      </c>
      <c r="E29" s="203" t="s">
        <v>263</v>
      </c>
      <c r="F29" s="202">
        <v>560</v>
      </c>
      <c r="G29" s="203" t="s">
        <v>191</v>
      </c>
      <c r="H29" s="202">
        <v>11521</v>
      </c>
      <c r="I29" s="202">
        <v>8328</v>
      </c>
      <c r="J29" s="203" t="s">
        <v>263</v>
      </c>
      <c r="K29" s="202">
        <v>265.8</v>
      </c>
      <c r="L29" s="202">
        <v>8592</v>
      </c>
      <c r="M29" s="202">
        <v>36439.800000000003</v>
      </c>
      <c r="N29" s="116"/>
    </row>
    <row r="30" spans="1:14" ht="15" customHeight="1">
      <c r="A30" s="201">
        <v>1994</v>
      </c>
      <c r="B30" s="202">
        <v>3402</v>
      </c>
      <c r="C30" s="202">
        <v>3818</v>
      </c>
      <c r="D30" s="202">
        <v>194</v>
      </c>
      <c r="E30" s="203" t="s">
        <v>263</v>
      </c>
      <c r="F30" s="202">
        <v>590</v>
      </c>
      <c r="G30" s="203" t="s">
        <v>191</v>
      </c>
      <c r="H30" s="202">
        <v>12885</v>
      </c>
      <c r="I30" s="202">
        <v>8082</v>
      </c>
      <c r="J30" s="203" t="s">
        <v>263</v>
      </c>
      <c r="K30" s="202">
        <v>487.3</v>
      </c>
      <c r="L30" s="202">
        <v>8253</v>
      </c>
      <c r="M30" s="202">
        <v>37711.300000000003</v>
      </c>
      <c r="N30" s="116"/>
    </row>
    <row r="31" spans="1:14" ht="15" customHeight="1">
      <c r="A31" s="204" t="s">
        <v>264</v>
      </c>
      <c r="B31" s="205">
        <v>2840</v>
      </c>
      <c r="C31" s="205">
        <v>3750</v>
      </c>
      <c r="D31" s="205">
        <v>184</v>
      </c>
      <c r="E31" s="206" t="s">
        <v>263</v>
      </c>
      <c r="F31" s="205">
        <v>576.49</v>
      </c>
      <c r="G31" s="206" t="s">
        <v>191</v>
      </c>
      <c r="H31" s="205">
        <v>12679.621668099731</v>
      </c>
      <c r="I31" s="205">
        <v>8654.4453998280333</v>
      </c>
      <c r="J31" s="206" t="s">
        <v>263</v>
      </c>
      <c r="K31" s="205">
        <v>525.9</v>
      </c>
      <c r="L31" s="205">
        <v>7066</v>
      </c>
      <c r="M31" s="205">
        <v>36276.457067927768</v>
      </c>
      <c r="N31" s="116"/>
    </row>
    <row r="32" spans="1:14" ht="15" customHeight="1">
      <c r="A32" s="201" t="s">
        <v>265</v>
      </c>
      <c r="B32" s="202">
        <v>1959.4604401333877</v>
      </c>
      <c r="C32" s="202">
        <v>855.29747778733156</v>
      </c>
      <c r="D32" s="202">
        <v>232.80261775102701</v>
      </c>
      <c r="E32" s="207">
        <v>308.06634000000003</v>
      </c>
      <c r="F32" s="202">
        <v>439.09986000000004</v>
      </c>
      <c r="G32" s="203" t="s">
        <v>191</v>
      </c>
      <c r="H32" s="202">
        <v>14080.851246775579</v>
      </c>
      <c r="I32" s="202">
        <v>9004.0835399999978</v>
      </c>
      <c r="J32" s="203" t="s">
        <v>263</v>
      </c>
      <c r="K32" s="202">
        <v>532.5</v>
      </c>
      <c r="L32" s="202">
        <v>7058.0414471449803</v>
      </c>
      <c r="M32" s="202">
        <v>34470.202969592305</v>
      </c>
      <c r="N32" s="116"/>
    </row>
    <row r="33" spans="1:65" ht="15" customHeight="1">
      <c r="A33" s="201">
        <v>1997</v>
      </c>
      <c r="B33" s="202">
        <v>1963.1071607044119</v>
      </c>
      <c r="C33" s="202">
        <v>787.26870163370586</v>
      </c>
      <c r="D33" s="202">
        <v>248.88711780744961</v>
      </c>
      <c r="E33" s="207">
        <v>331.64230438521065</v>
      </c>
      <c r="F33" s="202">
        <v>457.17970765262254</v>
      </c>
      <c r="G33" s="203" t="s">
        <v>191</v>
      </c>
      <c r="H33" s="202">
        <v>14754.084264832329</v>
      </c>
      <c r="I33" s="202">
        <v>9188.6500429922598</v>
      </c>
      <c r="J33" s="203" t="s">
        <v>263</v>
      </c>
      <c r="K33" s="202">
        <v>532</v>
      </c>
      <c r="L33" s="202">
        <v>6314.6608698091777</v>
      </c>
      <c r="M33" s="202">
        <v>34577.480169817172</v>
      </c>
      <c r="N33" s="116"/>
    </row>
    <row r="34" spans="1:65" ht="15" customHeight="1">
      <c r="A34" s="201">
        <v>1998</v>
      </c>
      <c r="B34" s="202">
        <v>1606.8251093521822</v>
      </c>
      <c r="C34" s="202">
        <v>803.21486576860605</v>
      </c>
      <c r="D34" s="202">
        <v>242.79659883443207</v>
      </c>
      <c r="E34" s="207">
        <v>278.33190025795358</v>
      </c>
      <c r="F34" s="202">
        <v>384.86672398968182</v>
      </c>
      <c r="G34" s="203" t="s">
        <v>191</v>
      </c>
      <c r="H34" s="202">
        <v>15140.498710232159</v>
      </c>
      <c r="I34" s="202">
        <v>9215.5631986242479</v>
      </c>
      <c r="J34" s="203" t="s">
        <v>263</v>
      </c>
      <c r="K34" s="202">
        <v>460.9</v>
      </c>
      <c r="L34" s="202">
        <v>6379.1577292778102</v>
      </c>
      <c r="M34" s="202">
        <v>34512.154836337075</v>
      </c>
      <c r="N34" s="116"/>
    </row>
    <row r="35" spans="1:65" ht="15" customHeight="1">
      <c r="A35" s="201">
        <v>1999</v>
      </c>
      <c r="B35" s="202">
        <v>1353.4860278212193</v>
      </c>
      <c r="C35" s="202">
        <v>819.69045571797074</v>
      </c>
      <c r="D35" s="202">
        <v>215.26268271711092</v>
      </c>
      <c r="E35" s="207">
        <v>138.95098882201202</v>
      </c>
      <c r="F35" s="202">
        <v>205.07308684436799</v>
      </c>
      <c r="G35" s="203" t="s">
        <v>191</v>
      </c>
      <c r="H35" s="202">
        <v>15203.353396388651</v>
      </c>
      <c r="I35" s="202">
        <v>9542.3903697334481</v>
      </c>
      <c r="J35" s="202">
        <v>1086.1661188306107</v>
      </c>
      <c r="K35" s="202">
        <v>283.2</v>
      </c>
      <c r="L35" s="202">
        <v>5374.2926994359959</v>
      </c>
      <c r="M35" s="202">
        <v>34221.86582631139</v>
      </c>
      <c r="N35" s="116"/>
    </row>
    <row r="36" spans="1:65" ht="15" customHeight="1">
      <c r="A36" s="201"/>
      <c r="B36" s="202"/>
      <c r="C36" s="202"/>
      <c r="D36" s="202"/>
      <c r="E36" s="207"/>
      <c r="F36" s="202"/>
      <c r="G36" s="203"/>
      <c r="H36" s="202"/>
      <c r="I36" s="202"/>
      <c r="J36" s="202"/>
      <c r="K36" s="202"/>
      <c r="L36" s="202"/>
      <c r="M36" s="202"/>
      <c r="N36" s="116"/>
    </row>
    <row r="37" spans="1:65" ht="15" customHeight="1">
      <c r="A37" s="208">
        <v>2000</v>
      </c>
      <c r="B37" s="202">
        <v>1227.7435056157328</v>
      </c>
      <c r="C37" s="202">
        <v>753.44893474730111</v>
      </c>
      <c r="D37" s="202">
        <v>70.515668290818667</v>
      </c>
      <c r="E37" s="207">
        <v>95.786758383490962</v>
      </c>
      <c r="F37" s="202">
        <v>216.2510748065348</v>
      </c>
      <c r="G37" s="203" t="s">
        <v>191</v>
      </c>
      <c r="H37" s="202">
        <v>15773.086844368012</v>
      </c>
      <c r="I37" s="202">
        <v>9811.9518486672405</v>
      </c>
      <c r="J37" s="202">
        <v>1099.4159071367155</v>
      </c>
      <c r="K37" s="202">
        <v>264.06</v>
      </c>
      <c r="L37" s="202">
        <v>6039.4734330869005</v>
      </c>
      <c r="M37" s="202">
        <v>35351.733975102747</v>
      </c>
      <c r="N37" s="116"/>
    </row>
    <row r="38" spans="1:65" ht="15" customHeight="1">
      <c r="A38" s="208">
        <v>2001</v>
      </c>
      <c r="B38" s="202">
        <v>1194.9551082855403</v>
      </c>
      <c r="C38" s="202">
        <v>718.59176459348419</v>
      </c>
      <c r="D38" s="202">
        <v>210.29304003057223</v>
      </c>
      <c r="E38" s="207">
        <v>272.14101461736885</v>
      </c>
      <c r="F38" s="202">
        <v>154.25623387790196</v>
      </c>
      <c r="G38" s="203" t="s">
        <v>191</v>
      </c>
      <c r="H38" s="202">
        <v>15463.71453138435</v>
      </c>
      <c r="I38" s="202">
        <v>9573.3447979363718</v>
      </c>
      <c r="J38" s="202">
        <v>1001.2271281169391</v>
      </c>
      <c r="K38" s="202">
        <v>243.07</v>
      </c>
      <c r="L38" s="202">
        <v>6611.0456630972485</v>
      </c>
      <c r="M38" s="202">
        <v>35442.639281939773</v>
      </c>
      <c r="N38" s="116"/>
    </row>
    <row r="39" spans="1:65" ht="15" customHeight="1">
      <c r="A39" s="208">
        <v>2002</v>
      </c>
      <c r="B39" s="202">
        <v>1185.6913298407339</v>
      </c>
      <c r="C39" s="202">
        <v>610.41470062061512</v>
      </c>
      <c r="D39" s="202">
        <v>169.9778064871698</v>
      </c>
      <c r="E39" s="207">
        <v>226.28987491886218</v>
      </c>
      <c r="F39" s="202">
        <v>78.182356285427431</v>
      </c>
      <c r="G39" s="203" t="s">
        <v>191</v>
      </c>
      <c r="H39" s="202">
        <v>14201.691417826749</v>
      </c>
      <c r="I39" s="202">
        <v>9685.9845227858968</v>
      </c>
      <c r="J39" s="202">
        <v>1320.6416165090284</v>
      </c>
      <c r="K39" s="202">
        <v>250.03</v>
      </c>
      <c r="L39" s="202">
        <v>6248.2606866719052</v>
      </c>
      <c r="M39" s="202">
        <v>33977.164311946384</v>
      </c>
      <c r="N39" s="116"/>
    </row>
    <row r="40" spans="1:65" ht="15" customHeight="1">
      <c r="A40" s="208">
        <v>2003</v>
      </c>
      <c r="B40" s="202">
        <v>1247.9660292310678</v>
      </c>
      <c r="C40" s="202">
        <v>588.60115832873737</v>
      </c>
      <c r="D40" s="202">
        <v>50.516284744968857</v>
      </c>
      <c r="E40" s="207">
        <v>36.372164584811628</v>
      </c>
      <c r="F40" s="202">
        <v>53.189439497637615</v>
      </c>
      <c r="G40" s="203" t="s">
        <v>191</v>
      </c>
      <c r="H40" s="202">
        <v>14292.024855908721</v>
      </c>
      <c r="I40" s="202">
        <v>9747.0659963538128</v>
      </c>
      <c r="J40" s="202">
        <v>1128.3124710266552</v>
      </c>
      <c r="K40" s="202">
        <v>266.69</v>
      </c>
      <c r="L40" s="202">
        <v>6899.2176642987397</v>
      </c>
      <c r="M40" s="202">
        <v>34309.956063975158</v>
      </c>
      <c r="N40" s="116"/>
    </row>
    <row r="41" spans="1:65" ht="15" customHeight="1">
      <c r="A41" s="208">
        <v>2004</v>
      </c>
      <c r="B41" s="202">
        <v>1235.2520132036436</v>
      </c>
      <c r="C41" s="202">
        <v>559.20629439932907</v>
      </c>
      <c r="D41" s="202">
        <v>68.221053353019443</v>
      </c>
      <c r="E41" s="207">
        <v>32.245697511607844</v>
      </c>
      <c r="F41" s="202">
        <v>67.499392691315592</v>
      </c>
      <c r="G41" s="203" t="s">
        <v>191</v>
      </c>
      <c r="H41" s="202">
        <v>13237.600393465918</v>
      </c>
      <c r="I41" s="202">
        <v>9960.5653554826949</v>
      </c>
      <c r="J41" s="202">
        <v>832.34041616509035</v>
      </c>
      <c r="K41" s="202">
        <v>265.24</v>
      </c>
      <c r="L41" s="202">
        <v>6918.4197487788297</v>
      </c>
      <c r="M41" s="202">
        <v>33176.590365051452</v>
      </c>
      <c r="N41" s="116"/>
    </row>
    <row r="42" spans="1:65" ht="15" customHeight="1">
      <c r="A42" s="208">
        <v>2005</v>
      </c>
      <c r="B42" s="202">
        <v>1179.6881117459734</v>
      </c>
      <c r="C42" s="202">
        <v>534.73643589228084</v>
      </c>
      <c r="D42" s="202">
        <v>170.69525506006937</v>
      </c>
      <c r="E42" s="207">
        <v>28.007826574376686</v>
      </c>
      <c r="F42" s="202">
        <v>78.515824180567449</v>
      </c>
      <c r="G42" s="203" t="s">
        <v>191</v>
      </c>
      <c r="H42" s="202">
        <v>13017.28326089252</v>
      </c>
      <c r="I42" s="202">
        <v>10363.204866971857</v>
      </c>
      <c r="J42" s="202">
        <v>830.50753787745134</v>
      </c>
      <c r="K42" s="202">
        <v>188.51</v>
      </c>
      <c r="L42" s="202">
        <v>7226.6014610611655</v>
      </c>
      <c r="M42" s="202">
        <v>33617.750580256266</v>
      </c>
      <c r="N42" s="116"/>
    </row>
    <row r="43" spans="1:65" ht="15" customHeight="1">
      <c r="A43" s="208">
        <v>2006</v>
      </c>
      <c r="B43" s="202">
        <v>1130.5779200432621</v>
      </c>
      <c r="C43" s="202">
        <v>487.61874462715599</v>
      </c>
      <c r="D43" s="202">
        <v>177.79029955354378</v>
      </c>
      <c r="E43" s="207">
        <v>77.543167864144806</v>
      </c>
      <c r="F43" s="202">
        <v>106.23725760963013</v>
      </c>
      <c r="G43" s="203" t="s">
        <v>191</v>
      </c>
      <c r="H43" s="202">
        <v>12530.846714651076</v>
      </c>
      <c r="I43" s="202">
        <v>10139.148579366911</v>
      </c>
      <c r="J43" s="202">
        <v>808.93292777300076</v>
      </c>
      <c r="K43" s="202">
        <v>213.48946654426669</v>
      </c>
      <c r="L43" s="202">
        <v>7220.2826353769306</v>
      </c>
      <c r="M43" s="202">
        <v>32892.467713409918</v>
      </c>
      <c r="N43" s="116"/>
    </row>
    <row r="44" spans="1:65" ht="15" customHeight="1">
      <c r="A44" s="208">
        <v>2007</v>
      </c>
      <c r="B44" s="202">
        <v>1240.4875496309458</v>
      </c>
      <c r="C44" s="202">
        <v>513.05061144173726</v>
      </c>
      <c r="D44" s="202">
        <v>175.32459359523079</v>
      </c>
      <c r="E44" s="207">
        <v>59.161225011178054</v>
      </c>
      <c r="F44" s="202">
        <v>113.8087435253655</v>
      </c>
      <c r="G44" s="203" t="s">
        <v>191</v>
      </c>
      <c r="H44" s="202">
        <v>11630.301010071018</v>
      </c>
      <c r="I44" s="202">
        <v>10060.801902903399</v>
      </c>
      <c r="J44" s="202">
        <v>692.4816921754084</v>
      </c>
      <c r="K44" s="202">
        <v>276.33064723402265</v>
      </c>
      <c r="L44" s="202">
        <v>6826.8147628055231</v>
      </c>
      <c r="M44" s="202">
        <v>31588.56273839383</v>
      </c>
      <c r="N44" s="116"/>
    </row>
    <row r="45" spans="1:65" ht="15" customHeight="1" thickBot="1">
      <c r="A45" s="209">
        <v>2008</v>
      </c>
      <c r="B45" s="210">
        <v>1247.1148584760256</v>
      </c>
      <c r="C45" s="210">
        <v>441.84872705268845</v>
      </c>
      <c r="D45" s="210">
        <v>172.47868246461212</v>
      </c>
      <c r="E45" s="211">
        <v>42.107330618087126</v>
      </c>
      <c r="F45" s="210">
        <v>86.735275182598997</v>
      </c>
      <c r="G45" s="212" t="s">
        <v>191</v>
      </c>
      <c r="H45" s="210">
        <v>11393.001688985318</v>
      </c>
      <c r="I45" s="210">
        <v>9764.1980460827108</v>
      </c>
      <c r="J45" s="210">
        <v>690.26303439380911</v>
      </c>
      <c r="K45" s="210">
        <v>336.12423558524898</v>
      </c>
      <c r="L45" s="210">
        <v>6360.1296462422433</v>
      </c>
      <c r="M45" s="210">
        <v>30534.001525083346</v>
      </c>
      <c r="N45" s="116"/>
    </row>
    <row r="46" spans="1:65" ht="15" customHeight="1" thickTop="1">
      <c r="A46" s="117" t="s">
        <v>266</v>
      </c>
    </row>
    <row r="47" spans="1:65" ht="15" customHeight="1">
      <c r="B47" s="202"/>
      <c r="C47" s="202"/>
      <c r="D47" s="202"/>
      <c r="E47" s="202"/>
      <c r="F47" s="202"/>
      <c r="G47" s="202"/>
      <c r="H47" s="202"/>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row>
    <row r="48" spans="1:65">
      <c r="A48" s="118" t="s">
        <v>267</v>
      </c>
    </row>
  </sheetData>
  <pageMargins left="0.74803149606299213" right="0.74803149606299213" top="0.98425196850393704" bottom="0.98425196850393704" header="0.51181102362204722" footer="0.5118110236220472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theme="5" tint="0.39997558519241921"/>
    <pageSetUpPr autoPageBreaks="0"/>
  </sheetPr>
  <dimension ref="A1:BW470"/>
  <sheetViews>
    <sheetView tabSelected="1" workbookViewId="0">
      <selection activeCell="E15" sqref="E15"/>
    </sheetView>
  </sheetViews>
  <sheetFormatPr baseColWidth="10" defaultColWidth="9.1640625" defaultRowHeight="13" outlineLevelCol="1" x14ac:dyDescent="0"/>
  <cols>
    <col min="1" max="1" width="2.1640625" style="117" customWidth="1"/>
    <col min="2" max="2" width="4.5" customWidth="1"/>
    <col min="3" max="3" width="5.5" bestFit="1" customWidth="1"/>
    <col min="4" max="4" width="28.1640625" customWidth="1"/>
    <col min="5" max="5" width="10.33203125" customWidth="1"/>
    <col min="6" max="6" width="16" customWidth="1"/>
    <col min="7" max="7" width="10.33203125" style="2118" hidden="1" customWidth="1" outlineLevel="1"/>
    <col min="8" max="48" width="10.83203125" style="2118" hidden="1" customWidth="1" outlineLevel="1"/>
    <col min="49" max="49" width="17.5" style="2118" hidden="1" customWidth="1" outlineLevel="1"/>
    <col min="50" max="50" width="10.83203125" customWidth="1" collapsed="1"/>
    <col min="51" max="52" width="10" customWidth="1"/>
    <col min="53" max="54" width="10.5" bestFit="1" customWidth="1"/>
    <col min="55" max="57" width="10.33203125" bestFit="1" customWidth="1"/>
    <col min="58" max="60" width="11.33203125" bestFit="1" customWidth="1"/>
    <col min="62" max="62" width="16.6640625" style="117" bestFit="1" customWidth="1"/>
    <col min="63" max="63" width="20.6640625" bestFit="1" customWidth="1"/>
    <col min="64" max="64" width="8.5" customWidth="1"/>
    <col min="65" max="65" width="17.83203125" bestFit="1" customWidth="1"/>
    <col min="66" max="74" width="5.5" bestFit="1" customWidth="1"/>
  </cols>
  <sheetData>
    <row r="1" spans="1:75" ht="6.75" customHeight="1"/>
    <row r="2" spans="1:75" s="117" customFormat="1" ht="22">
      <c r="A2" s="799"/>
      <c r="B2" s="843" t="s">
        <v>1002</v>
      </c>
      <c r="C2" s="810"/>
      <c r="D2" s="810"/>
      <c r="E2" s="810"/>
      <c r="F2" s="810"/>
      <c r="G2" s="810"/>
      <c r="H2" s="810"/>
      <c r="I2" s="810"/>
      <c r="J2" s="810"/>
      <c r="K2" s="810"/>
      <c r="L2" s="810"/>
      <c r="M2" s="810"/>
      <c r="N2" s="810"/>
      <c r="O2" s="810"/>
      <c r="P2" s="810"/>
      <c r="Q2" s="810"/>
      <c r="R2" s="810"/>
      <c r="S2" s="810"/>
      <c r="T2" s="810"/>
      <c r="U2" s="810"/>
      <c r="V2" s="810"/>
      <c r="W2" s="810"/>
      <c r="X2" s="810"/>
      <c r="Y2" s="810"/>
      <c r="Z2" s="810"/>
      <c r="AA2" s="810"/>
      <c r="AB2" s="810"/>
      <c r="AC2" s="810"/>
      <c r="AD2" s="810"/>
      <c r="AE2" s="810"/>
      <c r="AF2" s="810"/>
      <c r="AG2" s="810"/>
      <c r="AH2" s="810"/>
      <c r="AI2" s="810"/>
      <c r="AJ2" s="810"/>
      <c r="AK2" s="810"/>
      <c r="AL2" s="810"/>
      <c r="AM2" s="810"/>
      <c r="AN2" s="810"/>
      <c r="AO2" s="810"/>
      <c r="AP2" s="810"/>
      <c r="AQ2" s="810"/>
      <c r="AR2" s="810"/>
      <c r="AS2" s="810"/>
      <c r="AT2" s="810"/>
      <c r="AU2" s="810"/>
      <c r="AV2" s="810"/>
      <c r="AW2" s="810"/>
      <c r="AX2" s="810"/>
      <c r="AY2" s="810"/>
      <c r="AZ2" s="810"/>
      <c r="BA2" s="810"/>
      <c r="BB2" s="810"/>
      <c r="BC2" s="810"/>
      <c r="BD2" s="810"/>
      <c r="BE2" s="810"/>
      <c r="BF2" s="810"/>
      <c r="BG2" s="810"/>
      <c r="BH2" s="810"/>
      <c r="BI2" s="811"/>
    </row>
    <row r="3" spans="1:75" s="528" customFormat="1" ht="20.25" customHeight="1">
      <c r="B3" s="800"/>
      <c r="C3" s="802"/>
      <c r="D3" s="802"/>
      <c r="E3" s="802"/>
      <c r="F3" s="802"/>
      <c r="G3" s="802"/>
      <c r="H3" s="2122"/>
      <c r="I3" s="2122"/>
      <c r="J3" s="2122"/>
      <c r="K3" s="2122"/>
      <c r="L3" s="2122"/>
      <c r="M3" s="2122"/>
      <c r="N3" s="2122"/>
      <c r="O3" s="2122"/>
      <c r="P3" s="2122"/>
      <c r="Q3" s="2122"/>
      <c r="R3" s="2122"/>
      <c r="S3" s="2122"/>
      <c r="T3" s="2122"/>
      <c r="U3" s="2122"/>
      <c r="V3" s="2122"/>
      <c r="W3" s="2122"/>
      <c r="X3" s="2122"/>
      <c r="Y3" s="2122"/>
      <c r="Z3" s="2122"/>
      <c r="AA3" s="2122"/>
      <c r="AB3" s="2122"/>
      <c r="AC3" s="2122"/>
      <c r="AD3" s="2122"/>
      <c r="AE3" s="2122"/>
      <c r="AF3" s="2122"/>
      <c r="AG3" s="2122"/>
      <c r="AH3" s="2122"/>
      <c r="AI3" s="2122"/>
      <c r="AJ3" s="2122"/>
      <c r="AK3" s="2122"/>
      <c r="AL3" s="2122"/>
      <c r="AM3" s="2122"/>
      <c r="AN3" s="2122"/>
      <c r="AO3" s="2122"/>
      <c r="AP3" s="2122"/>
      <c r="AQ3" s="2122"/>
      <c r="AR3" s="2122"/>
      <c r="AS3" s="2122"/>
      <c r="AT3" s="2122"/>
      <c r="AU3" s="2122"/>
      <c r="AV3" s="2122"/>
      <c r="AW3" s="2122"/>
      <c r="AX3" s="802"/>
      <c r="AY3" s="802" t="s">
        <v>1881</v>
      </c>
      <c r="AZ3" s="802"/>
      <c r="BA3" s="802"/>
      <c r="BB3" s="802"/>
      <c r="BC3" s="802"/>
      <c r="BD3" s="802"/>
      <c r="BE3" s="802"/>
      <c r="BF3" s="802"/>
      <c r="BG3" s="1152"/>
      <c r="BH3" s="1153"/>
      <c r="BI3" s="815"/>
      <c r="BK3"/>
      <c r="BL3"/>
      <c r="BM3"/>
      <c r="BN3"/>
      <c r="BO3"/>
      <c r="BP3"/>
      <c r="BQ3"/>
      <c r="BR3"/>
      <c r="BS3"/>
      <c r="BT3"/>
      <c r="BU3"/>
      <c r="BV3"/>
      <c r="BW3"/>
    </row>
    <row r="4" spans="1:75" ht="20.25" customHeight="1">
      <c r="B4" s="800"/>
      <c r="C4" s="802"/>
      <c r="D4" s="1145" t="str">
        <f>Preferences.EnergyUnits &amp; " / year"</f>
        <v>TWh / year</v>
      </c>
      <c r="E4" s="802"/>
      <c r="F4" s="1146"/>
      <c r="G4" s="2120"/>
      <c r="H4" s="2123"/>
      <c r="I4" s="2123"/>
      <c r="J4" s="2123"/>
      <c r="K4" s="2123"/>
      <c r="L4" s="2123"/>
      <c r="M4" s="2123"/>
      <c r="N4" s="2123"/>
      <c r="O4" s="2123"/>
      <c r="P4" s="2123"/>
      <c r="Q4" s="2123"/>
      <c r="R4" s="2123"/>
      <c r="S4" s="2123"/>
      <c r="T4" s="2123"/>
      <c r="U4" s="2123"/>
      <c r="V4" s="2123"/>
      <c r="W4" s="2123"/>
      <c r="X4" s="2123"/>
      <c r="Y4" s="2123"/>
      <c r="Z4" s="2123"/>
      <c r="AA4" s="2123"/>
      <c r="AB4" s="2123"/>
      <c r="AC4" s="2123"/>
      <c r="AD4" s="2123"/>
      <c r="AE4" s="2123"/>
      <c r="AF4" s="2123"/>
      <c r="AG4" s="2123"/>
      <c r="AH4" s="2123"/>
      <c r="AI4" s="2123"/>
      <c r="AJ4" s="2123"/>
      <c r="AK4" s="2123"/>
      <c r="AL4" s="2123"/>
      <c r="AM4" s="2123"/>
      <c r="AN4" s="2123"/>
      <c r="AO4" s="2123"/>
      <c r="AP4" s="2123"/>
      <c r="AQ4" s="2123"/>
      <c r="AR4" s="2123"/>
      <c r="AS4" s="2123"/>
      <c r="AT4" s="2123"/>
      <c r="AU4" s="2123"/>
      <c r="AV4" s="2123"/>
      <c r="AW4" s="2169"/>
      <c r="AX4" s="802"/>
      <c r="AY4" s="1147">
        <v>2007</v>
      </c>
      <c r="AZ4" s="1147"/>
      <c r="BA4" s="1147"/>
      <c r="BB4" s="1147"/>
      <c r="BC4" s="1147"/>
      <c r="BD4" s="1147"/>
      <c r="BE4" s="1147"/>
      <c r="BF4" s="1147"/>
      <c r="BG4" s="1147"/>
      <c r="BH4" s="1147"/>
      <c r="BI4" s="804"/>
    </row>
    <row r="5" spans="1:75" s="117" customFormat="1" ht="14">
      <c r="B5" s="800"/>
      <c r="C5" s="802"/>
      <c r="D5" s="802"/>
      <c r="E5" s="802"/>
      <c r="F5" s="802"/>
      <c r="G5" s="802"/>
      <c r="H5" s="2122"/>
      <c r="I5" s="2122"/>
      <c r="J5" s="2122"/>
      <c r="K5" s="2122"/>
      <c r="L5" s="2122"/>
      <c r="M5" s="2122"/>
      <c r="N5" s="2122"/>
      <c r="O5" s="2122"/>
      <c r="P5" s="2122"/>
      <c r="Q5" s="2122"/>
      <c r="R5" s="2122"/>
      <c r="S5" s="2122"/>
      <c r="T5" s="2122"/>
      <c r="U5" s="2122"/>
      <c r="V5" s="2122"/>
      <c r="W5" s="2122"/>
      <c r="X5" s="2122"/>
      <c r="Y5" s="2122"/>
      <c r="Z5" s="2122"/>
      <c r="AA5" s="2122"/>
      <c r="AB5" s="2122"/>
      <c r="AC5" s="2122"/>
      <c r="AD5" s="2122"/>
      <c r="AE5" s="2122"/>
      <c r="AF5" s="2122"/>
      <c r="AG5" s="2122"/>
      <c r="AH5" s="2122"/>
      <c r="AI5" s="2122"/>
      <c r="AJ5" s="2122"/>
      <c r="AK5" s="2122"/>
      <c r="AL5" s="2122"/>
      <c r="AM5" s="2122"/>
      <c r="AN5" s="2122"/>
      <c r="AO5" s="2122"/>
      <c r="AP5" s="2122"/>
      <c r="AQ5" s="2122"/>
      <c r="AR5" s="2122"/>
      <c r="AS5" s="2122"/>
      <c r="AT5" s="2122"/>
      <c r="AU5" s="2122"/>
      <c r="AV5" s="2122"/>
      <c r="AW5" s="2122"/>
      <c r="AX5" s="802"/>
      <c r="AY5" s="802"/>
      <c r="AZ5" s="802"/>
      <c r="BA5" s="802"/>
      <c r="BB5" s="802"/>
      <c r="BC5" s="802"/>
      <c r="BD5" s="802"/>
      <c r="BE5" s="802"/>
      <c r="BF5" s="802"/>
      <c r="BG5" s="802"/>
      <c r="BH5" s="802"/>
      <c r="BI5" s="804"/>
    </row>
    <row r="6" spans="1:75" s="525" customFormat="1">
      <c r="B6" s="1154"/>
      <c r="C6" s="1175" t="s">
        <v>1003</v>
      </c>
      <c r="D6" s="1155"/>
      <c r="E6" s="802"/>
      <c r="F6" s="1156"/>
      <c r="G6" s="1156"/>
      <c r="H6" s="2124"/>
      <c r="I6" s="2124"/>
      <c r="J6" s="2124"/>
      <c r="K6" s="2124"/>
      <c r="L6" s="2124"/>
      <c r="M6" s="2124"/>
      <c r="N6" s="2124"/>
      <c r="O6" s="2124"/>
      <c r="P6" s="2124"/>
      <c r="Q6" s="2124"/>
      <c r="R6" s="2124"/>
      <c r="S6" s="2124"/>
      <c r="T6" s="2124"/>
      <c r="U6" s="2124"/>
      <c r="V6" s="2124"/>
      <c r="W6" s="2124"/>
      <c r="X6" s="2124"/>
      <c r="Y6" s="2124"/>
      <c r="Z6" s="2124"/>
      <c r="AA6" s="2124"/>
      <c r="AB6" s="2124"/>
      <c r="AC6" s="2124"/>
      <c r="AD6" s="2124"/>
      <c r="AE6" s="2124"/>
      <c r="AF6" s="2124"/>
      <c r="AG6" s="2124"/>
      <c r="AH6" s="2124"/>
      <c r="AI6" s="2124"/>
      <c r="AJ6" s="2124"/>
      <c r="AK6" s="2124"/>
      <c r="AL6" s="2124"/>
      <c r="AM6" s="2124"/>
      <c r="AN6" s="2124"/>
      <c r="AO6" s="2124"/>
      <c r="AP6" s="2124"/>
      <c r="AQ6" s="2124"/>
      <c r="AR6" s="2124"/>
      <c r="AS6" s="2124"/>
      <c r="AT6" s="2124"/>
      <c r="AU6" s="2124"/>
      <c r="AV6" s="2124"/>
      <c r="AW6" s="2124"/>
      <c r="AX6" s="802"/>
      <c r="AY6" s="1156"/>
      <c r="AZ6" s="1156"/>
      <c r="BA6" s="1156"/>
      <c r="BB6" s="1156"/>
      <c r="BC6" s="1156"/>
      <c r="BD6" s="1156"/>
      <c r="BE6" s="1156"/>
      <c r="BF6" s="1156"/>
      <c r="BG6" s="1156"/>
      <c r="BH6" s="1156"/>
      <c r="BI6" s="1157"/>
      <c r="BJ6" s="758"/>
    </row>
    <row r="7" spans="1:75" s="525" customFormat="1">
      <c r="B7" s="1154"/>
      <c r="C7" s="1155" t="s">
        <v>33</v>
      </c>
      <c r="D7" s="1155" t="str">
        <f>INDEX(Vectors[Description], MATCH($C7, Vectors[Code], 0))</f>
        <v>Road transport</v>
      </c>
      <c r="E7" s="802"/>
      <c r="F7" s="1156"/>
      <c r="G7" s="1156"/>
      <c r="H7" s="2124"/>
      <c r="I7" s="2124"/>
      <c r="J7" s="2124"/>
      <c r="K7" s="2124"/>
      <c r="L7" s="2124"/>
      <c r="M7" s="2124"/>
      <c r="N7" s="2124"/>
      <c r="O7" s="2124"/>
      <c r="P7" s="2124"/>
      <c r="Q7" s="2124"/>
      <c r="R7" s="2124"/>
      <c r="S7" s="2124"/>
      <c r="T7" s="2124"/>
      <c r="U7" s="2124"/>
      <c r="V7" s="2124"/>
      <c r="W7" s="2124"/>
      <c r="X7" s="2124"/>
      <c r="Y7" s="2124"/>
      <c r="Z7" s="2124"/>
      <c r="AA7" s="2124"/>
      <c r="AB7" s="2124"/>
      <c r="AC7" s="2124"/>
      <c r="AD7" s="2124"/>
      <c r="AE7" s="2124"/>
      <c r="AF7" s="2124"/>
      <c r="AG7" s="2124"/>
      <c r="AH7" s="2124"/>
      <c r="AI7" s="2124"/>
      <c r="AJ7" s="2124"/>
      <c r="AK7" s="2124"/>
      <c r="AL7" s="2124"/>
      <c r="AM7" s="2124"/>
      <c r="AN7" s="2124"/>
      <c r="AO7" s="2124"/>
      <c r="AP7" s="2124"/>
      <c r="AQ7" s="2124"/>
      <c r="AR7" s="2124"/>
      <c r="AS7" s="2124"/>
      <c r="AT7" s="2124"/>
      <c r="AU7" s="2124"/>
      <c r="AV7" s="2124"/>
      <c r="AW7" s="2124"/>
      <c r="AX7" s="802"/>
      <c r="AY7" s="1156">
        <f ca="1">INDEX(INDIRECT("'"&amp;AY$4&amp;"'!Year.NetBalance"), MATCH('Intermediate output'!$C7, INDIRECT("'"&amp;AY$4&amp;"'!Year.Vectors"), 0))</f>
        <v>490.85404977847907</v>
      </c>
      <c r="AZ7" s="1156"/>
      <c r="BA7" s="1156"/>
      <c r="BB7" s="1156"/>
      <c r="BC7" s="1156"/>
      <c r="BD7" s="1156"/>
      <c r="BE7" s="1156"/>
      <c r="BF7" s="1156"/>
      <c r="BG7" s="1156"/>
      <c r="BH7" s="1156"/>
      <c r="BI7" s="1157"/>
      <c r="BJ7" s="758"/>
    </row>
    <row r="8" spans="1:75" s="525" customFormat="1">
      <c r="B8" s="1154"/>
      <c r="C8" s="1155" t="s">
        <v>34</v>
      </c>
      <c r="D8" s="1155" t="str">
        <f>INDEX(Vectors[Description], MATCH($C8, Vectors[Code], 0))</f>
        <v>Rail transport</v>
      </c>
      <c r="E8" s="802"/>
      <c r="F8" s="1156"/>
      <c r="G8" s="1156"/>
      <c r="H8" s="2170"/>
      <c r="I8" s="2170"/>
      <c r="J8" s="2170"/>
      <c r="K8" s="2170"/>
      <c r="L8" s="2170"/>
      <c r="M8" s="2170"/>
      <c r="N8" s="2170"/>
      <c r="O8" s="2170"/>
      <c r="P8" s="2170"/>
      <c r="Q8" s="2170"/>
      <c r="R8" s="2170"/>
      <c r="S8" s="2170"/>
      <c r="T8" s="2170"/>
      <c r="U8" s="2170"/>
      <c r="V8" s="2170"/>
      <c r="W8" s="2170"/>
      <c r="X8" s="2170"/>
      <c r="Y8" s="2170"/>
      <c r="Z8" s="2170"/>
      <c r="AA8" s="2170"/>
      <c r="AB8" s="2170"/>
      <c r="AC8" s="2170"/>
      <c r="AD8" s="2170"/>
      <c r="AE8" s="2170"/>
      <c r="AF8" s="2170"/>
      <c r="AG8" s="2170"/>
      <c r="AH8" s="2170"/>
      <c r="AI8" s="2170"/>
      <c r="AJ8" s="2170"/>
      <c r="AK8" s="2170"/>
      <c r="AL8" s="2170"/>
      <c r="AM8" s="2170"/>
      <c r="AN8" s="2170"/>
      <c r="AO8" s="2170"/>
      <c r="AP8" s="2124"/>
      <c r="AQ8" s="2124"/>
      <c r="AR8" s="2124"/>
      <c r="AS8" s="2124"/>
      <c r="AT8" s="2124"/>
      <c r="AU8" s="2124"/>
      <c r="AV8" s="2124"/>
      <c r="AW8" s="2171"/>
      <c r="AX8" s="802"/>
      <c r="AY8" s="1156">
        <f ca="1">INDEX(INDIRECT("'"&amp;AY$4&amp;"'!Year.NetBalance"), MATCH('Intermediate output'!$C8, INDIRECT("'"&amp;AY$4&amp;"'!Year.Vectors"), 0))</f>
        <v>15.852446803025652</v>
      </c>
      <c r="AZ8" s="1156"/>
      <c r="BA8" s="1156"/>
      <c r="BB8" s="1156"/>
      <c r="BC8" s="1156"/>
      <c r="BD8" s="1156"/>
      <c r="BE8" s="1156"/>
      <c r="BF8" s="1156"/>
      <c r="BG8" s="1156"/>
      <c r="BH8" s="1156"/>
      <c r="BI8" s="1157"/>
      <c r="BJ8" s="758"/>
    </row>
    <row r="9" spans="1:75" s="525" customFormat="1">
      <c r="B9" s="1154"/>
      <c r="C9" s="1155" t="s">
        <v>35</v>
      </c>
      <c r="D9" s="1155" t="str">
        <f>INDEX(Vectors[Description], MATCH($C9, Vectors[Code], 0))</f>
        <v>Domestic aviation</v>
      </c>
      <c r="E9" s="802"/>
      <c r="F9" s="1156"/>
      <c r="G9" s="1156"/>
      <c r="H9" s="2124"/>
      <c r="I9" s="2124"/>
      <c r="J9" s="2124"/>
      <c r="K9" s="2124"/>
      <c r="L9" s="2124"/>
      <c r="M9" s="2124"/>
      <c r="N9" s="2124"/>
      <c r="O9" s="2124"/>
      <c r="P9" s="2124"/>
      <c r="Q9" s="2124"/>
      <c r="R9" s="2124"/>
      <c r="S9" s="2124"/>
      <c r="T9" s="2124"/>
      <c r="U9" s="2124"/>
      <c r="V9" s="2124"/>
      <c r="W9" s="2124"/>
      <c r="X9" s="2124"/>
      <c r="Y9" s="2124"/>
      <c r="Z9" s="2124"/>
      <c r="AA9" s="2124"/>
      <c r="AB9" s="2124"/>
      <c r="AC9" s="2124"/>
      <c r="AD9" s="2124"/>
      <c r="AE9" s="2124"/>
      <c r="AF9" s="2124"/>
      <c r="AG9" s="2124"/>
      <c r="AH9" s="2124"/>
      <c r="AI9" s="2124"/>
      <c r="AJ9" s="2124"/>
      <c r="AK9" s="2124"/>
      <c r="AL9" s="2124"/>
      <c r="AM9" s="2124"/>
      <c r="AN9" s="2124"/>
      <c r="AO9" s="2124"/>
      <c r="AP9" s="2124"/>
      <c r="AQ9" s="2124"/>
      <c r="AR9" s="2124"/>
      <c r="AS9" s="2124"/>
      <c r="AT9" s="2124"/>
      <c r="AU9" s="2124"/>
      <c r="AV9" s="2124"/>
      <c r="AW9" s="2124"/>
      <c r="AX9" s="802"/>
      <c r="AY9" s="1156">
        <f ca="1">INDEX(INDIRECT("'"&amp;AY$4&amp;"'!Year.NetBalance"), MATCH('Intermediate output'!$C9, INDIRECT("'"&amp;AY$4&amp;"'!Year.Vectors"), 0))</f>
        <v>9.0198346087095516</v>
      </c>
      <c r="AZ9" s="1156"/>
      <c r="BA9" s="1156"/>
      <c r="BB9" s="1156"/>
      <c r="BC9" s="1156"/>
      <c r="BD9" s="1156"/>
      <c r="BE9" s="1156"/>
      <c r="BF9" s="1156"/>
      <c r="BG9" s="1156"/>
      <c r="BH9" s="1156"/>
      <c r="BI9" s="1157"/>
      <c r="BJ9" s="758"/>
    </row>
    <row r="10" spans="1:75" s="525" customFormat="1">
      <c r="B10" s="1154"/>
      <c r="C10" s="1155" t="s">
        <v>36</v>
      </c>
      <c r="D10" s="1155" t="str">
        <f>INDEX(Vectors[Description], MATCH($C10, Vectors[Code], 0))</f>
        <v>National navigation</v>
      </c>
      <c r="E10" s="802"/>
      <c r="F10" s="1156"/>
      <c r="G10" s="1156"/>
      <c r="H10" s="2124"/>
      <c r="I10" s="2124"/>
      <c r="J10" s="2124"/>
      <c r="K10" s="2124"/>
      <c r="L10" s="2124"/>
      <c r="M10" s="2124"/>
      <c r="N10" s="2124"/>
      <c r="O10" s="2124"/>
      <c r="P10" s="2124"/>
      <c r="Q10" s="2124"/>
      <c r="R10" s="2124"/>
      <c r="S10" s="2124"/>
      <c r="T10" s="2124"/>
      <c r="U10" s="2124"/>
      <c r="V10" s="2124"/>
      <c r="W10" s="2124"/>
      <c r="X10" s="2124"/>
      <c r="Y10" s="2124"/>
      <c r="Z10" s="2124"/>
      <c r="AA10" s="2124"/>
      <c r="AB10" s="2124"/>
      <c r="AC10" s="2124"/>
      <c r="AD10" s="2124"/>
      <c r="AE10" s="2124"/>
      <c r="AF10" s="2124"/>
      <c r="AG10" s="2124"/>
      <c r="AH10" s="2124"/>
      <c r="AI10" s="2124"/>
      <c r="AJ10" s="2124"/>
      <c r="AK10" s="2124"/>
      <c r="AL10" s="2124"/>
      <c r="AM10" s="2124"/>
      <c r="AN10" s="2124"/>
      <c r="AO10" s="2124"/>
      <c r="AP10" s="2124"/>
      <c r="AQ10" s="2124"/>
      <c r="AR10" s="2124"/>
      <c r="AS10" s="2124"/>
      <c r="AT10" s="2124"/>
      <c r="AU10" s="2124"/>
      <c r="AV10" s="2124"/>
      <c r="AW10" s="2124"/>
      <c r="AX10" s="802"/>
      <c r="AY10" s="1156">
        <f ca="1">INDEX(INDIRECT("'"&amp;AY$4&amp;"'!Year.NetBalance"), MATCH('Intermediate output'!$C10, INDIRECT("'"&amp;AY$4&amp;"'!Year.Vectors"), 0))</f>
        <v>18.817339999999998</v>
      </c>
      <c r="AZ10" s="1156"/>
      <c r="BA10" s="1156"/>
      <c r="BB10" s="1156"/>
      <c r="BC10" s="1156"/>
      <c r="BD10" s="1156"/>
      <c r="BE10" s="1156"/>
      <c r="BF10" s="1156"/>
      <c r="BG10" s="1156"/>
      <c r="BH10" s="1156"/>
      <c r="BI10" s="1157"/>
      <c r="BJ10" s="758"/>
    </row>
    <row r="11" spans="1:75" s="525" customFormat="1">
      <c r="B11" s="1154"/>
      <c r="C11" s="1155" t="s">
        <v>721</v>
      </c>
      <c r="D11" s="1155" t="str">
        <f>INDEX(Vectors[Description], MATCH($C11, Vectors[Code], 0))</f>
        <v>International aviation</v>
      </c>
      <c r="E11" s="802"/>
      <c r="F11" s="1156"/>
      <c r="G11" s="1156"/>
      <c r="H11" s="2124"/>
      <c r="I11" s="2124"/>
      <c r="J11" s="2124"/>
      <c r="K11" s="2124"/>
      <c r="L11" s="2124"/>
      <c r="M11" s="2124"/>
      <c r="N11" s="2124"/>
      <c r="O11" s="2124"/>
      <c r="P11" s="2124"/>
      <c r="Q11" s="2124"/>
      <c r="R11" s="2124"/>
      <c r="S11" s="2124"/>
      <c r="T11" s="2124"/>
      <c r="U11" s="2124"/>
      <c r="V11" s="2124"/>
      <c r="W11" s="2124"/>
      <c r="X11" s="2124"/>
      <c r="Y11" s="2124"/>
      <c r="Z11" s="2124"/>
      <c r="AA11" s="2124"/>
      <c r="AB11" s="2124"/>
      <c r="AC11" s="2124"/>
      <c r="AD11" s="2124"/>
      <c r="AE11" s="2124"/>
      <c r="AF11" s="2124"/>
      <c r="AG11" s="2124"/>
      <c r="AH11" s="2124"/>
      <c r="AI11" s="2124"/>
      <c r="AJ11" s="2124"/>
      <c r="AK11" s="2124"/>
      <c r="AL11" s="2124"/>
      <c r="AM11" s="2124"/>
      <c r="AN11" s="2124"/>
      <c r="AO11" s="2124"/>
      <c r="AP11" s="2124"/>
      <c r="AQ11" s="2124"/>
      <c r="AR11" s="2124"/>
      <c r="AS11" s="2124"/>
      <c r="AT11" s="2124"/>
      <c r="AU11" s="2124"/>
      <c r="AV11" s="2124"/>
      <c r="AW11" s="2124"/>
      <c r="AX11" s="802"/>
      <c r="AY11" s="1156">
        <f ca="1">INDEX(INDIRECT("'"&amp;AY$4&amp;"'!Year.NetBalance"), MATCH('Intermediate output'!$C11, INDIRECT("'"&amp;AY$4&amp;"'!Year.Vectors"), 0))</f>
        <v>152.80000000000001</v>
      </c>
      <c r="AZ11" s="1156"/>
      <c r="BA11" s="1156"/>
      <c r="BB11" s="1156"/>
      <c r="BC11" s="1156"/>
      <c r="BD11" s="1156"/>
      <c r="BE11" s="1156"/>
      <c r="BF11" s="1156"/>
      <c r="BG11" s="1156"/>
      <c r="BH11" s="1156"/>
      <c r="BI11" s="1157"/>
      <c r="BJ11" s="758"/>
    </row>
    <row r="12" spans="1:75" s="525" customFormat="1">
      <c r="B12" s="1154"/>
      <c r="C12" s="1155" t="s">
        <v>722</v>
      </c>
      <c r="D12" s="1155" t="str">
        <f>INDEX(Vectors[Description], MATCH($C12, Vectors[Code], 0))</f>
        <v>International shipping</v>
      </c>
      <c r="E12" s="802"/>
      <c r="F12" s="1156"/>
      <c r="G12" s="1156"/>
      <c r="H12" s="2124"/>
      <c r="I12" s="2124"/>
      <c r="J12" s="2124"/>
      <c r="K12" s="2124"/>
      <c r="L12" s="2124"/>
      <c r="M12" s="2124"/>
      <c r="N12" s="2124"/>
      <c r="O12" s="2124"/>
      <c r="P12" s="2124"/>
      <c r="Q12" s="2124"/>
      <c r="R12" s="2124"/>
      <c r="S12" s="2124"/>
      <c r="T12" s="2124"/>
      <c r="U12" s="2124"/>
      <c r="V12" s="2124"/>
      <c r="W12" s="2124"/>
      <c r="X12" s="2124"/>
      <c r="Y12" s="2124"/>
      <c r="Z12" s="2124"/>
      <c r="AA12" s="2124"/>
      <c r="AB12" s="2170"/>
      <c r="AC12" s="2170"/>
      <c r="AD12" s="2170"/>
      <c r="AE12" s="2170"/>
      <c r="AF12" s="2170"/>
      <c r="AG12" s="2170"/>
      <c r="AH12" s="2170"/>
      <c r="AI12" s="2170"/>
      <c r="AJ12" s="2170"/>
      <c r="AK12" s="2170"/>
      <c r="AL12" s="2170"/>
      <c r="AM12" s="2170"/>
      <c r="AN12" s="2170"/>
      <c r="AO12" s="2170"/>
      <c r="AP12" s="2170"/>
      <c r="AQ12" s="2170"/>
      <c r="AR12" s="2170"/>
      <c r="AS12" s="2124"/>
      <c r="AT12" s="2124"/>
      <c r="AU12" s="2124"/>
      <c r="AV12" s="2124"/>
      <c r="AW12" s="2124"/>
      <c r="AX12" s="802"/>
      <c r="AY12" s="1156">
        <f ca="1">INDEX(INDIRECT("'"&amp;AY$4&amp;"'!Year.NetBalance"), MATCH('Intermediate output'!$C12, INDIRECT("'"&amp;AY$4&amp;"'!Year.Vectors"), 0))</f>
        <v>54.158157087257202</v>
      </c>
      <c r="AZ12" s="1156"/>
      <c r="BA12" s="1156"/>
      <c r="BB12" s="1156"/>
      <c r="BC12" s="1156"/>
      <c r="BD12" s="1156"/>
      <c r="BE12" s="1156"/>
      <c r="BF12" s="1156"/>
      <c r="BG12" s="1156"/>
      <c r="BH12" s="1156"/>
      <c r="BI12" s="1157"/>
      <c r="BJ12" s="758"/>
    </row>
    <row r="13" spans="1:75" s="117" customFormat="1" ht="14">
      <c r="B13" s="800"/>
      <c r="C13" s="802"/>
      <c r="D13" s="802" t="s">
        <v>244</v>
      </c>
      <c r="E13" s="802"/>
      <c r="F13" s="1158"/>
      <c r="G13" s="1158"/>
      <c r="H13" s="2125"/>
      <c r="I13" s="2125"/>
      <c r="J13" s="2125"/>
      <c r="K13" s="2125"/>
      <c r="L13" s="2125"/>
      <c r="M13" s="2125"/>
      <c r="N13" s="2125"/>
      <c r="O13" s="2125"/>
      <c r="P13" s="2125"/>
      <c r="Q13" s="2125"/>
      <c r="R13" s="2125"/>
      <c r="S13" s="2125"/>
      <c r="T13" s="2125"/>
      <c r="U13" s="2125"/>
      <c r="V13" s="2125"/>
      <c r="W13" s="2125"/>
      <c r="X13" s="2125"/>
      <c r="Y13" s="2125"/>
      <c r="Z13" s="2125"/>
      <c r="AA13" s="2125"/>
      <c r="AB13" s="2125"/>
      <c r="AC13" s="2125"/>
      <c r="AD13" s="2125"/>
      <c r="AE13" s="2125"/>
      <c r="AF13" s="2125"/>
      <c r="AG13" s="2125"/>
      <c r="AH13" s="2125"/>
      <c r="AI13" s="2125"/>
      <c r="AJ13" s="2125"/>
      <c r="AK13" s="2125"/>
      <c r="AL13" s="2125"/>
      <c r="AM13" s="2125"/>
      <c r="AN13" s="2125"/>
      <c r="AO13" s="2125"/>
      <c r="AP13" s="2125"/>
      <c r="AQ13" s="2125"/>
      <c r="AR13" s="2125"/>
      <c r="AS13" s="2125"/>
      <c r="AT13" s="2125"/>
      <c r="AU13" s="2125"/>
      <c r="AV13" s="2125"/>
      <c r="AW13" s="2124"/>
      <c r="AX13" s="802"/>
      <c r="AY13" s="1158">
        <f t="shared" ref="AY13:BH13" ca="1" si="0">SUM(AY7:AY12)</f>
        <v>741.50182827747153</v>
      </c>
      <c r="AZ13" s="1158"/>
      <c r="BA13" s="1158"/>
      <c r="BB13" s="1158"/>
      <c r="BC13" s="1158"/>
      <c r="BD13" s="1158"/>
      <c r="BE13" s="1158"/>
      <c r="BF13" s="1158"/>
      <c r="BG13" s="1158"/>
      <c r="BH13" s="1158"/>
      <c r="BI13" s="1159"/>
      <c r="BJ13" s="23"/>
      <c r="BL13" s="23"/>
      <c r="BM13" s="23"/>
    </row>
    <row r="14" spans="1:75" ht="14">
      <c r="B14" s="800"/>
      <c r="C14" s="1176" t="s">
        <v>13</v>
      </c>
      <c r="D14" s="802" t="str">
        <f>INDEX(Vectors[Description], MATCH($C14, Vectors[Code], 0))</f>
        <v>Industry</v>
      </c>
      <c r="E14" s="802"/>
      <c r="F14" s="1158"/>
      <c r="G14" s="1158"/>
      <c r="H14" s="2125"/>
      <c r="I14" s="2125"/>
      <c r="J14" s="2125"/>
      <c r="K14" s="2125"/>
      <c r="L14" s="2125"/>
      <c r="M14" s="2125"/>
      <c r="N14" s="2125"/>
      <c r="O14" s="2125"/>
      <c r="P14" s="2125"/>
      <c r="Q14" s="2125"/>
      <c r="R14" s="2125"/>
      <c r="S14" s="2125"/>
      <c r="T14" s="2125"/>
      <c r="U14" s="2125"/>
      <c r="V14" s="2125"/>
      <c r="W14" s="2125"/>
      <c r="X14" s="2125"/>
      <c r="Y14" s="2125"/>
      <c r="Z14" s="2125"/>
      <c r="AA14" s="2125"/>
      <c r="AB14" s="2125"/>
      <c r="AC14" s="2125"/>
      <c r="AD14" s="2125"/>
      <c r="AE14" s="2125"/>
      <c r="AF14" s="2125"/>
      <c r="AG14" s="2125"/>
      <c r="AH14" s="2125"/>
      <c r="AI14" s="2125"/>
      <c r="AJ14" s="2125"/>
      <c r="AK14" s="2125"/>
      <c r="AL14" s="2125"/>
      <c r="AM14" s="2125"/>
      <c r="AN14" s="2125"/>
      <c r="AO14" s="2125"/>
      <c r="AP14" s="2125"/>
      <c r="AQ14" s="2125"/>
      <c r="AR14" s="2125"/>
      <c r="AS14" s="2125"/>
      <c r="AT14" s="2125"/>
      <c r="AU14" s="2125"/>
      <c r="AV14" s="2125"/>
      <c r="AW14" s="2124"/>
      <c r="AX14" s="802"/>
      <c r="AY14" s="1158">
        <f ca="1">INDEX(INDIRECT("'"&amp;AY$4&amp;"'!Year.NetBalance"), MATCH('Intermediate output'!$C14, INDIRECT("'"&amp;AY$4&amp;"'!Year.Vectors"), 0))</f>
        <v>0</v>
      </c>
      <c r="AZ14" s="1158"/>
      <c r="BA14" s="1158"/>
      <c r="BB14" s="1158"/>
      <c r="BC14" s="1158"/>
      <c r="BD14" s="1158"/>
      <c r="BE14" s="1158"/>
      <c r="BF14" s="1158"/>
      <c r="BG14" s="1158"/>
      <c r="BH14" s="1158"/>
      <c r="BI14" s="1159"/>
      <c r="BJ14" s="23"/>
    </row>
    <row r="15" spans="1:75" ht="14">
      <c r="B15" s="800"/>
      <c r="C15" s="1176" t="s">
        <v>6</v>
      </c>
      <c r="D15" s="802" t="str">
        <f>INDEX(Vectors[Description], MATCH($C15, Vectors[Code], 0))</f>
        <v>Heating &amp; cooling</v>
      </c>
      <c r="E15" s="802"/>
      <c r="F15" s="1158"/>
      <c r="G15" s="1158"/>
      <c r="H15" s="2125"/>
      <c r="I15" s="2125"/>
      <c r="J15" s="2125"/>
      <c r="K15" s="2125"/>
      <c r="L15" s="2125"/>
      <c r="M15" s="2125"/>
      <c r="N15" s="2125"/>
      <c r="O15" s="2125"/>
      <c r="P15" s="2125"/>
      <c r="Q15" s="2125"/>
      <c r="R15" s="2125"/>
      <c r="S15" s="2125"/>
      <c r="T15" s="2125"/>
      <c r="U15" s="2125"/>
      <c r="V15" s="2125"/>
      <c r="W15" s="2125"/>
      <c r="X15" s="2125"/>
      <c r="Y15" s="2125"/>
      <c r="Z15" s="2125"/>
      <c r="AA15" s="2125"/>
      <c r="AB15" s="2125"/>
      <c r="AC15" s="2125"/>
      <c r="AD15" s="2125"/>
      <c r="AE15" s="2125"/>
      <c r="AF15" s="2125"/>
      <c r="AG15" s="2125"/>
      <c r="AH15" s="2125"/>
      <c r="AI15" s="2125"/>
      <c r="AJ15" s="2125"/>
      <c r="AK15" s="2125"/>
      <c r="AL15" s="2125"/>
      <c r="AM15" s="2125"/>
      <c r="AN15" s="2125"/>
      <c r="AO15" s="2125"/>
      <c r="AP15" s="2125"/>
      <c r="AQ15" s="2125"/>
      <c r="AR15" s="2125"/>
      <c r="AS15" s="2125"/>
      <c r="AT15" s="2125"/>
      <c r="AU15" s="2125"/>
      <c r="AV15" s="2125"/>
      <c r="AW15" s="2124"/>
      <c r="AX15" s="802"/>
      <c r="AY15" s="1158">
        <f ca="1">INDEX(INDIRECT("'"&amp;AY$4&amp;"'!Year.NetBalance"), MATCH('Intermediate output'!$C15, INDIRECT("'"&amp;AY$4&amp;"'!Year.Vectors"), 0))</f>
        <v>0</v>
      </c>
      <c r="AZ15" s="1158"/>
      <c r="BA15" s="1158"/>
      <c r="BB15" s="1158"/>
      <c r="BC15" s="1158"/>
      <c r="BD15" s="1158"/>
      <c r="BE15" s="1158"/>
      <c r="BF15" s="1158"/>
      <c r="BG15" s="1158"/>
      <c r="BH15" s="1158"/>
      <c r="BI15" s="1159"/>
      <c r="BJ15" s="23"/>
    </row>
    <row r="16" spans="1:75" ht="14">
      <c r="B16" s="800"/>
      <c r="C16" s="1176" t="s">
        <v>51</v>
      </c>
      <c r="D16" s="802" t="str">
        <f>INDEX(Vectors[Description], MATCH($C16, Vectors[Code], 0))</f>
        <v>Lighting &amp; appliances</v>
      </c>
      <c r="E16" s="802"/>
      <c r="F16" s="1158"/>
      <c r="G16" s="1158"/>
      <c r="H16" s="2125"/>
      <c r="I16" s="2125"/>
      <c r="J16" s="2125"/>
      <c r="K16" s="2125"/>
      <c r="L16" s="2125"/>
      <c r="M16" s="2125"/>
      <c r="N16" s="2125"/>
      <c r="O16" s="2125"/>
      <c r="P16" s="2125"/>
      <c r="Q16" s="2125"/>
      <c r="R16" s="2125"/>
      <c r="S16" s="2125"/>
      <c r="T16" s="2125"/>
      <c r="U16" s="2125"/>
      <c r="V16" s="2125"/>
      <c r="W16" s="2125"/>
      <c r="X16" s="2125"/>
      <c r="Y16" s="2125"/>
      <c r="Z16" s="2125"/>
      <c r="AA16" s="2125"/>
      <c r="AB16" s="2125"/>
      <c r="AC16" s="2125"/>
      <c r="AD16" s="2125"/>
      <c r="AE16" s="2125"/>
      <c r="AF16" s="2125"/>
      <c r="AG16" s="2125"/>
      <c r="AH16" s="2125"/>
      <c r="AI16" s="2125"/>
      <c r="AJ16" s="2125"/>
      <c r="AK16" s="2125"/>
      <c r="AL16" s="2125"/>
      <c r="AM16" s="2125"/>
      <c r="AN16" s="2125"/>
      <c r="AO16" s="2125"/>
      <c r="AP16" s="2125"/>
      <c r="AQ16" s="2125"/>
      <c r="AR16" s="2125"/>
      <c r="AS16" s="2125"/>
      <c r="AT16" s="2125"/>
      <c r="AU16" s="2125"/>
      <c r="AV16" s="2125"/>
      <c r="AW16" s="2124"/>
      <c r="AX16" s="802"/>
      <c r="AY16" s="1158">
        <f ca="1">INDEX(INDIRECT("'"&amp;AY$4&amp;"'!Year.NetBalance"), MATCH('Intermediate output'!$C16, INDIRECT("'"&amp;AY$4&amp;"'!Year.Vectors"), 0))</f>
        <v>0</v>
      </c>
      <c r="AZ16" s="1158"/>
      <c r="BA16" s="1158"/>
      <c r="BB16" s="1158"/>
      <c r="BC16" s="1158"/>
      <c r="BD16" s="1158"/>
      <c r="BE16" s="1158"/>
      <c r="BF16" s="1158"/>
      <c r="BG16" s="1158"/>
      <c r="BH16" s="1158"/>
      <c r="BI16" s="1159"/>
      <c r="BJ16" s="23"/>
    </row>
    <row r="17" spans="2:62" ht="14">
      <c r="B17" s="800"/>
      <c r="C17" s="1176" t="s">
        <v>37</v>
      </c>
      <c r="D17" s="802" t="str">
        <f>INDEX(Vectors[Description], MATCH($C17, Vectors[Code], 0))</f>
        <v>Food consumption [UNUSED]</v>
      </c>
      <c r="E17" s="802"/>
      <c r="F17" s="1158"/>
      <c r="G17" s="1158"/>
      <c r="H17" s="2125"/>
      <c r="I17" s="2125"/>
      <c r="J17" s="2125"/>
      <c r="K17" s="2125"/>
      <c r="L17" s="2125"/>
      <c r="M17" s="2125"/>
      <c r="N17" s="2125"/>
      <c r="O17" s="2125"/>
      <c r="P17" s="2125"/>
      <c r="Q17" s="2125"/>
      <c r="R17" s="2125"/>
      <c r="S17" s="2125"/>
      <c r="T17" s="2125"/>
      <c r="U17" s="2125"/>
      <c r="V17" s="2125"/>
      <c r="W17" s="2125"/>
      <c r="X17" s="2125"/>
      <c r="Y17" s="2125"/>
      <c r="Z17" s="2125"/>
      <c r="AA17" s="2125"/>
      <c r="AB17" s="2125"/>
      <c r="AC17" s="2125"/>
      <c r="AD17" s="2125"/>
      <c r="AE17" s="2125"/>
      <c r="AF17" s="2125"/>
      <c r="AG17" s="2125"/>
      <c r="AH17" s="2125"/>
      <c r="AI17" s="2125"/>
      <c r="AJ17" s="2125"/>
      <c r="AK17" s="2125"/>
      <c r="AL17" s="2125"/>
      <c r="AM17" s="2125"/>
      <c r="AN17" s="2125"/>
      <c r="AO17" s="2125"/>
      <c r="AP17" s="2125"/>
      <c r="AQ17" s="2125"/>
      <c r="AR17" s="2125"/>
      <c r="AS17" s="2125"/>
      <c r="AT17" s="2125"/>
      <c r="AU17" s="2125"/>
      <c r="AV17" s="2125"/>
      <c r="AW17" s="2126"/>
      <c r="AX17" s="802"/>
      <c r="AY17" s="1158">
        <f ca="1">INDEX(INDIRECT("'"&amp;AY$4&amp;"'!Year.NetBalance"), MATCH('Intermediate output'!$C17, INDIRECT("'"&amp;AY$4&amp;"'!Year.Vectors"), 0))</f>
        <v>0</v>
      </c>
      <c r="AZ17" s="1158"/>
      <c r="BA17" s="1158"/>
      <c r="BB17" s="1158"/>
      <c r="BC17" s="1158"/>
      <c r="BD17" s="1158"/>
      <c r="BE17" s="1158"/>
      <c r="BF17" s="1158"/>
      <c r="BG17" s="1158"/>
      <c r="BH17" s="1158"/>
      <c r="BI17" s="1159"/>
      <c r="BJ17" s="23"/>
    </row>
    <row r="18" spans="2:62" s="570" customFormat="1" ht="17">
      <c r="B18" s="1160"/>
      <c r="C18" s="1177"/>
      <c r="D18" s="1148"/>
      <c r="E18" s="802"/>
      <c r="F18" s="1149"/>
      <c r="G18" s="1151"/>
      <c r="H18" s="2126"/>
      <c r="I18" s="2126"/>
      <c r="J18" s="2126"/>
      <c r="K18" s="2126"/>
      <c r="L18" s="2126"/>
      <c r="M18" s="2126"/>
      <c r="N18" s="2126"/>
      <c r="O18" s="2126"/>
      <c r="P18" s="2126"/>
      <c r="Q18" s="2126"/>
      <c r="R18" s="2126"/>
      <c r="S18" s="2126"/>
      <c r="T18" s="2126"/>
      <c r="U18" s="2126"/>
      <c r="V18" s="2126"/>
      <c r="W18" s="2126"/>
      <c r="X18" s="2126"/>
      <c r="Y18" s="2126"/>
      <c r="Z18" s="2126"/>
      <c r="AA18" s="2126"/>
      <c r="AB18" s="2126"/>
      <c r="AC18" s="2126"/>
      <c r="AD18" s="2126"/>
      <c r="AE18" s="2126"/>
      <c r="AF18" s="2126"/>
      <c r="AG18" s="2126"/>
      <c r="AH18" s="2126"/>
      <c r="AI18" s="2126"/>
      <c r="AJ18" s="2126"/>
      <c r="AK18" s="2126"/>
      <c r="AL18" s="2126"/>
      <c r="AM18" s="2126"/>
      <c r="AN18" s="2126"/>
      <c r="AO18" s="2126"/>
      <c r="AP18" s="2126"/>
      <c r="AQ18" s="2126"/>
      <c r="AR18" s="2126"/>
      <c r="AS18" s="2126"/>
      <c r="AT18" s="2126"/>
      <c r="AU18" s="2126"/>
      <c r="AV18" s="2126"/>
      <c r="AW18" s="2126"/>
      <c r="AX18" s="802"/>
      <c r="AY18" s="1149"/>
      <c r="AZ18" s="1149"/>
      <c r="BA18" s="1149"/>
      <c r="BB18" s="1149"/>
      <c r="BC18" s="1149"/>
      <c r="BD18" s="1149"/>
      <c r="BE18" s="1149"/>
      <c r="BF18" s="1149"/>
      <c r="BG18" s="1149"/>
      <c r="BH18" s="1149"/>
      <c r="BI18" s="1161"/>
      <c r="BJ18" s="573"/>
    </row>
    <row r="19" spans="2:62" s="526" customFormat="1" ht="14">
      <c r="B19" s="1162"/>
      <c r="C19" s="1178"/>
      <c r="D19" s="812"/>
      <c r="E19" s="802"/>
      <c r="F19" s="1163"/>
      <c r="G19" s="1163"/>
      <c r="H19" s="2127"/>
      <c r="I19" s="2127"/>
      <c r="J19" s="2127"/>
      <c r="K19" s="2127"/>
      <c r="L19" s="2127"/>
      <c r="M19" s="2127"/>
      <c r="N19" s="2127"/>
      <c r="O19" s="2127"/>
      <c r="P19" s="2127"/>
      <c r="Q19" s="2127"/>
      <c r="R19" s="2127"/>
      <c r="S19" s="2127"/>
      <c r="T19" s="2127"/>
      <c r="U19" s="2127"/>
      <c r="V19" s="2127"/>
      <c r="W19" s="2127"/>
      <c r="X19" s="2127"/>
      <c r="Y19" s="2127"/>
      <c r="Z19" s="2127"/>
      <c r="AA19" s="2127"/>
      <c r="AB19" s="2127"/>
      <c r="AC19" s="2127"/>
      <c r="AD19" s="2127"/>
      <c r="AE19" s="2127"/>
      <c r="AF19" s="2127"/>
      <c r="AG19" s="2127"/>
      <c r="AH19" s="2127"/>
      <c r="AI19" s="2127"/>
      <c r="AJ19" s="2127"/>
      <c r="AK19" s="2127"/>
      <c r="AL19" s="2127"/>
      <c r="AM19" s="2127"/>
      <c r="AN19" s="2127"/>
      <c r="AO19" s="2127"/>
      <c r="AP19" s="2127"/>
      <c r="AQ19" s="2127"/>
      <c r="AR19" s="2127"/>
      <c r="AS19" s="2127"/>
      <c r="AT19" s="2127"/>
      <c r="AU19" s="2127"/>
      <c r="AV19" s="2127"/>
      <c r="AW19" s="2127"/>
      <c r="AX19" s="802"/>
      <c r="AY19" s="1163"/>
      <c r="AZ19" s="1163"/>
      <c r="BA19" s="1163"/>
      <c r="BB19" s="1163"/>
      <c r="BC19" s="1163"/>
      <c r="BD19" s="1163"/>
      <c r="BE19" s="1163"/>
      <c r="BF19" s="1163"/>
      <c r="BG19" s="1163"/>
      <c r="BH19" s="1163"/>
      <c r="BI19" s="1164"/>
      <c r="BJ19" s="550"/>
    </row>
    <row r="20" spans="2:62" s="242" customFormat="1" ht="14">
      <c r="B20" s="1165"/>
      <c r="C20" s="1179"/>
      <c r="D20" s="1166"/>
      <c r="E20" s="802"/>
      <c r="F20" s="1167"/>
      <c r="G20" s="1167"/>
      <c r="H20" s="2128"/>
      <c r="I20" s="2128"/>
      <c r="J20" s="2128"/>
      <c r="K20" s="2128"/>
      <c r="L20" s="2128"/>
      <c r="M20" s="2128"/>
      <c r="N20" s="2128"/>
      <c r="O20" s="2128"/>
      <c r="P20" s="2128"/>
      <c r="Q20" s="2128"/>
      <c r="R20" s="2128"/>
      <c r="S20" s="2128"/>
      <c r="T20" s="2128"/>
      <c r="U20" s="2128"/>
      <c r="V20" s="2128"/>
      <c r="W20" s="2128"/>
      <c r="X20" s="2128"/>
      <c r="Y20" s="2128"/>
      <c r="Z20" s="2128"/>
      <c r="AA20" s="2128"/>
      <c r="AB20" s="2128"/>
      <c r="AC20" s="2128"/>
      <c r="AD20" s="2128"/>
      <c r="AE20" s="2128"/>
      <c r="AF20" s="2128"/>
      <c r="AG20" s="2128"/>
      <c r="AH20" s="2128"/>
      <c r="AI20" s="2128"/>
      <c r="AJ20" s="2128"/>
      <c r="AK20" s="2128"/>
      <c r="AL20" s="2128"/>
      <c r="AM20" s="2128"/>
      <c r="AN20" s="2128"/>
      <c r="AO20" s="2128"/>
      <c r="AP20" s="2128"/>
      <c r="AQ20" s="2128"/>
      <c r="AR20" s="2128"/>
      <c r="AS20" s="2128"/>
      <c r="AT20" s="2128"/>
      <c r="AU20" s="2128"/>
      <c r="AV20" s="2128"/>
      <c r="AW20" s="2128"/>
      <c r="AX20" s="802"/>
      <c r="AY20" s="1167"/>
      <c r="AZ20" s="1167"/>
      <c r="BA20" s="1167"/>
      <c r="BB20" s="1167"/>
      <c r="BC20" s="1167"/>
      <c r="BD20" s="1167"/>
      <c r="BE20" s="1167"/>
      <c r="BF20" s="1167"/>
      <c r="BG20" s="1167"/>
      <c r="BH20" s="1167"/>
      <c r="BI20" s="1168"/>
      <c r="BJ20" s="757"/>
    </row>
    <row r="21" spans="2:62" s="117" customFormat="1" ht="14">
      <c r="B21" s="800"/>
      <c r="C21" s="1176"/>
      <c r="D21" s="802"/>
      <c r="E21" s="802"/>
      <c r="F21" s="802"/>
      <c r="G21" s="802"/>
      <c r="H21" s="2122"/>
      <c r="I21" s="2122"/>
      <c r="J21" s="2122"/>
      <c r="K21" s="2122"/>
      <c r="L21" s="2122"/>
      <c r="M21" s="2122"/>
      <c r="N21" s="2122"/>
      <c r="O21" s="2122"/>
      <c r="P21" s="2122"/>
      <c r="Q21" s="2122"/>
      <c r="R21" s="2122"/>
      <c r="S21" s="2122"/>
      <c r="T21" s="2122"/>
      <c r="U21" s="2122"/>
      <c r="V21" s="2122"/>
      <c r="W21" s="2122"/>
      <c r="X21" s="2122"/>
      <c r="Y21" s="2122"/>
      <c r="Z21" s="2122"/>
      <c r="AA21" s="2122"/>
      <c r="AB21" s="2122"/>
      <c r="AC21" s="2122"/>
      <c r="AD21" s="2122"/>
      <c r="AE21" s="2122"/>
      <c r="AF21" s="2122"/>
      <c r="AG21" s="2122"/>
      <c r="AH21" s="2122"/>
      <c r="AI21" s="2122"/>
      <c r="AJ21" s="2122"/>
      <c r="AK21" s="2122"/>
      <c r="AL21" s="2122"/>
      <c r="AM21" s="2122"/>
      <c r="AN21" s="2122"/>
      <c r="AO21" s="2122"/>
      <c r="AP21" s="2122"/>
      <c r="AQ21" s="2122"/>
      <c r="AR21" s="2122"/>
      <c r="AS21" s="2122"/>
      <c r="AT21" s="2122"/>
      <c r="AU21" s="2122"/>
      <c r="AV21" s="2122"/>
      <c r="AW21" s="2122"/>
      <c r="AX21" s="802"/>
      <c r="AY21" s="1158"/>
      <c r="AZ21" s="1158"/>
      <c r="BA21" s="1158"/>
      <c r="BB21" s="1158"/>
      <c r="BC21" s="1158"/>
      <c r="BD21" s="1158"/>
      <c r="BE21" s="1158"/>
      <c r="BF21" s="1158"/>
      <c r="BG21" s="1158"/>
      <c r="BH21" s="1158"/>
      <c r="BI21" s="1159"/>
      <c r="BJ21" s="23"/>
    </row>
    <row r="22" spans="2:62" s="525" customFormat="1">
      <c r="B22" s="1154"/>
      <c r="C22" s="1175"/>
      <c r="D22" s="1155"/>
      <c r="E22" s="802"/>
      <c r="F22" s="1156"/>
      <c r="G22" s="1156"/>
      <c r="H22" s="2124"/>
      <c r="I22" s="2124"/>
      <c r="J22" s="2124"/>
      <c r="K22" s="2124"/>
      <c r="L22" s="2124"/>
      <c r="M22" s="2124"/>
      <c r="N22" s="2124"/>
      <c r="O22" s="2124"/>
      <c r="P22" s="2124"/>
      <c r="Q22" s="2124"/>
      <c r="R22" s="2124"/>
      <c r="S22" s="2124"/>
      <c r="T22" s="2124"/>
      <c r="U22" s="2124"/>
      <c r="V22" s="2124"/>
      <c r="W22" s="2124"/>
      <c r="X22" s="2124"/>
      <c r="Y22" s="2124"/>
      <c r="Z22" s="2124"/>
      <c r="AA22" s="2124"/>
      <c r="AB22" s="2124"/>
      <c r="AC22" s="2124"/>
      <c r="AD22" s="2124"/>
      <c r="AE22" s="2124"/>
      <c r="AF22" s="2124"/>
      <c r="AG22" s="2124"/>
      <c r="AH22" s="2124"/>
      <c r="AI22" s="2124"/>
      <c r="AJ22" s="2124"/>
      <c r="AK22" s="2124"/>
      <c r="AL22" s="2124"/>
      <c r="AM22" s="2124"/>
      <c r="AN22" s="2124"/>
      <c r="AO22" s="2124"/>
      <c r="AP22" s="2124"/>
      <c r="AQ22" s="2124"/>
      <c r="AR22" s="2124"/>
      <c r="AS22" s="2124"/>
      <c r="AT22" s="2124"/>
      <c r="AU22" s="2124"/>
      <c r="AV22" s="2124"/>
      <c r="AW22" s="2124"/>
      <c r="AX22" s="802"/>
      <c r="AY22" s="1156"/>
      <c r="AZ22" s="1156"/>
      <c r="BA22" s="1156"/>
      <c r="BB22" s="1156"/>
      <c r="BC22" s="1156"/>
      <c r="BD22" s="1156"/>
      <c r="BE22" s="1156"/>
      <c r="BF22" s="1156"/>
      <c r="BG22" s="1156"/>
      <c r="BH22" s="1156"/>
      <c r="BI22" s="1157"/>
      <c r="BJ22" s="758"/>
    </row>
    <row r="23" spans="2:62" s="525" customFormat="1">
      <c r="B23" s="1154"/>
      <c r="C23" s="1180"/>
      <c r="D23" s="1155"/>
      <c r="E23" s="802"/>
      <c r="F23" s="1156"/>
      <c r="G23" s="1156"/>
      <c r="H23" s="2124"/>
      <c r="I23" s="2124"/>
      <c r="J23" s="2124"/>
      <c r="K23" s="2124"/>
      <c r="L23" s="2124"/>
      <c r="M23" s="2124"/>
      <c r="N23" s="2124"/>
      <c r="O23" s="2124"/>
      <c r="P23" s="2124"/>
      <c r="Q23" s="2124"/>
      <c r="R23" s="2124"/>
      <c r="S23" s="2124"/>
      <c r="T23" s="2124"/>
      <c r="U23" s="2124"/>
      <c r="V23" s="2124"/>
      <c r="W23" s="2124"/>
      <c r="X23" s="2124"/>
      <c r="Y23" s="2124"/>
      <c r="Z23" s="2124"/>
      <c r="AA23" s="2124"/>
      <c r="AB23" s="2124"/>
      <c r="AC23" s="2124"/>
      <c r="AD23" s="2124"/>
      <c r="AE23" s="2124"/>
      <c r="AF23" s="2124"/>
      <c r="AG23" s="2124"/>
      <c r="AH23" s="2124"/>
      <c r="AI23" s="2124"/>
      <c r="AJ23" s="2124"/>
      <c r="AK23" s="2124"/>
      <c r="AL23" s="2124"/>
      <c r="AM23" s="2124"/>
      <c r="AN23" s="2124"/>
      <c r="AO23" s="2124"/>
      <c r="AP23" s="2124"/>
      <c r="AQ23" s="2124"/>
      <c r="AR23" s="2124"/>
      <c r="AS23" s="2124"/>
      <c r="AT23" s="2124"/>
      <c r="AU23" s="2124"/>
      <c r="AV23" s="2124"/>
      <c r="AW23" s="2124"/>
      <c r="AX23" s="802"/>
      <c r="AY23" s="1156"/>
      <c r="AZ23" s="1156"/>
      <c r="BA23" s="1156"/>
      <c r="BB23" s="1156"/>
      <c r="BC23" s="1156"/>
      <c r="BD23" s="1156"/>
      <c r="BE23" s="1156"/>
      <c r="BF23" s="1156"/>
      <c r="BG23" s="1156"/>
      <c r="BH23" s="1156"/>
      <c r="BI23" s="1157"/>
      <c r="BJ23" s="758"/>
    </row>
    <row r="24" spans="2:62" s="525" customFormat="1">
      <c r="B24" s="1154"/>
      <c r="C24" s="1180"/>
      <c r="D24" s="1155"/>
      <c r="E24" s="802"/>
      <c r="F24" s="1156"/>
      <c r="G24" s="1156"/>
      <c r="H24" s="2124"/>
      <c r="I24" s="2124"/>
      <c r="J24" s="2124"/>
      <c r="K24" s="2124"/>
      <c r="L24" s="2124"/>
      <c r="M24" s="2124"/>
      <c r="N24" s="2124"/>
      <c r="O24" s="2124"/>
      <c r="P24" s="2124"/>
      <c r="Q24" s="2124"/>
      <c r="R24" s="2124"/>
      <c r="S24" s="2124"/>
      <c r="T24" s="2124"/>
      <c r="U24" s="2124"/>
      <c r="V24" s="2124"/>
      <c r="W24" s="2124"/>
      <c r="X24" s="2124"/>
      <c r="Y24" s="2124"/>
      <c r="Z24" s="2124"/>
      <c r="AA24" s="2124"/>
      <c r="AB24" s="2124"/>
      <c r="AC24" s="2124"/>
      <c r="AD24" s="2124"/>
      <c r="AE24" s="2124"/>
      <c r="AF24" s="2124"/>
      <c r="AG24" s="2124"/>
      <c r="AH24" s="2124"/>
      <c r="AI24" s="2124"/>
      <c r="AJ24" s="2124"/>
      <c r="AK24" s="2124"/>
      <c r="AL24" s="2124"/>
      <c r="AM24" s="2124"/>
      <c r="AN24" s="2124"/>
      <c r="AO24" s="2124"/>
      <c r="AP24" s="2124"/>
      <c r="AQ24" s="2124"/>
      <c r="AR24" s="2124"/>
      <c r="AS24" s="2124"/>
      <c r="AT24" s="2124"/>
      <c r="AU24" s="2124"/>
      <c r="AV24" s="2124"/>
      <c r="AW24" s="2124"/>
      <c r="AX24" s="802"/>
      <c r="AY24" s="1156"/>
      <c r="AZ24" s="1156"/>
      <c r="BA24" s="1156"/>
      <c r="BB24" s="1156"/>
      <c r="BC24" s="1156"/>
      <c r="BD24" s="1156"/>
      <c r="BE24" s="1156"/>
      <c r="BF24" s="1156"/>
      <c r="BG24" s="1156"/>
      <c r="BH24" s="1156"/>
      <c r="BI24" s="1157"/>
      <c r="BJ24" s="758"/>
    </row>
    <row r="25" spans="2:62" s="525" customFormat="1">
      <c r="B25" s="1154"/>
      <c r="C25" s="1180"/>
      <c r="D25" s="1155"/>
      <c r="E25" s="802"/>
      <c r="F25" s="1156"/>
      <c r="G25" s="1156"/>
      <c r="H25" s="2124"/>
      <c r="I25" s="2124"/>
      <c r="J25" s="2124"/>
      <c r="K25" s="2124"/>
      <c r="L25" s="2124"/>
      <c r="M25" s="2124"/>
      <c r="N25" s="2124"/>
      <c r="O25" s="2124"/>
      <c r="P25" s="2124"/>
      <c r="Q25" s="2124"/>
      <c r="R25" s="2124"/>
      <c r="S25" s="2124"/>
      <c r="T25" s="2124"/>
      <c r="U25" s="2124"/>
      <c r="V25" s="2124"/>
      <c r="W25" s="2124"/>
      <c r="X25" s="2124"/>
      <c r="Y25" s="2124"/>
      <c r="Z25" s="2124"/>
      <c r="AA25" s="2124"/>
      <c r="AB25" s="2124"/>
      <c r="AC25" s="2124"/>
      <c r="AD25" s="2124"/>
      <c r="AE25" s="2124"/>
      <c r="AF25" s="2124"/>
      <c r="AG25" s="2124"/>
      <c r="AH25" s="2124"/>
      <c r="AI25" s="2124"/>
      <c r="AJ25" s="2124"/>
      <c r="AK25" s="2124"/>
      <c r="AL25" s="2124"/>
      <c r="AM25" s="2124"/>
      <c r="AN25" s="2124"/>
      <c r="AO25" s="2124"/>
      <c r="AP25" s="2124"/>
      <c r="AQ25" s="2124"/>
      <c r="AR25" s="2124"/>
      <c r="AS25" s="2124"/>
      <c r="AT25" s="2124"/>
      <c r="AU25" s="2124"/>
      <c r="AV25" s="2124"/>
      <c r="AW25" s="2124"/>
      <c r="AX25" s="802"/>
      <c r="AY25" s="1156"/>
      <c r="AZ25" s="1156"/>
      <c r="BA25" s="1156"/>
      <c r="BB25" s="1156"/>
      <c r="BC25" s="1156"/>
      <c r="BD25" s="1156"/>
      <c r="BE25" s="1156"/>
      <c r="BF25" s="1156"/>
      <c r="BG25" s="1156"/>
      <c r="BH25" s="1156"/>
      <c r="BI25" s="1157"/>
      <c r="BJ25" s="758"/>
    </row>
    <row r="26" spans="2:62" s="525" customFormat="1">
      <c r="B26" s="1154"/>
      <c r="C26" s="1180"/>
      <c r="D26" s="1155"/>
      <c r="E26" s="802"/>
      <c r="F26" s="1156"/>
      <c r="G26" s="1156"/>
      <c r="H26" s="2124"/>
      <c r="I26" s="2124"/>
      <c r="J26" s="2124"/>
      <c r="K26" s="2124"/>
      <c r="L26" s="2124"/>
      <c r="M26" s="2124"/>
      <c r="N26" s="2124"/>
      <c r="O26" s="2124"/>
      <c r="P26" s="2124"/>
      <c r="Q26" s="2124"/>
      <c r="R26" s="2124"/>
      <c r="S26" s="2124"/>
      <c r="T26" s="2124"/>
      <c r="U26" s="2124"/>
      <c r="V26" s="2124"/>
      <c r="W26" s="2124"/>
      <c r="X26" s="2124"/>
      <c r="Y26" s="2124"/>
      <c r="Z26" s="2124"/>
      <c r="AA26" s="2124"/>
      <c r="AB26" s="2124"/>
      <c r="AC26" s="2124"/>
      <c r="AD26" s="2124"/>
      <c r="AE26" s="2124"/>
      <c r="AF26" s="2124"/>
      <c r="AG26" s="2124"/>
      <c r="AH26" s="2124"/>
      <c r="AI26" s="2124"/>
      <c r="AJ26" s="2124"/>
      <c r="AK26" s="2124"/>
      <c r="AL26" s="2124"/>
      <c r="AM26" s="2124"/>
      <c r="AN26" s="2124"/>
      <c r="AO26" s="2124"/>
      <c r="AP26" s="2124"/>
      <c r="AQ26" s="2124"/>
      <c r="AR26" s="2124"/>
      <c r="AS26" s="2124"/>
      <c r="AT26" s="2124"/>
      <c r="AU26" s="2124"/>
      <c r="AV26" s="2124"/>
      <c r="AW26" s="2124"/>
      <c r="AX26" s="802"/>
      <c r="AY26" s="1156"/>
      <c r="AZ26" s="1156"/>
      <c r="BA26" s="1156"/>
      <c r="BB26" s="1156"/>
      <c r="BC26" s="1156"/>
      <c r="BD26" s="1156"/>
      <c r="BE26" s="1156"/>
      <c r="BF26" s="1156"/>
      <c r="BG26" s="1156"/>
      <c r="BH26" s="1156"/>
      <c r="BI26" s="1157"/>
      <c r="BJ26" s="23"/>
    </row>
    <row r="27" spans="2:62" s="525" customFormat="1">
      <c r="B27" s="1154"/>
      <c r="C27" s="1180"/>
      <c r="D27" s="1155"/>
      <c r="E27" s="802"/>
      <c r="F27" s="1156"/>
      <c r="G27" s="1156"/>
      <c r="H27" s="2124"/>
      <c r="I27" s="2124"/>
      <c r="J27" s="2124"/>
      <c r="K27" s="2124"/>
      <c r="L27" s="2124"/>
      <c r="M27" s="2124"/>
      <c r="N27" s="2124"/>
      <c r="O27" s="2124"/>
      <c r="P27" s="2124"/>
      <c r="Q27" s="2124"/>
      <c r="R27" s="2124"/>
      <c r="S27" s="2124"/>
      <c r="T27" s="2124"/>
      <c r="U27" s="2124"/>
      <c r="V27" s="2124"/>
      <c r="W27" s="2124"/>
      <c r="X27" s="2124"/>
      <c r="Y27" s="2124"/>
      <c r="Z27" s="2124"/>
      <c r="AA27" s="2124"/>
      <c r="AB27" s="2124"/>
      <c r="AC27" s="2124"/>
      <c r="AD27" s="2124"/>
      <c r="AE27" s="2124"/>
      <c r="AF27" s="2124"/>
      <c r="AG27" s="2124"/>
      <c r="AH27" s="2124"/>
      <c r="AI27" s="2124"/>
      <c r="AJ27" s="2124"/>
      <c r="AK27" s="2124"/>
      <c r="AL27" s="2124"/>
      <c r="AM27" s="2124"/>
      <c r="AN27" s="2124"/>
      <c r="AO27" s="2124"/>
      <c r="AP27" s="2124"/>
      <c r="AQ27" s="2124"/>
      <c r="AR27" s="2124"/>
      <c r="AS27" s="2124"/>
      <c r="AT27" s="2124"/>
      <c r="AU27" s="2124"/>
      <c r="AV27" s="2124"/>
      <c r="AW27" s="2124"/>
      <c r="AX27" s="802"/>
      <c r="AY27" s="1156"/>
      <c r="AZ27" s="1156"/>
      <c r="BA27" s="1156"/>
      <c r="BB27" s="1156"/>
      <c r="BC27" s="1156"/>
      <c r="BD27" s="1156"/>
      <c r="BE27" s="1156"/>
      <c r="BF27" s="1156"/>
      <c r="BG27" s="1156"/>
      <c r="BH27" s="1156"/>
      <c r="BI27" s="1157"/>
      <c r="BJ27" s="758"/>
    </row>
    <row r="28" spans="2:62" s="525" customFormat="1">
      <c r="B28" s="1154"/>
      <c r="C28" s="1180"/>
      <c r="D28" s="1155"/>
      <c r="E28" s="802"/>
      <c r="F28" s="1156"/>
      <c r="G28" s="1156"/>
      <c r="H28" s="2124"/>
      <c r="I28" s="2124"/>
      <c r="J28" s="2124"/>
      <c r="K28" s="2124"/>
      <c r="L28" s="2124"/>
      <c r="M28" s="2124"/>
      <c r="N28" s="2124"/>
      <c r="O28" s="2124"/>
      <c r="P28" s="2124"/>
      <c r="Q28" s="2124"/>
      <c r="R28" s="2124"/>
      <c r="S28" s="2124"/>
      <c r="T28" s="2124"/>
      <c r="U28" s="2124"/>
      <c r="V28" s="2124"/>
      <c r="W28" s="2124"/>
      <c r="X28" s="2124"/>
      <c r="Y28" s="2124"/>
      <c r="Z28" s="2124"/>
      <c r="AA28" s="2124"/>
      <c r="AB28" s="2124"/>
      <c r="AC28" s="2124"/>
      <c r="AD28" s="2124"/>
      <c r="AE28" s="2124"/>
      <c r="AF28" s="2124"/>
      <c r="AG28" s="2124"/>
      <c r="AH28" s="2124"/>
      <c r="AI28" s="2124"/>
      <c r="AJ28" s="2124"/>
      <c r="AK28" s="2124"/>
      <c r="AL28" s="2124"/>
      <c r="AM28" s="2124"/>
      <c r="AN28" s="2124"/>
      <c r="AO28" s="2124"/>
      <c r="AP28" s="2124"/>
      <c r="AQ28" s="2124"/>
      <c r="AR28" s="2124"/>
      <c r="AS28" s="2124"/>
      <c r="AT28" s="2124"/>
      <c r="AU28" s="2124"/>
      <c r="AV28" s="2124"/>
      <c r="AW28" s="2124"/>
      <c r="AX28" s="802"/>
      <c r="AY28" s="1156"/>
      <c r="AZ28" s="1156"/>
      <c r="BA28" s="1156"/>
      <c r="BB28" s="1156"/>
      <c r="BC28" s="1156"/>
      <c r="BD28" s="1156"/>
      <c r="BE28" s="1156"/>
      <c r="BF28" s="1156"/>
      <c r="BG28" s="1156"/>
      <c r="BH28" s="1156"/>
      <c r="BI28" s="1157"/>
      <c r="BJ28" s="758"/>
    </row>
    <row r="29" spans="2:62" s="525" customFormat="1">
      <c r="B29" s="1154"/>
      <c r="C29" s="1180"/>
      <c r="D29" s="1155"/>
      <c r="E29" s="802"/>
      <c r="F29" s="1156"/>
      <c r="G29" s="1156"/>
      <c r="H29" s="2124"/>
      <c r="I29" s="2124"/>
      <c r="J29" s="2124"/>
      <c r="K29" s="2124"/>
      <c r="L29" s="2124"/>
      <c r="M29" s="2124"/>
      <c r="N29" s="2124"/>
      <c r="O29" s="2124"/>
      <c r="P29" s="2124"/>
      <c r="Q29" s="2124"/>
      <c r="R29" s="2124"/>
      <c r="S29" s="2124"/>
      <c r="T29" s="2124"/>
      <c r="U29" s="2124"/>
      <c r="V29" s="2124"/>
      <c r="W29" s="2124"/>
      <c r="X29" s="2124"/>
      <c r="Y29" s="2124"/>
      <c r="Z29" s="2124"/>
      <c r="AA29" s="2124"/>
      <c r="AB29" s="2124"/>
      <c r="AC29" s="2124"/>
      <c r="AD29" s="2124"/>
      <c r="AE29" s="2124"/>
      <c r="AF29" s="2124"/>
      <c r="AG29" s="2124"/>
      <c r="AH29" s="2124"/>
      <c r="AI29" s="2124"/>
      <c r="AJ29" s="2124"/>
      <c r="AK29" s="2124"/>
      <c r="AL29" s="2124"/>
      <c r="AM29" s="2124"/>
      <c r="AN29" s="2124"/>
      <c r="AO29" s="2124"/>
      <c r="AP29" s="2124"/>
      <c r="AQ29" s="2124"/>
      <c r="AR29" s="2124"/>
      <c r="AS29" s="2124"/>
      <c r="AT29" s="2124"/>
      <c r="AU29" s="2124"/>
      <c r="AV29" s="2124"/>
      <c r="AW29" s="2124"/>
      <c r="AX29" s="802"/>
      <c r="AY29" s="1156"/>
      <c r="AZ29" s="1156"/>
      <c r="BA29" s="1156"/>
      <c r="BB29" s="1156"/>
      <c r="BC29" s="1156"/>
      <c r="BD29" s="1156"/>
      <c r="BE29" s="1156"/>
      <c r="BF29" s="1156"/>
      <c r="BG29" s="1156"/>
      <c r="BH29" s="1156"/>
      <c r="BI29" s="1157"/>
      <c r="BJ29" s="23"/>
    </row>
    <row r="30" spans="2:62" s="525" customFormat="1">
      <c r="B30" s="1154"/>
      <c r="C30" s="1180"/>
      <c r="D30" s="1155"/>
      <c r="E30" s="802"/>
      <c r="F30" s="1156"/>
      <c r="G30" s="1156"/>
      <c r="H30" s="2124"/>
      <c r="I30" s="2124"/>
      <c r="J30" s="2124"/>
      <c r="K30" s="2124"/>
      <c r="L30" s="2124"/>
      <c r="M30" s="2124"/>
      <c r="N30" s="2124"/>
      <c r="O30" s="2124"/>
      <c r="P30" s="2124"/>
      <c r="Q30" s="2124"/>
      <c r="R30" s="2124"/>
      <c r="S30" s="2124"/>
      <c r="T30" s="2124"/>
      <c r="U30" s="2124"/>
      <c r="V30" s="2124"/>
      <c r="W30" s="2124"/>
      <c r="X30" s="2124"/>
      <c r="Y30" s="2124"/>
      <c r="Z30" s="2124"/>
      <c r="AA30" s="2124"/>
      <c r="AB30" s="2124"/>
      <c r="AC30" s="2124"/>
      <c r="AD30" s="2124"/>
      <c r="AE30" s="2124"/>
      <c r="AF30" s="2124"/>
      <c r="AG30" s="2124"/>
      <c r="AH30" s="2124"/>
      <c r="AI30" s="2124"/>
      <c r="AJ30" s="2124"/>
      <c r="AK30" s="2124"/>
      <c r="AL30" s="2124"/>
      <c r="AM30" s="2124"/>
      <c r="AN30" s="2124"/>
      <c r="AO30" s="2124"/>
      <c r="AP30" s="2124"/>
      <c r="AQ30" s="2124"/>
      <c r="AR30" s="2124"/>
      <c r="AS30" s="2124"/>
      <c r="AT30" s="2124"/>
      <c r="AU30" s="2124"/>
      <c r="AV30" s="2124"/>
      <c r="AW30" s="2124"/>
      <c r="AX30" s="802"/>
      <c r="AY30" s="1156"/>
      <c r="AZ30" s="1156"/>
      <c r="BA30" s="1156"/>
      <c r="BB30" s="1156"/>
      <c r="BC30" s="1156"/>
      <c r="BD30" s="1156"/>
      <c r="BE30" s="1156"/>
      <c r="BF30" s="1156"/>
      <c r="BG30" s="1156"/>
      <c r="BH30" s="1156"/>
      <c r="BI30" s="1157"/>
      <c r="BJ30" s="758"/>
    </row>
    <row r="31" spans="2:62" s="117" customFormat="1" ht="14">
      <c r="B31" s="800"/>
      <c r="C31" s="1176"/>
      <c r="D31" s="802"/>
      <c r="E31" s="802"/>
      <c r="F31" s="1158"/>
      <c r="G31" s="1158"/>
      <c r="H31" s="2125"/>
      <c r="I31" s="2125"/>
      <c r="J31" s="2125"/>
      <c r="K31" s="2125"/>
      <c r="L31" s="2125"/>
      <c r="M31" s="2125"/>
      <c r="N31" s="2125"/>
      <c r="O31" s="2125"/>
      <c r="P31" s="2125"/>
      <c r="Q31" s="2125"/>
      <c r="R31" s="2125"/>
      <c r="S31" s="2125"/>
      <c r="T31" s="2125"/>
      <c r="U31" s="2125"/>
      <c r="V31" s="2125"/>
      <c r="W31" s="2125"/>
      <c r="X31" s="2125"/>
      <c r="Y31" s="2125"/>
      <c r="Z31" s="2125"/>
      <c r="AA31" s="2125"/>
      <c r="AB31" s="2125"/>
      <c r="AC31" s="2125"/>
      <c r="AD31" s="2125"/>
      <c r="AE31" s="2125"/>
      <c r="AF31" s="2125"/>
      <c r="AG31" s="2125"/>
      <c r="AH31" s="2125"/>
      <c r="AI31" s="2125"/>
      <c r="AJ31" s="2125"/>
      <c r="AK31" s="2125"/>
      <c r="AL31" s="2125"/>
      <c r="AM31" s="2125"/>
      <c r="AN31" s="2125"/>
      <c r="AO31" s="2125"/>
      <c r="AP31" s="2125"/>
      <c r="AQ31" s="2125"/>
      <c r="AR31" s="2125"/>
      <c r="AS31" s="2125"/>
      <c r="AT31" s="2125"/>
      <c r="AU31" s="2125"/>
      <c r="AV31" s="2125"/>
      <c r="AW31" s="2125"/>
      <c r="AX31" s="802"/>
      <c r="AY31" s="1158"/>
      <c r="AZ31" s="1158"/>
      <c r="BA31" s="1158"/>
      <c r="BB31" s="1158"/>
      <c r="BC31" s="1158"/>
      <c r="BD31" s="1158"/>
      <c r="BE31" s="1158"/>
      <c r="BF31" s="1158"/>
      <c r="BG31" s="1158"/>
      <c r="BH31" s="1158"/>
      <c r="BI31" s="1159"/>
      <c r="BJ31" s="23"/>
    </row>
    <row r="32" spans="2:62" ht="14">
      <c r="B32" s="800"/>
      <c r="C32" s="1176"/>
      <c r="D32" s="802"/>
      <c r="E32" s="802"/>
      <c r="F32" s="1158"/>
      <c r="G32" s="1158"/>
      <c r="H32" s="2125"/>
      <c r="I32" s="2125"/>
      <c r="J32" s="2125"/>
      <c r="K32" s="2125"/>
      <c r="L32" s="2125"/>
      <c r="M32" s="2125"/>
      <c r="N32" s="2125"/>
      <c r="O32" s="2125"/>
      <c r="P32" s="2125"/>
      <c r="Q32" s="2125"/>
      <c r="R32" s="2125"/>
      <c r="S32" s="2125"/>
      <c r="T32" s="2125"/>
      <c r="U32" s="2125"/>
      <c r="V32" s="2125"/>
      <c r="W32" s="2125"/>
      <c r="X32" s="2125"/>
      <c r="Y32" s="2125"/>
      <c r="Z32" s="2125"/>
      <c r="AA32" s="2125"/>
      <c r="AB32" s="2125"/>
      <c r="AC32" s="2125"/>
      <c r="AD32" s="2125"/>
      <c r="AE32" s="2125"/>
      <c r="AF32" s="2125"/>
      <c r="AG32" s="2125"/>
      <c r="AH32" s="2125"/>
      <c r="AI32" s="2125"/>
      <c r="AJ32" s="2125"/>
      <c r="AK32" s="2125"/>
      <c r="AL32" s="2125"/>
      <c r="AM32" s="2125"/>
      <c r="AN32" s="2125"/>
      <c r="AO32" s="2125"/>
      <c r="AP32" s="2125"/>
      <c r="AQ32" s="2125"/>
      <c r="AR32" s="2125"/>
      <c r="AS32" s="2125"/>
      <c r="AT32" s="2125"/>
      <c r="AU32" s="2125"/>
      <c r="AV32" s="2125"/>
      <c r="AW32" s="2125"/>
      <c r="AX32" s="802"/>
      <c r="AY32" s="1158"/>
      <c r="AZ32" s="1158"/>
      <c r="BA32" s="1158"/>
      <c r="BB32" s="1158"/>
      <c r="BC32" s="1158"/>
      <c r="BD32" s="1158"/>
      <c r="BE32" s="1158"/>
      <c r="BF32" s="1158"/>
      <c r="BG32" s="1158"/>
      <c r="BH32" s="1158"/>
      <c r="BI32" s="1159"/>
      <c r="BJ32" s="23"/>
    </row>
    <row r="33" spans="2:74" s="525" customFormat="1">
      <c r="B33" s="1154"/>
      <c r="C33" s="1155"/>
      <c r="D33" s="1155"/>
      <c r="E33" s="802"/>
      <c r="F33" s="1156"/>
      <c r="G33" s="1156"/>
      <c r="H33" s="2124"/>
      <c r="I33" s="2124"/>
      <c r="J33" s="2124"/>
      <c r="K33" s="2124"/>
      <c r="L33" s="2124"/>
      <c r="M33" s="2124"/>
      <c r="N33" s="2124"/>
      <c r="O33" s="2124"/>
      <c r="P33" s="2124"/>
      <c r="Q33" s="2124"/>
      <c r="R33" s="2124"/>
      <c r="S33" s="2124"/>
      <c r="T33" s="2124"/>
      <c r="U33" s="2124"/>
      <c r="V33" s="2124"/>
      <c r="W33" s="2124"/>
      <c r="X33" s="2124"/>
      <c r="Y33" s="2124"/>
      <c r="Z33" s="2124"/>
      <c r="AA33" s="2124"/>
      <c r="AB33" s="2124"/>
      <c r="AC33" s="2124"/>
      <c r="AD33" s="2124"/>
      <c r="AE33" s="2124"/>
      <c r="AF33" s="2124"/>
      <c r="AG33" s="2124"/>
      <c r="AH33" s="2124"/>
      <c r="AI33" s="2124"/>
      <c r="AJ33" s="2124"/>
      <c r="AK33" s="2124"/>
      <c r="AL33" s="2124"/>
      <c r="AM33" s="2124"/>
      <c r="AN33" s="2124"/>
      <c r="AO33" s="2124"/>
      <c r="AP33" s="2124"/>
      <c r="AQ33" s="2124"/>
      <c r="AR33" s="2124"/>
      <c r="AS33" s="2124"/>
      <c r="AT33" s="2124"/>
      <c r="AU33" s="2124"/>
      <c r="AV33" s="2124"/>
      <c r="AW33" s="2124"/>
      <c r="AX33" s="802"/>
      <c r="AY33" s="1156"/>
      <c r="AZ33" s="1156"/>
      <c r="BA33" s="1156"/>
      <c r="BB33" s="1156"/>
      <c r="BC33" s="1156"/>
      <c r="BD33" s="1156"/>
      <c r="BE33" s="1156"/>
      <c r="BF33" s="1156"/>
      <c r="BG33" s="1156"/>
      <c r="BH33" s="1156"/>
      <c r="BI33" s="1157"/>
      <c r="BJ33" s="758"/>
    </row>
    <row r="34" spans="2:74" s="525" customFormat="1">
      <c r="B34" s="1154"/>
      <c r="C34" s="1155"/>
      <c r="D34" s="1155"/>
      <c r="E34" s="802"/>
      <c r="F34" s="1156"/>
      <c r="G34" s="1156"/>
      <c r="H34" s="2124"/>
      <c r="I34" s="2124"/>
      <c r="J34" s="2124"/>
      <c r="K34" s="2124"/>
      <c r="L34" s="2124"/>
      <c r="M34" s="2124"/>
      <c r="N34" s="2124"/>
      <c r="O34" s="2124"/>
      <c r="P34" s="2124"/>
      <c r="Q34" s="2124"/>
      <c r="R34" s="2124"/>
      <c r="S34" s="2124"/>
      <c r="T34" s="2124"/>
      <c r="U34" s="2124"/>
      <c r="V34" s="2124"/>
      <c r="W34" s="2124"/>
      <c r="X34" s="2124"/>
      <c r="Y34" s="2124"/>
      <c r="Z34" s="2124"/>
      <c r="AA34" s="2124"/>
      <c r="AB34" s="2124"/>
      <c r="AC34" s="2124"/>
      <c r="AD34" s="2124"/>
      <c r="AE34" s="2124"/>
      <c r="AF34" s="2124"/>
      <c r="AG34" s="2124"/>
      <c r="AH34" s="2124"/>
      <c r="AI34" s="2124"/>
      <c r="AJ34" s="2124"/>
      <c r="AK34" s="2124"/>
      <c r="AL34" s="2124"/>
      <c r="AM34" s="2124"/>
      <c r="AN34" s="2124"/>
      <c r="AO34" s="2124"/>
      <c r="AP34" s="2124"/>
      <c r="AQ34" s="2124"/>
      <c r="AR34" s="2124"/>
      <c r="AS34" s="2124"/>
      <c r="AT34" s="2124"/>
      <c r="AU34" s="2124"/>
      <c r="AV34" s="2124"/>
      <c r="AW34" s="2124"/>
      <c r="AX34" s="802"/>
      <c r="AY34" s="1156"/>
      <c r="AZ34" s="1156"/>
      <c r="BA34" s="1156"/>
      <c r="BB34" s="1156"/>
      <c r="BC34" s="1156"/>
      <c r="BD34" s="1156"/>
      <c r="BE34" s="1156"/>
      <c r="BF34" s="1156"/>
      <c r="BG34" s="1156"/>
      <c r="BH34" s="1156"/>
      <c r="BI34" s="1157"/>
      <c r="BJ34" s="758"/>
    </row>
    <row r="35" spans="2:74" s="525" customFormat="1">
      <c r="B35" s="1154"/>
      <c r="C35" s="1155"/>
      <c r="D35" s="1155"/>
      <c r="E35" s="802"/>
      <c r="F35" s="1156"/>
      <c r="G35" s="1156"/>
      <c r="H35" s="2124"/>
      <c r="I35" s="2124"/>
      <c r="J35" s="2124"/>
      <c r="K35" s="2124"/>
      <c r="L35" s="2124"/>
      <c r="M35" s="2124"/>
      <c r="N35" s="2124"/>
      <c r="O35" s="2124"/>
      <c r="P35" s="2124"/>
      <c r="Q35" s="2124"/>
      <c r="R35" s="2124"/>
      <c r="S35" s="2124"/>
      <c r="T35" s="2124"/>
      <c r="U35" s="2124"/>
      <c r="V35" s="2124"/>
      <c r="W35" s="2124"/>
      <c r="X35" s="2124"/>
      <c r="Y35" s="2124"/>
      <c r="Z35" s="2124"/>
      <c r="AA35" s="2124"/>
      <c r="AB35" s="2124"/>
      <c r="AC35" s="2124"/>
      <c r="AD35" s="2124"/>
      <c r="AE35" s="2124"/>
      <c r="AF35" s="2124"/>
      <c r="AG35" s="2124"/>
      <c r="AH35" s="2124"/>
      <c r="AI35" s="2124"/>
      <c r="AJ35" s="2124"/>
      <c r="AK35" s="2124"/>
      <c r="AL35" s="2124"/>
      <c r="AM35" s="2124"/>
      <c r="AN35" s="2124"/>
      <c r="AO35" s="2124"/>
      <c r="AP35" s="2124"/>
      <c r="AQ35" s="2124"/>
      <c r="AR35" s="2124"/>
      <c r="AS35" s="2124"/>
      <c r="AT35" s="2124"/>
      <c r="AU35" s="2124"/>
      <c r="AV35" s="2124"/>
      <c r="AW35" s="2124"/>
      <c r="AX35" s="802"/>
      <c r="AY35" s="1156"/>
      <c r="AZ35" s="1156"/>
      <c r="BA35" s="1156"/>
      <c r="BB35" s="1156"/>
      <c r="BC35" s="1156"/>
      <c r="BD35" s="1156"/>
      <c r="BE35" s="1156"/>
      <c r="BF35" s="1156"/>
      <c r="BG35" s="1156"/>
      <c r="BH35" s="1156"/>
      <c r="BI35" s="1157"/>
      <c r="BJ35" s="758"/>
    </row>
    <row r="36" spans="2:74" s="117" customFormat="1" ht="14">
      <c r="B36" s="800"/>
      <c r="C36" s="802"/>
      <c r="D36" s="802"/>
      <c r="E36" s="802"/>
      <c r="F36" s="1158"/>
      <c r="G36" s="1158"/>
      <c r="H36" s="2125"/>
      <c r="I36" s="2125"/>
      <c r="J36" s="2125"/>
      <c r="K36" s="2125"/>
      <c r="L36" s="2125"/>
      <c r="M36" s="2125"/>
      <c r="N36" s="2125"/>
      <c r="O36" s="2125"/>
      <c r="P36" s="2125"/>
      <c r="Q36" s="2125"/>
      <c r="R36" s="2125"/>
      <c r="S36" s="2125"/>
      <c r="T36" s="2125"/>
      <c r="U36" s="2125"/>
      <c r="V36" s="2125"/>
      <c r="W36" s="2125"/>
      <c r="X36" s="2125"/>
      <c r="Y36" s="2125"/>
      <c r="Z36" s="2125"/>
      <c r="AA36" s="2125"/>
      <c r="AB36" s="2125"/>
      <c r="AC36" s="2125"/>
      <c r="AD36" s="2125"/>
      <c r="AE36" s="2125"/>
      <c r="AF36" s="2125"/>
      <c r="AG36" s="2125"/>
      <c r="AH36" s="2125"/>
      <c r="AI36" s="2125"/>
      <c r="AJ36" s="2125"/>
      <c r="AK36" s="2125"/>
      <c r="AL36" s="2125"/>
      <c r="AM36" s="2125"/>
      <c r="AN36" s="2125"/>
      <c r="AO36" s="2125"/>
      <c r="AP36" s="2125"/>
      <c r="AQ36" s="2125"/>
      <c r="AR36" s="2125"/>
      <c r="AS36" s="2125"/>
      <c r="AT36" s="2125"/>
      <c r="AU36" s="2125"/>
      <c r="AV36" s="2125"/>
      <c r="AW36" s="2125"/>
      <c r="AX36" s="802"/>
      <c r="AY36" s="1158"/>
      <c r="AZ36" s="1158"/>
      <c r="BA36" s="1158"/>
      <c r="BB36" s="1158"/>
      <c r="BC36" s="1158"/>
      <c r="BD36" s="1158"/>
      <c r="BE36" s="1158"/>
      <c r="BF36" s="1158"/>
      <c r="BG36" s="1158"/>
      <c r="BH36" s="1158"/>
      <c r="BI36" s="1159"/>
      <c r="BJ36" s="23"/>
    </row>
    <row r="37" spans="2:74" s="525" customFormat="1">
      <c r="B37" s="1154"/>
      <c r="C37" s="1155"/>
      <c r="D37" s="1155"/>
      <c r="E37" s="802"/>
      <c r="F37" s="1156"/>
      <c r="G37" s="1156"/>
      <c r="H37" s="2124"/>
      <c r="I37" s="2124"/>
      <c r="J37" s="2124"/>
      <c r="K37" s="2124"/>
      <c r="L37" s="2124"/>
      <c r="M37" s="2124"/>
      <c r="N37" s="2124"/>
      <c r="O37" s="2124"/>
      <c r="P37" s="2124"/>
      <c r="Q37" s="2124"/>
      <c r="R37" s="2124"/>
      <c r="S37" s="2124"/>
      <c r="T37" s="2124"/>
      <c r="U37" s="2124"/>
      <c r="V37" s="2124"/>
      <c r="W37" s="2124"/>
      <c r="X37" s="2124"/>
      <c r="Y37" s="2124"/>
      <c r="Z37" s="2124"/>
      <c r="AA37" s="2124"/>
      <c r="AB37" s="2124"/>
      <c r="AC37" s="2124"/>
      <c r="AD37" s="2124"/>
      <c r="AE37" s="2124"/>
      <c r="AF37" s="2124"/>
      <c r="AG37" s="2124"/>
      <c r="AH37" s="2124"/>
      <c r="AI37" s="2124"/>
      <c r="AJ37" s="2124"/>
      <c r="AK37" s="2124"/>
      <c r="AL37" s="2124"/>
      <c r="AM37" s="2124"/>
      <c r="AN37" s="2124"/>
      <c r="AO37" s="2124"/>
      <c r="AP37" s="2124"/>
      <c r="AQ37" s="2124"/>
      <c r="AR37" s="2124"/>
      <c r="AS37" s="2124"/>
      <c r="AT37" s="2124"/>
      <c r="AU37" s="2124"/>
      <c r="AV37" s="2124"/>
      <c r="AW37" s="2124"/>
      <c r="AX37" s="802"/>
      <c r="AY37" s="1156"/>
      <c r="AZ37" s="1156"/>
      <c r="BA37" s="1156"/>
      <c r="BB37" s="1156"/>
      <c r="BC37" s="1156"/>
      <c r="BD37" s="1156"/>
      <c r="BE37" s="1156"/>
      <c r="BF37" s="1156"/>
      <c r="BG37" s="1156"/>
      <c r="BH37" s="1156"/>
      <c r="BI37" s="1157"/>
      <c r="BJ37" s="758"/>
    </row>
    <row r="38" spans="2:74" s="525" customFormat="1">
      <c r="B38" s="1154"/>
      <c r="C38" s="1155"/>
      <c r="D38" s="1155"/>
      <c r="E38" s="802"/>
      <c r="F38" s="1156"/>
      <c r="G38" s="1156"/>
      <c r="H38" s="2124"/>
      <c r="I38" s="2124"/>
      <c r="J38" s="2124"/>
      <c r="K38" s="2124"/>
      <c r="L38" s="2124"/>
      <c r="M38" s="2124"/>
      <c r="N38" s="2124"/>
      <c r="O38" s="2124"/>
      <c r="P38" s="2124"/>
      <c r="Q38" s="2124"/>
      <c r="R38" s="2124"/>
      <c r="S38" s="2124"/>
      <c r="T38" s="2124"/>
      <c r="U38" s="2124"/>
      <c r="V38" s="2124"/>
      <c r="W38" s="2124"/>
      <c r="X38" s="2124"/>
      <c r="Y38" s="2124"/>
      <c r="Z38" s="2124"/>
      <c r="AA38" s="2124"/>
      <c r="AB38" s="2124"/>
      <c r="AC38" s="2124"/>
      <c r="AD38" s="2124"/>
      <c r="AE38" s="2124"/>
      <c r="AF38" s="2124"/>
      <c r="AG38" s="2124"/>
      <c r="AH38" s="2124"/>
      <c r="AI38" s="2124"/>
      <c r="AJ38" s="2124"/>
      <c r="AK38" s="2124"/>
      <c r="AL38" s="2124"/>
      <c r="AM38" s="2124"/>
      <c r="AN38" s="2124"/>
      <c r="AO38" s="2124"/>
      <c r="AP38" s="2124"/>
      <c r="AQ38" s="2124"/>
      <c r="AR38" s="2124"/>
      <c r="AS38" s="2124"/>
      <c r="AT38" s="2124"/>
      <c r="AU38" s="2124"/>
      <c r="AV38" s="2124"/>
      <c r="AW38" s="2124"/>
      <c r="AX38" s="802"/>
      <c r="AY38" s="1156"/>
      <c r="AZ38" s="1156"/>
      <c r="BA38" s="1156"/>
      <c r="BB38" s="1156"/>
      <c r="BC38" s="1156"/>
      <c r="BD38" s="1156"/>
      <c r="BE38" s="1156"/>
      <c r="BF38" s="1156"/>
      <c r="BG38" s="1156"/>
      <c r="BH38" s="1156"/>
      <c r="BI38" s="1157"/>
      <c r="BJ38" s="758"/>
    </row>
    <row r="39" spans="2:74" s="117" customFormat="1" ht="14">
      <c r="B39" s="800"/>
      <c r="C39" s="802"/>
      <c r="D39" s="802"/>
      <c r="E39" s="802"/>
      <c r="F39" s="1158"/>
      <c r="G39" s="1158"/>
      <c r="H39" s="2125"/>
      <c r="I39" s="2125"/>
      <c r="J39" s="2125"/>
      <c r="K39" s="2125"/>
      <c r="L39" s="2125"/>
      <c r="M39" s="2125"/>
      <c r="N39" s="2125"/>
      <c r="O39" s="2125"/>
      <c r="P39" s="2125"/>
      <c r="Q39" s="2125"/>
      <c r="R39" s="2125"/>
      <c r="S39" s="2125"/>
      <c r="T39" s="2125"/>
      <c r="U39" s="2125"/>
      <c r="V39" s="2125"/>
      <c r="W39" s="2125"/>
      <c r="X39" s="2125"/>
      <c r="Y39" s="2125"/>
      <c r="Z39" s="2125"/>
      <c r="AA39" s="2125"/>
      <c r="AB39" s="2125"/>
      <c r="AC39" s="2125"/>
      <c r="AD39" s="2125"/>
      <c r="AE39" s="2125"/>
      <c r="AF39" s="2125"/>
      <c r="AG39" s="2125"/>
      <c r="AH39" s="2125"/>
      <c r="AI39" s="2125"/>
      <c r="AJ39" s="2125"/>
      <c r="AK39" s="2125"/>
      <c r="AL39" s="2125"/>
      <c r="AM39" s="2125"/>
      <c r="AN39" s="2125"/>
      <c r="AO39" s="2125"/>
      <c r="AP39" s="2125"/>
      <c r="AQ39" s="2125"/>
      <c r="AR39" s="2125"/>
      <c r="AS39" s="2125"/>
      <c r="AT39" s="2125"/>
      <c r="AU39" s="2125"/>
      <c r="AV39" s="2125"/>
      <c r="AW39" s="2125"/>
      <c r="AX39" s="802"/>
      <c r="AY39" s="1158"/>
      <c r="AZ39" s="1158"/>
      <c r="BA39" s="1158"/>
      <c r="BB39" s="1158"/>
      <c r="BC39" s="1158"/>
      <c r="BD39" s="1158"/>
      <c r="BE39" s="1158"/>
      <c r="BF39" s="1158"/>
      <c r="BG39" s="1158"/>
      <c r="BH39" s="1158"/>
      <c r="BI39" s="1159"/>
      <c r="BJ39" s="23"/>
      <c r="BL39" s="23"/>
      <c r="BM39" s="23"/>
    </row>
    <row r="40" spans="2:74" s="525" customFormat="1">
      <c r="B40" s="1154"/>
      <c r="C40" s="1155"/>
      <c r="D40" s="1155"/>
      <c r="E40" s="802"/>
      <c r="F40" s="1156"/>
      <c r="G40" s="1156"/>
      <c r="H40" s="2124"/>
      <c r="I40" s="2124"/>
      <c r="J40" s="2124"/>
      <c r="K40" s="2124"/>
      <c r="L40" s="2124"/>
      <c r="M40" s="2124"/>
      <c r="N40" s="2124"/>
      <c r="O40" s="2124"/>
      <c r="P40" s="2124"/>
      <c r="Q40" s="2124"/>
      <c r="R40" s="2124"/>
      <c r="S40" s="2124"/>
      <c r="T40" s="2124"/>
      <c r="U40" s="2124"/>
      <c r="V40" s="2124"/>
      <c r="W40" s="2124"/>
      <c r="X40" s="2124"/>
      <c r="Y40" s="2124"/>
      <c r="Z40" s="2124"/>
      <c r="AA40" s="2124"/>
      <c r="AB40" s="2124"/>
      <c r="AC40" s="2124"/>
      <c r="AD40" s="2124"/>
      <c r="AE40" s="2124"/>
      <c r="AF40" s="2124"/>
      <c r="AG40" s="2124"/>
      <c r="AH40" s="2124"/>
      <c r="AI40" s="2124"/>
      <c r="AJ40" s="2124"/>
      <c r="AK40" s="2124"/>
      <c r="AL40" s="2124"/>
      <c r="AM40" s="2124"/>
      <c r="AN40" s="2124"/>
      <c r="AO40" s="2124"/>
      <c r="AP40" s="2124"/>
      <c r="AQ40" s="2124"/>
      <c r="AR40" s="2124"/>
      <c r="AS40" s="2124"/>
      <c r="AT40" s="2124"/>
      <c r="AU40" s="2124"/>
      <c r="AV40" s="2124"/>
      <c r="AW40" s="2124"/>
      <c r="AX40" s="802"/>
      <c r="AY40" s="1156"/>
      <c r="AZ40" s="1156"/>
      <c r="BA40" s="1156"/>
      <c r="BB40" s="1156"/>
      <c r="BC40" s="1156"/>
      <c r="BD40" s="1156"/>
      <c r="BE40" s="1156"/>
      <c r="BF40" s="1156"/>
      <c r="BG40" s="1156"/>
      <c r="BH40" s="1156"/>
      <c r="BI40" s="1157"/>
      <c r="BJ40" s="758"/>
      <c r="BL40" s="758"/>
    </row>
    <row r="41" spans="2:74" s="525" customFormat="1">
      <c r="B41" s="1154"/>
      <c r="C41" s="1155"/>
      <c r="D41" s="1155"/>
      <c r="E41" s="802"/>
      <c r="F41" s="1156"/>
      <c r="G41" s="1156"/>
      <c r="H41" s="2124"/>
      <c r="I41" s="2124"/>
      <c r="J41" s="2124"/>
      <c r="K41" s="2124"/>
      <c r="L41" s="2124"/>
      <c r="M41" s="2124"/>
      <c r="N41" s="2124"/>
      <c r="O41" s="2124"/>
      <c r="P41" s="2124"/>
      <c r="Q41" s="2124"/>
      <c r="R41" s="2124"/>
      <c r="S41" s="2124"/>
      <c r="T41" s="2124"/>
      <c r="U41" s="2124"/>
      <c r="V41" s="2124"/>
      <c r="W41" s="2124"/>
      <c r="X41" s="2124"/>
      <c r="Y41" s="2124"/>
      <c r="Z41" s="2124"/>
      <c r="AA41" s="2124"/>
      <c r="AB41" s="2124"/>
      <c r="AC41" s="2124"/>
      <c r="AD41" s="2124"/>
      <c r="AE41" s="2124"/>
      <c r="AF41" s="2124"/>
      <c r="AG41" s="2124"/>
      <c r="AH41" s="2124"/>
      <c r="AI41" s="2124"/>
      <c r="AJ41" s="2124"/>
      <c r="AK41" s="2124"/>
      <c r="AL41" s="2124"/>
      <c r="AM41" s="2124"/>
      <c r="AN41" s="2124"/>
      <c r="AO41" s="2124"/>
      <c r="AP41" s="2124"/>
      <c r="AQ41" s="2124"/>
      <c r="AR41" s="2124"/>
      <c r="AS41" s="2124"/>
      <c r="AT41" s="2124"/>
      <c r="AU41" s="2124"/>
      <c r="AV41" s="2124"/>
      <c r="AW41" s="2124"/>
      <c r="AX41" s="802"/>
      <c r="AY41" s="1156"/>
      <c r="AZ41" s="1156"/>
      <c r="BA41" s="1156"/>
      <c r="BB41" s="1156"/>
      <c r="BC41" s="1156"/>
      <c r="BD41" s="1156"/>
      <c r="BE41" s="1156"/>
      <c r="BF41" s="1156"/>
      <c r="BG41" s="1156"/>
      <c r="BH41" s="1156"/>
      <c r="BI41" s="1157"/>
      <c r="BJ41" s="758"/>
      <c r="BL41" s="758"/>
    </row>
    <row r="42" spans="2:74" s="525" customFormat="1">
      <c r="B42" s="1154"/>
      <c r="C42" s="1155"/>
      <c r="D42" s="1155"/>
      <c r="E42" s="802"/>
      <c r="F42" s="1156"/>
      <c r="G42" s="1156"/>
      <c r="H42" s="2124"/>
      <c r="I42" s="2124"/>
      <c r="J42" s="2124"/>
      <c r="K42" s="2124"/>
      <c r="L42" s="2124"/>
      <c r="M42" s="2124"/>
      <c r="N42" s="2124"/>
      <c r="O42" s="2124"/>
      <c r="P42" s="2124"/>
      <c r="Q42" s="2124"/>
      <c r="R42" s="2124"/>
      <c r="S42" s="2124"/>
      <c r="T42" s="2124"/>
      <c r="U42" s="2124"/>
      <c r="V42" s="2124"/>
      <c r="W42" s="2124"/>
      <c r="X42" s="2124"/>
      <c r="Y42" s="2124"/>
      <c r="Z42" s="2124"/>
      <c r="AA42" s="2124"/>
      <c r="AB42" s="2124"/>
      <c r="AC42" s="2124"/>
      <c r="AD42" s="2124"/>
      <c r="AE42" s="2124"/>
      <c r="AF42" s="2124"/>
      <c r="AG42" s="2124"/>
      <c r="AH42" s="2124"/>
      <c r="AI42" s="2124"/>
      <c r="AJ42" s="2124"/>
      <c r="AK42" s="2124"/>
      <c r="AL42" s="2124"/>
      <c r="AM42" s="2124"/>
      <c r="AN42" s="2124"/>
      <c r="AO42" s="2124"/>
      <c r="AP42" s="2124"/>
      <c r="AQ42" s="2124"/>
      <c r="AR42" s="2124"/>
      <c r="AS42" s="2124"/>
      <c r="AT42" s="2124"/>
      <c r="AU42" s="2124"/>
      <c r="AV42" s="2124"/>
      <c r="AW42" s="2124"/>
      <c r="AX42" s="802"/>
      <c r="AY42" s="1156"/>
      <c r="AZ42" s="1156"/>
      <c r="BA42" s="1156"/>
      <c r="BB42" s="1156"/>
      <c r="BC42" s="1156"/>
      <c r="BD42" s="1156"/>
      <c r="BE42" s="1156"/>
      <c r="BF42" s="1156"/>
      <c r="BG42" s="1156"/>
      <c r="BH42" s="1156"/>
      <c r="BI42" s="1157"/>
      <c r="BJ42" s="758"/>
      <c r="BL42" s="758"/>
    </row>
    <row r="43" spans="2:74" s="117" customFormat="1" ht="14">
      <c r="B43" s="800"/>
      <c r="C43" s="802"/>
      <c r="D43" s="802"/>
      <c r="E43" s="802"/>
      <c r="F43" s="1158"/>
      <c r="G43" s="1158"/>
      <c r="H43" s="2125"/>
      <c r="I43" s="2125"/>
      <c r="J43" s="2125"/>
      <c r="K43" s="2125"/>
      <c r="L43" s="2125"/>
      <c r="M43" s="2125"/>
      <c r="N43" s="2125"/>
      <c r="O43" s="2125"/>
      <c r="P43" s="2125"/>
      <c r="Q43" s="2125"/>
      <c r="R43" s="2125"/>
      <c r="S43" s="2125"/>
      <c r="T43" s="2125"/>
      <c r="U43" s="2125"/>
      <c r="V43" s="2125"/>
      <c r="W43" s="2125"/>
      <c r="X43" s="2125"/>
      <c r="Y43" s="2125"/>
      <c r="Z43" s="2125"/>
      <c r="AA43" s="2125"/>
      <c r="AB43" s="2125"/>
      <c r="AC43" s="2125"/>
      <c r="AD43" s="2125"/>
      <c r="AE43" s="2125"/>
      <c r="AF43" s="2125"/>
      <c r="AG43" s="2125"/>
      <c r="AH43" s="2125"/>
      <c r="AI43" s="2125"/>
      <c r="AJ43" s="2125"/>
      <c r="AK43" s="2125"/>
      <c r="AL43" s="2125"/>
      <c r="AM43" s="2125"/>
      <c r="AN43" s="2125"/>
      <c r="AO43" s="2125"/>
      <c r="AP43" s="2125"/>
      <c r="AQ43" s="2125"/>
      <c r="AR43" s="2125"/>
      <c r="AS43" s="2125"/>
      <c r="AT43" s="2125"/>
      <c r="AU43" s="2125"/>
      <c r="AV43" s="2125"/>
      <c r="AW43" s="2125"/>
      <c r="AX43" s="802"/>
      <c r="AY43" s="1158"/>
      <c r="AZ43" s="1158"/>
      <c r="BA43" s="1158"/>
      <c r="BB43" s="1158"/>
      <c r="BC43" s="1158"/>
      <c r="BD43" s="1158"/>
      <c r="BE43" s="1158"/>
      <c r="BF43" s="1158"/>
      <c r="BG43" s="1158"/>
      <c r="BH43" s="1158"/>
      <c r="BI43" s="1159"/>
      <c r="BJ43" s="1075"/>
      <c r="BL43" s="23"/>
      <c r="BM43" s="23"/>
    </row>
    <row r="44" spans="2:74" s="525" customFormat="1">
      <c r="B44" s="1154"/>
      <c r="C44" s="1155"/>
      <c r="D44" s="1155"/>
      <c r="E44" s="802"/>
      <c r="F44" s="1156"/>
      <c r="G44" s="1156"/>
      <c r="H44" s="2124"/>
      <c r="I44" s="2124"/>
      <c r="J44" s="2124"/>
      <c r="K44" s="2124"/>
      <c r="L44" s="2124"/>
      <c r="M44" s="2124"/>
      <c r="N44" s="2124"/>
      <c r="O44" s="2124"/>
      <c r="P44" s="2124"/>
      <c r="Q44" s="2124"/>
      <c r="R44" s="2124"/>
      <c r="S44" s="2124"/>
      <c r="T44" s="2124"/>
      <c r="U44" s="2124"/>
      <c r="V44" s="2124"/>
      <c r="W44" s="2124"/>
      <c r="X44" s="2124"/>
      <c r="Y44" s="2124"/>
      <c r="Z44" s="2124"/>
      <c r="AA44" s="2124"/>
      <c r="AB44" s="2124"/>
      <c r="AC44" s="2124"/>
      <c r="AD44" s="2124"/>
      <c r="AE44" s="2124"/>
      <c r="AF44" s="2124"/>
      <c r="AG44" s="2124"/>
      <c r="AH44" s="2124"/>
      <c r="AI44" s="2124"/>
      <c r="AJ44" s="2124"/>
      <c r="AK44" s="2124"/>
      <c r="AL44" s="2124"/>
      <c r="AM44" s="2124"/>
      <c r="AN44" s="2124"/>
      <c r="AO44" s="2124"/>
      <c r="AP44" s="2124"/>
      <c r="AQ44" s="2124"/>
      <c r="AR44" s="2124"/>
      <c r="AS44" s="2124"/>
      <c r="AT44" s="2124"/>
      <c r="AU44" s="2124"/>
      <c r="AV44" s="2124"/>
      <c r="AW44" s="2124"/>
      <c r="AX44" s="802"/>
      <c r="AY44" s="1156"/>
      <c r="AZ44" s="1156"/>
      <c r="BA44" s="1156"/>
      <c r="BB44" s="1156"/>
      <c r="BC44" s="1156"/>
      <c r="BD44" s="1156"/>
      <c r="BE44" s="1156"/>
      <c r="BF44" s="1156"/>
      <c r="BG44" s="1156"/>
      <c r="BH44" s="1156"/>
      <c r="BI44" s="1157"/>
      <c r="BJ44" s="758"/>
      <c r="BL44" s="758"/>
    </row>
    <row r="45" spans="2:74" s="525" customFormat="1">
      <c r="B45" s="1154"/>
      <c r="C45" s="1155"/>
      <c r="D45" s="1155"/>
      <c r="E45" s="802"/>
      <c r="F45" s="1156"/>
      <c r="G45" s="1156"/>
      <c r="H45" s="2124"/>
      <c r="I45" s="2124"/>
      <c r="J45" s="2124"/>
      <c r="K45" s="2124"/>
      <c r="L45" s="2124"/>
      <c r="M45" s="2124"/>
      <c r="N45" s="2124"/>
      <c r="O45" s="2124"/>
      <c r="P45" s="2124"/>
      <c r="Q45" s="2124"/>
      <c r="R45" s="2124"/>
      <c r="S45" s="2124"/>
      <c r="T45" s="2124"/>
      <c r="U45" s="2124"/>
      <c r="V45" s="2124"/>
      <c r="W45" s="2124"/>
      <c r="X45" s="2124"/>
      <c r="Y45" s="2124"/>
      <c r="Z45" s="2124"/>
      <c r="AA45" s="2124"/>
      <c r="AB45" s="2124"/>
      <c r="AC45" s="2124"/>
      <c r="AD45" s="2124"/>
      <c r="AE45" s="2124"/>
      <c r="AF45" s="2124"/>
      <c r="AG45" s="2124"/>
      <c r="AH45" s="2124"/>
      <c r="AI45" s="2124"/>
      <c r="AJ45" s="2124"/>
      <c r="AK45" s="2124"/>
      <c r="AL45" s="2124"/>
      <c r="AM45" s="2124"/>
      <c r="AN45" s="2124"/>
      <c r="AO45" s="2124"/>
      <c r="AP45" s="2124"/>
      <c r="AQ45" s="2124"/>
      <c r="AR45" s="2124"/>
      <c r="AS45" s="2124"/>
      <c r="AT45" s="2124"/>
      <c r="AU45" s="2124"/>
      <c r="AV45" s="2124"/>
      <c r="AW45" s="2124"/>
      <c r="AX45" s="802"/>
      <c r="AY45" s="1156"/>
      <c r="AZ45" s="1156"/>
      <c r="BA45" s="1156"/>
      <c r="BB45" s="1156"/>
      <c r="BC45" s="1156"/>
      <c r="BD45" s="1156"/>
      <c r="BE45" s="1156"/>
      <c r="BF45" s="1156"/>
      <c r="BG45" s="1156"/>
      <c r="BH45" s="1156"/>
      <c r="BI45" s="1157"/>
      <c r="BJ45" s="758"/>
      <c r="BL45" s="758"/>
    </row>
    <row r="46" spans="2:74" s="117" customFormat="1" ht="14">
      <c r="B46" s="800"/>
      <c r="C46" s="802"/>
      <c r="D46" s="802"/>
      <c r="E46" s="802"/>
      <c r="F46" s="1158"/>
      <c r="G46" s="1158"/>
      <c r="H46" s="2125"/>
      <c r="I46" s="2125"/>
      <c r="J46" s="2125"/>
      <c r="K46" s="2125"/>
      <c r="L46" s="2125"/>
      <c r="M46" s="2125"/>
      <c r="N46" s="2125"/>
      <c r="O46" s="2125"/>
      <c r="P46" s="2125"/>
      <c r="Q46" s="2125"/>
      <c r="R46" s="2125"/>
      <c r="S46" s="2125"/>
      <c r="T46" s="2125"/>
      <c r="U46" s="2125"/>
      <c r="V46" s="2125"/>
      <c r="W46" s="2125"/>
      <c r="X46" s="2125"/>
      <c r="Y46" s="2125"/>
      <c r="Z46" s="2125"/>
      <c r="AA46" s="2125"/>
      <c r="AB46" s="2125"/>
      <c r="AC46" s="2125"/>
      <c r="AD46" s="2125"/>
      <c r="AE46" s="2125"/>
      <c r="AF46" s="2125"/>
      <c r="AG46" s="2125"/>
      <c r="AH46" s="2125"/>
      <c r="AI46" s="2125"/>
      <c r="AJ46" s="2125"/>
      <c r="AK46" s="2125"/>
      <c r="AL46" s="2125"/>
      <c r="AM46" s="2125"/>
      <c r="AN46" s="2125"/>
      <c r="AO46" s="2125"/>
      <c r="AP46" s="2125"/>
      <c r="AQ46" s="2125"/>
      <c r="AR46" s="2125"/>
      <c r="AS46" s="2125"/>
      <c r="AT46" s="2125"/>
      <c r="AU46" s="2125"/>
      <c r="AV46" s="2125"/>
      <c r="AW46" s="2125"/>
      <c r="AX46" s="802"/>
      <c r="AY46" s="1158"/>
      <c r="AZ46" s="1158"/>
      <c r="BA46" s="1158"/>
      <c r="BB46" s="1158"/>
      <c r="BC46" s="1158"/>
      <c r="BD46" s="1158"/>
      <c r="BE46" s="1158"/>
      <c r="BF46" s="1158"/>
      <c r="BG46" s="1158"/>
      <c r="BH46" s="1158"/>
      <c r="BI46" s="1159"/>
      <c r="BJ46" s="1075"/>
      <c r="BL46" s="23"/>
      <c r="BM46" s="23"/>
    </row>
    <row r="47" spans="2:74" s="570" customFormat="1" ht="17">
      <c r="B47" s="1160"/>
      <c r="C47" s="1150"/>
      <c r="D47" s="1148"/>
      <c r="E47" s="802"/>
      <c r="F47" s="1149"/>
      <c r="G47" s="1151"/>
      <c r="H47" s="2126"/>
      <c r="I47" s="2126"/>
      <c r="J47" s="2126"/>
      <c r="K47" s="2126"/>
      <c r="L47" s="2126"/>
      <c r="M47" s="2126"/>
      <c r="N47" s="2126"/>
      <c r="O47" s="2126"/>
      <c r="P47" s="2126"/>
      <c r="Q47" s="2126"/>
      <c r="R47" s="2126"/>
      <c r="S47" s="2126"/>
      <c r="T47" s="2126"/>
      <c r="U47" s="2126"/>
      <c r="V47" s="2126"/>
      <c r="W47" s="2126"/>
      <c r="X47" s="2126"/>
      <c r="Y47" s="2126"/>
      <c r="Z47" s="2126"/>
      <c r="AA47" s="2126"/>
      <c r="AB47" s="2126"/>
      <c r="AC47" s="2126"/>
      <c r="AD47" s="2126"/>
      <c r="AE47" s="2126"/>
      <c r="AF47" s="2126"/>
      <c r="AG47" s="2126"/>
      <c r="AH47" s="2126"/>
      <c r="AI47" s="2126"/>
      <c r="AJ47" s="2126"/>
      <c r="AK47" s="2126"/>
      <c r="AL47" s="2126"/>
      <c r="AM47" s="2126"/>
      <c r="AN47" s="2126"/>
      <c r="AO47" s="2126"/>
      <c r="AP47" s="2126"/>
      <c r="AQ47" s="2126"/>
      <c r="AR47" s="2126"/>
      <c r="AS47" s="2126"/>
      <c r="AT47" s="2126"/>
      <c r="AU47" s="2126"/>
      <c r="AV47" s="2126"/>
      <c r="AW47" s="2126"/>
      <c r="AX47" s="802"/>
      <c r="AY47" s="1149"/>
      <c r="AZ47" s="1149"/>
      <c r="BA47" s="1149"/>
      <c r="BB47" s="1149"/>
      <c r="BC47" s="1149"/>
      <c r="BD47" s="1149"/>
      <c r="BE47" s="1149"/>
      <c r="BF47" s="1149"/>
      <c r="BG47" s="1149"/>
      <c r="BH47" s="1149"/>
      <c r="BI47" s="1161"/>
      <c r="BJ47" s="573"/>
      <c r="BK47" s="571"/>
      <c r="BL47" s="573"/>
    </row>
    <row r="48" spans="2:74" s="242" customFormat="1" ht="14">
      <c r="B48" s="1165"/>
      <c r="C48" s="1166"/>
      <c r="D48" s="1166"/>
      <c r="E48" s="802"/>
      <c r="F48" s="1166"/>
      <c r="G48" s="1166"/>
      <c r="H48" s="2129"/>
      <c r="I48" s="2129"/>
      <c r="J48" s="2129"/>
      <c r="K48" s="2129"/>
      <c r="L48" s="2129"/>
      <c r="M48" s="2129"/>
      <c r="N48" s="2129"/>
      <c r="O48" s="2129"/>
      <c r="P48" s="2129"/>
      <c r="Q48" s="2129"/>
      <c r="R48" s="2129"/>
      <c r="S48" s="2129"/>
      <c r="T48" s="2129"/>
      <c r="U48" s="2129"/>
      <c r="V48" s="2129"/>
      <c r="W48" s="2129"/>
      <c r="X48" s="2129"/>
      <c r="Y48" s="2129"/>
      <c r="Z48" s="2129"/>
      <c r="AA48" s="2129"/>
      <c r="AB48" s="2129"/>
      <c r="AC48" s="2129"/>
      <c r="AD48" s="2129"/>
      <c r="AE48" s="2129"/>
      <c r="AF48" s="2129"/>
      <c r="AG48" s="2129"/>
      <c r="AH48" s="2129"/>
      <c r="AI48" s="2129"/>
      <c r="AJ48" s="2129"/>
      <c r="AK48" s="2129"/>
      <c r="AL48" s="2129"/>
      <c r="AM48" s="2129"/>
      <c r="AN48" s="2129"/>
      <c r="AO48" s="2129"/>
      <c r="AP48" s="2129"/>
      <c r="AQ48" s="2129"/>
      <c r="AR48" s="2129"/>
      <c r="AS48" s="2129"/>
      <c r="AT48" s="2129"/>
      <c r="AU48" s="2129"/>
      <c r="AV48" s="2129"/>
      <c r="AW48" s="2129"/>
      <c r="AX48" s="802"/>
      <c r="AY48" s="1167"/>
      <c r="AZ48" s="1167"/>
      <c r="BA48" s="1167"/>
      <c r="BB48" s="1167"/>
      <c r="BC48" s="1167"/>
      <c r="BD48" s="1167"/>
      <c r="BE48" s="1167"/>
      <c r="BF48" s="1167"/>
      <c r="BG48" s="1167"/>
      <c r="BH48" s="1167"/>
      <c r="BI48" s="1168"/>
      <c r="BJ48" s="563"/>
      <c r="BK48" s="526"/>
      <c r="BL48" s="563"/>
      <c r="BM48" s="763"/>
      <c r="BN48" s="763"/>
      <c r="BO48" s="763"/>
      <c r="BP48" s="763"/>
      <c r="BQ48" s="763"/>
      <c r="BR48" s="763"/>
      <c r="BS48" s="763"/>
      <c r="BT48" s="763"/>
      <c r="BU48" s="763"/>
      <c r="BV48" s="763"/>
    </row>
    <row r="49" spans="2:74" s="242" customFormat="1" ht="14">
      <c r="B49" s="1165"/>
      <c r="C49" s="1166"/>
      <c r="D49" s="1166"/>
      <c r="E49" s="802"/>
      <c r="F49" s="1166"/>
      <c r="G49" s="1166"/>
      <c r="H49" s="2129"/>
      <c r="I49" s="2129"/>
      <c r="J49" s="2129"/>
      <c r="K49" s="2129"/>
      <c r="L49" s="2129"/>
      <c r="M49" s="2129"/>
      <c r="N49" s="2129"/>
      <c r="O49" s="2129"/>
      <c r="P49" s="2129"/>
      <c r="Q49" s="2129"/>
      <c r="R49" s="2129"/>
      <c r="S49" s="2129"/>
      <c r="T49" s="2129"/>
      <c r="U49" s="2129"/>
      <c r="V49" s="2129"/>
      <c r="W49" s="2129"/>
      <c r="X49" s="2129"/>
      <c r="Y49" s="2129"/>
      <c r="Z49" s="2129"/>
      <c r="AA49" s="2129"/>
      <c r="AB49" s="2129"/>
      <c r="AC49" s="2129"/>
      <c r="AD49" s="2129"/>
      <c r="AE49" s="2129"/>
      <c r="AF49" s="2129"/>
      <c r="AG49" s="2129"/>
      <c r="AH49" s="2129"/>
      <c r="AI49" s="2129"/>
      <c r="AJ49" s="2129"/>
      <c r="AK49" s="2129"/>
      <c r="AL49" s="2129"/>
      <c r="AM49" s="2129"/>
      <c r="AN49" s="2129"/>
      <c r="AO49" s="2129"/>
      <c r="AP49" s="2129"/>
      <c r="AQ49" s="2129"/>
      <c r="AR49" s="2129"/>
      <c r="AS49" s="2129"/>
      <c r="AT49" s="2129"/>
      <c r="AU49" s="2129"/>
      <c r="AV49" s="2129"/>
      <c r="AW49" s="2129"/>
      <c r="AX49" s="802"/>
      <c r="AY49" s="1167"/>
      <c r="AZ49" s="1167"/>
      <c r="BA49" s="1167"/>
      <c r="BB49" s="1167"/>
      <c r="BC49" s="1167"/>
      <c r="BD49" s="1167"/>
      <c r="BE49" s="1167"/>
      <c r="BF49" s="1167"/>
      <c r="BG49" s="1167"/>
      <c r="BH49" s="1167"/>
      <c r="BI49" s="1168"/>
      <c r="BJ49" s="757"/>
      <c r="BK49" s="763"/>
      <c r="BL49" s="763"/>
      <c r="BM49" s="763"/>
      <c r="BN49" s="763"/>
      <c r="BO49" s="763"/>
      <c r="BP49" s="763"/>
      <c r="BQ49" s="763"/>
      <c r="BR49" s="763"/>
      <c r="BS49" s="763"/>
      <c r="BT49" s="763"/>
      <c r="BU49" s="763"/>
      <c r="BV49" s="763"/>
    </row>
    <row r="50" spans="2:74" s="117" customFormat="1" ht="14">
      <c r="B50" s="800"/>
      <c r="C50" s="802"/>
      <c r="D50" s="802"/>
      <c r="E50" s="802"/>
      <c r="F50" s="802"/>
      <c r="G50" s="802"/>
      <c r="H50" s="2122"/>
      <c r="I50" s="2122"/>
      <c r="J50" s="2122"/>
      <c r="K50" s="2122"/>
      <c r="L50" s="2122"/>
      <c r="M50" s="2122"/>
      <c r="N50" s="2122"/>
      <c r="O50" s="2122"/>
      <c r="P50" s="2122"/>
      <c r="Q50" s="2122"/>
      <c r="R50" s="2122"/>
      <c r="S50" s="2122"/>
      <c r="T50" s="2122"/>
      <c r="U50" s="2122"/>
      <c r="V50" s="2122"/>
      <c r="W50" s="2122"/>
      <c r="X50" s="2122"/>
      <c r="Y50" s="2122"/>
      <c r="Z50" s="2122"/>
      <c r="AA50" s="2122"/>
      <c r="AB50" s="2122"/>
      <c r="AC50" s="2122"/>
      <c r="AD50" s="2122"/>
      <c r="AE50" s="2122"/>
      <c r="AF50" s="2122"/>
      <c r="AG50" s="2122"/>
      <c r="AH50" s="2122"/>
      <c r="AI50" s="2122"/>
      <c r="AJ50" s="2122"/>
      <c r="AK50" s="2122"/>
      <c r="AL50" s="2122"/>
      <c r="AM50" s="2122"/>
      <c r="AN50" s="2122"/>
      <c r="AO50" s="2122"/>
      <c r="AP50" s="2122"/>
      <c r="AQ50" s="2122"/>
      <c r="AR50" s="2122"/>
      <c r="AS50" s="2122"/>
      <c r="AT50" s="2122"/>
      <c r="AU50" s="2122"/>
      <c r="AV50" s="2122"/>
      <c r="AW50" s="2122"/>
      <c r="AX50" s="802"/>
      <c r="AY50" s="1158"/>
      <c r="AZ50" s="1158"/>
      <c r="BA50" s="1158"/>
      <c r="BB50" s="1158"/>
      <c r="BC50" s="1158"/>
      <c r="BD50" s="1158"/>
      <c r="BE50" s="1158"/>
      <c r="BF50" s="1158"/>
      <c r="BG50" s="1158"/>
      <c r="BH50" s="1158"/>
      <c r="BI50" s="1159"/>
      <c r="BJ50" s="23"/>
    </row>
    <row r="51" spans="2:74" s="117" customFormat="1" ht="14">
      <c r="B51" s="800"/>
      <c r="C51" s="1162"/>
      <c r="D51" s="802"/>
      <c r="E51" s="802"/>
      <c r="F51" s="802"/>
      <c r="G51" s="802"/>
      <c r="H51" s="2122"/>
      <c r="I51" s="2122"/>
      <c r="J51" s="2122"/>
      <c r="K51" s="2122"/>
      <c r="L51" s="2122"/>
      <c r="M51" s="2122"/>
      <c r="N51" s="2122"/>
      <c r="O51" s="2122"/>
      <c r="P51" s="2122"/>
      <c r="Q51" s="2122"/>
      <c r="R51" s="2122"/>
      <c r="S51" s="2122"/>
      <c r="T51" s="2122"/>
      <c r="U51" s="2122"/>
      <c r="V51" s="2122"/>
      <c r="W51" s="2122"/>
      <c r="X51" s="2122"/>
      <c r="Y51" s="2122"/>
      <c r="Z51" s="2122"/>
      <c r="AA51" s="2122"/>
      <c r="AB51" s="2122"/>
      <c r="AC51" s="2122"/>
      <c r="AD51" s="2122"/>
      <c r="AE51" s="2122"/>
      <c r="AF51" s="2122"/>
      <c r="AG51" s="2122"/>
      <c r="AH51" s="2122"/>
      <c r="AI51" s="2122"/>
      <c r="AJ51" s="2122"/>
      <c r="AK51" s="2122"/>
      <c r="AL51" s="2122"/>
      <c r="AM51" s="2122"/>
      <c r="AN51" s="2122"/>
      <c r="AO51" s="2122"/>
      <c r="AP51" s="2122"/>
      <c r="AQ51" s="2122"/>
      <c r="AR51" s="2122"/>
      <c r="AS51" s="2122"/>
      <c r="AT51" s="2122"/>
      <c r="AU51" s="2122"/>
      <c r="AV51" s="2122"/>
      <c r="AW51" s="2122"/>
      <c r="AX51" s="802"/>
      <c r="AY51" s="1158"/>
      <c r="AZ51" s="1158"/>
      <c r="BA51" s="1158"/>
      <c r="BB51" s="1158"/>
      <c r="BC51" s="1158"/>
      <c r="BD51" s="1158"/>
      <c r="BE51" s="1158"/>
      <c r="BF51" s="1158"/>
      <c r="BG51" s="1158"/>
      <c r="BH51" s="1158"/>
      <c r="BI51" s="1159"/>
      <c r="BJ51" s="23"/>
    </row>
    <row r="52" spans="2:74">
      <c r="B52" s="800"/>
      <c r="C52" s="1176"/>
      <c r="D52" s="802"/>
      <c r="E52" s="802"/>
      <c r="F52" s="1156"/>
      <c r="G52" s="1156"/>
      <c r="H52" s="2124"/>
      <c r="I52" s="2124"/>
      <c r="J52" s="2124"/>
      <c r="K52" s="2124"/>
      <c r="L52" s="2124"/>
      <c r="M52" s="2124"/>
      <c r="N52" s="2124"/>
      <c r="O52" s="2124"/>
      <c r="P52" s="2124"/>
      <c r="Q52" s="2124"/>
      <c r="R52" s="2124"/>
      <c r="S52" s="2124"/>
      <c r="T52" s="2124"/>
      <c r="U52" s="2124"/>
      <c r="V52" s="2124"/>
      <c r="W52" s="2124"/>
      <c r="X52" s="2124"/>
      <c r="Y52" s="2124"/>
      <c r="Z52" s="2124"/>
      <c r="AA52" s="2124"/>
      <c r="AB52" s="2124"/>
      <c r="AC52" s="2124"/>
      <c r="AD52" s="2124"/>
      <c r="AE52" s="2124"/>
      <c r="AF52" s="2124"/>
      <c r="AG52" s="2124"/>
      <c r="AH52" s="2124"/>
      <c r="AI52" s="2124"/>
      <c r="AJ52" s="2124"/>
      <c r="AK52" s="2124"/>
      <c r="AL52" s="2124"/>
      <c r="AM52" s="2124"/>
      <c r="AN52" s="2124"/>
      <c r="AO52" s="2124"/>
      <c r="AP52" s="2124"/>
      <c r="AQ52" s="2124"/>
      <c r="AR52" s="2124"/>
      <c r="AS52" s="2124"/>
      <c r="AT52" s="2124"/>
      <c r="AU52" s="2124"/>
      <c r="AV52" s="2124"/>
      <c r="AW52" s="2124"/>
      <c r="AX52" s="802"/>
      <c r="AY52" s="1158"/>
      <c r="AZ52" s="1158"/>
      <c r="BA52" s="1158"/>
      <c r="BB52" s="1158"/>
      <c r="BC52" s="1158"/>
      <c r="BD52" s="1158"/>
      <c r="BE52" s="1158"/>
      <c r="BF52" s="1158"/>
      <c r="BG52" s="1158"/>
      <c r="BH52" s="1158"/>
      <c r="BI52" s="1159"/>
      <c r="BJ52" s="23"/>
    </row>
    <row r="53" spans="2:74">
      <c r="B53" s="800"/>
      <c r="C53" s="1176"/>
      <c r="D53" s="802"/>
      <c r="E53" s="802"/>
      <c r="F53" s="1156"/>
      <c r="G53" s="1156"/>
      <c r="H53" s="2124"/>
      <c r="I53" s="2124"/>
      <c r="J53" s="2124"/>
      <c r="K53" s="2124"/>
      <c r="L53" s="2124"/>
      <c r="M53" s="2124"/>
      <c r="N53" s="2124"/>
      <c r="O53" s="2124"/>
      <c r="P53" s="2124"/>
      <c r="Q53" s="2124"/>
      <c r="R53" s="2124"/>
      <c r="S53" s="2124"/>
      <c r="T53" s="2124"/>
      <c r="U53" s="2124"/>
      <c r="V53" s="2124"/>
      <c r="W53" s="2124"/>
      <c r="X53" s="2124"/>
      <c r="Y53" s="2124"/>
      <c r="Z53" s="2124"/>
      <c r="AA53" s="2124"/>
      <c r="AB53" s="2124"/>
      <c r="AC53" s="2124"/>
      <c r="AD53" s="2124"/>
      <c r="AE53" s="2124"/>
      <c r="AF53" s="2124"/>
      <c r="AG53" s="2124"/>
      <c r="AH53" s="2124"/>
      <c r="AI53" s="2124"/>
      <c r="AJ53" s="2124"/>
      <c r="AK53" s="2124"/>
      <c r="AL53" s="2124"/>
      <c r="AM53" s="2124"/>
      <c r="AN53" s="2124"/>
      <c r="AO53" s="2124"/>
      <c r="AP53" s="2124"/>
      <c r="AQ53" s="2124"/>
      <c r="AR53" s="2124"/>
      <c r="AS53" s="2124"/>
      <c r="AT53" s="2124"/>
      <c r="AU53" s="2124"/>
      <c r="AV53" s="2124"/>
      <c r="AW53" s="2124"/>
      <c r="AX53" s="802"/>
      <c r="AY53" s="1158"/>
      <c r="AZ53" s="1158"/>
      <c r="BA53" s="1158"/>
      <c r="BB53" s="1158"/>
      <c r="BC53" s="1158"/>
      <c r="BD53" s="1158"/>
      <c r="BE53" s="1158"/>
      <c r="BF53" s="1158"/>
      <c r="BG53" s="1158"/>
      <c r="BH53" s="1158"/>
      <c r="BI53" s="1159"/>
      <c r="BJ53" s="23"/>
    </row>
    <row r="54" spans="2:74" s="528" customFormat="1" ht="17">
      <c r="B54" s="1169"/>
      <c r="C54" s="541"/>
      <c r="D54" s="1148"/>
      <c r="E54" s="802"/>
      <c r="F54" s="1149"/>
      <c r="G54" s="1151"/>
      <c r="H54" s="2126"/>
      <c r="I54" s="2126"/>
      <c r="J54" s="2126"/>
      <c r="K54" s="2126"/>
      <c r="L54" s="2126"/>
      <c r="M54" s="2126"/>
      <c r="N54" s="2126"/>
      <c r="O54" s="2126"/>
      <c r="P54" s="2126"/>
      <c r="Q54" s="2126"/>
      <c r="R54" s="2126"/>
      <c r="S54" s="2126"/>
      <c r="T54" s="2126"/>
      <c r="U54" s="2126"/>
      <c r="V54" s="2126"/>
      <c r="W54" s="2126"/>
      <c r="X54" s="2126"/>
      <c r="Y54" s="2126"/>
      <c r="Z54" s="2126"/>
      <c r="AA54" s="2126"/>
      <c r="AB54" s="2126"/>
      <c r="AC54" s="2126"/>
      <c r="AD54" s="2126"/>
      <c r="AE54" s="2126"/>
      <c r="AF54" s="2126"/>
      <c r="AG54" s="2126"/>
      <c r="AH54" s="2126"/>
      <c r="AI54" s="2126"/>
      <c r="AJ54" s="2126"/>
      <c r="AK54" s="2126"/>
      <c r="AL54" s="2126"/>
      <c r="AM54" s="2126"/>
      <c r="AN54" s="2126"/>
      <c r="AO54" s="2126"/>
      <c r="AP54" s="2126"/>
      <c r="AQ54" s="2126"/>
      <c r="AR54" s="2126"/>
      <c r="AS54" s="2126"/>
      <c r="AT54" s="2126"/>
      <c r="AU54" s="2126"/>
      <c r="AV54" s="2126"/>
      <c r="AW54" s="2126"/>
      <c r="AX54" s="802"/>
      <c r="AY54" s="1149"/>
      <c r="AZ54" s="1149"/>
      <c r="BA54" s="1149"/>
      <c r="BB54" s="1149"/>
      <c r="BC54" s="1149"/>
      <c r="BD54" s="1149"/>
      <c r="BE54" s="1149"/>
      <c r="BF54" s="1149"/>
      <c r="BG54" s="1149"/>
      <c r="BH54" s="1149"/>
      <c r="BI54" s="1170"/>
      <c r="BJ54" s="574"/>
    </row>
    <row r="55" spans="2:74" s="117" customFormat="1" ht="14">
      <c r="B55" s="800"/>
      <c r="C55" s="802"/>
      <c r="D55" s="802"/>
      <c r="E55" s="802"/>
      <c r="F55" s="802"/>
      <c r="G55" s="802"/>
      <c r="H55" s="2122"/>
      <c r="I55" s="2122"/>
      <c r="J55" s="2122"/>
      <c r="K55" s="2122"/>
      <c r="L55" s="2122"/>
      <c r="M55" s="2122"/>
      <c r="N55" s="2122"/>
      <c r="O55" s="2122"/>
      <c r="P55" s="2122"/>
      <c r="Q55" s="2122"/>
      <c r="R55" s="2122"/>
      <c r="S55" s="2122"/>
      <c r="T55" s="2122"/>
      <c r="U55" s="2122"/>
      <c r="V55" s="2122"/>
      <c r="W55" s="2122"/>
      <c r="X55" s="2122"/>
      <c r="Y55" s="2122"/>
      <c r="Z55" s="2122"/>
      <c r="AA55" s="2122"/>
      <c r="AB55" s="2122"/>
      <c r="AC55" s="2122"/>
      <c r="AD55" s="2122"/>
      <c r="AE55" s="2122"/>
      <c r="AF55" s="2122"/>
      <c r="AG55" s="2122"/>
      <c r="AH55" s="2122"/>
      <c r="AI55" s="2122"/>
      <c r="AJ55" s="2122"/>
      <c r="AK55" s="2122"/>
      <c r="AL55" s="2122"/>
      <c r="AM55" s="2122"/>
      <c r="AN55" s="2122"/>
      <c r="AO55" s="2122"/>
      <c r="AP55" s="2122"/>
      <c r="AQ55" s="2122"/>
      <c r="AR55" s="2122"/>
      <c r="AS55" s="2122"/>
      <c r="AT55" s="2122"/>
      <c r="AU55" s="2122"/>
      <c r="AV55" s="2122"/>
      <c r="AW55" s="2122"/>
      <c r="AX55" s="802"/>
      <c r="AY55" s="1158"/>
      <c r="AZ55" s="1158"/>
      <c r="BA55" s="1158"/>
      <c r="BB55" s="1158"/>
      <c r="BC55" s="1158"/>
      <c r="BD55" s="1158"/>
      <c r="BE55" s="1158"/>
      <c r="BF55" s="1158"/>
      <c r="BG55" s="1158"/>
      <c r="BH55" s="1158"/>
      <c r="BI55" s="1159"/>
      <c r="BJ55" s="23"/>
    </row>
    <row r="56" spans="2:74" s="117" customFormat="1" ht="14">
      <c r="B56" s="800"/>
      <c r="C56" s="1162"/>
      <c r="D56" s="802"/>
      <c r="E56" s="802"/>
      <c r="F56" s="802"/>
      <c r="G56" s="802"/>
      <c r="H56" s="2122"/>
      <c r="I56" s="2122"/>
      <c r="J56" s="2122"/>
      <c r="K56" s="2122"/>
      <c r="L56" s="2122"/>
      <c r="M56" s="2122"/>
      <c r="N56" s="2122"/>
      <c r="O56" s="2122"/>
      <c r="P56" s="2122"/>
      <c r="Q56" s="2122"/>
      <c r="R56" s="2122"/>
      <c r="S56" s="2122"/>
      <c r="T56" s="2122"/>
      <c r="U56" s="2122"/>
      <c r="V56" s="2122"/>
      <c r="W56" s="2122"/>
      <c r="X56" s="2122"/>
      <c r="Y56" s="2122"/>
      <c r="Z56" s="2122"/>
      <c r="AA56" s="2122"/>
      <c r="AB56" s="2122"/>
      <c r="AC56" s="2122"/>
      <c r="AD56" s="2122"/>
      <c r="AE56" s="2122"/>
      <c r="AF56" s="2122"/>
      <c r="AG56" s="2122"/>
      <c r="AH56" s="2122"/>
      <c r="AI56" s="2122"/>
      <c r="AJ56" s="2122"/>
      <c r="AK56" s="2122"/>
      <c r="AL56" s="2122"/>
      <c r="AM56" s="2122"/>
      <c r="AN56" s="2122"/>
      <c r="AO56" s="2122"/>
      <c r="AP56" s="2122"/>
      <c r="AQ56" s="2122"/>
      <c r="AR56" s="2122"/>
      <c r="AS56" s="2122"/>
      <c r="AT56" s="2122"/>
      <c r="AU56" s="2122"/>
      <c r="AV56" s="2122"/>
      <c r="AW56" s="2122"/>
      <c r="AX56" s="802"/>
      <c r="AY56" s="1158"/>
      <c r="AZ56" s="1158"/>
      <c r="BA56" s="1158"/>
      <c r="BB56" s="1158"/>
      <c r="BC56" s="1158"/>
      <c r="BD56" s="1158"/>
      <c r="BE56" s="1158"/>
      <c r="BF56" s="1158"/>
      <c r="BG56" s="1158"/>
      <c r="BH56" s="1158"/>
      <c r="BI56" s="1159"/>
      <c r="BJ56" s="23"/>
    </row>
    <row r="57" spans="2:74" s="117" customFormat="1" ht="14">
      <c r="B57" s="800"/>
      <c r="C57" s="802"/>
      <c r="D57" s="802"/>
      <c r="E57" s="802"/>
      <c r="F57" s="802"/>
      <c r="G57" s="802"/>
      <c r="H57" s="2122"/>
      <c r="I57" s="2122"/>
      <c r="J57" s="2122"/>
      <c r="K57" s="2122"/>
      <c r="L57" s="2122"/>
      <c r="M57" s="2122"/>
      <c r="N57" s="2122"/>
      <c r="O57" s="2122"/>
      <c r="P57" s="2122"/>
      <c r="Q57" s="2122"/>
      <c r="R57" s="2122"/>
      <c r="S57" s="2122"/>
      <c r="T57" s="2122"/>
      <c r="U57" s="2122"/>
      <c r="V57" s="2122"/>
      <c r="W57" s="2122"/>
      <c r="X57" s="2122"/>
      <c r="Y57" s="2122"/>
      <c r="Z57" s="2122"/>
      <c r="AA57" s="2122"/>
      <c r="AB57" s="2122"/>
      <c r="AC57" s="2122"/>
      <c r="AD57" s="2122"/>
      <c r="AE57" s="2122"/>
      <c r="AF57" s="2122"/>
      <c r="AG57" s="2122"/>
      <c r="AH57" s="2122"/>
      <c r="AI57" s="2122"/>
      <c r="AJ57" s="2122"/>
      <c r="AK57" s="2122"/>
      <c r="AL57" s="2122"/>
      <c r="AM57" s="2122"/>
      <c r="AN57" s="2122"/>
      <c r="AO57" s="2122"/>
      <c r="AP57" s="2122"/>
      <c r="AQ57" s="2122"/>
      <c r="AR57" s="2122"/>
      <c r="AS57" s="2122"/>
      <c r="AT57" s="2122"/>
      <c r="AU57" s="2122"/>
      <c r="AV57" s="2122"/>
      <c r="AW57" s="2122"/>
      <c r="AX57" s="802"/>
      <c r="AY57" s="1158"/>
      <c r="AZ57" s="1158"/>
      <c r="BA57" s="1158"/>
      <c r="BB57" s="1158"/>
      <c r="BC57" s="1158"/>
      <c r="BD57" s="1158"/>
      <c r="BE57" s="1158"/>
      <c r="BF57" s="1158"/>
      <c r="BG57" s="1158"/>
      <c r="BH57" s="1158"/>
      <c r="BI57" s="1159"/>
      <c r="BJ57" s="23"/>
    </row>
    <row r="58" spans="2:74" s="117" customFormat="1">
      <c r="B58" s="800"/>
      <c r="C58" s="1176"/>
      <c r="D58" s="802"/>
      <c r="E58" s="802"/>
      <c r="F58" s="1156"/>
      <c r="G58" s="1156"/>
      <c r="H58" s="2124"/>
      <c r="I58" s="2124"/>
      <c r="J58" s="2124"/>
      <c r="K58" s="2124"/>
      <c r="L58" s="2124"/>
      <c r="M58" s="2124"/>
      <c r="N58" s="2124"/>
      <c r="O58" s="2124"/>
      <c r="P58" s="2124"/>
      <c r="Q58" s="2124"/>
      <c r="R58" s="2124"/>
      <c r="S58" s="2124"/>
      <c r="T58" s="2124"/>
      <c r="U58" s="2124"/>
      <c r="V58" s="2124"/>
      <c r="W58" s="2124"/>
      <c r="X58" s="2124"/>
      <c r="Y58" s="2124"/>
      <c r="Z58" s="2124"/>
      <c r="AA58" s="2124"/>
      <c r="AB58" s="2124"/>
      <c r="AC58" s="2124"/>
      <c r="AD58" s="2124"/>
      <c r="AE58" s="2124"/>
      <c r="AF58" s="2124"/>
      <c r="AG58" s="2124"/>
      <c r="AH58" s="2124"/>
      <c r="AI58" s="2124"/>
      <c r="AJ58" s="2124"/>
      <c r="AK58" s="2124"/>
      <c r="AL58" s="2124"/>
      <c r="AM58" s="2124"/>
      <c r="AN58" s="2124"/>
      <c r="AO58" s="2124"/>
      <c r="AP58" s="2124"/>
      <c r="AQ58" s="2124"/>
      <c r="AR58" s="2124"/>
      <c r="AS58" s="2124"/>
      <c r="AT58" s="2124"/>
      <c r="AU58" s="2124"/>
      <c r="AV58" s="2124"/>
      <c r="AW58" s="2124"/>
      <c r="AX58" s="802"/>
      <c r="AY58" s="1158"/>
      <c r="AZ58" s="1158"/>
      <c r="BA58" s="1158"/>
      <c r="BB58" s="1158"/>
      <c r="BC58" s="1158"/>
      <c r="BD58" s="1158"/>
      <c r="BE58" s="1158"/>
      <c r="BF58" s="1158"/>
      <c r="BG58" s="1158"/>
      <c r="BH58" s="1158"/>
      <c r="BI58" s="1159"/>
      <c r="BJ58" s="23"/>
    </row>
    <row r="59" spans="2:74" s="117" customFormat="1">
      <c r="B59" s="800"/>
      <c r="C59" s="1176"/>
      <c r="D59" s="802"/>
      <c r="E59" s="802"/>
      <c r="F59" s="1156"/>
      <c r="G59" s="1156"/>
      <c r="H59" s="2124"/>
      <c r="I59" s="2124"/>
      <c r="J59" s="2124"/>
      <c r="K59" s="2124"/>
      <c r="L59" s="2124"/>
      <c r="M59" s="2124"/>
      <c r="N59" s="2124"/>
      <c r="O59" s="2124"/>
      <c r="P59" s="2124"/>
      <c r="Q59" s="2124"/>
      <c r="R59" s="2124"/>
      <c r="S59" s="2124"/>
      <c r="T59" s="2124"/>
      <c r="U59" s="2124"/>
      <c r="V59" s="2124"/>
      <c r="W59" s="2124"/>
      <c r="X59" s="2124"/>
      <c r="Y59" s="2124"/>
      <c r="Z59" s="2124"/>
      <c r="AA59" s="2124"/>
      <c r="AB59" s="2124"/>
      <c r="AC59" s="2124"/>
      <c r="AD59" s="2124"/>
      <c r="AE59" s="2124"/>
      <c r="AF59" s="2124"/>
      <c r="AG59" s="2124"/>
      <c r="AH59" s="2124"/>
      <c r="AI59" s="2124"/>
      <c r="AJ59" s="2124"/>
      <c r="AK59" s="2124"/>
      <c r="AL59" s="2124"/>
      <c r="AM59" s="2124"/>
      <c r="AN59" s="2124"/>
      <c r="AO59" s="2124"/>
      <c r="AP59" s="2124"/>
      <c r="AQ59" s="2124"/>
      <c r="AR59" s="2124"/>
      <c r="AS59" s="2124"/>
      <c r="AT59" s="2124"/>
      <c r="AU59" s="2124"/>
      <c r="AV59" s="2124"/>
      <c r="AW59" s="2124"/>
      <c r="AX59" s="802"/>
      <c r="AY59" s="1158"/>
      <c r="AZ59" s="1158"/>
      <c r="BA59" s="1158"/>
      <c r="BB59" s="1158"/>
      <c r="BC59" s="1158"/>
      <c r="BD59" s="1158"/>
      <c r="BE59" s="1158"/>
      <c r="BF59" s="1158"/>
      <c r="BG59" s="1158"/>
      <c r="BH59" s="1158"/>
      <c r="BI59" s="1159"/>
      <c r="BJ59" s="23"/>
    </row>
    <row r="60" spans="2:74" s="117" customFormat="1">
      <c r="B60" s="800"/>
      <c r="C60" s="1176"/>
      <c r="D60" s="802"/>
      <c r="E60" s="802"/>
      <c r="F60" s="1156"/>
      <c r="G60" s="1156"/>
      <c r="H60" s="2124"/>
      <c r="I60" s="2124"/>
      <c r="J60" s="2124"/>
      <c r="K60" s="2124"/>
      <c r="L60" s="2124"/>
      <c r="M60" s="2124"/>
      <c r="N60" s="2124"/>
      <c r="O60" s="2124"/>
      <c r="P60" s="2124"/>
      <c r="Q60" s="2124"/>
      <c r="R60" s="2124"/>
      <c r="S60" s="2124"/>
      <c r="T60" s="2124"/>
      <c r="U60" s="2124"/>
      <c r="V60" s="2124"/>
      <c r="W60" s="2124"/>
      <c r="X60" s="2124"/>
      <c r="Y60" s="2124"/>
      <c r="Z60" s="2124"/>
      <c r="AA60" s="2124"/>
      <c r="AB60" s="2124"/>
      <c r="AC60" s="2124"/>
      <c r="AD60" s="2124"/>
      <c r="AE60" s="2124"/>
      <c r="AF60" s="2124"/>
      <c r="AG60" s="2124"/>
      <c r="AH60" s="2124"/>
      <c r="AI60" s="2124"/>
      <c r="AJ60" s="2124"/>
      <c r="AK60" s="2124"/>
      <c r="AL60" s="2124"/>
      <c r="AM60" s="2124"/>
      <c r="AN60" s="2124"/>
      <c r="AO60" s="2124"/>
      <c r="AP60" s="2124"/>
      <c r="AQ60" s="2124"/>
      <c r="AR60" s="2124"/>
      <c r="AS60" s="2124"/>
      <c r="AT60" s="2124"/>
      <c r="AU60" s="2124"/>
      <c r="AV60" s="2124"/>
      <c r="AW60" s="2124"/>
      <c r="AX60" s="802"/>
      <c r="AY60" s="1158"/>
      <c r="AZ60" s="1158"/>
      <c r="BA60" s="1158"/>
      <c r="BB60" s="1158"/>
      <c r="BC60" s="1158"/>
      <c r="BD60" s="1158"/>
      <c r="BE60" s="1158"/>
      <c r="BF60" s="1158"/>
      <c r="BG60" s="1158"/>
      <c r="BH60" s="1158"/>
      <c r="BI60" s="1159"/>
      <c r="BJ60" s="23"/>
    </row>
    <row r="61" spans="2:74" s="117" customFormat="1">
      <c r="B61" s="800"/>
      <c r="C61" s="1176"/>
      <c r="D61" s="802"/>
      <c r="E61" s="802"/>
      <c r="F61" s="1156"/>
      <c r="G61" s="1156"/>
      <c r="H61" s="2124"/>
      <c r="I61" s="2124"/>
      <c r="J61" s="2124"/>
      <c r="K61" s="2124"/>
      <c r="L61" s="2124"/>
      <c r="M61" s="2124"/>
      <c r="N61" s="2124"/>
      <c r="O61" s="2124"/>
      <c r="P61" s="2124"/>
      <c r="Q61" s="2124"/>
      <c r="R61" s="2124"/>
      <c r="S61" s="2124"/>
      <c r="T61" s="2124"/>
      <c r="U61" s="2124"/>
      <c r="V61" s="2124"/>
      <c r="W61" s="2124"/>
      <c r="X61" s="2124"/>
      <c r="Y61" s="2124"/>
      <c r="Z61" s="2124"/>
      <c r="AA61" s="2124"/>
      <c r="AB61" s="2124"/>
      <c r="AC61" s="2124"/>
      <c r="AD61" s="2124"/>
      <c r="AE61" s="2124"/>
      <c r="AF61" s="2124"/>
      <c r="AG61" s="2124"/>
      <c r="AH61" s="2124"/>
      <c r="AI61" s="2124"/>
      <c r="AJ61" s="2124"/>
      <c r="AK61" s="2124"/>
      <c r="AL61" s="2124"/>
      <c r="AM61" s="2124"/>
      <c r="AN61" s="2124"/>
      <c r="AO61" s="2124"/>
      <c r="AP61" s="2124"/>
      <c r="AQ61" s="2124"/>
      <c r="AR61" s="2124"/>
      <c r="AS61" s="2124"/>
      <c r="AT61" s="2124"/>
      <c r="AU61" s="2124"/>
      <c r="AV61" s="2124"/>
      <c r="AW61" s="2124"/>
      <c r="AX61" s="802"/>
      <c r="AY61" s="1158"/>
      <c r="AZ61" s="1158"/>
      <c r="BA61" s="1158"/>
      <c r="BB61" s="1158"/>
      <c r="BC61" s="1158"/>
      <c r="BD61" s="1158"/>
      <c r="BE61" s="1158"/>
      <c r="BF61" s="1158"/>
      <c r="BG61" s="1158"/>
      <c r="BH61" s="1158"/>
      <c r="BI61" s="1159"/>
      <c r="BJ61" s="23"/>
    </row>
    <row r="62" spans="2:74" s="117" customFormat="1">
      <c r="B62" s="800"/>
      <c r="C62" s="1176"/>
      <c r="D62" s="802"/>
      <c r="E62" s="802"/>
      <c r="F62" s="1156"/>
      <c r="G62" s="1156"/>
      <c r="H62" s="2124"/>
      <c r="I62" s="2124"/>
      <c r="J62" s="2124"/>
      <c r="K62" s="2124"/>
      <c r="L62" s="2124"/>
      <c r="M62" s="2124"/>
      <c r="N62" s="2124"/>
      <c r="O62" s="2124"/>
      <c r="P62" s="2124"/>
      <c r="Q62" s="2124"/>
      <c r="R62" s="2124"/>
      <c r="S62" s="2124"/>
      <c r="T62" s="2124"/>
      <c r="U62" s="2124"/>
      <c r="V62" s="2124"/>
      <c r="W62" s="2124"/>
      <c r="X62" s="2124"/>
      <c r="Y62" s="2124"/>
      <c r="Z62" s="2124"/>
      <c r="AA62" s="2124"/>
      <c r="AB62" s="2124"/>
      <c r="AC62" s="2124"/>
      <c r="AD62" s="2124"/>
      <c r="AE62" s="2124"/>
      <c r="AF62" s="2124"/>
      <c r="AG62" s="2124"/>
      <c r="AH62" s="2124"/>
      <c r="AI62" s="2124"/>
      <c r="AJ62" s="2124"/>
      <c r="AK62" s="2124"/>
      <c r="AL62" s="2124"/>
      <c r="AM62" s="2124"/>
      <c r="AN62" s="2124"/>
      <c r="AO62" s="2124"/>
      <c r="AP62" s="2124"/>
      <c r="AQ62" s="2124"/>
      <c r="AR62" s="2124"/>
      <c r="AS62" s="2124"/>
      <c r="AT62" s="2124"/>
      <c r="AU62" s="2124"/>
      <c r="AV62" s="2124"/>
      <c r="AW62" s="2124"/>
      <c r="AX62" s="802"/>
      <c r="AY62" s="1158"/>
      <c r="AZ62" s="1158"/>
      <c r="BA62" s="1158"/>
      <c r="BB62" s="1158"/>
      <c r="BC62" s="1158"/>
      <c r="BD62" s="1158"/>
      <c r="BE62" s="1158"/>
      <c r="BF62" s="1158"/>
      <c r="BG62" s="1158"/>
      <c r="BH62" s="1158"/>
      <c r="BI62" s="1159"/>
      <c r="BJ62" s="23"/>
    </row>
    <row r="63" spans="2:74" s="117" customFormat="1">
      <c r="B63" s="800"/>
      <c r="C63" s="1176"/>
      <c r="D63" s="802"/>
      <c r="E63" s="802"/>
      <c r="F63" s="1156"/>
      <c r="G63" s="1156"/>
      <c r="H63" s="2124"/>
      <c r="I63" s="2124"/>
      <c r="J63" s="2124"/>
      <c r="K63" s="2124"/>
      <c r="L63" s="2124"/>
      <c r="M63" s="2124"/>
      <c r="N63" s="2124"/>
      <c r="O63" s="2124"/>
      <c r="P63" s="2124"/>
      <c r="Q63" s="2124"/>
      <c r="R63" s="2124"/>
      <c r="S63" s="2124"/>
      <c r="T63" s="2124"/>
      <c r="U63" s="2124"/>
      <c r="V63" s="2124"/>
      <c r="W63" s="2124"/>
      <c r="X63" s="2124"/>
      <c r="Y63" s="2124"/>
      <c r="Z63" s="2124"/>
      <c r="AA63" s="2124"/>
      <c r="AB63" s="2124"/>
      <c r="AC63" s="2124"/>
      <c r="AD63" s="2124"/>
      <c r="AE63" s="2124"/>
      <c r="AF63" s="2124"/>
      <c r="AG63" s="2124"/>
      <c r="AH63" s="2124"/>
      <c r="AI63" s="2124"/>
      <c r="AJ63" s="2124"/>
      <c r="AK63" s="2124"/>
      <c r="AL63" s="2124"/>
      <c r="AM63" s="2124"/>
      <c r="AN63" s="2124"/>
      <c r="AO63" s="2124"/>
      <c r="AP63" s="2124"/>
      <c r="AQ63" s="2124"/>
      <c r="AR63" s="2124"/>
      <c r="AS63" s="2124"/>
      <c r="AT63" s="2124"/>
      <c r="AU63" s="2124"/>
      <c r="AV63" s="2124"/>
      <c r="AW63" s="2124"/>
      <c r="AX63" s="802"/>
      <c r="AY63" s="1158"/>
      <c r="AZ63" s="1158"/>
      <c r="BA63" s="1158"/>
      <c r="BB63" s="1158"/>
      <c r="BC63" s="1158"/>
      <c r="BD63" s="1158"/>
      <c r="BE63" s="1158"/>
      <c r="BF63" s="1158"/>
      <c r="BG63" s="1158"/>
      <c r="BH63" s="1158"/>
      <c r="BI63" s="1159"/>
      <c r="BJ63" s="23"/>
    </row>
    <row r="64" spans="2:74" s="117" customFormat="1">
      <c r="B64" s="800"/>
      <c r="C64" s="1176"/>
      <c r="D64" s="802"/>
      <c r="E64" s="802"/>
      <c r="F64" s="1156"/>
      <c r="G64" s="1156"/>
      <c r="H64" s="2124"/>
      <c r="I64" s="2124"/>
      <c r="J64" s="2124"/>
      <c r="K64" s="2124"/>
      <c r="L64" s="2124"/>
      <c r="M64" s="2124"/>
      <c r="N64" s="2124"/>
      <c r="O64" s="2124"/>
      <c r="P64" s="2124"/>
      <c r="Q64" s="2124"/>
      <c r="R64" s="2124"/>
      <c r="S64" s="2124"/>
      <c r="T64" s="2124"/>
      <c r="U64" s="2124"/>
      <c r="V64" s="2124"/>
      <c r="W64" s="2124"/>
      <c r="X64" s="2124"/>
      <c r="Y64" s="2124"/>
      <c r="Z64" s="2124"/>
      <c r="AA64" s="2124"/>
      <c r="AB64" s="2124"/>
      <c r="AC64" s="2124"/>
      <c r="AD64" s="2124"/>
      <c r="AE64" s="2124"/>
      <c r="AF64" s="2124"/>
      <c r="AG64" s="2124"/>
      <c r="AH64" s="2124"/>
      <c r="AI64" s="2124"/>
      <c r="AJ64" s="2124"/>
      <c r="AK64" s="2124"/>
      <c r="AL64" s="2124"/>
      <c r="AM64" s="2124"/>
      <c r="AN64" s="2124"/>
      <c r="AO64" s="2124"/>
      <c r="AP64" s="2124"/>
      <c r="AQ64" s="2124"/>
      <c r="AR64" s="2124"/>
      <c r="AS64" s="2124"/>
      <c r="AT64" s="2124"/>
      <c r="AU64" s="2124"/>
      <c r="AV64" s="2124"/>
      <c r="AW64" s="2124"/>
      <c r="AX64" s="802"/>
      <c r="AY64" s="1158"/>
      <c r="AZ64" s="1158"/>
      <c r="BA64" s="1158"/>
      <c r="BB64" s="1158"/>
      <c r="BC64" s="1158"/>
      <c r="BD64" s="1158"/>
      <c r="BE64" s="1158"/>
      <c r="BF64" s="1158"/>
      <c r="BG64" s="1158"/>
      <c r="BH64" s="1158"/>
      <c r="BI64" s="1159"/>
      <c r="BJ64" s="23"/>
    </row>
    <row r="65" spans="1:62">
      <c r="B65" s="800"/>
      <c r="C65" s="1176"/>
      <c r="D65" s="802"/>
      <c r="E65" s="802"/>
      <c r="F65" s="1156"/>
      <c r="G65" s="1156"/>
      <c r="H65" s="2124"/>
      <c r="I65" s="2124"/>
      <c r="J65" s="2124"/>
      <c r="K65" s="2124"/>
      <c r="L65" s="2124"/>
      <c r="M65" s="2124"/>
      <c r="N65" s="2124"/>
      <c r="O65" s="2124"/>
      <c r="P65" s="2124"/>
      <c r="Q65" s="2124"/>
      <c r="R65" s="2124"/>
      <c r="S65" s="2124"/>
      <c r="T65" s="2124"/>
      <c r="U65" s="2124"/>
      <c r="V65" s="2124"/>
      <c r="W65" s="2124"/>
      <c r="X65" s="2124"/>
      <c r="Y65" s="2124"/>
      <c r="Z65" s="2124"/>
      <c r="AA65" s="2124"/>
      <c r="AB65" s="2124"/>
      <c r="AC65" s="2124"/>
      <c r="AD65" s="2124"/>
      <c r="AE65" s="2124"/>
      <c r="AF65" s="2124"/>
      <c r="AG65" s="2124"/>
      <c r="AH65" s="2124"/>
      <c r="AI65" s="2124"/>
      <c r="AJ65" s="2124"/>
      <c r="AK65" s="2124"/>
      <c r="AL65" s="2124"/>
      <c r="AM65" s="2124"/>
      <c r="AN65" s="2124"/>
      <c r="AO65" s="2124"/>
      <c r="AP65" s="2124"/>
      <c r="AQ65" s="2124"/>
      <c r="AR65" s="2124"/>
      <c r="AS65" s="2124"/>
      <c r="AT65" s="2124"/>
      <c r="AU65" s="2124"/>
      <c r="AV65" s="2124"/>
      <c r="AW65" s="2124"/>
      <c r="AX65" s="802"/>
      <c r="AY65" s="1158"/>
      <c r="AZ65" s="1158"/>
      <c r="BA65" s="1158"/>
      <c r="BB65" s="1158"/>
      <c r="BC65" s="1158"/>
      <c r="BD65" s="1158"/>
      <c r="BE65" s="1158"/>
      <c r="BF65" s="1158"/>
      <c r="BG65" s="1158"/>
      <c r="BH65" s="1158"/>
      <c r="BI65" s="1159"/>
      <c r="BJ65" s="23"/>
    </row>
    <row r="66" spans="1:62">
      <c r="B66" s="800"/>
      <c r="C66" s="1176"/>
      <c r="D66" s="802"/>
      <c r="E66" s="802"/>
      <c r="F66" s="1156"/>
      <c r="G66" s="1156"/>
      <c r="H66" s="2124"/>
      <c r="I66" s="2124"/>
      <c r="J66" s="2124"/>
      <c r="K66" s="2124"/>
      <c r="L66" s="2124"/>
      <c r="M66" s="2124"/>
      <c r="N66" s="2124"/>
      <c r="O66" s="2124"/>
      <c r="P66" s="2124"/>
      <c r="Q66" s="2124"/>
      <c r="R66" s="2124"/>
      <c r="S66" s="2124"/>
      <c r="T66" s="2124"/>
      <c r="U66" s="2124"/>
      <c r="V66" s="2124"/>
      <c r="W66" s="2124"/>
      <c r="X66" s="2124"/>
      <c r="Y66" s="2124"/>
      <c r="Z66" s="2124"/>
      <c r="AA66" s="2124"/>
      <c r="AB66" s="2124"/>
      <c r="AC66" s="2124"/>
      <c r="AD66" s="2124"/>
      <c r="AE66" s="2124"/>
      <c r="AF66" s="2124"/>
      <c r="AG66" s="2124"/>
      <c r="AH66" s="2124"/>
      <c r="AI66" s="2124"/>
      <c r="AJ66" s="2124"/>
      <c r="AK66" s="2124"/>
      <c r="AL66" s="2124"/>
      <c r="AM66" s="2124"/>
      <c r="AN66" s="2124"/>
      <c r="AO66" s="2124"/>
      <c r="AP66" s="2124"/>
      <c r="AQ66" s="2124"/>
      <c r="AR66" s="2124"/>
      <c r="AS66" s="2124"/>
      <c r="AT66" s="2124"/>
      <c r="AU66" s="2124"/>
      <c r="AV66" s="2124"/>
      <c r="AW66" s="2124"/>
      <c r="AX66" s="802"/>
      <c r="AY66" s="1158"/>
      <c r="AZ66" s="1158"/>
      <c r="BA66" s="1158"/>
      <c r="BB66" s="1158"/>
      <c r="BC66" s="1158"/>
      <c r="BD66" s="1158"/>
      <c r="BE66" s="1158"/>
      <c r="BF66" s="1158"/>
      <c r="BG66" s="1158"/>
      <c r="BH66" s="1158"/>
      <c r="BI66" s="1159"/>
      <c r="BJ66" s="23"/>
    </row>
    <row r="67" spans="1:62">
      <c r="B67" s="800"/>
      <c r="C67" s="1176"/>
      <c r="D67" s="802"/>
      <c r="E67" s="802"/>
      <c r="F67" s="1156"/>
      <c r="G67" s="1156"/>
      <c r="H67" s="2124"/>
      <c r="I67" s="2124"/>
      <c r="J67" s="2124"/>
      <c r="K67" s="2124"/>
      <c r="L67" s="2124"/>
      <c r="M67" s="2124"/>
      <c r="N67" s="2124"/>
      <c r="O67" s="2124"/>
      <c r="P67" s="2124"/>
      <c r="Q67" s="2124"/>
      <c r="R67" s="2124"/>
      <c r="S67" s="2124"/>
      <c r="T67" s="2124"/>
      <c r="U67" s="2124"/>
      <c r="V67" s="2124"/>
      <c r="W67" s="2124"/>
      <c r="X67" s="2124"/>
      <c r="Y67" s="2124"/>
      <c r="Z67" s="2124"/>
      <c r="AA67" s="2124"/>
      <c r="AB67" s="2124"/>
      <c r="AC67" s="2124"/>
      <c r="AD67" s="2124"/>
      <c r="AE67" s="2124"/>
      <c r="AF67" s="2124"/>
      <c r="AG67" s="2124"/>
      <c r="AH67" s="2124"/>
      <c r="AI67" s="2124"/>
      <c r="AJ67" s="2124"/>
      <c r="AK67" s="2124"/>
      <c r="AL67" s="2124"/>
      <c r="AM67" s="2124"/>
      <c r="AN67" s="2124"/>
      <c r="AO67" s="2124"/>
      <c r="AP67" s="2124"/>
      <c r="AQ67" s="2124"/>
      <c r="AR67" s="2124"/>
      <c r="AS67" s="2124"/>
      <c r="AT67" s="2124"/>
      <c r="AU67" s="2124"/>
      <c r="AV67" s="2124"/>
      <c r="AW67" s="2124"/>
      <c r="AX67" s="802"/>
      <c r="AY67" s="1158"/>
      <c r="AZ67" s="1158"/>
      <c r="BA67" s="1158"/>
      <c r="BB67" s="1158"/>
      <c r="BC67" s="1158"/>
      <c r="BD67" s="1158"/>
      <c r="BE67" s="1158"/>
      <c r="BF67" s="1158"/>
      <c r="BG67" s="1158"/>
      <c r="BH67" s="1158"/>
      <c r="BI67" s="1159"/>
      <c r="BJ67" s="23"/>
    </row>
    <row r="68" spans="1:62">
      <c r="B68" s="800"/>
      <c r="C68" s="1176"/>
      <c r="D68" s="802"/>
      <c r="E68" s="802"/>
      <c r="F68" s="1156"/>
      <c r="G68" s="1156"/>
      <c r="H68" s="2124"/>
      <c r="I68" s="2124"/>
      <c r="J68" s="2124"/>
      <c r="K68" s="2124"/>
      <c r="L68" s="2124"/>
      <c r="M68" s="2124"/>
      <c r="N68" s="2124"/>
      <c r="O68" s="2124"/>
      <c r="P68" s="2124"/>
      <c r="Q68" s="2124"/>
      <c r="R68" s="2124"/>
      <c r="S68" s="2124"/>
      <c r="T68" s="2124"/>
      <c r="U68" s="2124"/>
      <c r="V68" s="2124"/>
      <c r="W68" s="2124"/>
      <c r="X68" s="2124"/>
      <c r="Y68" s="2124"/>
      <c r="Z68" s="2124"/>
      <c r="AA68" s="2124"/>
      <c r="AB68" s="2124"/>
      <c r="AC68" s="2124"/>
      <c r="AD68" s="2124"/>
      <c r="AE68" s="2124"/>
      <c r="AF68" s="2124"/>
      <c r="AG68" s="2124"/>
      <c r="AH68" s="2124"/>
      <c r="AI68" s="2124"/>
      <c r="AJ68" s="2124"/>
      <c r="AK68" s="2124"/>
      <c r="AL68" s="2124"/>
      <c r="AM68" s="2124"/>
      <c r="AN68" s="2124"/>
      <c r="AO68" s="2124"/>
      <c r="AP68" s="2124"/>
      <c r="AQ68" s="2124"/>
      <c r="AR68" s="2124"/>
      <c r="AS68" s="2124"/>
      <c r="AT68" s="2124"/>
      <c r="AU68" s="2124"/>
      <c r="AV68" s="2124"/>
      <c r="AW68" s="2124"/>
      <c r="AX68" s="802"/>
      <c r="AY68" s="1158"/>
      <c r="AZ68" s="1158"/>
      <c r="BA68" s="1158"/>
      <c r="BB68" s="1158"/>
      <c r="BC68" s="1158"/>
      <c r="BD68" s="1158"/>
      <c r="BE68" s="1158"/>
      <c r="BF68" s="1158"/>
      <c r="BG68" s="1158"/>
      <c r="BH68" s="1158"/>
      <c r="BI68" s="1159"/>
      <c r="BJ68" s="23"/>
    </row>
    <row r="69" spans="1:62" s="117" customFormat="1">
      <c r="B69" s="800"/>
      <c r="C69" s="1176"/>
      <c r="D69" s="802"/>
      <c r="E69" s="802"/>
      <c r="F69" s="1156"/>
      <c r="G69" s="1156"/>
      <c r="H69" s="2124"/>
      <c r="I69" s="2124"/>
      <c r="J69" s="2124"/>
      <c r="K69" s="2124"/>
      <c r="L69" s="2124"/>
      <c r="M69" s="2124"/>
      <c r="N69" s="2124"/>
      <c r="O69" s="2124"/>
      <c r="P69" s="2124"/>
      <c r="Q69" s="2124"/>
      <c r="R69" s="2124"/>
      <c r="S69" s="2124"/>
      <c r="T69" s="2124"/>
      <c r="U69" s="2124"/>
      <c r="V69" s="2124"/>
      <c r="W69" s="2124"/>
      <c r="X69" s="2124"/>
      <c r="Y69" s="2124"/>
      <c r="Z69" s="2124"/>
      <c r="AA69" s="2124"/>
      <c r="AB69" s="2124"/>
      <c r="AC69" s="2124"/>
      <c r="AD69" s="2124"/>
      <c r="AE69" s="2124"/>
      <c r="AF69" s="2124"/>
      <c r="AG69" s="2124"/>
      <c r="AH69" s="2124"/>
      <c r="AI69" s="2124"/>
      <c r="AJ69" s="2124"/>
      <c r="AK69" s="2124"/>
      <c r="AL69" s="2124"/>
      <c r="AM69" s="2124"/>
      <c r="AN69" s="2124"/>
      <c r="AO69" s="2124"/>
      <c r="AP69" s="2124"/>
      <c r="AQ69" s="2124"/>
      <c r="AR69" s="2124"/>
      <c r="AS69" s="2124"/>
      <c r="AT69" s="2124"/>
      <c r="AU69" s="2124"/>
      <c r="AV69" s="2124"/>
      <c r="AW69" s="2124"/>
      <c r="AX69" s="802"/>
      <c r="AY69" s="1158"/>
      <c r="AZ69" s="1158"/>
      <c r="BA69" s="1158"/>
      <c r="BB69" s="1158"/>
      <c r="BC69" s="1158"/>
      <c r="BD69" s="1158"/>
      <c r="BE69" s="1158"/>
      <c r="BF69" s="1158"/>
      <c r="BG69" s="1158"/>
      <c r="BH69" s="1158"/>
      <c r="BI69" s="1159"/>
      <c r="BJ69" s="23"/>
    </row>
    <row r="70" spans="1:62" s="117" customFormat="1">
      <c r="B70" s="800"/>
      <c r="C70" s="1176"/>
      <c r="D70" s="802"/>
      <c r="E70" s="802"/>
      <c r="F70" s="1156"/>
      <c r="G70" s="1156"/>
      <c r="H70" s="2124"/>
      <c r="I70" s="2124"/>
      <c r="J70" s="2124"/>
      <c r="K70" s="2124"/>
      <c r="L70" s="2124"/>
      <c r="M70" s="2124"/>
      <c r="N70" s="2124"/>
      <c r="O70" s="2124"/>
      <c r="P70" s="2124"/>
      <c r="Q70" s="2124"/>
      <c r="R70" s="2124"/>
      <c r="S70" s="2124"/>
      <c r="T70" s="2124"/>
      <c r="U70" s="2124"/>
      <c r="V70" s="2124"/>
      <c r="W70" s="2124"/>
      <c r="X70" s="2124"/>
      <c r="Y70" s="2124"/>
      <c r="Z70" s="2124"/>
      <c r="AA70" s="2124"/>
      <c r="AB70" s="2124"/>
      <c r="AC70" s="2124"/>
      <c r="AD70" s="2124"/>
      <c r="AE70" s="2124"/>
      <c r="AF70" s="2124"/>
      <c r="AG70" s="2124"/>
      <c r="AH70" s="2124"/>
      <c r="AI70" s="2124"/>
      <c r="AJ70" s="2124"/>
      <c r="AK70" s="2124"/>
      <c r="AL70" s="2124"/>
      <c r="AM70" s="2124"/>
      <c r="AN70" s="2124"/>
      <c r="AO70" s="2124"/>
      <c r="AP70" s="2124"/>
      <c r="AQ70" s="2124"/>
      <c r="AR70" s="2124"/>
      <c r="AS70" s="2124"/>
      <c r="AT70" s="2124"/>
      <c r="AU70" s="2124"/>
      <c r="AV70" s="2124"/>
      <c r="AW70" s="2124"/>
      <c r="AX70" s="802"/>
      <c r="AY70" s="1158"/>
      <c r="AZ70" s="1158"/>
      <c r="BA70" s="1158"/>
      <c r="BB70" s="1158"/>
      <c r="BC70" s="1158"/>
      <c r="BD70" s="1158"/>
      <c r="BE70" s="1158"/>
      <c r="BF70" s="1158"/>
      <c r="BG70" s="1158"/>
      <c r="BH70" s="1158"/>
      <c r="BI70" s="1159"/>
      <c r="BJ70" s="23"/>
    </row>
    <row r="71" spans="1:62" s="117" customFormat="1">
      <c r="B71" s="800"/>
      <c r="C71" s="1176"/>
      <c r="D71" s="802"/>
      <c r="E71" s="802"/>
      <c r="F71" s="1156"/>
      <c r="G71" s="1156"/>
      <c r="H71" s="2124"/>
      <c r="I71" s="2124"/>
      <c r="J71" s="2124"/>
      <c r="K71" s="2124"/>
      <c r="L71" s="2124"/>
      <c r="M71" s="2124"/>
      <c r="N71" s="2124"/>
      <c r="O71" s="2124"/>
      <c r="P71" s="2124"/>
      <c r="Q71" s="2124"/>
      <c r="R71" s="2124"/>
      <c r="S71" s="2124"/>
      <c r="T71" s="2124"/>
      <c r="U71" s="2124"/>
      <c r="V71" s="2124"/>
      <c r="W71" s="2124"/>
      <c r="X71" s="2124"/>
      <c r="Y71" s="2124"/>
      <c r="Z71" s="2124"/>
      <c r="AA71" s="2124"/>
      <c r="AB71" s="2124"/>
      <c r="AC71" s="2124"/>
      <c r="AD71" s="2124"/>
      <c r="AE71" s="2124"/>
      <c r="AF71" s="2124"/>
      <c r="AG71" s="2124"/>
      <c r="AH71" s="2124"/>
      <c r="AI71" s="2124"/>
      <c r="AJ71" s="2124"/>
      <c r="AK71" s="2124"/>
      <c r="AL71" s="2124"/>
      <c r="AM71" s="2124"/>
      <c r="AN71" s="2124"/>
      <c r="AO71" s="2124"/>
      <c r="AP71" s="2124"/>
      <c r="AQ71" s="2124"/>
      <c r="AR71" s="2124"/>
      <c r="AS71" s="2124"/>
      <c r="AT71" s="2124"/>
      <c r="AU71" s="2124"/>
      <c r="AV71" s="2124"/>
      <c r="AW71" s="2124"/>
      <c r="AX71" s="802"/>
      <c r="AY71" s="1158"/>
      <c r="AZ71" s="1158"/>
      <c r="BA71" s="1158"/>
      <c r="BB71" s="1158"/>
      <c r="BC71" s="1158"/>
      <c r="BD71" s="1158"/>
      <c r="BE71" s="1158"/>
      <c r="BF71" s="1158"/>
      <c r="BG71" s="1158"/>
      <c r="BH71" s="1158"/>
      <c r="BI71" s="1159"/>
      <c r="BJ71" s="23"/>
    </row>
    <row r="72" spans="1:62" s="528" customFormat="1" ht="17">
      <c r="B72" s="1169"/>
      <c r="C72" s="541"/>
      <c r="D72" s="1148"/>
      <c r="E72" s="802"/>
      <c r="F72" s="1149"/>
      <c r="G72" s="1151"/>
      <c r="H72" s="2126"/>
      <c r="I72" s="2126"/>
      <c r="J72" s="2126"/>
      <c r="K72" s="2126"/>
      <c r="L72" s="2126"/>
      <c r="M72" s="2126"/>
      <c r="N72" s="2126"/>
      <c r="O72" s="2126"/>
      <c r="P72" s="2126"/>
      <c r="Q72" s="2126"/>
      <c r="R72" s="2126"/>
      <c r="S72" s="2126"/>
      <c r="T72" s="2126"/>
      <c r="U72" s="2126"/>
      <c r="V72" s="2126"/>
      <c r="W72" s="2126"/>
      <c r="X72" s="2126"/>
      <c r="Y72" s="2126"/>
      <c r="Z72" s="2126"/>
      <c r="AA72" s="2126"/>
      <c r="AB72" s="2126"/>
      <c r="AC72" s="2126"/>
      <c r="AD72" s="2126"/>
      <c r="AE72" s="2126"/>
      <c r="AF72" s="2126"/>
      <c r="AG72" s="2126"/>
      <c r="AH72" s="2126"/>
      <c r="AI72" s="2126"/>
      <c r="AJ72" s="2126"/>
      <c r="AK72" s="2126"/>
      <c r="AL72" s="2126"/>
      <c r="AM72" s="2126"/>
      <c r="AN72" s="2126"/>
      <c r="AO72" s="2126"/>
      <c r="AP72" s="2126"/>
      <c r="AQ72" s="2126"/>
      <c r="AR72" s="2126"/>
      <c r="AS72" s="2126"/>
      <c r="AT72" s="2126"/>
      <c r="AU72" s="2126"/>
      <c r="AV72" s="2126"/>
      <c r="AW72" s="2126"/>
      <c r="AX72" s="802"/>
      <c r="AY72" s="1149"/>
      <c r="AZ72" s="1149"/>
      <c r="BA72" s="1149"/>
      <c r="BB72" s="1149"/>
      <c r="BC72" s="1149"/>
      <c r="BD72" s="1149"/>
      <c r="BE72" s="1149"/>
      <c r="BF72" s="1149"/>
      <c r="BG72" s="1149"/>
      <c r="BH72" s="1149"/>
      <c r="BI72" s="1170"/>
      <c r="BJ72" s="574"/>
    </row>
    <row r="73" spans="1:62" s="117" customFormat="1" ht="14">
      <c r="B73" s="800"/>
      <c r="C73" s="802"/>
      <c r="D73" s="802"/>
      <c r="E73" s="802"/>
      <c r="F73" s="802"/>
      <c r="G73" s="802"/>
      <c r="H73" s="2122"/>
      <c r="I73" s="2122"/>
      <c r="J73" s="2122"/>
      <c r="K73" s="2122"/>
      <c r="L73" s="2122"/>
      <c r="M73" s="2122"/>
      <c r="N73" s="2122"/>
      <c r="O73" s="2122"/>
      <c r="P73" s="2122"/>
      <c r="Q73" s="2122"/>
      <c r="R73" s="2122"/>
      <c r="S73" s="2122"/>
      <c r="T73" s="2122"/>
      <c r="U73" s="2122"/>
      <c r="V73" s="2122"/>
      <c r="W73" s="2122"/>
      <c r="X73" s="2122"/>
      <c r="Y73" s="2122"/>
      <c r="Z73" s="2122"/>
      <c r="AA73" s="2122"/>
      <c r="AB73" s="2122"/>
      <c r="AC73" s="2122"/>
      <c r="AD73" s="2122"/>
      <c r="AE73" s="2122"/>
      <c r="AF73" s="2122"/>
      <c r="AG73" s="2122"/>
      <c r="AH73" s="2122"/>
      <c r="AI73" s="2122"/>
      <c r="AJ73" s="2122"/>
      <c r="AK73" s="2122"/>
      <c r="AL73" s="2122"/>
      <c r="AM73" s="2122"/>
      <c r="AN73" s="2122"/>
      <c r="AO73" s="2122"/>
      <c r="AP73" s="2122"/>
      <c r="AQ73" s="2122"/>
      <c r="AR73" s="2122"/>
      <c r="AS73" s="2122"/>
      <c r="AT73" s="2122"/>
      <c r="AU73" s="2122"/>
      <c r="AV73" s="2122"/>
      <c r="AW73" s="2122"/>
      <c r="AX73" s="802"/>
      <c r="AY73" s="1158"/>
      <c r="AZ73" s="1158"/>
      <c r="BA73" s="1158"/>
      <c r="BB73" s="1158"/>
      <c r="BC73" s="1158"/>
      <c r="BD73" s="1158"/>
      <c r="BE73" s="1158"/>
      <c r="BF73" s="1158"/>
      <c r="BG73" s="1158"/>
      <c r="BH73" s="1158"/>
      <c r="BI73" s="1159"/>
      <c r="BJ73" s="23"/>
    </row>
    <row r="74" spans="1:62" s="570" customFormat="1" ht="17">
      <c r="B74" s="1160"/>
      <c r="C74" s="1150"/>
      <c r="D74" s="1148"/>
      <c r="E74" s="802"/>
      <c r="F74" s="1149"/>
      <c r="G74" s="1151"/>
      <c r="H74" s="2126"/>
      <c r="I74" s="2126"/>
      <c r="J74" s="2126"/>
      <c r="K74" s="2126"/>
      <c r="L74" s="2126"/>
      <c r="M74" s="2126"/>
      <c r="N74" s="2126"/>
      <c r="O74" s="2126"/>
      <c r="P74" s="2126"/>
      <c r="Q74" s="2126"/>
      <c r="R74" s="2126"/>
      <c r="S74" s="2126"/>
      <c r="T74" s="2126"/>
      <c r="U74" s="2126"/>
      <c r="V74" s="2126"/>
      <c r="W74" s="2126"/>
      <c r="X74" s="2126"/>
      <c r="Y74" s="2126"/>
      <c r="Z74" s="2126"/>
      <c r="AA74" s="2126"/>
      <c r="AB74" s="2126"/>
      <c r="AC74" s="2126"/>
      <c r="AD74" s="2126"/>
      <c r="AE74" s="2126"/>
      <c r="AF74" s="2126"/>
      <c r="AG74" s="2126"/>
      <c r="AH74" s="2126"/>
      <c r="AI74" s="2126"/>
      <c r="AJ74" s="2126"/>
      <c r="AK74" s="2126"/>
      <c r="AL74" s="2126"/>
      <c r="AM74" s="2126"/>
      <c r="AN74" s="2126"/>
      <c r="AO74" s="2126"/>
      <c r="AP74" s="2126"/>
      <c r="AQ74" s="2126"/>
      <c r="AR74" s="2126"/>
      <c r="AS74" s="2126"/>
      <c r="AT74" s="2126"/>
      <c r="AU74" s="2126"/>
      <c r="AV74" s="2126"/>
      <c r="AW74" s="2126"/>
      <c r="AX74" s="802"/>
      <c r="AY74" s="1149"/>
      <c r="AZ74" s="1149"/>
      <c r="BA74" s="1149"/>
      <c r="BB74" s="1149"/>
      <c r="BC74" s="1149"/>
      <c r="BD74" s="1149"/>
      <c r="BE74" s="1149"/>
      <c r="BF74" s="1149"/>
      <c r="BG74" s="1149"/>
      <c r="BH74" s="1149"/>
      <c r="BI74" s="1161"/>
      <c r="BJ74" s="573"/>
    </row>
    <row r="75" spans="1:62" s="570" customFormat="1" ht="17">
      <c r="B75" s="1160"/>
      <c r="C75" s="1150"/>
      <c r="D75" s="1150"/>
      <c r="E75" s="802"/>
      <c r="F75" s="1151"/>
      <c r="G75" s="1151"/>
      <c r="H75" s="2126"/>
      <c r="I75" s="2126"/>
      <c r="J75" s="2126"/>
      <c r="K75" s="2126"/>
      <c r="L75" s="2126"/>
      <c r="M75" s="2126"/>
      <c r="N75" s="2126"/>
      <c r="O75" s="2126"/>
      <c r="P75" s="2126"/>
      <c r="Q75" s="2126"/>
      <c r="R75" s="2126"/>
      <c r="S75" s="2126"/>
      <c r="T75" s="2126"/>
      <c r="U75" s="2126"/>
      <c r="V75" s="2126"/>
      <c r="W75" s="2126"/>
      <c r="X75" s="2126"/>
      <c r="Y75" s="2126"/>
      <c r="Z75" s="2126"/>
      <c r="AA75" s="2126"/>
      <c r="AB75" s="2126"/>
      <c r="AC75" s="2126"/>
      <c r="AD75" s="2126"/>
      <c r="AE75" s="2126"/>
      <c r="AF75" s="2126"/>
      <c r="AG75" s="2126"/>
      <c r="AH75" s="2126"/>
      <c r="AI75" s="2126"/>
      <c r="AJ75" s="2126"/>
      <c r="AK75" s="2126"/>
      <c r="AL75" s="2126"/>
      <c r="AM75" s="2126"/>
      <c r="AN75" s="2126"/>
      <c r="AO75" s="2126"/>
      <c r="AP75" s="2126"/>
      <c r="AQ75" s="2126"/>
      <c r="AR75" s="2126"/>
      <c r="AS75" s="2126"/>
      <c r="AT75" s="2126"/>
      <c r="AU75" s="2126"/>
      <c r="AV75" s="2126"/>
      <c r="AW75" s="2126"/>
      <c r="AX75" s="802"/>
      <c r="AY75" s="1151"/>
      <c r="AZ75" s="1151"/>
      <c r="BA75" s="1151"/>
      <c r="BB75" s="1151"/>
      <c r="BC75" s="1151"/>
      <c r="BD75" s="1151"/>
      <c r="BE75" s="1151"/>
      <c r="BF75" s="1151"/>
      <c r="BG75" s="1151"/>
      <c r="BH75" s="1151"/>
      <c r="BI75" s="1161"/>
      <c r="BJ75" s="573"/>
    </row>
    <row r="76" spans="1:62" s="570" customFormat="1" ht="17">
      <c r="B76" s="1171"/>
      <c r="C76" s="1172"/>
      <c r="D76" s="1172"/>
      <c r="E76" s="808"/>
      <c r="F76" s="1173"/>
      <c r="G76" s="1173"/>
      <c r="H76" s="2130"/>
      <c r="I76" s="2130"/>
      <c r="J76" s="2130"/>
      <c r="K76" s="2130"/>
      <c r="L76" s="2130"/>
      <c r="M76" s="2130"/>
      <c r="N76" s="2130"/>
      <c r="O76" s="2130"/>
      <c r="P76" s="2130"/>
      <c r="Q76" s="2130"/>
      <c r="R76" s="2130"/>
      <c r="S76" s="2130"/>
      <c r="T76" s="2130"/>
      <c r="U76" s="2130"/>
      <c r="V76" s="2130"/>
      <c r="W76" s="2130"/>
      <c r="X76" s="2130"/>
      <c r="Y76" s="2130"/>
      <c r="Z76" s="2130"/>
      <c r="AA76" s="2130"/>
      <c r="AB76" s="2130"/>
      <c r="AC76" s="2130"/>
      <c r="AD76" s="2130"/>
      <c r="AE76" s="2130"/>
      <c r="AF76" s="2130"/>
      <c r="AG76" s="2130"/>
      <c r="AH76" s="2130"/>
      <c r="AI76" s="2130"/>
      <c r="AJ76" s="2130"/>
      <c r="AK76" s="2130"/>
      <c r="AL76" s="2130"/>
      <c r="AM76" s="2130"/>
      <c r="AN76" s="2130"/>
      <c r="AO76" s="2130"/>
      <c r="AP76" s="2130"/>
      <c r="AQ76" s="2130"/>
      <c r="AR76" s="2130"/>
      <c r="AS76" s="2130"/>
      <c r="AT76" s="2130"/>
      <c r="AU76" s="2130"/>
      <c r="AV76" s="2130"/>
      <c r="AW76" s="2130"/>
      <c r="AX76" s="808"/>
      <c r="AY76" s="1173"/>
      <c r="AZ76" s="1173"/>
      <c r="BA76" s="1173"/>
      <c r="BB76" s="1173"/>
      <c r="BC76" s="1173"/>
      <c r="BD76" s="1173"/>
      <c r="BE76" s="1173"/>
      <c r="BF76" s="1173"/>
      <c r="BG76" s="1173"/>
      <c r="BH76" s="1173"/>
      <c r="BI76" s="1174"/>
      <c r="BJ76" s="573"/>
    </row>
    <row r="77" spans="1:62" s="570" customFormat="1" ht="17">
      <c r="B77" s="1031"/>
      <c r="D77" s="1144"/>
      <c r="E77" s="117"/>
      <c r="F77" s="520"/>
      <c r="G77" s="520"/>
      <c r="H77" s="2131"/>
      <c r="I77" s="2131"/>
      <c r="J77" s="2131"/>
      <c r="K77" s="2131"/>
      <c r="L77" s="2131"/>
      <c r="M77" s="2131"/>
      <c r="N77" s="2131"/>
      <c r="O77" s="2131"/>
      <c r="P77" s="2131"/>
      <c r="Q77" s="2131"/>
      <c r="R77" s="2131"/>
      <c r="S77" s="2131"/>
      <c r="T77" s="2131"/>
      <c r="U77" s="2131"/>
      <c r="V77" s="2131"/>
      <c r="W77" s="2131"/>
      <c r="X77" s="2131"/>
      <c r="Y77" s="2131"/>
      <c r="Z77" s="2131"/>
      <c r="AA77" s="2131"/>
      <c r="AB77" s="2131"/>
      <c r="AC77" s="2131"/>
      <c r="AD77" s="2131"/>
      <c r="AE77" s="2131"/>
      <c r="AF77" s="2131"/>
      <c r="AG77" s="2131"/>
      <c r="AH77" s="2131"/>
      <c r="AI77" s="2131"/>
      <c r="AJ77" s="2131"/>
      <c r="AK77" s="2131"/>
      <c r="AL77" s="2131"/>
      <c r="AM77" s="2131"/>
      <c r="AN77" s="2131"/>
      <c r="AO77" s="2131"/>
      <c r="AP77" s="2131"/>
      <c r="AQ77" s="2131"/>
      <c r="AR77" s="2131"/>
      <c r="AS77" s="2131"/>
      <c r="AT77" s="2131"/>
      <c r="AU77" s="2131"/>
      <c r="AV77" s="2131"/>
      <c r="AW77" s="2131"/>
      <c r="AX77" s="117"/>
      <c r="AY77" s="520"/>
      <c r="AZ77" s="520"/>
      <c r="BA77" s="520"/>
      <c r="BB77" s="520"/>
      <c r="BC77" s="520"/>
      <c r="BD77" s="520"/>
      <c r="BE77" s="520"/>
      <c r="BF77" s="520"/>
      <c r="BG77" s="520"/>
      <c r="BH77" s="520"/>
      <c r="BI77" s="573"/>
      <c r="BJ77" s="573"/>
    </row>
    <row r="78" spans="1:62" s="117" customFormat="1" ht="21" customHeight="1">
      <c r="A78" s="799"/>
      <c r="B78" s="1181"/>
      <c r="C78" s="1182"/>
      <c r="D78" s="1182"/>
      <c r="E78" s="1182"/>
      <c r="F78" s="1182"/>
      <c r="G78" s="1182"/>
      <c r="H78" s="2132"/>
      <c r="I78" s="2132"/>
      <c r="J78" s="2132"/>
      <c r="K78" s="2132"/>
      <c r="L78" s="2132"/>
      <c r="M78" s="2132"/>
      <c r="N78" s="2132"/>
      <c r="O78" s="2132"/>
      <c r="P78" s="2132"/>
      <c r="Q78" s="2132"/>
      <c r="R78" s="2132"/>
      <c r="S78" s="2132"/>
      <c r="T78" s="2132"/>
      <c r="U78" s="2132"/>
      <c r="V78" s="2132"/>
      <c r="W78" s="2132"/>
      <c r="X78" s="2132"/>
      <c r="Y78" s="2132"/>
      <c r="Z78" s="2132"/>
      <c r="AA78" s="2132"/>
      <c r="AB78" s="2132"/>
      <c r="AC78" s="2132"/>
      <c r="AD78" s="2132"/>
      <c r="AE78" s="2132"/>
      <c r="AF78" s="2132"/>
      <c r="AG78" s="2132"/>
      <c r="AH78" s="2132"/>
      <c r="AI78" s="2132"/>
      <c r="AJ78" s="2132"/>
      <c r="AK78" s="2132"/>
      <c r="AL78" s="2132"/>
      <c r="AM78" s="2132"/>
      <c r="AN78" s="2132"/>
      <c r="AO78" s="2132"/>
      <c r="AP78" s="2132"/>
      <c r="AQ78" s="2132"/>
      <c r="AR78" s="2132"/>
      <c r="AS78" s="2132"/>
      <c r="AT78" s="2132"/>
      <c r="AU78" s="2132"/>
      <c r="AV78" s="2132"/>
      <c r="AW78" s="2132"/>
      <c r="AX78" s="1182"/>
      <c r="AY78" s="1183"/>
      <c r="AZ78" s="1183"/>
      <c r="BA78" s="1183"/>
      <c r="BB78" s="1183"/>
      <c r="BC78" s="1183"/>
      <c r="BD78" s="1183"/>
      <c r="BE78" s="1183"/>
      <c r="BF78" s="1183"/>
      <c r="BG78" s="1183"/>
      <c r="BH78" s="1183"/>
      <c r="BI78" s="1184"/>
      <c r="BJ78" s="23"/>
    </row>
    <row r="79" spans="1:62" s="117" customFormat="1" ht="14">
      <c r="B79" s="1185"/>
      <c r="C79" s="1186"/>
      <c r="D79" s="1186"/>
      <c r="E79" s="1186"/>
      <c r="F79" s="1186"/>
      <c r="G79" s="1186"/>
      <c r="H79" s="2133"/>
      <c r="I79" s="2133"/>
      <c r="J79" s="2133"/>
      <c r="K79" s="2133"/>
      <c r="L79" s="2133"/>
      <c r="M79" s="2133"/>
      <c r="N79" s="2133"/>
      <c r="O79" s="2133"/>
      <c r="P79" s="2133"/>
      <c r="Q79" s="2133"/>
      <c r="R79" s="2133"/>
      <c r="S79" s="2133"/>
      <c r="T79" s="2133"/>
      <c r="U79" s="2133"/>
      <c r="V79" s="2133"/>
      <c r="W79" s="2133"/>
      <c r="X79" s="2133"/>
      <c r="Y79" s="2133"/>
      <c r="Z79" s="2133"/>
      <c r="AA79" s="2133"/>
      <c r="AB79" s="2133"/>
      <c r="AC79" s="2133"/>
      <c r="AD79" s="2133"/>
      <c r="AE79" s="2133"/>
      <c r="AF79" s="2133"/>
      <c r="AG79" s="2133"/>
      <c r="AH79" s="2133"/>
      <c r="AI79" s="2133"/>
      <c r="AJ79" s="2133"/>
      <c r="AK79" s="2133"/>
      <c r="AL79" s="2133"/>
      <c r="AM79" s="2133"/>
      <c r="AN79" s="2133"/>
      <c r="AO79" s="2133"/>
      <c r="AP79" s="2133"/>
      <c r="AQ79" s="2133"/>
      <c r="AR79" s="2133"/>
      <c r="AS79" s="2133"/>
      <c r="AT79" s="2133"/>
      <c r="AU79" s="2133"/>
      <c r="AV79" s="2133"/>
      <c r="AW79" s="2133"/>
      <c r="AX79" s="1186"/>
      <c r="AY79" s="1187"/>
      <c r="AZ79" s="1187"/>
      <c r="BA79" s="1187"/>
      <c r="BB79" s="1187"/>
      <c r="BC79" s="1187"/>
      <c r="BD79" s="1187"/>
      <c r="BE79" s="1187"/>
      <c r="BF79" s="1187"/>
      <c r="BG79" s="1187"/>
      <c r="BH79" s="1187"/>
      <c r="BI79" s="1188"/>
      <c r="BJ79" s="23"/>
    </row>
    <row r="80" spans="1:62">
      <c r="B80" s="1189"/>
      <c r="C80" s="1190"/>
      <c r="D80" s="1190"/>
      <c r="E80" s="1190"/>
      <c r="F80" s="1191"/>
      <c r="G80" s="1191"/>
      <c r="H80" s="2134"/>
      <c r="I80" s="2134"/>
      <c r="J80" s="2134"/>
      <c r="K80" s="2134"/>
      <c r="L80" s="2134"/>
      <c r="M80" s="2134"/>
      <c r="N80" s="2134"/>
      <c r="O80" s="2134"/>
      <c r="P80" s="2134"/>
      <c r="Q80" s="2134"/>
      <c r="R80" s="2134"/>
      <c r="S80" s="2134"/>
      <c r="T80" s="2134"/>
      <c r="U80" s="2134"/>
      <c r="V80" s="2134"/>
      <c r="W80" s="2134"/>
      <c r="X80" s="2134"/>
      <c r="Y80" s="2134"/>
      <c r="Z80" s="2134"/>
      <c r="AA80" s="2134"/>
      <c r="AB80" s="2134"/>
      <c r="AC80" s="2134"/>
      <c r="AD80" s="2134"/>
      <c r="AE80" s="2134"/>
      <c r="AF80" s="2134"/>
      <c r="AG80" s="2134"/>
      <c r="AH80" s="2134"/>
      <c r="AI80" s="2134"/>
      <c r="AJ80" s="2134"/>
      <c r="AK80" s="2134"/>
      <c r="AL80" s="2134"/>
      <c r="AM80" s="2134"/>
      <c r="AN80" s="2134"/>
      <c r="AO80" s="2134"/>
      <c r="AP80" s="2134"/>
      <c r="AQ80" s="2134"/>
      <c r="AR80" s="2134"/>
      <c r="AS80" s="2134"/>
      <c r="AT80" s="2134"/>
      <c r="AU80" s="2134"/>
      <c r="AV80" s="2134"/>
      <c r="AW80" s="2134"/>
      <c r="AX80" s="1190"/>
      <c r="AY80" s="1192"/>
      <c r="AZ80" s="1192"/>
      <c r="BA80" s="1192"/>
      <c r="BB80" s="1192"/>
      <c r="BC80" s="1192"/>
      <c r="BD80" s="1192"/>
      <c r="BE80" s="1192"/>
      <c r="BF80" s="1192"/>
      <c r="BG80" s="1192"/>
      <c r="BH80" s="1192"/>
      <c r="BI80" s="1193"/>
      <c r="BJ80" s="23"/>
    </row>
    <row r="81" spans="1:64">
      <c r="B81" s="1189"/>
      <c r="C81" s="1190"/>
      <c r="D81" s="1190"/>
      <c r="E81" s="1190"/>
      <c r="F81" s="1191"/>
      <c r="G81" s="1191"/>
      <c r="H81" s="2134"/>
      <c r="I81" s="2134"/>
      <c r="J81" s="2134"/>
      <c r="K81" s="2134"/>
      <c r="L81" s="2134"/>
      <c r="M81" s="2134"/>
      <c r="N81" s="2134"/>
      <c r="O81" s="2134"/>
      <c r="P81" s="2134"/>
      <c r="Q81" s="2134"/>
      <c r="R81" s="2134"/>
      <c r="S81" s="2134"/>
      <c r="T81" s="2134"/>
      <c r="U81" s="2134"/>
      <c r="V81" s="2134"/>
      <c r="W81" s="2134"/>
      <c r="X81" s="2134"/>
      <c r="Y81" s="2134"/>
      <c r="Z81" s="2134"/>
      <c r="AA81" s="2134"/>
      <c r="AB81" s="2134"/>
      <c r="AC81" s="2134"/>
      <c r="AD81" s="2134"/>
      <c r="AE81" s="2134"/>
      <c r="AF81" s="2134"/>
      <c r="AG81" s="2134"/>
      <c r="AH81" s="2134"/>
      <c r="AI81" s="2134"/>
      <c r="AJ81" s="2134"/>
      <c r="AK81" s="2134"/>
      <c r="AL81" s="2134"/>
      <c r="AM81" s="2134"/>
      <c r="AN81" s="2134"/>
      <c r="AO81" s="2134"/>
      <c r="AP81" s="2134"/>
      <c r="AQ81" s="2134"/>
      <c r="AR81" s="2134"/>
      <c r="AS81" s="2134"/>
      <c r="AT81" s="2134"/>
      <c r="AU81" s="2134"/>
      <c r="AV81" s="2134"/>
      <c r="AW81" s="2134"/>
      <c r="AX81" s="1190"/>
      <c r="AY81" s="1192"/>
      <c r="AZ81" s="1192"/>
      <c r="BA81" s="1192"/>
      <c r="BB81" s="1192"/>
      <c r="BC81" s="1192"/>
      <c r="BD81" s="1192"/>
      <c r="BE81" s="1192"/>
      <c r="BF81" s="1192"/>
      <c r="BG81" s="1192"/>
      <c r="BH81" s="1192"/>
      <c r="BI81" s="1193"/>
      <c r="BJ81" s="23"/>
    </row>
    <row r="82" spans="1:64" s="528" customFormat="1" ht="17">
      <c r="B82" s="1194"/>
      <c r="C82" s="1140"/>
      <c r="D82" s="1195"/>
      <c r="E82" s="1190"/>
      <c r="F82" s="1196"/>
      <c r="G82" s="2121"/>
      <c r="H82" s="2135"/>
      <c r="I82" s="2135"/>
      <c r="J82" s="2135"/>
      <c r="K82" s="2135"/>
      <c r="L82" s="2135"/>
      <c r="M82" s="2135"/>
      <c r="N82" s="2135"/>
      <c r="O82" s="2135"/>
      <c r="P82" s="2135"/>
      <c r="Q82" s="2135"/>
      <c r="R82" s="2135"/>
      <c r="S82" s="2135"/>
      <c r="T82" s="2135"/>
      <c r="U82" s="2135"/>
      <c r="V82" s="2135"/>
      <c r="W82" s="2135"/>
      <c r="X82" s="2135"/>
      <c r="Y82" s="2135"/>
      <c r="Z82" s="2135"/>
      <c r="AA82" s="2135"/>
      <c r="AB82" s="2135"/>
      <c r="AC82" s="2135"/>
      <c r="AD82" s="2135"/>
      <c r="AE82" s="2135"/>
      <c r="AF82" s="2135"/>
      <c r="AG82" s="2135"/>
      <c r="AH82" s="2135"/>
      <c r="AI82" s="2135"/>
      <c r="AJ82" s="2135"/>
      <c r="AK82" s="2135"/>
      <c r="AL82" s="2135"/>
      <c r="AM82" s="2135"/>
      <c r="AN82" s="2135"/>
      <c r="AO82" s="2135"/>
      <c r="AP82" s="2135"/>
      <c r="AQ82" s="2135"/>
      <c r="AR82" s="2135"/>
      <c r="AS82" s="2135"/>
      <c r="AT82" s="2135"/>
      <c r="AU82" s="2135"/>
      <c r="AV82" s="2135"/>
      <c r="AW82" s="2135"/>
      <c r="AX82" s="1190"/>
      <c r="AY82" s="1196"/>
      <c r="AZ82" s="1196"/>
      <c r="BA82" s="1196"/>
      <c r="BB82" s="1196"/>
      <c r="BC82" s="1196"/>
      <c r="BD82" s="1196"/>
      <c r="BE82" s="1196"/>
      <c r="BF82" s="1196"/>
      <c r="BG82" s="1196"/>
      <c r="BH82" s="1196"/>
      <c r="BI82" s="1197"/>
      <c r="BJ82" s="574"/>
    </row>
    <row r="83" spans="1:64" s="117" customFormat="1" ht="4.5" customHeight="1">
      <c r="B83" s="1189"/>
      <c r="C83" s="1190"/>
      <c r="D83" s="1190"/>
      <c r="E83" s="1190"/>
      <c r="F83" s="1190"/>
      <c r="G83" s="1190"/>
      <c r="H83" s="2136"/>
      <c r="I83" s="2136"/>
      <c r="J83" s="2136"/>
      <c r="K83" s="2136"/>
      <c r="L83" s="2136"/>
      <c r="M83" s="2136"/>
      <c r="N83" s="2136"/>
      <c r="O83" s="2136"/>
      <c r="P83" s="2136"/>
      <c r="Q83" s="2136"/>
      <c r="R83" s="2136"/>
      <c r="S83" s="2136"/>
      <c r="T83" s="2136"/>
      <c r="U83" s="2136"/>
      <c r="V83" s="2136"/>
      <c r="W83" s="2136"/>
      <c r="X83" s="2136"/>
      <c r="Y83" s="2136"/>
      <c r="Z83" s="2136"/>
      <c r="AA83" s="2136"/>
      <c r="AB83" s="2136"/>
      <c r="AC83" s="2136"/>
      <c r="AD83" s="2136"/>
      <c r="AE83" s="2136"/>
      <c r="AF83" s="2136"/>
      <c r="AG83" s="2136"/>
      <c r="AH83" s="2136"/>
      <c r="AI83" s="2136"/>
      <c r="AJ83" s="2136"/>
      <c r="AK83" s="2136"/>
      <c r="AL83" s="2136"/>
      <c r="AM83" s="2136"/>
      <c r="AN83" s="2136"/>
      <c r="AO83" s="2136"/>
      <c r="AP83" s="2136"/>
      <c r="AQ83" s="2136"/>
      <c r="AR83" s="2136"/>
      <c r="AS83" s="2136"/>
      <c r="AT83" s="2136"/>
      <c r="AU83" s="2136"/>
      <c r="AV83" s="2136"/>
      <c r="AW83" s="2136"/>
      <c r="AX83" s="1190"/>
      <c r="AY83" s="1192"/>
      <c r="AZ83" s="1192"/>
      <c r="BA83" s="1192"/>
      <c r="BB83" s="1192"/>
      <c r="BC83" s="1192"/>
      <c r="BD83" s="1192"/>
      <c r="BE83" s="1192"/>
      <c r="BF83" s="1192"/>
      <c r="BG83" s="1192"/>
      <c r="BH83" s="1192"/>
      <c r="BI83" s="1193"/>
      <c r="BJ83" s="23"/>
    </row>
    <row r="84" spans="1:64" s="242" customFormat="1" ht="14">
      <c r="B84" s="1329"/>
      <c r="C84" s="1317"/>
      <c r="D84" s="1317"/>
      <c r="E84" s="1317"/>
      <c r="F84" s="1317"/>
      <c r="G84" s="1317"/>
      <c r="H84" s="2137"/>
      <c r="I84" s="2137"/>
      <c r="J84" s="2137"/>
      <c r="K84" s="2137"/>
      <c r="L84" s="2137"/>
      <c r="M84" s="2137"/>
      <c r="N84" s="2137"/>
      <c r="O84" s="2137"/>
      <c r="P84" s="2137"/>
      <c r="Q84" s="2137"/>
      <c r="R84" s="2137"/>
      <c r="S84" s="2137"/>
      <c r="T84" s="2137"/>
      <c r="U84" s="2137"/>
      <c r="V84" s="2137"/>
      <c r="W84" s="2137"/>
      <c r="X84" s="2137"/>
      <c r="Y84" s="2137"/>
      <c r="Z84" s="2137"/>
      <c r="AA84" s="2137"/>
      <c r="AB84" s="2137"/>
      <c r="AC84" s="2137"/>
      <c r="AD84" s="2137"/>
      <c r="AE84" s="2137"/>
      <c r="AF84" s="2137"/>
      <c r="AG84" s="2137"/>
      <c r="AH84" s="2137"/>
      <c r="AI84" s="2137"/>
      <c r="AJ84" s="2137"/>
      <c r="AK84" s="2137"/>
      <c r="AL84" s="2137"/>
      <c r="AM84" s="2137"/>
      <c r="AN84" s="2137"/>
      <c r="AO84" s="2137"/>
      <c r="AP84" s="2137"/>
      <c r="AQ84" s="2137"/>
      <c r="AR84" s="2137"/>
      <c r="AS84" s="2137"/>
      <c r="AT84" s="2137"/>
      <c r="AU84" s="2137"/>
      <c r="AV84" s="2137"/>
      <c r="AW84" s="2137"/>
      <c r="AX84" s="1317"/>
      <c r="AY84" s="1330"/>
      <c r="AZ84" s="1330"/>
      <c r="BA84" s="1330"/>
      <c r="BB84" s="1330"/>
      <c r="BC84" s="1330"/>
      <c r="BD84" s="1330"/>
      <c r="BE84" s="1330"/>
      <c r="BF84" s="1330"/>
      <c r="BG84" s="1330"/>
      <c r="BH84" s="1330"/>
      <c r="BI84" s="1331"/>
      <c r="BJ84" s="757"/>
    </row>
    <row r="85" spans="1:64" s="601" customFormat="1" ht="14">
      <c r="B85" s="1327"/>
      <c r="C85" s="1316"/>
      <c r="D85" s="1316"/>
      <c r="E85" s="1317"/>
      <c r="F85" s="1318"/>
      <c r="G85" s="1318"/>
      <c r="H85" s="2138"/>
      <c r="I85" s="2138"/>
      <c r="J85" s="2138"/>
      <c r="K85" s="2138"/>
      <c r="L85" s="2138"/>
      <c r="M85" s="2138"/>
      <c r="N85" s="2138"/>
      <c r="O85" s="2138"/>
      <c r="P85" s="2138"/>
      <c r="Q85" s="2138"/>
      <c r="R85" s="2138"/>
      <c r="S85" s="2138"/>
      <c r="T85" s="2138"/>
      <c r="U85" s="2138"/>
      <c r="V85" s="2138"/>
      <c r="W85" s="2138"/>
      <c r="X85" s="2138"/>
      <c r="Y85" s="2138"/>
      <c r="Z85" s="2138"/>
      <c r="AA85" s="2138"/>
      <c r="AB85" s="2138"/>
      <c r="AC85" s="2138"/>
      <c r="AD85" s="2138"/>
      <c r="AE85" s="2138"/>
      <c r="AF85" s="2138"/>
      <c r="AG85" s="2138"/>
      <c r="AH85" s="2138"/>
      <c r="AI85" s="2138"/>
      <c r="AJ85" s="2138"/>
      <c r="AK85" s="2138"/>
      <c r="AL85" s="2138"/>
      <c r="AM85" s="2138"/>
      <c r="AN85" s="2138"/>
      <c r="AO85" s="2138"/>
      <c r="AP85" s="2138"/>
      <c r="AQ85" s="2138"/>
      <c r="AR85" s="2138"/>
      <c r="AS85" s="2138"/>
      <c r="AT85" s="2138"/>
      <c r="AU85" s="2138"/>
      <c r="AV85" s="2138"/>
      <c r="AW85" s="2138"/>
      <c r="AX85" s="1317"/>
      <c r="AY85" s="1318"/>
      <c r="AZ85" s="1318"/>
      <c r="BA85" s="1318"/>
      <c r="BB85" s="1318"/>
      <c r="BC85" s="1318"/>
      <c r="BD85" s="1318"/>
      <c r="BE85" s="1318"/>
      <c r="BF85" s="1318"/>
      <c r="BG85" s="1318"/>
      <c r="BH85" s="1318"/>
      <c r="BI85" s="1319"/>
    </row>
    <row r="86" spans="1:64" s="601" customFormat="1" ht="14">
      <c r="B86" s="1327"/>
      <c r="C86" s="1316"/>
      <c r="D86" s="1316"/>
      <c r="E86" s="1317"/>
      <c r="F86" s="1318"/>
      <c r="G86" s="1318"/>
      <c r="H86" s="2138"/>
      <c r="I86" s="2138"/>
      <c r="J86" s="2138"/>
      <c r="K86" s="2138"/>
      <c r="L86" s="2138"/>
      <c r="M86" s="2138"/>
      <c r="N86" s="2138"/>
      <c r="O86" s="2138"/>
      <c r="P86" s="2138"/>
      <c r="Q86" s="2138"/>
      <c r="R86" s="2138"/>
      <c r="S86" s="2138"/>
      <c r="T86" s="2138"/>
      <c r="U86" s="2138"/>
      <c r="V86" s="2138"/>
      <c r="W86" s="2138"/>
      <c r="X86" s="2138"/>
      <c r="Y86" s="2138"/>
      <c r="Z86" s="2138"/>
      <c r="AA86" s="2138"/>
      <c r="AB86" s="2138"/>
      <c r="AC86" s="2138"/>
      <c r="AD86" s="2138"/>
      <c r="AE86" s="2138"/>
      <c r="AF86" s="2138"/>
      <c r="AG86" s="2138"/>
      <c r="AH86" s="2138"/>
      <c r="AI86" s="2138"/>
      <c r="AJ86" s="2138"/>
      <c r="AK86" s="2138"/>
      <c r="AL86" s="2138"/>
      <c r="AM86" s="2138"/>
      <c r="AN86" s="2138"/>
      <c r="AO86" s="2138"/>
      <c r="AP86" s="2138"/>
      <c r="AQ86" s="2138"/>
      <c r="AR86" s="2138"/>
      <c r="AS86" s="2138"/>
      <c r="AT86" s="2138"/>
      <c r="AU86" s="2138"/>
      <c r="AV86" s="2138"/>
      <c r="AW86" s="2138"/>
      <c r="AX86" s="1317"/>
      <c r="AY86" s="1318"/>
      <c r="AZ86" s="1318"/>
      <c r="BA86" s="1318"/>
      <c r="BB86" s="1318"/>
      <c r="BC86" s="1318"/>
      <c r="BD86" s="1318"/>
      <c r="BE86" s="1318"/>
      <c r="BF86" s="1318"/>
      <c r="BG86" s="1318"/>
      <c r="BH86" s="1318"/>
      <c r="BI86" s="1319"/>
    </row>
    <row r="87" spans="1:64" ht="14">
      <c r="B87" s="1328"/>
      <c r="C87" s="1190"/>
      <c r="D87" s="1190"/>
      <c r="E87" s="1190"/>
      <c r="F87" s="1190"/>
      <c r="G87" s="1190"/>
      <c r="H87" s="2136"/>
      <c r="I87" s="2136"/>
      <c r="J87" s="2136"/>
      <c r="K87" s="2136"/>
      <c r="L87" s="2136"/>
      <c r="M87" s="2136"/>
      <c r="N87" s="2136"/>
      <c r="O87" s="2136"/>
      <c r="P87" s="2136"/>
      <c r="Q87" s="2136"/>
      <c r="R87" s="2136"/>
      <c r="S87" s="2136"/>
      <c r="T87" s="2136"/>
      <c r="U87" s="2136"/>
      <c r="V87" s="2136"/>
      <c r="W87" s="2136"/>
      <c r="X87" s="2136"/>
      <c r="Y87" s="2136"/>
      <c r="Z87" s="2136"/>
      <c r="AA87" s="2136"/>
      <c r="AB87" s="2136"/>
      <c r="AC87" s="2136"/>
      <c r="AD87" s="2136"/>
      <c r="AE87" s="2136"/>
      <c r="AF87" s="2136"/>
      <c r="AG87" s="2136"/>
      <c r="AH87" s="2136"/>
      <c r="AI87" s="2136"/>
      <c r="AJ87" s="2136"/>
      <c r="AK87" s="2136"/>
      <c r="AL87" s="2136"/>
      <c r="AM87" s="2136"/>
      <c r="AN87" s="2136"/>
      <c r="AO87" s="2136"/>
      <c r="AP87" s="2136"/>
      <c r="AQ87" s="2136"/>
      <c r="AR87" s="2136"/>
      <c r="AS87" s="2136"/>
      <c r="AT87" s="2136"/>
      <c r="AU87" s="2136"/>
      <c r="AV87" s="2136"/>
      <c r="AW87" s="2136"/>
      <c r="AX87" s="1190"/>
      <c r="AY87" s="1190"/>
      <c r="AZ87" s="1190"/>
      <c r="BA87" s="1190"/>
      <c r="BB87" s="1190"/>
      <c r="BC87" s="1190"/>
      <c r="BD87" s="1190"/>
      <c r="BE87" s="1190"/>
      <c r="BF87" s="1190"/>
      <c r="BG87" s="1190"/>
      <c r="BH87" s="1190"/>
      <c r="BI87" s="1198"/>
    </row>
    <row r="88" spans="1:64" s="117" customFormat="1" ht="14">
      <c r="B88" s="1203"/>
      <c r="C88" s="37"/>
      <c r="D88" s="37"/>
      <c r="E88" s="37"/>
      <c r="F88" s="37"/>
      <c r="G88" s="37"/>
      <c r="H88" s="2139"/>
      <c r="I88" s="2139"/>
      <c r="J88" s="2139"/>
      <c r="K88" s="2139"/>
      <c r="L88" s="2139"/>
      <c r="M88" s="2139"/>
      <c r="N88" s="2139"/>
      <c r="O88" s="2139"/>
      <c r="P88" s="2139"/>
      <c r="Q88" s="2139"/>
      <c r="R88" s="2139"/>
      <c r="S88" s="2139"/>
      <c r="T88" s="2139"/>
      <c r="U88" s="2139"/>
      <c r="V88" s="2139"/>
      <c r="W88" s="2139"/>
      <c r="X88" s="2139"/>
      <c r="Y88" s="2139"/>
      <c r="Z88" s="2139"/>
      <c r="AA88" s="2139"/>
      <c r="AB88" s="2139"/>
      <c r="AC88" s="2139"/>
      <c r="AD88" s="2139"/>
      <c r="AE88" s="2139"/>
      <c r="AF88" s="2139"/>
      <c r="AG88" s="2139"/>
      <c r="AH88" s="2139"/>
      <c r="AI88" s="2139"/>
      <c r="AJ88" s="2139"/>
      <c r="AK88" s="2139"/>
      <c r="AL88" s="2139"/>
      <c r="AM88" s="2139"/>
      <c r="AN88" s="2139"/>
      <c r="AO88" s="2139"/>
      <c r="AP88" s="2139"/>
      <c r="AQ88" s="2139"/>
      <c r="AR88" s="2139"/>
      <c r="AS88" s="2139"/>
      <c r="AT88" s="2139"/>
      <c r="AU88" s="2139"/>
      <c r="AV88" s="2139"/>
      <c r="AW88" s="2139"/>
      <c r="AX88" s="37"/>
      <c r="AY88" s="37"/>
      <c r="AZ88" s="37"/>
      <c r="BA88" s="37"/>
      <c r="BB88" s="37"/>
      <c r="BC88" s="37"/>
      <c r="BD88" s="37"/>
      <c r="BE88" s="37"/>
      <c r="BF88" s="37"/>
      <c r="BG88" s="37"/>
      <c r="BH88" s="37"/>
      <c r="BI88" s="1204"/>
    </row>
    <row r="89" spans="1:64" ht="14">
      <c r="B89" s="1203"/>
      <c r="C89" s="37"/>
      <c r="D89" s="37"/>
      <c r="E89" s="37"/>
      <c r="F89" s="1320"/>
      <c r="G89" s="1320"/>
      <c r="H89" s="2140"/>
      <c r="I89" s="2140"/>
      <c r="J89" s="2140"/>
      <c r="K89" s="2140"/>
      <c r="L89" s="2140"/>
      <c r="M89" s="2140"/>
      <c r="N89" s="2140"/>
      <c r="O89" s="2140"/>
      <c r="P89" s="2140"/>
      <c r="Q89" s="2140"/>
      <c r="R89" s="2140"/>
      <c r="S89" s="2140"/>
      <c r="T89" s="2140"/>
      <c r="U89" s="2140"/>
      <c r="V89" s="2140"/>
      <c r="W89" s="2140"/>
      <c r="X89" s="2140"/>
      <c r="Y89" s="2140"/>
      <c r="Z89" s="2140"/>
      <c r="AA89" s="2140"/>
      <c r="AB89" s="2140"/>
      <c r="AC89" s="2140"/>
      <c r="AD89" s="2140"/>
      <c r="AE89" s="2140"/>
      <c r="AF89" s="2140"/>
      <c r="AG89" s="2140"/>
      <c r="AH89" s="2140"/>
      <c r="AI89" s="2140"/>
      <c r="AJ89" s="2140"/>
      <c r="AK89" s="2140"/>
      <c r="AL89" s="2140"/>
      <c r="AM89" s="2140"/>
      <c r="AN89" s="2140"/>
      <c r="AO89" s="2140"/>
      <c r="AP89" s="2140"/>
      <c r="AQ89" s="2140"/>
      <c r="AR89" s="2140"/>
      <c r="AS89" s="2140"/>
      <c r="AT89" s="2140"/>
      <c r="AU89" s="2140"/>
      <c r="AV89" s="2140"/>
      <c r="AW89" s="2140"/>
      <c r="AX89" s="37"/>
      <c r="AY89" s="1320"/>
      <c r="AZ89" s="1320"/>
      <c r="BA89" s="1320"/>
      <c r="BB89" s="1320"/>
      <c r="BC89" s="1320"/>
      <c r="BD89" s="1320"/>
      <c r="BE89" s="1320"/>
      <c r="BF89" s="1320"/>
      <c r="BG89" s="1320"/>
      <c r="BH89" s="1320"/>
      <c r="BI89" s="1321"/>
      <c r="BJ89" s="23"/>
    </row>
    <row r="90" spans="1:64" ht="4.5" customHeight="1">
      <c r="B90" s="1203"/>
      <c r="C90" s="37"/>
      <c r="D90" s="37"/>
      <c r="E90" s="37"/>
      <c r="F90" s="1322"/>
      <c r="G90" s="1322"/>
      <c r="H90" s="2141"/>
      <c r="I90" s="2141"/>
      <c r="J90" s="2141"/>
      <c r="K90" s="2141"/>
      <c r="L90" s="2141"/>
      <c r="M90" s="2141"/>
      <c r="N90" s="2141"/>
      <c r="O90" s="2141"/>
      <c r="P90" s="2141"/>
      <c r="Q90" s="2141"/>
      <c r="R90" s="2141"/>
      <c r="S90" s="2141"/>
      <c r="T90" s="2141"/>
      <c r="U90" s="2141"/>
      <c r="V90" s="2141"/>
      <c r="W90" s="2141"/>
      <c r="X90" s="2141"/>
      <c r="Y90" s="2141"/>
      <c r="Z90" s="2141"/>
      <c r="AA90" s="2141"/>
      <c r="AB90" s="2141"/>
      <c r="AC90" s="2141"/>
      <c r="AD90" s="2141"/>
      <c r="AE90" s="2141"/>
      <c r="AF90" s="2141"/>
      <c r="AG90" s="2141"/>
      <c r="AH90" s="2141"/>
      <c r="AI90" s="2141"/>
      <c r="AJ90" s="2141"/>
      <c r="AK90" s="2141"/>
      <c r="AL90" s="2141"/>
      <c r="AM90" s="2141"/>
      <c r="AN90" s="2141"/>
      <c r="AO90" s="2141"/>
      <c r="AP90" s="2141"/>
      <c r="AQ90" s="2141"/>
      <c r="AR90" s="2141"/>
      <c r="AS90" s="2141"/>
      <c r="AT90" s="2141"/>
      <c r="AU90" s="2141"/>
      <c r="AV90" s="2141"/>
      <c r="AW90" s="2141"/>
      <c r="AX90" s="37"/>
      <c r="AY90" s="1320"/>
      <c r="AZ90" s="1320"/>
      <c r="BA90" s="1320"/>
      <c r="BB90" s="1320"/>
      <c r="BC90" s="1320"/>
      <c r="BD90" s="1320"/>
      <c r="BE90" s="1320"/>
      <c r="BF90" s="1320"/>
      <c r="BG90" s="1320"/>
      <c r="BH90" s="1320"/>
      <c r="BI90" s="1204"/>
    </row>
    <row r="91" spans="1:64" s="528" customFormat="1" ht="17">
      <c r="B91" s="1323"/>
      <c r="C91" s="34"/>
      <c r="D91" s="1324"/>
      <c r="E91" s="37"/>
      <c r="F91" s="1325"/>
      <c r="G91" s="2037"/>
      <c r="H91" s="2142"/>
      <c r="I91" s="2142"/>
      <c r="J91" s="2142"/>
      <c r="K91" s="2142"/>
      <c r="L91" s="2142"/>
      <c r="M91" s="2142"/>
      <c r="N91" s="2142"/>
      <c r="O91" s="2142"/>
      <c r="P91" s="2142"/>
      <c r="Q91" s="2142"/>
      <c r="R91" s="2142"/>
      <c r="S91" s="2142"/>
      <c r="T91" s="2142"/>
      <c r="U91" s="2142"/>
      <c r="V91" s="2142"/>
      <c r="W91" s="2142"/>
      <c r="X91" s="2142"/>
      <c r="Y91" s="2142"/>
      <c r="Z91" s="2142"/>
      <c r="AA91" s="2142"/>
      <c r="AB91" s="2142"/>
      <c r="AC91" s="2142"/>
      <c r="AD91" s="2142"/>
      <c r="AE91" s="2142"/>
      <c r="AF91" s="2142"/>
      <c r="AG91" s="2142"/>
      <c r="AH91" s="2142"/>
      <c r="AI91" s="2142"/>
      <c r="AJ91" s="2142"/>
      <c r="AK91" s="2142"/>
      <c r="AL91" s="2142"/>
      <c r="AM91" s="2142"/>
      <c r="AN91" s="2142"/>
      <c r="AO91" s="2142"/>
      <c r="AP91" s="2142"/>
      <c r="AQ91" s="2142"/>
      <c r="AR91" s="2142"/>
      <c r="AS91" s="2142"/>
      <c r="AT91" s="2142"/>
      <c r="AU91" s="2142"/>
      <c r="AV91" s="2142"/>
      <c r="AW91" s="2142"/>
      <c r="AX91" s="37"/>
      <c r="AY91" s="1325"/>
      <c r="AZ91" s="1325"/>
      <c r="BA91" s="1325"/>
      <c r="BB91" s="1325"/>
      <c r="BC91" s="1325"/>
      <c r="BD91" s="1325"/>
      <c r="BE91" s="1325"/>
      <c r="BF91" s="1325"/>
      <c r="BG91" s="1325"/>
      <c r="BH91" s="1325"/>
      <c r="BI91" s="1326"/>
    </row>
    <row r="92" spans="1:64" s="1044" customFormat="1" ht="14">
      <c r="B92" s="1203"/>
      <c r="C92" s="37"/>
      <c r="D92" s="37"/>
      <c r="E92" s="37"/>
      <c r="F92" s="37"/>
      <c r="G92" s="37"/>
      <c r="H92" s="2139"/>
      <c r="I92" s="2139"/>
      <c r="J92" s="2139"/>
      <c r="K92" s="2139"/>
      <c r="L92" s="2139"/>
      <c r="M92" s="2139"/>
      <c r="N92" s="2139"/>
      <c r="O92" s="2139"/>
      <c r="P92" s="2139"/>
      <c r="Q92" s="2139"/>
      <c r="R92" s="2139"/>
      <c r="S92" s="2139"/>
      <c r="T92" s="2139"/>
      <c r="U92" s="2139"/>
      <c r="V92" s="2139"/>
      <c r="W92" s="2139"/>
      <c r="X92" s="2139"/>
      <c r="Y92" s="2139"/>
      <c r="Z92" s="2139"/>
      <c r="AA92" s="2139"/>
      <c r="AB92" s="2139"/>
      <c r="AC92" s="2139"/>
      <c r="AD92" s="2139"/>
      <c r="AE92" s="2139"/>
      <c r="AF92" s="2139"/>
      <c r="AG92" s="2139"/>
      <c r="AH92" s="2139"/>
      <c r="AI92" s="2139"/>
      <c r="AJ92" s="2139"/>
      <c r="AK92" s="2139"/>
      <c r="AL92" s="2139"/>
      <c r="AM92" s="2139"/>
      <c r="AN92" s="2139"/>
      <c r="AO92" s="2139"/>
      <c r="AP92" s="2139"/>
      <c r="AQ92" s="2139"/>
      <c r="AR92" s="2139"/>
      <c r="AS92" s="2139"/>
      <c r="AT92" s="2139"/>
      <c r="AU92" s="2139"/>
      <c r="AV92" s="2139"/>
      <c r="AW92" s="2139"/>
      <c r="AX92" s="37"/>
      <c r="AY92" s="37"/>
      <c r="AZ92" s="37"/>
      <c r="BA92" s="37"/>
      <c r="BB92" s="37"/>
      <c r="BC92" s="37"/>
      <c r="BD92" s="37"/>
      <c r="BE92" s="37"/>
      <c r="BF92" s="37"/>
      <c r="BG92" s="37"/>
      <c r="BH92" s="37"/>
      <c r="BI92" s="1204"/>
    </row>
    <row r="93" spans="1:64" ht="22">
      <c r="A93" s="799"/>
      <c r="B93" s="1181"/>
      <c r="C93" s="1182"/>
      <c r="D93" s="1182"/>
      <c r="E93" s="1182"/>
      <c r="F93" s="1182"/>
      <c r="G93" s="1182"/>
      <c r="H93" s="2132"/>
      <c r="I93" s="2132"/>
      <c r="J93" s="2132"/>
      <c r="K93" s="2132"/>
      <c r="L93" s="2132"/>
      <c r="M93" s="2132"/>
      <c r="N93" s="2132"/>
      <c r="O93" s="2132"/>
      <c r="P93" s="2132"/>
      <c r="Q93" s="2132"/>
      <c r="R93" s="2132"/>
      <c r="S93" s="2132"/>
      <c r="T93" s="2132"/>
      <c r="U93" s="2132"/>
      <c r="V93" s="2132"/>
      <c r="W93" s="2132"/>
      <c r="X93" s="2132"/>
      <c r="Y93" s="2132"/>
      <c r="Z93" s="2132"/>
      <c r="AA93" s="2132"/>
      <c r="AB93" s="2132"/>
      <c r="AC93" s="2132"/>
      <c r="AD93" s="2132"/>
      <c r="AE93" s="2132"/>
      <c r="AF93" s="2132"/>
      <c r="AG93" s="2132"/>
      <c r="AH93" s="2132"/>
      <c r="AI93" s="2132"/>
      <c r="AJ93" s="2132"/>
      <c r="AK93" s="2132"/>
      <c r="AL93" s="2132"/>
      <c r="AM93" s="2132"/>
      <c r="AN93" s="2132"/>
      <c r="AO93" s="2132"/>
      <c r="AP93" s="2132"/>
      <c r="AQ93" s="2132"/>
      <c r="AR93" s="2132"/>
      <c r="AS93" s="2132"/>
      <c r="AT93" s="2132"/>
      <c r="AU93" s="2132"/>
      <c r="AV93" s="2132"/>
      <c r="AW93" s="2132"/>
      <c r="AX93" s="1182"/>
      <c r="AY93" s="1183"/>
      <c r="AZ93" s="1183"/>
      <c r="BA93" s="1183"/>
      <c r="BB93" s="1183"/>
      <c r="BC93" s="1183"/>
      <c r="BD93" s="1183"/>
      <c r="BE93" s="1183"/>
      <c r="BF93" s="1183"/>
      <c r="BG93" s="1183"/>
      <c r="BH93" s="1183"/>
      <c r="BI93" s="1184"/>
    </row>
    <row r="94" spans="1:64" s="1044" customFormat="1" ht="15">
      <c r="A94" s="1206"/>
      <c r="B94" s="1205"/>
      <c r="C94" s="1190"/>
      <c r="D94" s="1186"/>
      <c r="E94" s="1186"/>
      <c r="F94" s="1186"/>
      <c r="G94" s="1186"/>
      <c r="H94" s="2133"/>
      <c r="I94" s="2133"/>
      <c r="J94" s="2133"/>
      <c r="K94" s="2133"/>
      <c r="L94" s="2133"/>
      <c r="M94" s="2133"/>
      <c r="N94" s="2133"/>
      <c r="O94" s="2133"/>
      <c r="P94" s="2133"/>
      <c r="Q94" s="2133"/>
      <c r="R94" s="2133"/>
      <c r="S94" s="2133"/>
      <c r="T94" s="2133"/>
      <c r="U94" s="2133"/>
      <c r="V94" s="2133"/>
      <c r="W94" s="2133"/>
      <c r="X94" s="2133"/>
      <c r="Y94" s="2133"/>
      <c r="Z94" s="2133"/>
      <c r="AA94" s="2133"/>
      <c r="AB94" s="2133"/>
      <c r="AC94" s="2133"/>
      <c r="AD94" s="2133"/>
      <c r="AE94" s="2133"/>
      <c r="AF94" s="2133"/>
      <c r="AG94" s="2133"/>
      <c r="AH94" s="2133"/>
      <c r="AI94" s="2133"/>
      <c r="AJ94" s="2133"/>
      <c r="AK94" s="2133"/>
      <c r="AL94" s="2133"/>
      <c r="AM94" s="2133"/>
      <c r="AN94" s="2133"/>
      <c r="AO94" s="2133"/>
      <c r="AP94" s="2133"/>
      <c r="AQ94" s="2133"/>
      <c r="AR94" s="2133"/>
      <c r="AS94" s="2133"/>
      <c r="AT94" s="2133"/>
      <c r="AU94" s="2133"/>
      <c r="AV94" s="2133"/>
      <c r="AW94" s="2133"/>
      <c r="AX94" s="1186"/>
      <c r="AY94" s="1187"/>
      <c r="AZ94" s="1192"/>
      <c r="BA94" s="1192"/>
      <c r="BB94" s="1192"/>
      <c r="BC94" s="1192"/>
      <c r="BD94" s="1192"/>
      <c r="BE94" s="1192"/>
      <c r="BF94" s="1192"/>
      <c r="BG94" s="1192"/>
      <c r="BH94" s="1192"/>
      <c r="BI94" s="1193"/>
    </row>
    <row r="95" spans="1:64" ht="14">
      <c r="B95" s="1189"/>
      <c r="C95" s="1190"/>
      <c r="D95" s="1306"/>
      <c r="E95" s="1190"/>
      <c r="F95" s="1306"/>
      <c r="G95" s="1190"/>
      <c r="H95" s="2136"/>
      <c r="I95" s="2136"/>
      <c r="J95" s="2136"/>
      <c r="K95" s="2136"/>
      <c r="L95" s="2136"/>
      <c r="M95" s="2136"/>
      <c r="N95" s="2136"/>
      <c r="O95" s="2136"/>
      <c r="P95" s="2136"/>
      <c r="Q95" s="2136"/>
      <c r="R95" s="2136"/>
      <c r="S95" s="2136"/>
      <c r="T95" s="2136"/>
      <c r="U95" s="2136"/>
      <c r="V95" s="2136"/>
      <c r="W95" s="2136"/>
      <c r="X95" s="2136"/>
      <c r="Y95" s="2136"/>
      <c r="Z95" s="2136"/>
      <c r="AA95" s="2136"/>
      <c r="AB95" s="2136"/>
      <c r="AC95" s="2136"/>
      <c r="AD95" s="2136"/>
      <c r="AE95" s="2136"/>
      <c r="AF95" s="2136"/>
      <c r="AG95" s="2136"/>
      <c r="AH95" s="2136"/>
      <c r="AI95" s="2136"/>
      <c r="AJ95" s="2136"/>
      <c r="AK95" s="2136"/>
      <c r="AL95" s="2136"/>
      <c r="AM95" s="2136"/>
      <c r="AN95" s="2136"/>
      <c r="AO95" s="2136"/>
      <c r="AP95" s="2136"/>
      <c r="AQ95" s="2136"/>
      <c r="AR95" s="2136"/>
      <c r="AS95" s="2136"/>
      <c r="AT95" s="2136"/>
      <c r="AU95" s="2136"/>
      <c r="AV95" s="2136"/>
      <c r="AW95" s="2136"/>
      <c r="AX95" s="1190"/>
      <c r="AY95" s="1307"/>
      <c r="AZ95" s="1307"/>
      <c r="BA95" s="1307"/>
      <c r="BB95" s="1307"/>
      <c r="BC95" s="1307"/>
      <c r="BD95" s="1307"/>
      <c r="BE95" s="1307"/>
      <c r="BF95" s="1307"/>
      <c r="BG95" s="1307"/>
      <c r="BH95" s="1307"/>
      <c r="BI95" s="1198"/>
    </row>
    <row r="96" spans="1:64" ht="14">
      <c r="B96" s="1189"/>
      <c r="C96" s="1480"/>
      <c r="D96" s="1480"/>
      <c r="E96" s="1480"/>
      <c r="F96" s="1192"/>
      <c r="G96" s="1192"/>
      <c r="H96" s="2143"/>
      <c r="I96" s="2143"/>
      <c r="J96" s="2143"/>
      <c r="K96" s="2143"/>
      <c r="L96" s="2143"/>
      <c r="M96" s="2143"/>
      <c r="N96" s="2143"/>
      <c r="O96" s="2143"/>
      <c r="P96" s="2143"/>
      <c r="Q96" s="2143"/>
      <c r="R96" s="2143"/>
      <c r="S96" s="2143"/>
      <c r="T96" s="2143"/>
      <c r="U96" s="2143"/>
      <c r="V96" s="2143"/>
      <c r="W96" s="2143"/>
      <c r="X96" s="2143"/>
      <c r="Y96" s="2143"/>
      <c r="Z96" s="2143"/>
      <c r="AA96" s="2143"/>
      <c r="AB96" s="2143"/>
      <c r="AC96" s="2143"/>
      <c r="AD96" s="2143"/>
      <c r="AE96" s="2143"/>
      <c r="AF96" s="2143"/>
      <c r="AG96" s="2143"/>
      <c r="AH96" s="2143"/>
      <c r="AI96" s="2143"/>
      <c r="AJ96" s="2143"/>
      <c r="AK96" s="2143"/>
      <c r="AL96" s="2143"/>
      <c r="AM96" s="2143"/>
      <c r="AN96" s="2143"/>
      <c r="AO96" s="2143"/>
      <c r="AP96" s="2143"/>
      <c r="AQ96" s="2143"/>
      <c r="AR96" s="2143"/>
      <c r="AS96" s="2143"/>
      <c r="AT96" s="2143"/>
      <c r="AU96" s="2143"/>
      <c r="AV96" s="2143"/>
      <c r="AW96" s="2143"/>
      <c r="AX96" s="1480"/>
      <c r="AY96" s="1192"/>
      <c r="AZ96" s="1192"/>
      <c r="BA96" s="1192"/>
      <c r="BB96" s="1192"/>
      <c r="BC96" s="1192"/>
      <c r="BD96" s="1192"/>
      <c r="BE96" s="1192"/>
      <c r="BF96" s="1192"/>
      <c r="BG96" s="1192"/>
      <c r="BH96" s="1192"/>
      <c r="BI96" s="1198"/>
      <c r="BK96" s="15"/>
      <c r="BL96" s="117"/>
    </row>
    <row r="97" spans="2:64" s="525" customFormat="1" ht="14">
      <c r="B97" s="1199"/>
      <c r="C97" s="1662"/>
      <c r="D97" s="1662"/>
      <c r="E97" s="1480"/>
      <c r="F97" s="1663"/>
      <c r="G97" s="1663"/>
      <c r="H97" s="2144"/>
      <c r="I97" s="2144"/>
      <c r="J97" s="2144"/>
      <c r="K97" s="2144"/>
      <c r="L97" s="2144"/>
      <c r="M97" s="2144"/>
      <c r="N97" s="2144"/>
      <c r="O97" s="2144"/>
      <c r="P97" s="2144"/>
      <c r="Q97" s="2144"/>
      <c r="R97" s="2144"/>
      <c r="S97" s="2144"/>
      <c r="T97" s="2144"/>
      <c r="U97" s="2144"/>
      <c r="V97" s="2144"/>
      <c r="W97" s="2144"/>
      <c r="X97" s="2144"/>
      <c r="Y97" s="2144"/>
      <c r="Z97" s="2144"/>
      <c r="AA97" s="2144"/>
      <c r="AB97" s="2144"/>
      <c r="AC97" s="2144"/>
      <c r="AD97" s="2144"/>
      <c r="AE97" s="2144"/>
      <c r="AF97" s="2144"/>
      <c r="AG97" s="2144"/>
      <c r="AH97" s="2144"/>
      <c r="AI97" s="2144"/>
      <c r="AJ97" s="2144"/>
      <c r="AK97" s="2144"/>
      <c r="AL97" s="2144"/>
      <c r="AM97" s="2144"/>
      <c r="AN97" s="2144"/>
      <c r="AO97" s="2144"/>
      <c r="AP97" s="2144"/>
      <c r="AQ97" s="2144"/>
      <c r="AR97" s="2144"/>
      <c r="AS97" s="2144"/>
      <c r="AT97" s="2144"/>
      <c r="AU97" s="2144"/>
      <c r="AV97" s="2144"/>
      <c r="AW97" s="2144"/>
      <c r="AX97" s="1480"/>
      <c r="AY97" s="1663"/>
      <c r="AZ97" s="1663"/>
      <c r="BA97" s="1663"/>
      <c r="BB97" s="1663"/>
      <c r="BC97" s="1663"/>
      <c r="BD97" s="1663"/>
      <c r="BE97" s="1663"/>
      <c r="BF97" s="1663"/>
      <c r="BG97" s="1663"/>
      <c r="BH97" s="1663"/>
      <c r="BI97" s="1200"/>
      <c r="BK97" s="1476"/>
    </row>
    <row r="98" spans="2:64" s="525" customFormat="1" ht="14">
      <c r="B98" s="1199"/>
      <c r="C98" s="1662"/>
      <c r="D98" s="1662"/>
      <c r="E98" s="1480"/>
      <c r="F98" s="1663"/>
      <c r="G98" s="1663"/>
      <c r="H98" s="2144"/>
      <c r="I98" s="2144"/>
      <c r="J98" s="2144"/>
      <c r="K98" s="2144"/>
      <c r="L98" s="2144"/>
      <c r="M98" s="2144"/>
      <c r="N98" s="2144"/>
      <c r="O98" s="2144"/>
      <c r="P98" s="2144"/>
      <c r="Q98" s="2144"/>
      <c r="R98" s="2144"/>
      <c r="S98" s="2144"/>
      <c r="T98" s="2144"/>
      <c r="U98" s="2144"/>
      <c r="V98" s="2144"/>
      <c r="W98" s="2144"/>
      <c r="X98" s="2144"/>
      <c r="Y98" s="2144"/>
      <c r="Z98" s="2144"/>
      <c r="AA98" s="2144"/>
      <c r="AB98" s="2144"/>
      <c r="AC98" s="2144"/>
      <c r="AD98" s="2144"/>
      <c r="AE98" s="2144"/>
      <c r="AF98" s="2144"/>
      <c r="AG98" s="2144"/>
      <c r="AH98" s="2144"/>
      <c r="AI98" s="2144"/>
      <c r="AJ98" s="2144"/>
      <c r="AK98" s="2144"/>
      <c r="AL98" s="2144"/>
      <c r="AM98" s="2144"/>
      <c r="AN98" s="2144"/>
      <c r="AO98" s="2144"/>
      <c r="AP98" s="2144"/>
      <c r="AQ98" s="2144"/>
      <c r="AR98" s="2144"/>
      <c r="AS98" s="2144"/>
      <c r="AT98" s="2144"/>
      <c r="AU98" s="2144"/>
      <c r="AV98" s="2144"/>
      <c r="AW98" s="2144"/>
      <c r="AX98" s="1480"/>
      <c r="AY98" s="1663"/>
      <c r="AZ98" s="1663"/>
      <c r="BA98" s="1663"/>
      <c r="BB98" s="1663"/>
      <c r="BC98" s="1663"/>
      <c r="BD98" s="1663"/>
      <c r="BE98" s="1663"/>
      <c r="BF98" s="1663"/>
      <c r="BG98" s="1663"/>
      <c r="BH98" s="1663"/>
      <c r="BI98" s="1200"/>
      <c r="BK98" s="1476"/>
    </row>
    <row r="99" spans="2:64" s="525" customFormat="1" ht="14">
      <c r="B99" s="1199"/>
      <c r="C99" s="1662"/>
      <c r="D99" s="1662"/>
      <c r="E99" s="1480"/>
      <c r="F99" s="1663"/>
      <c r="G99" s="1663"/>
      <c r="H99" s="2144"/>
      <c r="I99" s="2144"/>
      <c r="J99" s="2144"/>
      <c r="K99" s="2144"/>
      <c r="L99" s="2144"/>
      <c r="M99" s="2144"/>
      <c r="N99" s="2144"/>
      <c r="O99" s="2144"/>
      <c r="P99" s="2144"/>
      <c r="Q99" s="2144"/>
      <c r="R99" s="2144"/>
      <c r="S99" s="2144"/>
      <c r="T99" s="2144"/>
      <c r="U99" s="2144"/>
      <c r="V99" s="2144"/>
      <c r="W99" s="2144"/>
      <c r="X99" s="2144"/>
      <c r="Y99" s="2144"/>
      <c r="Z99" s="2144"/>
      <c r="AA99" s="2144"/>
      <c r="AB99" s="2144"/>
      <c r="AC99" s="2144"/>
      <c r="AD99" s="2144"/>
      <c r="AE99" s="2144"/>
      <c r="AF99" s="2144"/>
      <c r="AG99" s="2144"/>
      <c r="AH99" s="2144"/>
      <c r="AI99" s="2144"/>
      <c r="AJ99" s="2144"/>
      <c r="AK99" s="2144"/>
      <c r="AL99" s="2144"/>
      <c r="AM99" s="2144"/>
      <c r="AN99" s="2144"/>
      <c r="AO99" s="2144"/>
      <c r="AP99" s="2144"/>
      <c r="AQ99" s="2144"/>
      <c r="AR99" s="2144"/>
      <c r="AS99" s="2144"/>
      <c r="AT99" s="2144"/>
      <c r="AU99" s="2144"/>
      <c r="AV99" s="2144"/>
      <c r="AW99" s="2144"/>
      <c r="AX99" s="1663"/>
      <c r="AY99" s="1663"/>
      <c r="AZ99" s="1663"/>
      <c r="BA99" s="1663"/>
      <c r="BB99" s="1663"/>
      <c r="BC99" s="1663"/>
      <c r="BD99" s="1663"/>
      <c r="BE99" s="1663"/>
      <c r="BF99" s="1663"/>
      <c r="BG99" s="1663"/>
      <c r="BH99" s="1663"/>
      <c r="BI99" s="1200"/>
      <c r="BK99" s="1476"/>
    </row>
    <row r="100" spans="2:64" ht="14">
      <c r="B100" s="1189"/>
      <c r="C100" s="1480"/>
      <c r="D100" s="1480"/>
      <c r="E100" s="1480"/>
      <c r="F100" s="1192"/>
      <c r="G100" s="1192"/>
      <c r="H100" s="2143"/>
      <c r="I100" s="2143"/>
      <c r="J100" s="2143"/>
      <c r="K100" s="2143"/>
      <c r="L100" s="2143"/>
      <c r="M100" s="2143"/>
      <c r="N100" s="2143"/>
      <c r="O100" s="2143"/>
      <c r="P100" s="2143"/>
      <c r="Q100" s="2143"/>
      <c r="R100" s="2143"/>
      <c r="S100" s="2143"/>
      <c r="T100" s="2143"/>
      <c r="U100" s="2143"/>
      <c r="V100" s="2143"/>
      <c r="W100" s="2143"/>
      <c r="X100" s="2143"/>
      <c r="Y100" s="2143"/>
      <c r="Z100" s="2143"/>
      <c r="AA100" s="2143"/>
      <c r="AB100" s="2143"/>
      <c r="AC100" s="2143"/>
      <c r="AD100" s="2143"/>
      <c r="AE100" s="2143"/>
      <c r="AF100" s="2143"/>
      <c r="AG100" s="2143"/>
      <c r="AH100" s="2143"/>
      <c r="AI100" s="2143"/>
      <c r="AJ100" s="2143"/>
      <c r="AK100" s="2143"/>
      <c r="AL100" s="2143"/>
      <c r="AM100" s="2143"/>
      <c r="AN100" s="2143"/>
      <c r="AO100" s="2143"/>
      <c r="AP100" s="2143"/>
      <c r="AQ100" s="2143"/>
      <c r="AR100" s="2143"/>
      <c r="AS100" s="2143"/>
      <c r="AT100" s="2143"/>
      <c r="AU100" s="2143"/>
      <c r="AV100" s="2143"/>
      <c r="AW100" s="2143"/>
      <c r="AX100" s="1480"/>
      <c r="AY100" s="1192"/>
      <c r="AZ100" s="1192"/>
      <c r="BA100" s="1192"/>
      <c r="BB100" s="1192"/>
      <c r="BC100" s="1192"/>
      <c r="BD100" s="1192"/>
      <c r="BE100" s="1192"/>
      <c r="BF100" s="1192"/>
      <c r="BG100" s="1192"/>
      <c r="BH100" s="1192"/>
      <c r="BI100" s="1198"/>
      <c r="BK100" s="15"/>
      <c r="BL100" s="117"/>
    </row>
    <row r="101" spans="2:64" ht="14">
      <c r="B101" s="1189"/>
      <c r="C101" s="1480"/>
      <c r="D101" s="1480"/>
      <c r="E101" s="1480"/>
      <c r="F101" s="1192"/>
      <c r="G101" s="1192"/>
      <c r="H101" s="2143"/>
      <c r="I101" s="2143"/>
      <c r="J101" s="2143"/>
      <c r="K101" s="2143"/>
      <c r="L101" s="2143"/>
      <c r="M101" s="2143"/>
      <c r="N101" s="2143"/>
      <c r="O101" s="2143"/>
      <c r="P101" s="2143"/>
      <c r="Q101" s="2143"/>
      <c r="R101" s="2143"/>
      <c r="S101" s="2143"/>
      <c r="T101" s="2143"/>
      <c r="U101" s="2143"/>
      <c r="V101" s="2143"/>
      <c r="W101" s="2143"/>
      <c r="X101" s="2143"/>
      <c r="Y101" s="2143"/>
      <c r="Z101" s="2143"/>
      <c r="AA101" s="2143"/>
      <c r="AB101" s="2143"/>
      <c r="AC101" s="2143"/>
      <c r="AD101" s="2143"/>
      <c r="AE101" s="2143"/>
      <c r="AF101" s="2143"/>
      <c r="AG101" s="2143"/>
      <c r="AH101" s="2143"/>
      <c r="AI101" s="2143"/>
      <c r="AJ101" s="2143"/>
      <c r="AK101" s="2143"/>
      <c r="AL101" s="2143"/>
      <c r="AM101" s="2143"/>
      <c r="AN101" s="2143"/>
      <c r="AO101" s="2143"/>
      <c r="AP101" s="2143"/>
      <c r="AQ101" s="2143"/>
      <c r="AR101" s="2143"/>
      <c r="AS101" s="2143"/>
      <c r="AT101" s="2143"/>
      <c r="AU101" s="2143"/>
      <c r="AV101" s="2143"/>
      <c r="AW101" s="2143"/>
      <c r="AX101" s="1480"/>
      <c r="AY101" s="1192"/>
      <c r="AZ101" s="1192"/>
      <c r="BA101" s="1192"/>
      <c r="BB101" s="1192"/>
      <c r="BC101" s="1192"/>
      <c r="BD101" s="1192"/>
      <c r="BE101" s="1192"/>
      <c r="BF101" s="1192"/>
      <c r="BG101" s="1192"/>
      <c r="BH101" s="1192"/>
      <c r="BI101" s="1198"/>
      <c r="BK101" s="15"/>
      <c r="BL101" s="117"/>
    </row>
    <row r="102" spans="2:64" s="525" customFormat="1" ht="14">
      <c r="B102" s="1199"/>
      <c r="C102" s="1662"/>
      <c r="D102" s="1662"/>
      <c r="E102" s="1480"/>
      <c r="F102" s="1663"/>
      <c r="G102" s="1663"/>
      <c r="H102" s="2144"/>
      <c r="I102" s="2144"/>
      <c r="J102" s="2144"/>
      <c r="K102" s="2144"/>
      <c r="L102" s="2144"/>
      <c r="M102" s="2144"/>
      <c r="N102" s="2144"/>
      <c r="O102" s="2144"/>
      <c r="P102" s="2144"/>
      <c r="Q102" s="2144"/>
      <c r="R102" s="2144"/>
      <c r="S102" s="2144"/>
      <c r="T102" s="2144"/>
      <c r="U102" s="2144"/>
      <c r="V102" s="2144"/>
      <c r="W102" s="2144"/>
      <c r="X102" s="2144"/>
      <c r="Y102" s="2144"/>
      <c r="Z102" s="2144"/>
      <c r="AA102" s="2144"/>
      <c r="AB102" s="2144"/>
      <c r="AC102" s="2144"/>
      <c r="AD102" s="2144"/>
      <c r="AE102" s="2144"/>
      <c r="AF102" s="2144"/>
      <c r="AG102" s="2144"/>
      <c r="AH102" s="2144"/>
      <c r="AI102" s="2144"/>
      <c r="AJ102" s="2144"/>
      <c r="AK102" s="2144"/>
      <c r="AL102" s="2144"/>
      <c r="AM102" s="2144"/>
      <c r="AN102" s="2144"/>
      <c r="AO102" s="2144"/>
      <c r="AP102" s="2144"/>
      <c r="AQ102" s="2144"/>
      <c r="AR102" s="2144"/>
      <c r="AS102" s="2144"/>
      <c r="AT102" s="2144"/>
      <c r="AU102" s="2144"/>
      <c r="AV102" s="2144"/>
      <c r="AW102" s="2144"/>
      <c r="AX102" s="1480"/>
      <c r="AY102" s="1663"/>
      <c r="AZ102" s="1663"/>
      <c r="BA102" s="1663"/>
      <c r="BB102" s="1663"/>
      <c r="BC102" s="1663"/>
      <c r="BD102" s="1663"/>
      <c r="BE102" s="1663"/>
      <c r="BF102" s="1663"/>
      <c r="BG102" s="1663"/>
      <c r="BH102" s="1663"/>
      <c r="BI102" s="1200"/>
      <c r="BK102" s="1476"/>
    </row>
    <row r="103" spans="2:64" s="525" customFormat="1" ht="14">
      <c r="B103" s="1199"/>
      <c r="C103" s="1662"/>
      <c r="D103" s="1662"/>
      <c r="E103" s="1480"/>
      <c r="F103" s="1663"/>
      <c r="G103" s="1663"/>
      <c r="H103" s="2144"/>
      <c r="I103" s="2144"/>
      <c r="J103" s="2144"/>
      <c r="K103" s="2144"/>
      <c r="L103" s="2144"/>
      <c r="M103" s="2144"/>
      <c r="N103" s="2144"/>
      <c r="O103" s="2144"/>
      <c r="P103" s="2144"/>
      <c r="Q103" s="2144"/>
      <c r="R103" s="2144"/>
      <c r="S103" s="2144"/>
      <c r="T103" s="2144"/>
      <c r="U103" s="2144"/>
      <c r="V103" s="2144"/>
      <c r="W103" s="2144"/>
      <c r="X103" s="2144"/>
      <c r="Y103" s="2144"/>
      <c r="Z103" s="2144"/>
      <c r="AA103" s="2144"/>
      <c r="AB103" s="2144"/>
      <c r="AC103" s="2144"/>
      <c r="AD103" s="2144"/>
      <c r="AE103" s="2144"/>
      <c r="AF103" s="2144"/>
      <c r="AG103" s="2144"/>
      <c r="AH103" s="2144"/>
      <c r="AI103" s="2144"/>
      <c r="AJ103" s="2144"/>
      <c r="AK103" s="2144"/>
      <c r="AL103" s="2144"/>
      <c r="AM103" s="2144"/>
      <c r="AN103" s="2144"/>
      <c r="AO103" s="2144"/>
      <c r="AP103" s="2144"/>
      <c r="AQ103" s="2144"/>
      <c r="AR103" s="2144"/>
      <c r="AS103" s="2144"/>
      <c r="AT103" s="2144"/>
      <c r="AU103" s="2144"/>
      <c r="AV103" s="2144"/>
      <c r="AW103" s="2144"/>
      <c r="AX103" s="1480"/>
      <c r="AY103" s="1663"/>
      <c r="AZ103" s="1663"/>
      <c r="BA103" s="1663"/>
      <c r="BB103" s="1663"/>
      <c r="BC103" s="1663"/>
      <c r="BD103" s="1663"/>
      <c r="BE103" s="1663"/>
      <c r="BF103" s="1663"/>
      <c r="BG103" s="1663"/>
      <c r="BH103" s="1663"/>
      <c r="BI103" s="1200"/>
      <c r="BK103" s="1476"/>
    </row>
    <row r="104" spans="2:64" s="525" customFormat="1" ht="14">
      <c r="B104" s="1199"/>
      <c r="C104" s="1662"/>
      <c r="D104" s="1662"/>
      <c r="E104" s="1480"/>
      <c r="F104" s="1663"/>
      <c r="G104" s="1663"/>
      <c r="H104" s="2144"/>
      <c r="I104" s="2144"/>
      <c r="J104" s="2144"/>
      <c r="K104" s="2144"/>
      <c r="L104" s="2144"/>
      <c r="M104" s="2144"/>
      <c r="N104" s="2144"/>
      <c r="O104" s="2144"/>
      <c r="P104" s="2144"/>
      <c r="Q104" s="2144"/>
      <c r="R104" s="2144"/>
      <c r="S104" s="2144"/>
      <c r="T104" s="2144"/>
      <c r="U104" s="2144"/>
      <c r="V104" s="2144"/>
      <c r="W104" s="2144"/>
      <c r="X104" s="2144"/>
      <c r="Y104" s="2144"/>
      <c r="Z104" s="2144"/>
      <c r="AA104" s="2144"/>
      <c r="AB104" s="2144"/>
      <c r="AC104" s="2144"/>
      <c r="AD104" s="2144"/>
      <c r="AE104" s="2144"/>
      <c r="AF104" s="2144"/>
      <c r="AG104" s="2144"/>
      <c r="AH104" s="2144"/>
      <c r="AI104" s="2144"/>
      <c r="AJ104" s="2144"/>
      <c r="AK104" s="2144"/>
      <c r="AL104" s="2144"/>
      <c r="AM104" s="2144"/>
      <c r="AN104" s="2144"/>
      <c r="AO104" s="2144"/>
      <c r="AP104" s="2144"/>
      <c r="AQ104" s="2144"/>
      <c r="AR104" s="2144"/>
      <c r="AS104" s="2144"/>
      <c r="AT104" s="2144"/>
      <c r="AU104" s="2144"/>
      <c r="AV104" s="2144"/>
      <c r="AW104" s="2144"/>
      <c r="AX104" s="1480"/>
      <c r="AY104" s="1663"/>
      <c r="AZ104" s="1663"/>
      <c r="BA104" s="1663"/>
      <c r="BB104" s="1663"/>
      <c r="BC104" s="1663"/>
      <c r="BD104" s="1663"/>
      <c r="BE104" s="1663"/>
      <c r="BF104" s="1663"/>
      <c r="BG104" s="1663"/>
      <c r="BH104" s="1663"/>
      <c r="BI104" s="1200"/>
      <c r="BK104" s="1476"/>
    </row>
    <row r="105" spans="2:64" s="525" customFormat="1" ht="14">
      <c r="B105" s="1199"/>
      <c r="C105" s="1662"/>
      <c r="D105" s="1662"/>
      <c r="E105" s="1480"/>
      <c r="F105" s="1663"/>
      <c r="G105" s="1663"/>
      <c r="H105" s="2144"/>
      <c r="I105" s="2144"/>
      <c r="J105" s="2144"/>
      <c r="K105" s="2144"/>
      <c r="L105" s="2144"/>
      <c r="M105" s="2144"/>
      <c r="N105" s="2144"/>
      <c r="O105" s="2144"/>
      <c r="P105" s="2144"/>
      <c r="Q105" s="2144"/>
      <c r="R105" s="2144"/>
      <c r="S105" s="2144"/>
      <c r="T105" s="2144"/>
      <c r="U105" s="2144"/>
      <c r="V105" s="2144"/>
      <c r="W105" s="2144"/>
      <c r="X105" s="2144"/>
      <c r="Y105" s="2144"/>
      <c r="Z105" s="2144"/>
      <c r="AA105" s="2144"/>
      <c r="AB105" s="2144"/>
      <c r="AC105" s="2144"/>
      <c r="AD105" s="2144"/>
      <c r="AE105" s="2144"/>
      <c r="AF105" s="2144"/>
      <c r="AG105" s="2144"/>
      <c r="AH105" s="2144"/>
      <c r="AI105" s="2144"/>
      <c r="AJ105" s="2144"/>
      <c r="AK105" s="2144"/>
      <c r="AL105" s="2144"/>
      <c r="AM105" s="2144"/>
      <c r="AN105" s="2144"/>
      <c r="AO105" s="2144"/>
      <c r="AP105" s="2144"/>
      <c r="AQ105" s="2144"/>
      <c r="AR105" s="2144"/>
      <c r="AS105" s="2144"/>
      <c r="AT105" s="2144"/>
      <c r="AU105" s="2144"/>
      <c r="AV105" s="2144"/>
      <c r="AW105" s="2144"/>
      <c r="AX105" s="1480"/>
      <c r="AY105" s="1663"/>
      <c r="AZ105" s="1663"/>
      <c r="BA105" s="1663"/>
      <c r="BB105" s="1663"/>
      <c r="BC105" s="1663"/>
      <c r="BD105" s="1663"/>
      <c r="BE105" s="1663"/>
      <c r="BF105" s="1663"/>
      <c r="BG105" s="1663"/>
      <c r="BH105" s="1663"/>
      <c r="BI105" s="1200"/>
      <c r="BK105" s="1476"/>
    </row>
    <row r="106" spans="2:64" s="525" customFormat="1" ht="14">
      <c r="B106" s="1199"/>
      <c r="C106" s="1662"/>
      <c r="D106" s="1662"/>
      <c r="E106" s="1480"/>
      <c r="F106" s="1663"/>
      <c r="G106" s="1663"/>
      <c r="H106" s="2144"/>
      <c r="I106" s="2144"/>
      <c r="J106" s="2144"/>
      <c r="K106" s="2144"/>
      <c r="L106" s="2144"/>
      <c r="M106" s="2144"/>
      <c r="N106" s="2144"/>
      <c r="O106" s="2144"/>
      <c r="P106" s="2144"/>
      <c r="Q106" s="2144"/>
      <c r="R106" s="2144"/>
      <c r="S106" s="2144"/>
      <c r="T106" s="2144"/>
      <c r="U106" s="2144"/>
      <c r="V106" s="2144"/>
      <c r="W106" s="2144"/>
      <c r="X106" s="2144"/>
      <c r="Y106" s="2144"/>
      <c r="Z106" s="2144"/>
      <c r="AA106" s="2144"/>
      <c r="AB106" s="2144"/>
      <c r="AC106" s="2144"/>
      <c r="AD106" s="2144"/>
      <c r="AE106" s="2144"/>
      <c r="AF106" s="2144"/>
      <c r="AG106" s="2144"/>
      <c r="AH106" s="2144"/>
      <c r="AI106" s="2144"/>
      <c r="AJ106" s="2144"/>
      <c r="AK106" s="2144"/>
      <c r="AL106" s="2144"/>
      <c r="AM106" s="2144"/>
      <c r="AN106" s="2144"/>
      <c r="AO106" s="2144"/>
      <c r="AP106" s="2144"/>
      <c r="AQ106" s="2144"/>
      <c r="AR106" s="2144"/>
      <c r="AS106" s="2144"/>
      <c r="AT106" s="2144"/>
      <c r="AU106" s="2144"/>
      <c r="AV106" s="2144"/>
      <c r="AW106" s="2144"/>
      <c r="AX106" s="1480"/>
      <c r="AY106" s="1663"/>
      <c r="AZ106" s="1663"/>
      <c r="BA106" s="1663"/>
      <c r="BB106" s="1663"/>
      <c r="BC106" s="1663"/>
      <c r="BD106" s="1663"/>
      <c r="BE106" s="1663"/>
      <c r="BF106" s="1663"/>
      <c r="BG106" s="1663"/>
      <c r="BH106" s="1663"/>
      <c r="BI106" s="1200"/>
      <c r="BK106" s="1476"/>
    </row>
    <row r="107" spans="2:64" s="525" customFormat="1" ht="14">
      <c r="B107" s="1199"/>
      <c r="C107" s="1662"/>
      <c r="D107" s="1662"/>
      <c r="E107" s="1480"/>
      <c r="F107" s="1663"/>
      <c r="G107" s="1663"/>
      <c r="H107" s="2144"/>
      <c r="I107" s="2144"/>
      <c r="J107" s="2144"/>
      <c r="K107" s="2144"/>
      <c r="L107" s="2144"/>
      <c r="M107" s="2144"/>
      <c r="N107" s="2144"/>
      <c r="O107" s="2144"/>
      <c r="P107" s="2144"/>
      <c r="Q107" s="2144"/>
      <c r="R107" s="2144"/>
      <c r="S107" s="2144"/>
      <c r="T107" s="2144"/>
      <c r="U107" s="2144"/>
      <c r="V107" s="2144"/>
      <c r="W107" s="2144"/>
      <c r="X107" s="2144"/>
      <c r="Y107" s="2144"/>
      <c r="Z107" s="2144"/>
      <c r="AA107" s="2144"/>
      <c r="AB107" s="2144"/>
      <c r="AC107" s="2144"/>
      <c r="AD107" s="2144"/>
      <c r="AE107" s="2144"/>
      <c r="AF107" s="2144"/>
      <c r="AG107" s="2144"/>
      <c r="AH107" s="2144"/>
      <c r="AI107" s="2144"/>
      <c r="AJ107" s="2144"/>
      <c r="AK107" s="2144"/>
      <c r="AL107" s="2144"/>
      <c r="AM107" s="2144"/>
      <c r="AN107" s="2144"/>
      <c r="AO107" s="2144"/>
      <c r="AP107" s="2144"/>
      <c r="AQ107" s="2144"/>
      <c r="AR107" s="2144"/>
      <c r="AS107" s="2144"/>
      <c r="AT107" s="2144"/>
      <c r="AU107" s="2144"/>
      <c r="AV107" s="2144"/>
      <c r="AW107" s="2144"/>
      <c r="AX107" s="1480"/>
      <c r="AY107" s="1663"/>
      <c r="AZ107" s="1663"/>
      <c r="BA107" s="1663"/>
      <c r="BB107" s="1663"/>
      <c r="BC107" s="1663"/>
      <c r="BD107" s="1663"/>
      <c r="BE107" s="1663"/>
      <c r="BF107" s="1663"/>
      <c r="BG107" s="1663"/>
      <c r="BH107" s="1663"/>
      <c r="BI107" s="1200"/>
      <c r="BK107" s="1476"/>
    </row>
    <row r="108" spans="2:64" s="525" customFormat="1" ht="14">
      <c r="B108" s="1199"/>
      <c r="C108" s="1662"/>
      <c r="D108" s="1662"/>
      <c r="E108" s="1480"/>
      <c r="F108" s="1663"/>
      <c r="G108" s="1663"/>
      <c r="H108" s="2144"/>
      <c r="I108" s="2144"/>
      <c r="J108" s="2144"/>
      <c r="K108" s="2144"/>
      <c r="L108" s="2144"/>
      <c r="M108" s="2144"/>
      <c r="N108" s="2144"/>
      <c r="O108" s="2144"/>
      <c r="P108" s="2144"/>
      <c r="Q108" s="2144"/>
      <c r="R108" s="2144"/>
      <c r="S108" s="2144"/>
      <c r="T108" s="2144"/>
      <c r="U108" s="2144"/>
      <c r="V108" s="2144"/>
      <c r="W108" s="2144"/>
      <c r="X108" s="2144"/>
      <c r="Y108" s="2144"/>
      <c r="Z108" s="2144"/>
      <c r="AA108" s="2144"/>
      <c r="AB108" s="2144"/>
      <c r="AC108" s="2144"/>
      <c r="AD108" s="2144"/>
      <c r="AE108" s="2144"/>
      <c r="AF108" s="2144"/>
      <c r="AG108" s="2144"/>
      <c r="AH108" s="2144"/>
      <c r="AI108" s="2144"/>
      <c r="AJ108" s="2144"/>
      <c r="AK108" s="2144"/>
      <c r="AL108" s="2144"/>
      <c r="AM108" s="2144"/>
      <c r="AN108" s="2144"/>
      <c r="AO108" s="2144"/>
      <c r="AP108" s="2144"/>
      <c r="AQ108" s="2144"/>
      <c r="AR108" s="2144"/>
      <c r="AS108" s="2144"/>
      <c r="AT108" s="2144"/>
      <c r="AU108" s="2144"/>
      <c r="AV108" s="2144"/>
      <c r="AW108" s="2144"/>
      <c r="AX108" s="1480"/>
      <c r="AY108" s="1663"/>
      <c r="AZ108" s="1663"/>
      <c r="BA108" s="1663"/>
      <c r="BB108" s="1663"/>
      <c r="BC108" s="1663"/>
      <c r="BD108" s="1663"/>
      <c r="BE108" s="1663"/>
      <c r="BF108" s="1663"/>
      <c r="BG108" s="1663"/>
      <c r="BH108" s="1663"/>
      <c r="BI108" s="1200"/>
      <c r="BK108" s="1476"/>
    </row>
    <row r="109" spans="2:64" s="117" customFormat="1" ht="14">
      <c r="B109" s="1189"/>
      <c r="C109" s="1480"/>
      <c r="D109" s="1480"/>
      <c r="E109" s="1480"/>
      <c r="F109" s="1192"/>
      <c r="G109" s="1192"/>
      <c r="H109" s="2143"/>
      <c r="I109" s="2143"/>
      <c r="J109" s="2143"/>
      <c r="K109" s="2143"/>
      <c r="L109" s="2143"/>
      <c r="M109" s="2143"/>
      <c r="N109" s="2143"/>
      <c r="O109" s="2143"/>
      <c r="P109" s="2143"/>
      <c r="Q109" s="2143"/>
      <c r="R109" s="2143"/>
      <c r="S109" s="2143"/>
      <c r="T109" s="2143"/>
      <c r="U109" s="2143"/>
      <c r="V109" s="2143"/>
      <c r="W109" s="2143"/>
      <c r="X109" s="2143"/>
      <c r="Y109" s="2143"/>
      <c r="Z109" s="2143"/>
      <c r="AA109" s="2143"/>
      <c r="AB109" s="2143"/>
      <c r="AC109" s="2143"/>
      <c r="AD109" s="2143"/>
      <c r="AE109" s="2143"/>
      <c r="AF109" s="2143"/>
      <c r="AG109" s="2143"/>
      <c r="AH109" s="2143"/>
      <c r="AI109" s="2143"/>
      <c r="AJ109" s="2143"/>
      <c r="AK109" s="2143"/>
      <c r="AL109" s="2143"/>
      <c r="AM109" s="2143"/>
      <c r="AN109" s="2143"/>
      <c r="AO109" s="2143"/>
      <c r="AP109" s="2143"/>
      <c r="AQ109" s="2143"/>
      <c r="AR109" s="2143"/>
      <c r="AS109" s="2143"/>
      <c r="AT109" s="2143"/>
      <c r="AU109" s="2143"/>
      <c r="AV109" s="2143"/>
      <c r="AW109" s="2143"/>
      <c r="AX109" s="1480"/>
      <c r="AY109" s="1192"/>
      <c r="AZ109" s="1192"/>
      <c r="BA109" s="1192"/>
      <c r="BB109" s="1192"/>
      <c r="BC109" s="1192"/>
      <c r="BD109" s="1192"/>
      <c r="BE109" s="1192"/>
      <c r="BF109" s="1192"/>
      <c r="BG109" s="1192"/>
      <c r="BH109" s="1192"/>
      <c r="BI109" s="1198"/>
      <c r="BK109" s="15"/>
    </row>
    <row r="110" spans="2:64" s="117" customFormat="1" ht="14">
      <c r="B110" s="1189"/>
      <c r="C110" s="1480"/>
      <c r="D110" s="1480"/>
      <c r="E110" s="1480"/>
      <c r="F110" s="1192"/>
      <c r="G110" s="1192"/>
      <c r="H110" s="2143"/>
      <c r="I110" s="2143"/>
      <c r="J110" s="2143"/>
      <c r="K110" s="2143"/>
      <c r="L110" s="2143"/>
      <c r="M110" s="2143"/>
      <c r="N110" s="2143"/>
      <c r="O110" s="2143"/>
      <c r="P110" s="2143"/>
      <c r="Q110" s="2143"/>
      <c r="R110" s="2143"/>
      <c r="S110" s="2143"/>
      <c r="T110" s="2143"/>
      <c r="U110" s="2143"/>
      <c r="V110" s="2143"/>
      <c r="W110" s="2143"/>
      <c r="X110" s="2143"/>
      <c r="Y110" s="2143"/>
      <c r="Z110" s="2143"/>
      <c r="AA110" s="2143"/>
      <c r="AB110" s="2143"/>
      <c r="AC110" s="2143"/>
      <c r="AD110" s="2143"/>
      <c r="AE110" s="2143"/>
      <c r="AF110" s="2143"/>
      <c r="AG110" s="2143"/>
      <c r="AH110" s="2143"/>
      <c r="AI110" s="2143"/>
      <c r="AJ110" s="2143"/>
      <c r="AK110" s="2143"/>
      <c r="AL110" s="2143"/>
      <c r="AM110" s="2143"/>
      <c r="AN110" s="2143"/>
      <c r="AO110" s="2143"/>
      <c r="AP110" s="2143"/>
      <c r="AQ110" s="2143"/>
      <c r="AR110" s="2143"/>
      <c r="AS110" s="2143"/>
      <c r="AT110" s="2143"/>
      <c r="AU110" s="2143"/>
      <c r="AV110" s="2143"/>
      <c r="AW110" s="2143"/>
      <c r="AX110" s="1480"/>
      <c r="AY110" s="1192"/>
      <c r="AZ110" s="1192"/>
      <c r="BA110" s="1192"/>
      <c r="BB110" s="1192"/>
      <c r="BC110" s="1192"/>
      <c r="BD110" s="1192"/>
      <c r="BE110" s="1192"/>
      <c r="BF110" s="1192"/>
      <c r="BG110" s="1192"/>
      <c r="BH110" s="1192"/>
      <c r="BI110" s="1198"/>
      <c r="BK110" s="15"/>
    </row>
    <row r="111" spans="2:64" ht="14">
      <c r="B111" s="1189"/>
      <c r="C111" s="1480"/>
      <c r="D111" s="1201"/>
      <c r="E111" s="1480"/>
      <c r="F111" s="1202"/>
      <c r="G111" s="1624"/>
      <c r="H111" s="2145"/>
      <c r="I111" s="2145"/>
      <c r="J111" s="2145"/>
      <c r="K111" s="2145"/>
      <c r="L111" s="2145"/>
      <c r="M111" s="2145"/>
      <c r="N111" s="2145"/>
      <c r="O111" s="2145"/>
      <c r="P111" s="2145"/>
      <c r="Q111" s="2145"/>
      <c r="R111" s="2145"/>
      <c r="S111" s="2145"/>
      <c r="T111" s="2145"/>
      <c r="U111" s="2145"/>
      <c r="V111" s="2145"/>
      <c r="W111" s="2145"/>
      <c r="X111" s="2145"/>
      <c r="Y111" s="2145"/>
      <c r="Z111" s="2145"/>
      <c r="AA111" s="2145"/>
      <c r="AB111" s="2145"/>
      <c r="AC111" s="2145"/>
      <c r="AD111" s="2145"/>
      <c r="AE111" s="2145"/>
      <c r="AF111" s="2145"/>
      <c r="AG111" s="2145"/>
      <c r="AH111" s="2145"/>
      <c r="AI111" s="2145"/>
      <c r="AJ111" s="2145"/>
      <c r="AK111" s="2145"/>
      <c r="AL111" s="2145"/>
      <c r="AM111" s="2145"/>
      <c r="AN111" s="2145"/>
      <c r="AO111" s="2145"/>
      <c r="AP111" s="2145"/>
      <c r="AQ111" s="2145"/>
      <c r="AR111" s="2145"/>
      <c r="AS111" s="2145"/>
      <c r="AT111" s="2145"/>
      <c r="AU111" s="2145"/>
      <c r="AV111" s="2145"/>
      <c r="AW111" s="2145"/>
      <c r="AX111" s="1480"/>
      <c r="AY111" s="1202"/>
      <c r="AZ111" s="1202"/>
      <c r="BA111" s="1202"/>
      <c r="BB111" s="1202"/>
      <c r="BC111" s="1202"/>
      <c r="BD111" s="1202"/>
      <c r="BE111" s="1202"/>
      <c r="BF111" s="1202"/>
      <c r="BG111" s="1202"/>
      <c r="BH111" s="1202"/>
      <c r="BI111" s="1198"/>
      <c r="BJ111" s="1442"/>
    </row>
    <row r="112" spans="2:64" s="1823" customFormat="1" ht="14">
      <c r="B112" s="1189"/>
      <c r="C112" s="1480"/>
      <c r="D112" s="1623"/>
      <c r="E112" s="1480"/>
      <c r="F112" s="1624"/>
      <c r="G112" s="1624"/>
      <c r="H112" s="2145"/>
      <c r="I112" s="2145"/>
      <c r="J112" s="2145"/>
      <c r="K112" s="2145"/>
      <c r="L112" s="2145"/>
      <c r="M112" s="2145"/>
      <c r="N112" s="2145"/>
      <c r="O112" s="2145"/>
      <c r="P112" s="2145"/>
      <c r="Q112" s="2145"/>
      <c r="R112" s="2145"/>
      <c r="S112" s="2145"/>
      <c r="T112" s="2145"/>
      <c r="U112" s="2145"/>
      <c r="V112" s="2145"/>
      <c r="W112" s="2145"/>
      <c r="X112" s="2145"/>
      <c r="Y112" s="2145"/>
      <c r="Z112" s="2145"/>
      <c r="AA112" s="2145"/>
      <c r="AB112" s="2145"/>
      <c r="AC112" s="2145"/>
      <c r="AD112" s="2145"/>
      <c r="AE112" s="2145"/>
      <c r="AF112" s="2145"/>
      <c r="AG112" s="2145"/>
      <c r="AH112" s="2145"/>
      <c r="AI112" s="2145"/>
      <c r="AJ112" s="2145"/>
      <c r="AK112" s="2145"/>
      <c r="AL112" s="2145"/>
      <c r="AM112" s="2145"/>
      <c r="AN112" s="2145"/>
      <c r="AO112" s="2145"/>
      <c r="AP112" s="2145"/>
      <c r="AQ112" s="2145"/>
      <c r="AR112" s="2145"/>
      <c r="AS112" s="2145"/>
      <c r="AT112" s="2145"/>
      <c r="AU112" s="2145"/>
      <c r="AV112" s="2145"/>
      <c r="AW112" s="2145"/>
      <c r="AX112" s="1480"/>
      <c r="AY112" s="1624"/>
      <c r="AZ112" s="1624"/>
      <c r="BA112" s="1624"/>
      <c r="BB112" s="1624"/>
      <c r="BC112" s="1624"/>
      <c r="BD112" s="1624"/>
      <c r="BE112" s="1624"/>
      <c r="BF112" s="1624"/>
      <c r="BG112" s="1624"/>
      <c r="BH112" s="1624"/>
      <c r="BI112" s="1198"/>
    </row>
    <row r="113" spans="2:61" s="1618" customFormat="1" ht="14">
      <c r="B113" s="1189"/>
      <c r="C113" s="1190"/>
      <c r="D113" s="1317"/>
      <c r="E113" s="1190"/>
      <c r="F113" s="1824"/>
      <c r="G113" s="1824"/>
      <c r="H113" s="2143"/>
      <c r="I113" s="2143"/>
      <c r="J113" s="2143"/>
      <c r="K113" s="2143"/>
      <c r="L113" s="2143"/>
      <c r="M113" s="2143"/>
      <c r="N113" s="2143"/>
      <c r="O113" s="2143"/>
      <c r="P113" s="2143"/>
      <c r="Q113" s="2143"/>
      <c r="R113" s="2143"/>
      <c r="S113" s="2143"/>
      <c r="T113" s="2143"/>
      <c r="U113" s="2143"/>
      <c r="V113" s="2143"/>
      <c r="W113" s="2143"/>
      <c r="X113" s="2143"/>
      <c r="Y113" s="2143"/>
      <c r="Z113" s="2143"/>
      <c r="AA113" s="2143"/>
      <c r="AB113" s="2143"/>
      <c r="AC113" s="2143"/>
      <c r="AD113" s="2143"/>
      <c r="AE113" s="2143"/>
      <c r="AF113" s="2143"/>
      <c r="AG113" s="2143"/>
      <c r="AH113" s="2143"/>
      <c r="AI113" s="2143"/>
      <c r="AJ113" s="2143"/>
      <c r="AK113" s="2143"/>
      <c r="AL113" s="2143"/>
      <c r="AM113" s="2143"/>
      <c r="AN113" s="2143"/>
      <c r="AO113" s="2143"/>
      <c r="AP113" s="2143"/>
      <c r="AQ113" s="2143"/>
      <c r="AR113" s="2143"/>
      <c r="AS113" s="2143"/>
      <c r="AT113" s="2143"/>
      <c r="AU113" s="2143"/>
      <c r="AV113" s="2143"/>
      <c r="AW113" s="2143"/>
      <c r="AX113" s="1824"/>
      <c r="AY113" s="1824"/>
      <c r="AZ113" s="1824"/>
      <c r="BA113" s="1824"/>
      <c r="BB113" s="1824"/>
      <c r="BC113" s="1824"/>
      <c r="BD113" s="1824"/>
      <c r="BE113" s="1824"/>
      <c r="BF113" s="1824"/>
      <c r="BG113" s="1824"/>
      <c r="BH113" s="1824"/>
      <c r="BI113" s="1198"/>
    </row>
    <row r="114" spans="2:61" s="1618" customFormat="1" ht="14">
      <c r="B114" s="1189"/>
      <c r="C114" s="1190"/>
      <c r="D114" s="1317"/>
      <c r="E114" s="1190"/>
      <c r="F114" s="1824"/>
      <c r="G114" s="1824"/>
      <c r="H114" s="2143"/>
      <c r="I114" s="2143"/>
      <c r="J114" s="2143"/>
      <c r="K114" s="2143"/>
      <c r="L114" s="2143"/>
      <c r="M114" s="2143"/>
      <c r="N114" s="2143"/>
      <c r="O114" s="2143"/>
      <c r="P114" s="2143"/>
      <c r="Q114" s="2143"/>
      <c r="R114" s="2143"/>
      <c r="S114" s="2143"/>
      <c r="T114" s="2143"/>
      <c r="U114" s="2143"/>
      <c r="V114" s="2143"/>
      <c r="W114" s="2143"/>
      <c r="X114" s="2143"/>
      <c r="Y114" s="2143"/>
      <c r="Z114" s="2143"/>
      <c r="AA114" s="2143"/>
      <c r="AB114" s="2143"/>
      <c r="AC114" s="2143"/>
      <c r="AD114" s="2143"/>
      <c r="AE114" s="2143"/>
      <c r="AF114" s="2143"/>
      <c r="AG114" s="2143"/>
      <c r="AH114" s="2143"/>
      <c r="AI114" s="2143"/>
      <c r="AJ114" s="2143"/>
      <c r="AK114" s="2143"/>
      <c r="AL114" s="2143"/>
      <c r="AM114" s="2143"/>
      <c r="AN114" s="2143"/>
      <c r="AO114" s="2143"/>
      <c r="AP114" s="2143"/>
      <c r="AQ114" s="2143"/>
      <c r="AR114" s="2143"/>
      <c r="AS114" s="2143"/>
      <c r="AT114" s="2143"/>
      <c r="AU114" s="2143"/>
      <c r="AV114" s="2143"/>
      <c r="AW114" s="2143"/>
      <c r="AX114" s="1824"/>
      <c r="AY114" s="1824"/>
      <c r="AZ114" s="1824"/>
      <c r="BA114" s="1824"/>
      <c r="BB114" s="1824"/>
      <c r="BC114" s="1824"/>
      <c r="BD114" s="1824"/>
      <c r="BE114" s="1824"/>
      <c r="BF114" s="1824"/>
      <c r="BG114" s="1824"/>
      <c r="BH114" s="1824"/>
      <c r="BI114" s="1198"/>
    </row>
    <row r="115" spans="2:61" s="1618" customFormat="1" ht="14">
      <c r="B115" s="1189"/>
      <c r="C115" s="1623"/>
      <c r="D115" s="1190"/>
      <c r="E115" s="1624"/>
      <c r="F115" s="1190"/>
      <c r="G115" s="1190"/>
      <c r="H115" s="2136"/>
      <c r="I115" s="2136"/>
      <c r="J115" s="2136"/>
      <c r="K115" s="2136"/>
      <c r="L115" s="2136"/>
      <c r="M115" s="2136"/>
      <c r="N115" s="2136"/>
      <c r="O115" s="2136"/>
      <c r="P115" s="2136"/>
      <c r="Q115" s="2136"/>
      <c r="R115" s="2136"/>
      <c r="S115" s="2136"/>
      <c r="T115" s="2136"/>
      <c r="U115" s="2136"/>
      <c r="V115" s="2136"/>
      <c r="W115" s="2136"/>
      <c r="X115" s="2136"/>
      <c r="Y115" s="2136"/>
      <c r="Z115" s="2136"/>
      <c r="AA115" s="2136"/>
      <c r="AB115" s="2136"/>
      <c r="AC115" s="2136"/>
      <c r="AD115" s="2136"/>
      <c r="AE115" s="2136"/>
      <c r="AF115" s="2136"/>
      <c r="AG115" s="2136"/>
      <c r="AH115" s="2136"/>
      <c r="AI115" s="2136"/>
      <c r="AJ115" s="2136"/>
      <c r="AK115" s="2136"/>
      <c r="AL115" s="2136"/>
      <c r="AM115" s="2136"/>
      <c r="AN115" s="2136"/>
      <c r="AO115" s="2136"/>
      <c r="AP115" s="2136"/>
      <c r="AQ115" s="2136"/>
      <c r="AR115" s="2136"/>
      <c r="AS115" s="2136"/>
      <c r="AT115" s="2136"/>
      <c r="AU115" s="2136"/>
      <c r="AV115" s="2136"/>
      <c r="AW115" s="2136"/>
      <c r="AX115" s="1624"/>
      <c r="AY115" s="1624"/>
      <c r="AZ115" s="1624"/>
      <c r="BA115" s="1624"/>
      <c r="BB115" s="1624"/>
      <c r="BC115" s="1624"/>
      <c r="BD115" s="1624"/>
      <c r="BE115" s="1624"/>
      <c r="BF115" s="1624"/>
      <c r="BG115" s="1624"/>
      <c r="BH115" s="1624"/>
      <c r="BI115" s="1198"/>
    </row>
    <row r="116" spans="2:61" s="1618" customFormat="1" ht="14">
      <c r="B116" s="1189"/>
      <c r="C116" s="1306"/>
      <c r="D116" s="1306"/>
      <c r="E116" s="1306"/>
      <c r="F116" s="1306"/>
      <c r="G116" s="1306"/>
      <c r="H116" s="2146"/>
      <c r="I116" s="2146"/>
      <c r="J116" s="2146"/>
      <c r="K116" s="2146"/>
      <c r="L116" s="2146"/>
      <c r="M116" s="2146"/>
      <c r="N116" s="2146"/>
      <c r="O116" s="2146"/>
      <c r="P116" s="2146"/>
      <c r="Q116" s="2146"/>
      <c r="R116" s="2146"/>
      <c r="S116" s="2146"/>
      <c r="T116" s="2146"/>
      <c r="U116" s="2146"/>
      <c r="V116" s="2146"/>
      <c r="W116" s="2146"/>
      <c r="X116" s="2146"/>
      <c r="Y116" s="2146"/>
      <c r="Z116" s="2146"/>
      <c r="AA116" s="2146"/>
      <c r="AB116" s="2146"/>
      <c r="AC116" s="2146"/>
      <c r="AD116" s="2146"/>
      <c r="AE116" s="2146"/>
      <c r="AF116" s="2146"/>
      <c r="AG116" s="2146"/>
      <c r="AH116" s="2146"/>
      <c r="AI116" s="2146"/>
      <c r="AJ116" s="2146"/>
      <c r="AK116" s="2146"/>
      <c r="AL116" s="2146"/>
      <c r="AM116" s="2146"/>
      <c r="AN116" s="2146"/>
      <c r="AO116" s="2146"/>
      <c r="AP116" s="2146"/>
      <c r="AQ116" s="2146"/>
      <c r="AR116" s="2146"/>
      <c r="AS116" s="2146"/>
      <c r="AT116" s="2146"/>
      <c r="AU116" s="2146"/>
      <c r="AV116" s="2146"/>
      <c r="AW116" s="2146"/>
      <c r="AX116" s="1306"/>
      <c r="AY116" s="1307"/>
      <c r="AZ116" s="1307"/>
      <c r="BA116" s="1307"/>
      <c r="BB116" s="1307"/>
      <c r="BC116" s="1307"/>
      <c r="BD116" s="1307"/>
      <c r="BE116" s="1307"/>
      <c r="BF116" s="1307"/>
      <c r="BG116" s="1307"/>
      <c r="BH116" s="1307"/>
      <c r="BI116" s="1198"/>
    </row>
    <row r="117" spans="2:61" s="1618" customFormat="1" ht="14">
      <c r="B117" s="1189"/>
      <c r="C117" s="1480"/>
      <c r="D117" s="1190"/>
      <c r="E117" s="1480"/>
      <c r="F117" s="1624"/>
      <c r="G117" s="1624"/>
      <c r="H117" s="2145"/>
      <c r="I117" s="2145"/>
      <c r="J117" s="2145"/>
      <c r="K117" s="2145"/>
      <c r="L117" s="2145"/>
      <c r="M117" s="2145"/>
      <c r="N117" s="2145"/>
      <c r="O117" s="2145"/>
      <c r="P117" s="2145"/>
      <c r="Q117" s="2145"/>
      <c r="R117" s="2145"/>
      <c r="S117" s="2145"/>
      <c r="T117" s="2145"/>
      <c r="U117" s="2145"/>
      <c r="V117" s="2145"/>
      <c r="W117" s="2145"/>
      <c r="X117" s="2145"/>
      <c r="Y117" s="2145"/>
      <c r="Z117" s="2145"/>
      <c r="AA117" s="2145"/>
      <c r="AB117" s="2145"/>
      <c r="AC117" s="2145"/>
      <c r="AD117" s="2145"/>
      <c r="AE117" s="2145"/>
      <c r="AF117" s="2145"/>
      <c r="AG117" s="2145"/>
      <c r="AH117" s="2145"/>
      <c r="AI117" s="2145"/>
      <c r="AJ117" s="2145"/>
      <c r="AK117" s="2145"/>
      <c r="AL117" s="2145"/>
      <c r="AM117" s="2145"/>
      <c r="AN117" s="2145"/>
      <c r="AO117" s="2145"/>
      <c r="AP117" s="2145"/>
      <c r="AQ117" s="2145"/>
      <c r="AR117" s="2145"/>
      <c r="AS117" s="2145"/>
      <c r="AT117" s="2145"/>
      <c r="AU117" s="2145"/>
      <c r="AV117" s="2145"/>
      <c r="AW117" s="2145"/>
      <c r="AX117" s="1480"/>
      <c r="AY117" s="1661"/>
      <c r="AZ117" s="1661"/>
      <c r="BA117" s="1661"/>
      <c r="BB117" s="1661"/>
      <c r="BC117" s="1661"/>
      <c r="BD117" s="1661"/>
      <c r="BE117" s="1661"/>
      <c r="BF117" s="1661"/>
      <c r="BG117" s="1661"/>
      <c r="BH117" s="1661"/>
      <c r="BI117" s="1198"/>
    </row>
    <row r="118" spans="2:61" s="1618" customFormat="1" ht="14">
      <c r="B118" s="1189"/>
      <c r="C118" s="1190"/>
      <c r="D118" s="1190"/>
      <c r="E118" s="1480"/>
      <c r="F118" s="1624"/>
      <c r="G118" s="1624"/>
      <c r="H118" s="2145"/>
      <c r="I118" s="2145"/>
      <c r="J118" s="2145"/>
      <c r="K118" s="2145"/>
      <c r="L118" s="2145"/>
      <c r="M118" s="2145"/>
      <c r="N118" s="2145"/>
      <c r="O118" s="2145"/>
      <c r="P118" s="2145"/>
      <c r="Q118" s="2145"/>
      <c r="R118" s="2145"/>
      <c r="S118" s="2145"/>
      <c r="T118" s="2145"/>
      <c r="U118" s="2145"/>
      <c r="V118" s="2145"/>
      <c r="W118" s="2145"/>
      <c r="X118" s="2145"/>
      <c r="Y118" s="2145"/>
      <c r="Z118" s="2145"/>
      <c r="AA118" s="2145"/>
      <c r="AB118" s="2145"/>
      <c r="AC118" s="2145"/>
      <c r="AD118" s="2145"/>
      <c r="AE118" s="2145"/>
      <c r="AF118" s="2145"/>
      <c r="AG118" s="2145"/>
      <c r="AH118" s="2145"/>
      <c r="AI118" s="2145"/>
      <c r="AJ118" s="2145"/>
      <c r="AK118" s="2145"/>
      <c r="AL118" s="2145"/>
      <c r="AM118" s="2145"/>
      <c r="AN118" s="2145"/>
      <c r="AO118" s="2145"/>
      <c r="AP118" s="2145"/>
      <c r="AQ118" s="2145"/>
      <c r="AR118" s="2145"/>
      <c r="AS118" s="2145"/>
      <c r="AT118" s="2145"/>
      <c r="AU118" s="2145"/>
      <c r="AV118" s="2145"/>
      <c r="AW118" s="2145"/>
      <c r="AX118" s="1480"/>
      <c r="AY118" s="1661"/>
      <c r="AZ118" s="1661"/>
      <c r="BA118" s="1661"/>
      <c r="BB118" s="1661"/>
      <c r="BC118" s="1661"/>
      <c r="BD118" s="1661"/>
      <c r="BE118" s="1661"/>
      <c r="BF118" s="1661"/>
      <c r="BG118" s="1661"/>
      <c r="BH118" s="1661"/>
      <c r="BI118" s="1198"/>
    </row>
    <row r="119" spans="2:61" s="1618" customFormat="1" ht="14">
      <c r="B119" s="1189"/>
      <c r="C119" s="1190"/>
      <c r="D119" s="1190"/>
      <c r="E119" s="1480"/>
      <c r="F119" s="1624"/>
      <c r="G119" s="1624"/>
      <c r="H119" s="2145"/>
      <c r="I119" s="2145"/>
      <c r="J119" s="2145"/>
      <c r="K119" s="2145"/>
      <c r="L119" s="2145"/>
      <c r="M119" s="2145"/>
      <c r="N119" s="2145"/>
      <c r="O119" s="2145"/>
      <c r="P119" s="2145"/>
      <c r="Q119" s="2145"/>
      <c r="R119" s="2145"/>
      <c r="S119" s="2145"/>
      <c r="T119" s="2145"/>
      <c r="U119" s="2145"/>
      <c r="V119" s="2145"/>
      <c r="W119" s="2145"/>
      <c r="X119" s="2145"/>
      <c r="Y119" s="2145"/>
      <c r="Z119" s="2145"/>
      <c r="AA119" s="2145"/>
      <c r="AB119" s="2145"/>
      <c r="AC119" s="2145"/>
      <c r="AD119" s="2145"/>
      <c r="AE119" s="2145"/>
      <c r="AF119" s="2145"/>
      <c r="AG119" s="2145"/>
      <c r="AH119" s="2145"/>
      <c r="AI119" s="2145"/>
      <c r="AJ119" s="2145"/>
      <c r="AK119" s="2145"/>
      <c r="AL119" s="2145"/>
      <c r="AM119" s="2145"/>
      <c r="AN119" s="2145"/>
      <c r="AO119" s="2145"/>
      <c r="AP119" s="2145"/>
      <c r="AQ119" s="2145"/>
      <c r="AR119" s="2145"/>
      <c r="AS119" s="2145"/>
      <c r="AT119" s="2145"/>
      <c r="AU119" s="2145"/>
      <c r="AV119" s="2145"/>
      <c r="AW119" s="2145"/>
      <c r="AX119" s="1480"/>
      <c r="AY119" s="1661"/>
      <c r="AZ119" s="1661"/>
      <c r="BA119" s="1661"/>
      <c r="BB119" s="1661"/>
      <c r="BC119" s="1661"/>
      <c r="BD119" s="1661"/>
      <c r="BE119" s="1661"/>
      <c r="BF119" s="1661"/>
      <c r="BG119" s="1661"/>
      <c r="BH119" s="1661"/>
      <c r="BI119" s="1198"/>
    </row>
    <row r="120" spans="2:61" s="1618" customFormat="1" ht="14">
      <c r="B120" s="1189"/>
      <c r="C120" s="1190"/>
      <c r="D120" s="1190"/>
      <c r="E120" s="1480"/>
      <c r="F120" s="1624"/>
      <c r="G120" s="1624"/>
      <c r="H120" s="2145"/>
      <c r="I120" s="2145"/>
      <c r="J120" s="2145"/>
      <c r="K120" s="2145"/>
      <c r="L120" s="2145"/>
      <c r="M120" s="2145"/>
      <c r="N120" s="2145"/>
      <c r="O120" s="2145"/>
      <c r="P120" s="2145"/>
      <c r="Q120" s="2145"/>
      <c r="R120" s="2145"/>
      <c r="S120" s="2145"/>
      <c r="T120" s="2145"/>
      <c r="U120" s="2145"/>
      <c r="V120" s="2145"/>
      <c r="W120" s="2145"/>
      <c r="X120" s="2145"/>
      <c r="Y120" s="2145"/>
      <c r="Z120" s="2145"/>
      <c r="AA120" s="2145"/>
      <c r="AB120" s="2145"/>
      <c r="AC120" s="2145"/>
      <c r="AD120" s="2145"/>
      <c r="AE120" s="2145"/>
      <c r="AF120" s="2145"/>
      <c r="AG120" s="2145"/>
      <c r="AH120" s="2145"/>
      <c r="AI120" s="2145"/>
      <c r="AJ120" s="2145"/>
      <c r="AK120" s="2145"/>
      <c r="AL120" s="2145"/>
      <c r="AM120" s="2145"/>
      <c r="AN120" s="2145"/>
      <c r="AO120" s="2145"/>
      <c r="AP120" s="2145"/>
      <c r="AQ120" s="2145"/>
      <c r="AR120" s="2145"/>
      <c r="AS120" s="2145"/>
      <c r="AT120" s="2145"/>
      <c r="AU120" s="2145"/>
      <c r="AV120" s="2145"/>
      <c r="AW120" s="2145"/>
      <c r="AX120" s="1480"/>
      <c r="AY120" s="1661"/>
      <c r="AZ120" s="1661"/>
      <c r="BA120" s="1661"/>
      <c r="BB120" s="1661"/>
      <c r="BC120" s="1661"/>
      <c r="BD120" s="1661"/>
      <c r="BE120" s="1661"/>
      <c r="BF120" s="1661"/>
      <c r="BG120" s="1661"/>
      <c r="BH120" s="1661"/>
      <c r="BI120" s="1198"/>
    </row>
    <row r="121" spans="2:61" s="1618" customFormat="1" ht="14">
      <c r="B121" s="1189"/>
      <c r="C121" s="1480"/>
      <c r="D121" s="1480"/>
      <c r="E121" s="1480"/>
      <c r="F121" s="1624"/>
      <c r="G121" s="1624"/>
      <c r="H121" s="2145"/>
      <c r="I121" s="2145"/>
      <c r="J121" s="2145"/>
      <c r="K121" s="2145"/>
      <c r="L121" s="2145"/>
      <c r="M121" s="2145"/>
      <c r="N121" s="2145"/>
      <c r="O121" s="2145"/>
      <c r="P121" s="2145"/>
      <c r="Q121" s="2145"/>
      <c r="R121" s="2145"/>
      <c r="S121" s="2145"/>
      <c r="T121" s="2145"/>
      <c r="U121" s="2145"/>
      <c r="V121" s="2145"/>
      <c r="W121" s="2145"/>
      <c r="X121" s="2145"/>
      <c r="Y121" s="2145"/>
      <c r="Z121" s="2145"/>
      <c r="AA121" s="2145"/>
      <c r="AB121" s="2145"/>
      <c r="AC121" s="2145"/>
      <c r="AD121" s="2145"/>
      <c r="AE121" s="2145"/>
      <c r="AF121" s="2145"/>
      <c r="AG121" s="2145"/>
      <c r="AH121" s="2145"/>
      <c r="AI121" s="2145"/>
      <c r="AJ121" s="2145"/>
      <c r="AK121" s="2145"/>
      <c r="AL121" s="2145"/>
      <c r="AM121" s="2145"/>
      <c r="AN121" s="2145"/>
      <c r="AO121" s="2145"/>
      <c r="AP121" s="2145"/>
      <c r="AQ121" s="2145"/>
      <c r="AR121" s="2145"/>
      <c r="AS121" s="2145"/>
      <c r="AT121" s="2145"/>
      <c r="AU121" s="2145"/>
      <c r="AV121" s="2145"/>
      <c r="AW121" s="2145"/>
      <c r="AX121" s="1480"/>
      <c r="AY121" s="1661"/>
      <c r="AZ121" s="1661"/>
      <c r="BA121" s="1661"/>
      <c r="BB121" s="1661"/>
      <c r="BC121" s="1661"/>
      <c r="BD121" s="1661"/>
      <c r="BE121" s="1661"/>
      <c r="BF121" s="1661"/>
      <c r="BG121" s="1661"/>
      <c r="BH121" s="1661"/>
      <c r="BI121" s="1198"/>
    </row>
    <row r="122" spans="2:61" s="1618" customFormat="1" ht="14">
      <c r="B122" s="1189"/>
      <c r="C122" s="1480"/>
      <c r="D122" s="1480"/>
      <c r="E122" s="1480"/>
      <c r="F122" s="1624"/>
      <c r="G122" s="1624"/>
      <c r="H122" s="2145"/>
      <c r="I122" s="2145"/>
      <c r="J122" s="2145"/>
      <c r="K122" s="2145"/>
      <c r="L122" s="2145"/>
      <c r="M122" s="2145"/>
      <c r="N122" s="2145"/>
      <c r="O122" s="2145"/>
      <c r="P122" s="2145"/>
      <c r="Q122" s="2145"/>
      <c r="R122" s="2145"/>
      <c r="S122" s="2145"/>
      <c r="T122" s="2145"/>
      <c r="U122" s="2145"/>
      <c r="V122" s="2145"/>
      <c r="W122" s="2145"/>
      <c r="X122" s="2145"/>
      <c r="Y122" s="2145"/>
      <c r="Z122" s="2145"/>
      <c r="AA122" s="2145"/>
      <c r="AB122" s="2145"/>
      <c r="AC122" s="2145"/>
      <c r="AD122" s="2145"/>
      <c r="AE122" s="2145"/>
      <c r="AF122" s="2145"/>
      <c r="AG122" s="2145"/>
      <c r="AH122" s="2145"/>
      <c r="AI122" s="2145"/>
      <c r="AJ122" s="2145"/>
      <c r="AK122" s="2145"/>
      <c r="AL122" s="2145"/>
      <c r="AM122" s="2145"/>
      <c r="AN122" s="2145"/>
      <c r="AO122" s="2145"/>
      <c r="AP122" s="2145"/>
      <c r="AQ122" s="2145"/>
      <c r="AR122" s="2145"/>
      <c r="AS122" s="2145"/>
      <c r="AT122" s="2145"/>
      <c r="AU122" s="2145"/>
      <c r="AV122" s="2145"/>
      <c r="AW122" s="2145"/>
      <c r="AX122" s="1480"/>
      <c r="AY122" s="1661"/>
      <c r="AZ122" s="1661"/>
      <c r="BA122" s="1661"/>
      <c r="BB122" s="1661"/>
      <c r="BC122" s="1661"/>
      <c r="BD122" s="1661"/>
      <c r="BE122" s="1661"/>
      <c r="BF122" s="1661"/>
      <c r="BG122" s="1661"/>
      <c r="BH122" s="1661"/>
      <c r="BI122" s="1198"/>
    </row>
    <row r="123" spans="2:61" s="1618" customFormat="1" ht="14">
      <c r="B123" s="1189"/>
      <c r="C123" s="1662"/>
      <c r="D123" s="1662"/>
      <c r="E123" s="1480"/>
      <c r="F123" s="1624"/>
      <c r="G123" s="1624"/>
      <c r="H123" s="2145"/>
      <c r="I123" s="2145"/>
      <c r="J123" s="2145"/>
      <c r="K123" s="2145"/>
      <c r="L123" s="2145"/>
      <c r="M123" s="2145"/>
      <c r="N123" s="2145"/>
      <c r="O123" s="2145"/>
      <c r="P123" s="2145"/>
      <c r="Q123" s="2145"/>
      <c r="R123" s="2145"/>
      <c r="S123" s="2145"/>
      <c r="T123" s="2145"/>
      <c r="U123" s="2145"/>
      <c r="V123" s="2145"/>
      <c r="W123" s="2145"/>
      <c r="X123" s="2145"/>
      <c r="Y123" s="2145"/>
      <c r="Z123" s="2145"/>
      <c r="AA123" s="2145"/>
      <c r="AB123" s="2145"/>
      <c r="AC123" s="2145"/>
      <c r="AD123" s="2145"/>
      <c r="AE123" s="2145"/>
      <c r="AF123" s="2145"/>
      <c r="AG123" s="2145"/>
      <c r="AH123" s="2145"/>
      <c r="AI123" s="2145"/>
      <c r="AJ123" s="2145"/>
      <c r="AK123" s="2145"/>
      <c r="AL123" s="2145"/>
      <c r="AM123" s="2145"/>
      <c r="AN123" s="2145"/>
      <c r="AO123" s="2145"/>
      <c r="AP123" s="2145"/>
      <c r="AQ123" s="2145"/>
      <c r="AR123" s="2145"/>
      <c r="AS123" s="2145"/>
      <c r="AT123" s="2145"/>
      <c r="AU123" s="2145"/>
      <c r="AV123" s="2145"/>
      <c r="AW123" s="2145"/>
      <c r="AX123" s="1480"/>
      <c r="AY123" s="1661"/>
      <c r="AZ123" s="1661"/>
      <c r="BA123" s="1661"/>
      <c r="BB123" s="1661"/>
      <c r="BC123" s="1661"/>
      <c r="BD123" s="1661"/>
      <c r="BE123" s="1661"/>
      <c r="BF123" s="1661"/>
      <c r="BG123" s="1661"/>
      <c r="BH123" s="1661"/>
      <c r="BI123" s="1198"/>
    </row>
    <row r="124" spans="2:61" s="1618" customFormat="1" ht="14">
      <c r="B124" s="1189"/>
      <c r="C124" s="1662"/>
      <c r="D124" s="1662"/>
      <c r="E124" s="1480"/>
      <c r="F124" s="1624"/>
      <c r="G124" s="1624"/>
      <c r="H124" s="2145"/>
      <c r="I124" s="2145"/>
      <c r="J124" s="2145"/>
      <c r="K124" s="2145"/>
      <c r="L124" s="2145"/>
      <c r="M124" s="2145"/>
      <c r="N124" s="2145"/>
      <c r="O124" s="2145"/>
      <c r="P124" s="2145"/>
      <c r="Q124" s="2145"/>
      <c r="R124" s="2145"/>
      <c r="S124" s="2145"/>
      <c r="T124" s="2145"/>
      <c r="U124" s="2145"/>
      <c r="V124" s="2145"/>
      <c r="W124" s="2145"/>
      <c r="X124" s="2145"/>
      <c r="Y124" s="2145"/>
      <c r="Z124" s="2145"/>
      <c r="AA124" s="2145"/>
      <c r="AB124" s="2145"/>
      <c r="AC124" s="2145"/>
      <c r="AD124" s="2145"/>
      <c r="AE124" s="2145"/>
      <c r="AF124" s="2145"/>
      <c r="AG124" s="2145"/>
      <c r="AH124" s="2145"/>
      <c r="AI124" s="2145"/>
      <c r="AJ124" s="2145"/>
      <c r="AK124" s="2145"/>
      <c r="AL124" s="2145"/>
      <c r="AM124" s="2145"/>
      <c r="AN124" s="2145"/>
      <c r="AO124" s="2145"/>
      <c r="AP124" s="2145"/>
      <c r="AQ124" s="2145"/>
      <c r="AR124" s="2145"/>
      <c r="AS124" s="2145"/>
      <c r="AT124" s="2145"/>
      <c r="AU124" s="2145"/>
      <c r="AV124" s="2145"/>
      <c r="AW124" s="2145"/>
      <c r="AX124" s="1480"/>
      <c r="AY124" s="1661"/>
      <c r="AZ124" s="1661"/>
      <c r="BA124" s="1661"/>
      <c r="BB124" s="1661"/>
      <c r="BC124" s="1661"/>
      <c r="BD124" s="1661"/>
      <c r="BE124" s="1661"/>
      <c r="BF124" s="1661"/>
      <c r="BG124" s="1661"/>
      <c r="BH124" s="1661"/>
      <c r="BI124" s="1198"/>
    </row>
    <row r="125" spans="2:61" s="1618" customFormat="1" ht="14">
      <c r="B125" s="1189"/>
      <c r="C125" s="1662"/>
      <c r="D125" s="1662"/>
      <c r="E125" s="1480"/>
      <c r="F125" s="1624"/>
      <c r="G125" s="1624"/>
      <c r="H125" s="2145"/>
      <c r="I125" s="2145"/>
      <c r="J125" s="2145"/>
      <c r="K125" s="2145"/>
      <c r="L125" s="2145"/>
      <c r="M125" s="2145"/>
      <c r="N125" s="2145"/>
      <c r="O125" s="2145"/>
      <c r="P125" s="2145"/>
      <c r="Q125" s="2145"/>
      <c r="R125" s="2145"/>
      <c r="S125" s="2145"/>
      <c r="T125" s="2145"/>
      <c r="U125" s="2145"/>
      <c r="V125" s="2145"/>
      <c r="W125" s="2145"/>
      <c r="X125" s="2145"/>
      <c r="Y125" s="2145"/>
      <c r="Z125" s="2145"/>
      <c r="AA125" s="2145"/>
      <c r="AB125" s="2145"/>
      <c r="AC125" s="2145"/>
      <c r="AD125" s="2145"/>
      <c r="AE125" s="2145"/>
      <c r="AF125" s="2145"/>
      <c r="AG125" s="2145"/>
      <c r="AH125" s="2145"/>
      <c r="AI125" s="2145"/>
      <c r="AJ125" s="2145"/>
      <c r="AK125" s="2145"/>
      <c r="AL125" s="2145"/>
      <c r="AM125" s="2145"/>
      <c r="AN125" s="2145"/>
      <c r="AO125" s="2145"/>
      <c r="AP125" s="2145"/>
      <c r="AQ125" s="2145"/>
      <c r="AR125" s="2145"/>
      <c r="AS125" s="2145"/>
      <c r="AT125" s="2145"/>
      <c r="AU125" s="2145"/>
      <c r="AV125" s="2145"/>
      <c r="AW125" s="2145"/>
      <c r="AX125" s="1480"/>
      <c r="AY125" s="1661"/>
      <c r="AZ125" s="1661"/>
      <c r="BA125" s="1661"/>
      <c r="BB125" s="1661"/>
      <c r="BC125" s="1661"/>
      <c r="BD125" s="1661"/>
      <c r="BE125" s="1661"/>
      <c r="BF125" s="1661"/>
      <c r="BG125" s="1661"/>
      <c r="BH125" s="1661"/>
      <c r="BI125" s="1198"/>
    </row>
    <row r="126" spans="2:61" s="1618" customFormat="1" ht="14">
      <c r="B126" s="1189"/>
      <c r="C126" s="1662"/>
      <c r="D126" s="1662"/>
      <c r="E126" s="1480"/>
      <c r="F126" s="1624"/>
      <c r="G126" s="1624"/>
      <c r="H126" s="2145"/>
      <c r="I126" s="2145"/>
      <c r="J126" s="2145"/>
      <c r="K126" s="2145"/>
      <c r="L126" s="2145"/>
      <c r="M126" s="2145"/>
      <c r="N126" s="2145"/>
      <c r="O126" s="2145"/>
      <c r="P126" s="2145"/>
      <c r="Q126" s="2145"/>
      <c r="R126" s="2145"/>
      <c r="S126" s="2145"/>
      <c r="T126" s="2145"/>
      <c r="U126" s="2145"/>
      <c r="V126" s="2145"/>
      <c r="W126" s="2145"/>
      <c r="X126" s="2145"/>
      <c r="Y126" s="2145"/>
      <c r="Z126" s="2145"/>
      <c r="AA126" s="2145"/>
      <c r="AB126" s="2145"/>
      <c r="AC126" s="2145"/>
      <c r="AD126" s="2145"/>
      <c r="AE126" s="2145"/>
      <c r="AF126" s="2145"/>
      <c r="AG126" s="2145"/>
      <c r="AH126" s="2145"/>
      <c r="AI126" s="2145"/>
      <c r="AJ126" s="2145"/>
      <c r="AK126" s="2145"/>
      <c r="AL126" s="2145"/>
      <c r="AM126" s="2145"/>
      <c r="AN126" s="2145"/>
      <c r="AO126" s="2145"/>
      <c r="AP126" s="2145"/>
      <c r="AQ126" s="2145"/>
      <c r="AR126" s="2145"/>
      <c r="AS126" s="2145"/>
      <c r="AT126" s="2145"/>
      <c r="AU126" s="2145"/>
      <c r="AV126" s="2145"/>
      <c r="AW126" s="2145"/>
      <c r="AX126" s="1480"/>
      <c r="AY126" s="1661"/>
      <c r="AZ126" s="1661"/>
      <c r="BA126" s="1661"/>
      <c r="BB126" s="1661"/>
      <c r="BC126" s="1661"/>
      <c r="BD126" s="1661"/>
      <c r="BE126" s="1661"/>
      <c r="BF126" s="1661"/>
      <c r="BG126" s="1661"/>
      <c r="BH126" s="1661"/>
      <c r="BI126" s="1198"/>
    </row>
    <row r="127" spans="2:61" s="1777" customFormat="1" ht="14">
      <c r="B127" s="1189"/>
      <c r="C127" s="1662"/>
      <c r="D127" s="1662"/>
      <c r="E127" s="1480"/>
      <c r="F127" s="1624"/>
      <c r="G127" s="1624"/>
      <c r="H127" s="2145"/>
      <c r="I127" s="2145"/>
      <c r="J127" s="2145"/>
      <c r="K127" s="2145"/>
      <c r="L127" s="2145"/>
      <c r="M127" s="2145"/>
      <c r="N127" s="2145"/>
      <c r="O127" s="2145"/>
      <c r="P127" s="2145"/>
      <c r="Q127" s="2145"/>
      <c r="R127" s="2145"/>
      <c r="S127" s="2145"/>
      <c r="T127" s="2145"/>
      <c r="U127" s="2145"/>
      <c r="V127" s="2145"/>
      <c r="W127" s="2145"/>
      <c r="X127" s="2145"/>
      <c r="Y127" s="2145"/>
      <c r="Z127" s="2145"/>
      <c r="AA127" s="2145"/>
      <c r="AB127" s="2145"/>
      <c r="AC127" s="2145"/>
      <c r="AD127" s="2145"/>
      <c r="AE127" s="2145"/>
      <c r="AF127" s="2145"/>
      <c r="AG127" s="2145"/>
      <c r="AH127" s="2145"/>
      <c r="AI127" s="2145"/>
      <c r="AJ127" s="2145"/>
      <c r="AK127" s="2145"/>
      <c r="AL127" s="2145"/>
      <c r="AM127" s="2145"/>
      <c r="AN127" s="2145"/>
      <c r="AO127" s="2145"/>
      <c r="AP127" s="2145"/>
      <c r="AQ127" s="2145"/>
      <c r="AR127" s="2145"/>
      <c r="AS127" s="2145"/>
      <c r="AT127" s="2145"/>
      <c r="AU127" s="2145"/>
      <c r="AV127" s="2145"/>
      <c r="AW127" s="2145"/>
      <c r="AX127" s="1480"/>
      <c r="AY127" s="1661"/>
      <c r="AZ127" s="1661"/>
      <c r="BA127" s="1661"/>
      <c r="BB127" s="1661"/>
      <c r="BC127" s="1661"/>
      <c r="BD127" s="1661"/>
      <c r="BE127" s="1661"/>
      <c r="BF127" s="1661"/>
      <c r="BG127" s="1661"/>
      <c r="BH127" s="1661"/>
      <c r="BI127" s="1198"/>
    </row>
    <row r="128" spans="2:61" s="1777" customFormat="1" ht="14">
      <c r="B128" s="1189"/>
      <c r="C128" s="1662"/>
      <c r="D128" s="1662"/>
      <c r="E128" s="1480"/>
      <c r="F128" s="1624"/>
      <c r="G128" s="1624"/>
      <c r="H128" s="2145"/>
      <c r="I128" s="2145"/>
      <c r="J128" s="2145"/>
      <c r="K128" s="2145"/>
      <c r="L128" s="2145"/>
      <c r="M128" s="2145"/>
      <c r="N128" s="2145"/>
      <c r="O128" s="2145"/>
      <c r="P128" s="2145"/>
      <c r="Q128" s="2145"/>
      <c r="R128" s="2145"/>
      <c r="S128" s="2145"/>
      <c r="T128" s="2145"/>
      <c r="U128" s="2145"/>
      <c r="V128" s="2145"/>
      <c r="W128" s="2145"/>
      <c r="X128" s="2145"/>
      <c r="Y128" s="2145"/>
      <c r="Z128" s="2145"/>
      <c r="AA128" s="2145"/>
      <c r="AB128" s="2145"/>
      <c r="AC128" s="2145"/>
      <c r="AD128" s="2145"/>
      <c r="AE128" s="2145"/>
      <c r="AF128" s="2145"/>
      <c r="AG128" s="2145"/>
      <c r="AH128" s="2145"/>
      <c r="AI128" s="2145"/>
      <c r="AJ128" s="2145"/>
      <c r="AK128" s="2145"/>
      <c r="AL128" s="2145"/>
      <c r="AM128" s="2145"/>
      <c r="AN128" s="2145"/>
      <c r="AO128" s="2145"/>
      <c r="AP128" s="2145"/>
      <c r="AQ128" s="2145"/>
      <c r="AR128" s="2145"/>
      <c r="AS128" s="2145"/>
      <c r="AT128" s="2145"/>
      <c r="AU128" s="2145"/>
      <c r="AV128" s="2145"/>
      <c r="AW128" s="2145"/>
      <c r="AX128" s="1480"/>
      <c r="AY128" s="1661"/>
      <c r="AZ128" s="1661"/>
      <c r="BA128" s="1661"/>
      <c r="BB128" s="1661"/>
      <c r="BC128" s="1661"/>
      <c r="BD128" s="1661"/>
      <c r="BE128" s="1661"/>
      <c r="BF128" s="1661"/>
      <c r="BG128" s="1661"/>
      <c r="BH128" s="1661"/>
      <c r="BI128" s="1198"/>
    </row>
    <row r="129" spans="1:61" s="1618" customFormat="1" ht="14">
      <c r="B129" s="1189"/>
      <c r="C129" s="1662"/>
      <c r="D129" s="1662"/>
      <c r="E129" s="1480"/>
      <c r="F129" s="1624"/>
      <c r="G129" s="1624"/>
      <c r="H129" s="2145"/>
      <c r="I129" s="2145"/>
      <c r="J129" s="2145"/>
      <c r="K129" s="2145"/>
      <c r="L129" s="2145"/>
      <c r="M129" s="2145"/>
      <c r="N129" s="2145"/>
      <c r="O129" s="2145"/>
      <c r="P129" s="2145"/>
      <c r="Q129" s="2145"/>
      <c r="R129" s="2145"/>
      <c r="S129" s="2145"/>
      <c r="T129" s="2145"/>
      <c r="U129" s="2145"/>
      <c r="V129" s="2145"/>
      <c r="W129" s="2145"/>
      <c r="X129" s="2145"/>
      <c r="Y129" s="2145"/>
      <c r="Z129" s="2145"/>
      <c r="AA129" s="2145"/>
      <c r="AB129" s="2145"/>
      <c r="AC129" s="2145"/>
      <c r="AD129" s="2145"/>
      <c r="AE129" s="2145"/>
      <c r="AF129" s="2145"/>
      <c r="AG129" s="2145"/>
      <c r="AH129" s="2145"/>
      <c r="AI129" s="2145"/>
      <c r="AJ129" s="2145"/>
      <c r="AK129" s="2145"/>
      <c r="AL129" s="2145"/>
      <c r="AM129" s="2145"/>
      <c r="AN129" s="2145"/>
      <c r="AO129" s="2145"/>
      <c r="AP129" s="2145"/>
      <c r="AQ129" s="2145"/>
      <c r="AR129" s="2145"/>
      <c r="AS129" s="2145"/>
      <c r="AT129" s="2145"/>
      <c r="AU129" s="2145"/>
      <c r="AV129" s="2145"/>
      <c r="AW129" s="2145"/>
      <c r="AX129" s="1480"/>
      <c r="AY129" s="1661"/>
      <c r="AZ129" s="1661"/>
      <c r="BA129" s="1661"/>
      <c r="BB129" s="1661"/>
      <c r="BC129" s="1661"/>
      <c r="BD129" s="1661"/>
      <c r="BE129" s="1661"/>
      <c r="BF129" s="1661"/>
      <c r="BG129" s="1661"/>
      <c r="BH129" s="1661"/>
      <c r="BI129" s="1198"/>
    </row>
    <row r="130" spans="1:61" s="1618" customFormat="1" ht="14">
      <c r="B130" s="1189"/>
      <c r="C130" s="1662"/>
      <c r="D130" s="1662"/>
      <c r="E130" s="1480"/>
      <c r="F130" s="1662"/>
      <c r="G130" s="1662"/>
      <c r="H130" s="2147"/>
      <c r="I130" s="2147"/>
      <c r="J130" s="2147"/>
      <c r="K130" s="2147"/>
      <c r="L130" s="2147"/>
      <c r="M130" s="2147"/>
      <c r="N130" s="2147"/>
      <c r="O130" s="2147"/>
      <c r="P130" s="2147"/>
      <c r="Q130" s="2147"/>
      <c r="R130" s="2147"/>
      <c r="S130" s="2147"/>
      <c r="T130" s="2147"/>
      <c r="U130" s="2147"/>
      <c r="V130" s="2147"/>
      <c r="W130" s="2147"/>
      <c r="X130" s="2147"/>
      <c r="Y130" s="2147"/>
      <c r="Z130" s="2147"/>
      <c r="AA130" s="2147"/>
      <c r="AB130" s="2147"/>
      <c r="AC130" s="2147"/>
      <c r="AD130" s="2147"/>
      <c r="AE130" s="2147"/>
      <c r="AF130" s="2147"/>
      <c r="AG130" s="2147"/>
      <c r="AH130" s="2147"/>
      <c r="AI130" s="2147"/>
      <c r="AJ130" s="2147"/>
      <c r="AK130" s="2147"/>
      <c r="AL130" s="2147"/>
      <c r="AM130" s="2147"/>
      <c r="AN130" s="2147"/>
      <c r="AO130" s="2147"/>
      <c r="AP130" s="2147"/>
      <c r="AQ130" s="2147"/>
      <c r="AR130" s="2147"/>
      <c r="AS130" s="2147"/>
      <c r="AT130" s="2147"/>
      <c r="AU130" s="2147"/>
      <c r="AV130" s="2147"/>
      <c r="AW130" s="2147"/>
      <c r="AX130" s="1480"/>
      <c r="AY130" s="1661"/>
      <c r="AZ130" s="1661"/>
      <c r="BA130" s="1661"/>
      <c r="BB130" s="1661"/>
      <c r="BC130" s="1661"/>
      <c r="BD130" s="1661"/>
      <c r="BE130" s="1661"/>
      <c r="BF130" s="1661"/>
      <c r="BG130" s="1661"/>
      <c r="BH130" s="1661"/>
      <c r="BI130" s="1198"/>
    </row>
    <row r="131" spans="1:61" s="1772" customFormat="1" ht="14">
      <c r="B131" s="1189"/>
      <c r="C131" s="1662"/>
      <c r="D131" s="1662"/>
      <c r="E131" s="1480"/>
      <c r="F131" s="1662"/>
      <c r="G131" s="1662"/>
      <c r="H131" s="2147"/>
      <c r="I131" s="2147"/>
      <c r="J131" s="2147"/>
      <c r="K131" s="2147"/>
      <c r="L131" s="2147"/>
      <c r="M131" s="2147"/>
      <c r="N131" s="2147"/>
      <c r="O131" s="2147"/>
      <c r="P131" s="2147"/>
      <c r="Q131" s="2147"/>
      <c r="R131" s="2147"/>
      <c r="S131" s="2147"/>
      <c r="T131" s="2147"/>
      <c r="U131" s="2147"/>
      <c r="V131" s="2147"/>
      <c r="W131" s="2147"/>
      <c r="X131" s="2147"/>
      <c r="Y131" s="2147"/>
      <c r="Z131" s="2147"/>
      <c r="AA131" s="2147"/>
      <c r="AB131" s="2147"/>
      <c r="AC131" s="2147"/>
      <c r="AD131" s="2147"/>
      <c r="AE131" s="2147"/>
      <c r="AF131" s="2147"/>
      <c r="AG131" s="2147"/>
      <c r="AH131" s="2147"/>
      <c r="AI131" s="2147"/>
      <c r="AJ131" s="2147"/>
      <c r="AK131" s="2147"/>
      <c r="AL131" s="2147"/>
      <c r="AM131" s="2147"/>
      <c r="AN131" s="2147"/>
      <c r="AO131" s="2147"/>
      <c r="AP131" s="2147"/>
      <c r="AQ131" s="2147"/>
      <c r="AR131" s="2147"/>
      <c r="AS131" s="2147"/>
      <c r="AT131" s="2147"/>
      <c r="AU131" s="2147"/>
      <c r="AV131" s="2147"/>
      <c r="AW131" s="2147"/>
      <c r="AX131" s="1480"/>
      <c r="AY131" s="1661"/>
      <c r="AZ131" s="1661"/>
      <c r="BA131" s="1661"/>
      <c r="BB131" s="1661"/>
      <c r="BC131" s="1661"/>
      <c r="BD131" s="1661"/>
      <c r="BE131" s="1661"/>
      <c r="BF131" s="1661"/>
      <c r="BG131" s="1661"/>
      <c r="BH131" s="1661"/>
      <c r="BI131" s="1198"/>
    </row>
    <row r="132" spans="1:61" s="1618" customFormat="1" ht="14">
      <c r="B132" s="1189"/>
      <c r="C132" s="1480"/>
      <c r="D132" s="1201"/>
      <c r="E132" s="1201"/>
      <c r="F132" s="1201"/>
      <c r="G132" s="1201"/>
      <c r="H132" s="2148"/>
      <c r="I132" s="2148"/>
      <c r="J132" s="2148"/>
      <c r="K132" s="2148"/>
      <c r="L132" s="2148"/>
      <c r="M132" s="2148"/>
      <c r="N132" s="2148"/>
      <c r="O132" s="2148"/>
      <c r="P132" s="2148"/>
      <c r="Q132" s="2148"/>
      <c r="R132" s="2148"/>
      <c r="S132" s="2148"/>
      <c r="T132" s="2148"/>
      <c r="U132" s="2148"/>
      <c r="V132" s="2148"/>
      <c r="W132" s="2148"/>
      <c r="X132" s="2148"/>
      <c r="Y132" s="2148"/>
      <c r="Z132" s="2148"/>
      <c r="AA132" s="2148"/>
      <c r="AB132" s="2148"/>
      <c r="AC132" s="2148"/>
      <c r="AD132" s="2148"/>
      <c r="AE132" s="2148"/>
      <c r="AF132" s="2148"/>
      <c r="AG132" s="2148"/>
      <c r="AH132" s="2148"/>
      <c r="AI132" s="2148"/>
      <c r="AJ132" s="2148"/>
      <c r="AK132" s="2148"/>
      <c r="AL132" s="2148"/>
      <c r="AM132" s="2148"/>
      <c r="AN132" s="2148"/>
      <c r="AO132" s="2148"/>
      <c r="AP132" s="2148"/>
      <c r="AQ132" s="2148"/>
      <c r="AR132" s="2172"/>
      <c r="AS132" s="2172"/>
      <c r="AT132" s="2172"/>
      <c r="AU132" s="2172"/>
      <c r="AV132" s="2172"/>
      <c r="AW132" s="2148"/>
      <c r="AX132" s="1201"/>
      <c r="AY132" s="1202"/>
      <c r="AZ132" s="1202"/>
      <c r="BA132" s="1202"/>
      <c r="BB132" s="1202"/>
      <c r="BC132" s="1202"/>
      <c r="BD132" s="1202"/>
      <c r="BE132" s="1202"/>
      <c r="BF132" s="1202"/>
      <c r="BG132" s="1202"/>
      <c r="BH132" s="1202"/>
      <c r="BI132" s="1198"/>
    </row>
    <row r="133" spans="1:61" s="1618" customFormat="1" ht="14">
      <c r="B133" s="1189"/>
      <c r="C133" s="1190"/>
      <c r="D133" s="1623"/>
      <c r="E133" s="1190"/>
      <c r="F133" s="1624"/>
      <c r="G133" s="1624"/>
      <c r="H133" s="2145"/>
      <c r="I133" s="2145"/>
      <c r="J133" s="2145"/>
      <c r="K133" s="2145"/>
      <c r="L133" s="2145"/>
      <c r="M133" s="2145"/>
      <c r="N133" s="2145"/>
      <c r="O133" s="2145"/>
      <c r="P133" s="2145"/>
      <c r="Q133" s="2145"/>
      <c r="R133" s="2145"/>
      <c r="S133" s="2145"/>
      <c r="T133" s="2145"/>
      <c r="U133" s="2145"/>
      <c r="V133" s="2145"/>
      <c r="W133" s="2145"/>
      <c r="X133" s="2145"/>
      <c r="Y133" s="2145"/>
      <c r="Z133" s="2145"/>
      <c r="AA133" s="2145"/>
      <c r="AB133" s="2145"/>
      <c r="AC133" s="2145"/>
      <c r="AD133" s="2145"/>
      <c r="AE133" s="2145"/>
      <c r="AF133" s="2145"/>
      <c r="AG133" s="2145"/>
      <c r="AH133" s="2145"/>
      <c r="AI133" s="2145"/>
      <c r="AJ133" s="2145"/>
      <c r="AK133" s="2145"/>
      <c r="AL133" s="2145"/>
      <c r="AM133" s="2145"/>
      <c r="AN133" s="2145"/>
      <c r="AO133" s="2145"/>
      <c r="AP133" s="2145"/>
      <c r="AQ133" s="2145"/>
      <c r="AR133" s="2145"/>
      <c r="AS133" s="2145"/>
      <c r="AT133" s="2145"/>
      <c r="AU133" s="2145"/>
      <c r="AV133" s="2145"/>
      <c r="AW133" s="2145"/>
      <c r="AX133" s="1190"/>
      <c r="AY133" s="1624"/>
      <c r="AZ133" s="1624"/>
      <c r="BA133" s="1624"/>
      <c r="BB133" s="1624"/>
      <c r="BC133" s="1624"/>
      <c r="BD133" s="1624"/>
      <c r="BE133" s="1624"/>
      <c r="BF133" s="1624"/>
      <c r="BG133" s="1624"/>
      <c r="BH133" s="1624"/>
      <c r="BI133" s="1198"/>
    </row>
    <row r="134" spans="1:61" s="117" customFormat="1" ht="14">
      <c r="G134" s="2118"/>
      <c r="H134" s="2149"/>
      <c r="I134" s="2149"/>
      <c r="J134" s="2149"/>
      <c r="K134" s="2149"/>
      <c r="L134" s="2149"/>
      <c r="M134" s="2149"/>
      <c r="N134" s="2149"/>
      <c r="O134" s="2149"/>
      <c r="P134" s="2149"/>
      <c r="Q134" s="2149"/>
      <c r="R134" s="2149"/>
      <c r="S134" s="2149"/>
      <c r="T134" s="2149"/>
      <c r="U134" s="2149"/>
      <c r="V134" s="2149"/>
      <c r="W134" s="2149"/>
      <c r="X134" s="2149"/>
      <c r="Y134" s="2149"/>
      <c r="Z134" s="2149"/>
      <c r="AA134" s="2149"/>
      <c r="AB134" s="2149"/>
      <c r="AC134" s="2149"/>
      <c r="AD134" s="2149"/>
      <c r="AE134" s="2149"/>
      <c r="AF134" s="2149"/>
      <c r="AG134" s="2149"/>
      <c r="AH134" s="2149"/>
      <c r="AI134" s="2149"/>
      <c r="AJ134" s="2149"/>
      <c r="AK134" s="2149"/>
      <c r="AL134" s="2149"/>
      <c r="AM134" s="2149"/>
      <c r="AN134" s="2149"/>
      <c r="AO134" s="2149"/>
      <c r="AP134" s="2149"/>
      <c r="AQ134" s="2149"/>
      <c r="AR134" s="2149"/>
      <c r="AS134" s="2149"/>
      <c r="AT134" s="2149"/>
      <c r="AU134" s="2149"/>
      <c r="AV134" s="2149"/>
      <c r="AW134" s="2149"/>
    </row>
    <row r="135" spans="1:61" ht="22">
      <c r="A135" s="799"/>
      <c r="B135" s="1207"/>
      <c r="C135" s="1233"/>
      <c r="D135" s="1233"/>
      <c r="E135" s="1233"/>
      <c r="F135" s="1233"/>
      <c r="G135" s="1233"/>
      <c r="H135" s="2150"/>
      <c r="I135" s="2150"/>
      <c r="J135" s="2150"/>
      <c r="K135" s="2150"/>
      <c r="L135" s="2150"/>
      <c r="M135" s="2150"/>
      <c r="N135" s="2150"/>
      <c r="O135" s="2150"/>
      <c r="P135" s="2150"/>
      <c r="Q135" s="2150"/>
      <c r="R135" s="2150"/>
      <c r="S135" s="2150"/>
      <c r="T135" s="2150"/>
      <c r="U135" s="2150"/>
      <c r="V135" s="2150"/>
      <c r="W135" s="2150"/>
      <c r="X135" s="2150"/>
      <c r="Y135" s="2150"/>
      <c r="Z135" s="2150"/>
      <c r="AA135" s="2150"/>
      <c r="AB135" s="2150"/>
      <c r="AC135" s="2150"/>
      <c r="AD135" s="2150"/>
      <c r="AE135" s="2150"/>
      <c r="AF135" s="2150"/>
      <c r="AG135" s="2150"/>
      <c r="AH135" s="2150"/>
      <c r="AI135" s="2150"/>
      <c r="AJ135" s="2150"/>
      <c r="AK135" s="2150"/>
      <c r="AL135" s="2150"/>
      <c r="AM135" s="2150"/>
      <c r="AN135" s="2150"/>
      <c r="AO135" s="2150"/>
      <c r="AP135" s="2150"/>
      <c r="AQ135" s="2150"/>
      <c r="AR135" s="2150"/>
      <c r="AS135" s="2150"/>
      <c r="AT135" s="2150"/>
      <c r="AU135" s="2150"/>
      <c r="AV135" s="2150"/>
      <c r="AW135" s="2150"/>
      <c r="AX135" s="1233"/>
      <c r="AY135" s="1233"/>
      <c r="AZ135" s="1233"/>
      <c r="BA135" s="1233"/>
      <c r="BB135" s="1233"/>
      <c r="BC135" s="1233"/>
      <c r="BD135" s="1233"/>
      <c r="BE135" s="1233"/>
      <c r="BF135" s="1233"/>
      <c r="BG135" s="1233"/>
      <c r="BH135" s="1234"/>
      <c r="BI135" s="1235"/>
    </row>
    <row r="136" spans="1:61" s="117" customFormat="1" ht="15">
      <c r="B136" s="1208"/>
      <c r="C136" s="1209"/>
      <c r="D136" s="1209"/>
      <c r="E136" s="1209"/>
      <c r="F136" s="1209"/>
      <c r="G136" s="1209"/>
      <c r="H136" s="2151"/>
      <c r="I136" s="2151"/>
      <c r="J136" s="2151"/>
      <c r="K136" s="2151"/>
      <c r="L136" s="2151"/>
      <c r="M136" s="2151"/>
      <c r="N136" s="2151"/>
      <c r="O136" s="2151"/>
      <c r="P136" s="2151"/>
      <c r="Q136" s="2151"/>
      <c r="R136" s="2151"/>
      <c r="S136" s="2151"/>
      <c r="T136" s="2151"/>
      <c r="U136" s="2151"/>
      <c r="V136" s="2151"/>
      <c r="W136" s="2151"/>
      <c r="X136" s="2151"/>
      <c r="Y136" s="2151"/>
      <c r="Z136" s="2151"/>
      <c r="AA136" s="2151"/>
      <c r="AB136" s="2151"/>
      <c r="AC136" s="2151"/>
      <c r="AD136" s="2151"/>
      <c r="AE136" s="2151"/>
      <c r="AF136" s="2151"/>
      <c r="AG136" s="2151"/>
      <c r="AH136" s="2151"/>
      <c r="AI136" s="2151"/>
      <c r="AJ136" s="2151"/>
      <c r="AK136" s="2151"/>
      <c r="AL136" s="2151"/>
      <c r="AM136" s="2151"/>
      <c r="AN136" s="2151"/>
      <c r="AO136" s="2151"/>
      <c r="AP136" s="2151"/>
      <c r="AQ136" s="2151"/>
      <c r="AR136" s="2151"/>
      <c r="AS136" s="2151"/>
      <c r="AT136" s="2151"/>
      <c r="AU136" s="2151"/>
      <c r="AV136" s="2151"/>
      <c r="AW136" s="2151"/>
      <c r="AX136" s="1209"/>
      <c r="AY136" s="1209"/>
      <c r="AZ136" s="1209"/>
      <c r="BA136" s="1209"/>
      <c r="BB136" s="1209"/>
      <c r="BC136" s="1209"/>
      <c r="BD136" s="1209"/>
      <c r="BE136" s="1209"/>
      <c r="BF136" s="1209"/>
      <c r="BG136" s="1209"/>
      <c r="BH136" s="1210"/>
      <c r="BI136" s="1211"/>
    </row>
    <row r="137" spans="1:61" s="117" customFormat="1" ht="15">
      <c r="B137" s="1208"/>
      <c r="C137" s="1237"/>
      <c r="D137" s="1209"/>
      <c r="E137" s="1209"/>
      <c r="F137" s="1209"/>
      <c r="G137" s="1209"/>
      <c r="H137" s="2151"/>
      <c r="I137" s="2151"/>
      <c r="J137" s="2151"/>
      <c r="K137" s="2151"/>
      <c r="L137" s="2151"/>
      <c r="M137" s="2151"/>
      <c r="N137" s="2151"/>
      <c r="O137" s="2151"/>
      <c r="P137" s="2151"/>
      <c r="Q137" s="2151"/>
      <c r="R137" s="2151"/>
      <c r="S137" s="2151"/>
      <c r="T137" s="2151"/>
      <c r="U137" s="2151"/>
      <c r="V137" s="2151"/>
      <c r="W137" s="2151"/>
      <c r="X137" s="2151"/>
      <c r="Y137" s="2151"/>
      <c r="Z137" s="2151"/>
      <c r="AA137" s="2151"/>
      <c r="AB137" s="2151"/>
      <c r="AC137" s="2151"/>
      <c r="AD137" s="2151"/>
      <c r="AE137" s="2151"/>
      <c r="AF137" s="2151"/>
      <c r="AG137" s="2151"/>
      <c r="AH137" s="2151"/>
      <c r="AI137" s="2151"/>
      <c r="AJ137" s="2151"/>
      <c r="AK137" s="2151"/>
      <c r="AL137" s="2151"/>
      <c r="AM137" s="2151"/>
      <c r="AN137" s="2151"/>
      <c r="AO137" s="2151"/>
      <c r="AP137" s="2151"/>
      <c r="AQ137" s="2151"/>
      <c r="AR137" s="2151"/>
      <c r="AS137" s="2151"/>
      <c r="AT137" s="2151"/>
      <c r="AU137" s="2151"/>
      <c r="AV137" s="2151"/>
      <c r="AW137" s="2151"/>
      <c r="AX137" s="1209"/>
      <c r="AY137" s="1209"/>
      <c r="AZ137" s="1209"/>
      <c r="BA137" s="1209"/>
      <c r="BB137" s="1209"/>
      <c r="BC137" s="1209"/>
      <c r="BD137" s="1209"/>
      <c r="BE137" s="1209"/>
      <c r="BF137" s="1209"/>
      <c r="BG137" s="1209"/>
      <c r="BH137" s="1210"/>
      <c r="BI137" s="1211"/>
    </row>
    <row r="138" spans="1:61" ht="14">
      <c r="B138" s="1212"/>
      <c r="C138" s="1209"/>
      <c r="D138" s="1213"/>
      <c r="E138" s="1209"/>
      <c r="F138" s="1209"/>
      <c r="G138" s="1209"/>
      <c r="H138" s="2151"/>
      <c r="I138" s="2151"/>
      <c r="J138" s="2151"/>
      <c r="K138" s="2151"/>
      <c r="L138" s="2151"/>
      <c r="M138" s="2151"/>
      <c r="N138" s="2151"/>
      <c r="O138" s="2151"/>
      <c r="P138" s="2151"/>
      <c r="Q138" s="2151"/>
      <c r="R138" s="2151"/>
      <c r="S138" s="2151"/>
      <c r="T138" s="2151"/>
      <c r="U138" s="2151"/>
      <c r="V138" s="2151"/>
      <c r="W138" s="2151"/>
      <c r="X138" s="2151"/>
      <c r="Y138" s="2151"/>
      <c r="Z138" s="2151"/>
      <c r="AA138" s="2151"/>
      <c r="AB138" s="2151"/>
      <c r="AC138" s="2151"/>
      <c r="AD138" s="2151"/>
      <c r="AE138" s="2151"/>
      <c r="AF138" s="2151"/>
      <c r="AG138" s="2151"/>
      <c r="AH138" s="2151"/>
      <c r="AI138" s="2151"/>
      <c r="AJ138" s="2151"/>
      <c r="AK138" s="2151"/>
      <c r="AL138" s="2151"/>
      <c r="AM138" s="2151"/>
      <c r="AN138" s="2151"/>
      <c r="AO138" s="2151"/>
      <c r="AP138" s="2151"/>
      <c r="AQ138" s="2151"/>
      <c r="AR138" s="2151"/>
      <c r="AS138" s="2151"/>
      <c r="AT138" s="2151"/>
      <c r="AU138" s="2151"/>
      <c r="AV138" s="2151"/>
      <c r="AW138" s="2151"/>
      <c r="AX138" s="1209"/>
      <c r="AY138" s="1209"/>
      <c r="AZ138" s="1209"/>
      <c r="BA138" s="1209"/>
      <c r="BB138" s="1209"/>
      <c r="BC138" s="1209"/>
      <c r="BD138" s="1209"/>
      <c r="BE138" s="1209"/>
      <c r="BF138" s="1209"/>
      <c r="BG138" s="1209"/>
      <c r="BH138" s="1210"/>
      <c r="BI138" s="1211"/>
    </row>
    <row r="139" spans="1:61" s="525" customFormat="1">
      <c r="B139" s="1214"/>
      <c r="C139" s="1215"/>
      <c r="D139" s="1216"/>
      <c r="E139" s="1209"/>
      <c r="F139" s="1217"/>
      <c r="G139" s="1217"/>
      <c r="H139" s="2152"/>
      <c r="I139" s="2152"/>
      <c r="J139" s="2152"/>
      <c r="K139" s="2152"/>
      <c r="L139" s="2152"/>
      <c r="M139" s="2152"/>
      <c r="N139" s="2152"/>
      <c r="O139" s="2152"/>
      <c r="P139" s="2152"/>
      <c r="Q139" s="2152"/>
      <c r="R139" s="2152"/>
      <c r="S139" s="2152"/>
      <c r="T139" s="2152"/>
      <c r="U139" s="2152"/>
      <c r="V139" s="2152"/>
      <c r="W139" s="2152"/>
      <c r="X139" s="2152"/>
      <c r="Y139" s="2152"/>
      <c r="Z139" s="2152"/>
      <c r="AA139" s="2152"/>
      <c r="AB139" s="2152"/>
      <c r="AC139" s="2152"/>
      <c r="AD139" s="2152"/>
      <c r="AE139" s="2152"/>
      <c r="AF139" s="2152"/>
      <c r="AG139" s="2152"/>
      <c r="AH139" s="2152"/>
      <c r="AI139" s="2152"/>
      <c r="AJ139" s="2152"/>
      <c r="AK139" s="2152"/>
      <c r="AL139" s="2152"/>
      <c r="AM139" s="2152"/>
      <c r="AN139" s="2152"/>
      <c r="AO139" s="2152"/>
      <c r="AP139" s="2152"/>
      <c r="AQ139" s="2152"/>
      <c r="AR139" s="2152"/>
      <c r="AS139" s="2152"/>
      <c r="AT139" s="2152"/>
      <c r="AU139" s="2152"/>
      <c r="AV139" s="2152"/>
      <c r="AW139" s="2152"/>
      <c r="AX139" s="1218"/>
      <c r="AY139" s="1217"/>
      <c r="AZ139" s="1217"/>
      <c r="BA139" s="1217"/>
      <c r="BB139" s="1217"/>
      <c r="BC139" s="1217"/>
      <c r="BD139" s="1217"/>
      <c r="BE139" s="1217"/>
      <c r="BF139" s="1217"/>
      <c r="BG139" s="1217"/>
      <c r="BH139" s="1217"/>
      <c r="BI139" s="1219"/>
    </row>
    <row r="140" spans="1:61" s="525" customFormat="1">
      <c r="B140" s="1214"/>
      <c r="C140" s="1215"/>
      <c r="D140" s="1216"/>
      <c r="E140" s="1209"/>
      <c r="F140" s="1217"/>
      <c r="G140" s="1217"/>
      <c r="H140" s="2152"/>
      <c r="I140" s="2152"/>
      <c r="J140" s="2152"/>
      <c r="K140" s="2152"/>
      <c r="L140" s="2152"/>
      <c r="M140" s="2152"/>
      <c r="N140" s="2152"/>
      <c r="O140" s="2152"/>
      <c r="P140" s="2152"/>
      <c r="Q140" s="2152"/>
      <c r="R140" s="2152"/>
      <c r="S140" s="2152"/>
      <c r="T140" s="2152"/>
      <c r="U140" s="2152"/>
      <c r="V140" s="2152"/>
      <c r="W140" s="2152"/>
      <c r="X140" s="2152"/>
      <c r="Y140" s="2152"/>
      <c r="Z140" s="2152"/>
      <c r="AA140" s="2152"/>
      <c r="AB140" s="2152"/>
      <c r="AC140" s="2152"/>
      <c r="AD140" s="2152"/>
      <c r="AE140" s="2152"/>
      <c r="AF140" s="2152"/>
      <c r="AG140" s="2152"/>
      <c r="AH140" s="2152"/>
      <c r="AI140" s="2152"/>
      <c r="AJ140" s="2152"/>
      <c r="AK140" s="2152"/>
      <c r="AL140" s="2152"/>
      <c r="AM140" s="2152"/>
      <c r="AN140" s="2152"/>
      <c r="AO140" s="2152"/>
      <c r="AP140" s="2152"/>
      <c r="AQ140" s="2152"/>
      <c r="AR140" s="2152"/>
      <c r="AS140" s="2152"/>
      <c r="AT140" s="2152"/>
      <c r="AU140" s="2152"/>
      <c r="AV140" s="2152"/>
      <c r="AW140" s="2152"/>
      <c r="AX140" s="1218"/>
      <c r="AY140" s="1217"/>
      <c r="AZ140" s="1217"/>
      <c r="BA140" s="1217"/>
      <c r="BB140" s="1217"/>
      <c r="BC140" s="1217"/>
      <c r="BD140" s="1217"/>
      <c r="BE140" s="1217"/>
      <c r="BF140" s="1217"/>
      <c r="BG140" s="1217"/>
      <c r="BH140" s="1217"/>
      <c r="BI140" s="1219"/>
    </row>
    <row r="141" spans="1:61" s="117" customFormat="1" ht="14">
      <c r="B141" s="1212"/>
      <c r="C141" s="1210"/>
      <c r="D141" s="1209"/>
      <c r="E141" s="1209"/>
      <c r="F141" s="1246"/>
      <c r="G141" s="1246"/>
      <c r="H141" s="2153"/>
      <c r="I141" s="2153"/>
      <c r="J141" s="2153"/>
      <c r="K141" s="2153"/>
      <c r="L141" s="2153"/>
      <c r="M141" s="2153"/>
      <c r="N141" s="2153"/>
      <c r="O141" s="2153"/>
      <c r="P141" s="2153"/>
      <c r="Q141" s="2153"/>
      <c r="R141" s="2153"/>
      <c r="S141" s="2153"/>
      <c r="T141" s="2153"/>
      <c r="U141" s="2153"/>
      <c r="V141" s="2153"/>
      <c r="W141" s="2153"/>
      <c r="X141" s="2153"/>
      <c r="Y141" s="2153"/>
      <c r="Z141" s="2153"/>
      <c r="AA141" s="2153"/>
      <c r="AB141" s="2153"/>
      <c r="AC141" s="2153"/>
      <c r="AD141" s="2153"/>
      <c r="AE141" s="2153"/>
      <c r="AF141" s="2153"/>
      <c r="AG141" s="2153"/>
      <c r="AH141" s="2153"/>
      <c r="AI141" s="2153"/>
      <c r="AJ141" s="2153"/>
      <c r="AK141" s="2153"/>
      <c r="AL141" s="2153"/>
      <c r="AM141" s="2153"/>
      <c r="AN141" s="2153"/>
      <c r="AO141" s="2153"/>
      <c r="AP141" s="2153"/>
      <c r="AQ141" s="2153"/>
      <c r="AR141" s="2153"/>
      <c r="AS141" s="2153"/>
      <c r="AT141" s="2153"/>
      <c r="AU141" s="2153"/>
      <c r="AV141" s="2153"/>
      <c r="AW141" s="2153"/>
      <c r="AX141" s="1247"/>
      <c r="AY141" s="1246"/>
      <c r="AZ141" s="1246"/>
      <c r="BA141" s="1246"/>
      <c r="BB141" s="1246"/>
      <c r="BC141" s="1246"/>
      <c r="BD141" s="1246"/>
      <c r="BE141" s="1246"/>
      <c r="BF141" s="1246"/>
      <c r="BG141" s="1246"/>
      <c r="BH141" s="1246"/>
      <c r="BI141" s="1211"/>
    </row>
    <row r="142" spans="1:61" ht="14">
      <c r="B142" s="1212"/>
      <c r="C142" s="1210"/>
      <c r="D142" s="1209"/>
      <c r="E142" s="1209"/>
      <c r="F142" s="1246"/>
      <c r="G142" s="1246"/>
      <c r="H142" s="2153"/>
      <c r="I142" s="2153"/>
      <c r="J142" s="2153"/>
      <c r="K142" s="2153"/>
      <c r="L142" s="2153"/>
      <c r="M142" s="2153"/>
      <c r="N142" s="2153"/>
      <c r="O142" s="2153"/>
      <c r="P142" s="2153"/>
      <c r="Q142" s="2153"/>
      <c r="R142" s="2153"/>
      <c r="S142" s="2153"/>
      <c r="T142" s="2153"/>
      <c r="U142" s="2153"/>
      <c r="V142" s="2153"/>
      <c r="W142" s="2153"/>
      <c r="X142" s="2153"/>
      <c r="Y142" s="2153"/>
      <c r="Z142" s="2153"/>
      <c r="AA142" s="2153"/>
      <c r="AB142" s="2153"/>
      <c r="AC142" s="2153"/>
      <c r="AD142" s="2153"/>
      <c r="AE142" s="2153"/>
      <c r="AF142" s="2153"/>
      <c r="AG142" s="2153"/>
      <c r="AH142" s="2153"/>
      <c r="AI142" s="2153"/>
      <c r="AJ142" s="2153"/>
      <c r="AK142" s="2153"/>
      <c r="AL142" s="2153"/>
      <c r="AM142" s="2153"/>
      <c r="AN142" s="2153"/>
      <c r="AO142" s="2153"/>
      <c r="AP142" s="2153"/>
      <c r="AQ142" s="2153"/>
      <c r="AR142" s="2153"/>
      <c r="AS142" s="2153"/>
      <c r="AT142" s="2153"/>
      <c r="AU142" s="2153"/>
      <c r="AV142" s="2153"/>
      <c r="AW142" s="2153"/>
      <c r="AX142" s="1247"/>
      <c r="AY142" s="1246"/>
      <c r="AZ142" s="1246"/>
      <c r="BA142" s="1246"/>
      <c r="BB142" s="1246"/>
      <c r="BC142" s="1246"/>
      <c r="BD142" s="1246"/>
      <c r="BE142" s="1246"/>
      <c r="BF142" s="1246"/>
      <c r="BG142" s="1246"/>
      <c r="BH142" s="1246"/>
      <c r="BI142" s="1211"/>
    </row>
    <row r="143" spans="1:61" ht="14">
      <c r="B143" s="1212"/>
      <c r="C143" s="1210"/>
      <c r="D143" s="1209"/>
      <c r="E143" s="1209"/>
      <c r="F143" s="1246"/>
      <c r="G143" s="1246"/>
      <c r="H143" s="2153"/>
      <c r="I143" s="2153"/>
      <c r="J143" s="2153"/>
      <c r="K143" s="2153"/>
      <c r="L143" s="2153"/>
      <c r="M143" s="2153"/>
      <c r="N143" s="2153"/>
      <c r="O143" s="2153"/>
      <c r="P143" s="2153"/>
      <c r="Q143" s="2153"/>
      <c r="R143" s="2153"/>
      <c r="S143" s="2153"/>
      <c r="T143" s="2153"/>
      <c r="U143" s="2153"/>
      <c r="V143" s="2153"/>
      <c r="W143" s="2153"/>
      <c r="X143" s="2153"/>
      <c r="Y143" s="2153"/>
      <c r="Z143" s="2153"/>
      <c r="AA143" s="2153"/>
      <c r="AB143" s="2153"/>
      <c r="AC143" s="2153"/>
      <c r="AD143" s="2153"/>
      <c r="AE143" s="2153"/>
      <c r="AF143" s="2153"/>
      <c r="AG143" s="2153"/>
      <c r="AH143" s="2153"/>
      <c r="AI143" s="2153"/>
      <c r="AJ143" s="2153"/>
      <c r="AK143" s="2153"/>
      <c r="AL143" s="2153"/>
      <c r="AM143" s="2153"/>
      <c r="AN143" s="2153"/>
      <c r="AO143" s="2153"/>
      <c r="AP143" s="2153"/>
      <c r="AQ143" s="2153"/>
      <c r="AR143" s="2153"/>
      <c r="AS143" s="2153"/>
      <c r="AT143" s="2153"/>
      <c r="AU143" s="2153"/>
      <c r="AV143" s="2153"/>
      <c r="AW143" s="2153"/>
      <c r="AX143" s="1247"/>
      <c r="AY143" s="1246"/>
      <c r="AZ143" s="1246"/>
      <c r="BA143" s="1246"/>
      <c r="BB143" s="1246"/>
      <c r="BC143" s="1246"/>
      <c r="BD143" s="1246"/>
      <c r="BE143" s="1246"/>
      <c r="BF143" s="1246"/>
      <c r="BG143" s="1246"/>
      <c r="BH143" s="1246"/>
      <c r="BI143" s="1211"/>
    </row>
    <row r="144" spans="1:61" ht="14">
      <c r="B144" s="1212"/>
      <c r="C144" s="1210"/>
      <c r="D144" s="1209"/>
      <c r="E144" s="1209"/>
      <c r="F144" s="1246"/>
      <c r="G144" s="1246"/>
      <c r="H144" s="2153"/>
      <c r="I144" s="2153"/>
      <c r="J144" s="2153"/>
      <c r="K144" s="2153"/>
      <c r="L144" s="2153"/>
      <c r="M144" s="2153"/>
      <c r="N144" s="2153"/>
      <c r="O144" s="2153"/>
      <c r="P144" s="2153"/>
      <c r="Q144" s="2153"/>
      <c r="R144" s="2153"/>
      <c r="S144" s="2153"/>
      <c r="T144" s="2153"/>
      <c r="U144" s="2153"/>
      <c r="V144" s="2153"/>
      <c r="W144" s="2153"/>
      <c r="X144" s="2153"/>
      <c r="Y144" s="2153"/>
      <c r="Z144" s="2153"/>
      <c r="AA144" s="2153"/>
      <c r="AB144" s="2153"/>
      <c r="AC144" s="2153"/>
      <c r="AD144" s="2153"/>
      <c r="AE144" s="2153"/>
      <c r="AF144" s="2153"/>
      <c r="AG144" s="2153"/>
      <c r="AH144" s="2153"/>
      <c r="AI144" s="2153"/>
      <c r="AJ144" s="2153"/>
      <c r="AK144" s="2153"/>
      <c r="AL144" s="2153"/>
      <c r="AM144" s="2153"/>
      <c r="AN144" s="2153"/>
      <c r="AO144" s="2153"/>
      <c r="AP144" s="2153"/>
      <c r="AQ144" s="2153"/>
      <c r="AR144" s="2153"/>
      <c r="AS144" s="2153"/>
      <c r="AT144" s="2153"/>
      <c r="AU144" s="2153"/>
      <c r="AV144" s="2153"/>
      <c r="AW144" s="2153"/>
      <c r="AX144" s="1247"/>
      <c r="AY144" s="1246"/>
      <c r="AZ144" s="1246"/>
      <c r="BA144" s="1246"/>
      <c r="BB144" s="1246"/>
      <c r="BC144" s="1246"/>
      <c r="BD144" s="1246"/>
      <c r="BE144" s="1246"/>
      <c r="BF144" s="1246"/>
      <c r="BG144" s="1246"/>
      <c r="BH144" s="1246"/>
      <c r="BI144" s="1211"/>
    </row>
    <row r="145" spans="2:62" ht="14">
      <c r="B145" s="1212"/>
      <c r="C145" s="1210"/>
      <c r="D145" s="1209"/>
      <c r="E145" s="1209"/>
      <c r="F145" s="1246"/>
      <c r="G145" s="1246"/>
      <c r="H145" s="2153"/>
      <c r="I145" s="2153"/>
      <c r="J145" s="2153"/>
      <c r="K145" s="2153"/>
      <c r="L145" s="2153"/>
      <c r="M145" s="2153"/>
      <c r="N145" s="2153"/>
      <c r="O145" s="2153"/>
      <c r="P145" s="2153"/>
      <c r="Q145" s="2153"/>
      <c r="R145" s="2153"/>
      <c r="S145" s="2153"/>
      <c r="T145" s="2153"/>
      <c r="U145" s="2153"/>
      <c r="V145" s="2153"/>
      <c r="W145" s="2153"/>
      <c r="X145" s="2153"/>
      <c r="Y145" s="2153"/>
      <c r="Z145" s="2153"/>
      <c r="AA145" s="2153"/>
      <c r="AB145" s="2153"/>
      <c r="AC145" s="2153"/>
      <c r="AD145" s="2153"/>
      <c r="AE145" s="2153"/>
      <c r="AF145" s="2153"/>
      <c r="AG145" s="2153"/>
      <c r="AH145" s="2153"/>
      <c r="AI145" s="2153"/>
      <c r="AJ145" s="2153"/>
      <c r="AK145" s="2153"/>
      <c r="AL145" s="2153"/>
      <c r="AM145" s="2153"/>
      <c r="AN145" s="2153"/>
      <c r="AO145" s="2153"/>
      <c r="AP145" s="2153"/>
      <c r="AQ145" s="2153"/>
      <c r="AR145" s="2153"/>
      <c r="AS145" s="2153"/>
      <c r="AT145" s="2153"/>
      <c r="AU145" s="2153"/>
      <c r="AV145" s="2153"/>
      <c r="AW145" s="2153"/>
      <c r="AX145" s="1247"/>
      <c r="AY145" s="1246"/>
      <c r="AZ145" s="1246"/>
      <c r="BA145" s="1246"/>
      <c r="BB145" s="1246"/>
      <c r="BC145" s="1246"/>
      <c r="BD145" s="1246"/>
      <c r="BE145" s="1246"/>
      <c r="BF145" s="1246"/>
      <c r="BG145" s="1246"/>
      <c r="BH145" s="1246"/>
      <c r="BI145" s="1211"/>
    </row>
    <row r="146" spans="2:62" ht="14">
      <c r="B146" s="1212"/>
      <c r="C146" s="1210"/>
      <c r="D146" s="1209"/>
      <c r="E146" s="1209"/>
      <c r="F146" s="1246"/>
      <c r="G146" s="1246"/>
      <c r="H146" s="2153"/>
      <c r="I146" s="2153"/>
      <c r="J146" s="2153"/>
      <c r="K146" s="2153"/>
      <c r="L146" s="2153"/>
      <c r="M146" s="2153"/>
      <c r="N146" s="2153"/>
      <c r="O146" s="2153"/>
      <c r="P146" s="2153"/>
      <c r="Q146" s="2153"/>
      <c r="R146" s="2153"/>
      <c r="S146" s="2153"/>
      <c r="T146" s="2153"/>
      <c r="U146" s="2153"/>
      <c r="V146" s="2153"/>
      <c r="W146" s="2153"/>
      <c r="X146" s="2153"/>
      <c r="Y146" s="2153"/>
      <c r="Z146" s="2153"/>
      <c r="AA146" s="2153"/>
      <c r="AB146" s="2153"/>
      <c r="AC146" s="2153"/>
      <c r="AD146" s="2153"/>
      <c r="AE146" s="2153"/>
      <c r="AF146" s="2153"/>
      <c r="AG146" s="2153"/>
      <c r="AH146" s="2153"/>
      <c r="AI146" s="2153"/>
      <c r="AJ146" s="2153"/>
      <c r="AK146" s="2153"/>
      <c r="AL146" s="2153"/>
      <c r="AM146" s="2153"/>
      <c r="AN146" s="2153"/>
      <c r="AO146" s="2153"/>
      <c r="AP146" s="2153"/>
      <c r="AQ146" s="2153"/>
      <c r="AR146" s="2153"/>
      <c r="AS146" s="2153"/>
      <c r="AT146" s="2153"/>
      <c r="AU146" s="2153"/>
      <c r="AV146" s="2153"/>
      <c r="AW146" s="2153"/>
      <c r="AX146" s="1247"/>
      <c r="AY146" s="1246"/>
      <c r="AZ146" s="1246"/>
      <c r="BA146" s="1246"/>
      <c r="BB146" s="1246"/>
      <c r="BC146" s="1246"/>
      <c r="BD146" s="1246"/>
      <c r="BE146" s="1246"/>
      <c r="BF146" s="1246"/>
      <c r="BG146" s="1246"/>
      <c r="BH146" s="1246"/>
      <c r="BI146" s="1211"/>
    </row>
    <row r="147" spans="2:62" ht="14">
      <c r="B147" s="1212"/>
      <c r="C147" s="1210"/>
      <c r="D147" s="1209"/>
      <c r="E147" s="1209"/>
      <c r="F147" s="1246"/>
      <c r="G147" s="1246"/>
      <c r="H147" s="2153"/>
      <c r="I147" s="2153"/>
      <c r="J147" s="2153"/>
      <c r="K147" s="2153"/>
      <c r="L147" s="2153"/>
      <c r="M147" s="2153"/>
      <c r="N147" s="2153"/>
      <c r="O147" s="2153"/>
      <c r="P147" s="2153"/>
      <c r="Q147" s="2153"/>
      <c r="R147" s="2153"/>
      <c r="S147" s="2153"/>
      <c r="T147" s="2153"/>
      <c r="U147" s="2153"/>
      <c r="V147" s="2153"/>
      <c r="W147" s="2153"/>
      <c r="X147" s="2153"/>
      <c r="Y147" s="2153"/>
      <c r="Z147" s="2153"/>
      <c r="AA147" s="2153"/>
      <c r="AB147" s="2153"/>
      <c r="AC147" s="2153"/>
      <c r="AD147" s="2153"/>
      <c r="AE147" s="2153"/>
      <c r="AF147" s="2153"/>
      <c r="AG147" s="2153"/>
      <c r="AH147" s="2153"/>
      <c r="AI147" s="2153"/>
      <c r="AJ147" s="2153"/>
      <c r="AK147" s="2153"/>
      <c r="AL147" s="2153"/>
      <c r="AM147" s="2153"/>
      <c r="AN147" s="2153"/>
      <c r="AO147" s="2153"/>
      <c r="AP147" s="2153"/>
      <c r="AQ147" s="2153"/>
      <c r="AR147" s="2153"/>
      <c r="AS147" s="2153"/>
      <c r="AT147" s="2153"/>
      <c r="AU147" s="2153"/>
      <c r="AV147" s="2153"/>
      <c r="AW147" s="2153"/>
      <c r="AX147" s="1247"/>
      <c r="AY147" s="1246"/>
      <c r="AZ147" s="1246"/>
      <c r="BA147" s="1246"/>
      <c r="BB147" s="1246"/>
      <c r="BC147" s="1246"/>
      <c r="BD147" s="1246"/>
      <c r="BE147" s="1246"/>
      <c r="BF147" s="1246"/>
      <c r="BG147" s="1246"/>
      <c r="BH147" s="1246"/>
      <c r="BI147" s="1211"/>
    </row>
    <row r="148" spans="2:62" ht="14">
      <c r="B148" s="1212"/>
      <c r="C148" s="1210"/>
      <c r="D148" s="1209"/>
      <c r="E148" s="1209"/>
      <c r="F148" s="1246"/>
      <c r="G148" s="1246"/>
      <c r="H148" s="2153"/>
      <c r="I148" s="2153"/>
      <c r="J148" s="2153"/>
      <c r="K148" s="2153"/>
      <c r="L148" s="2153"/>
      <c r="M148" s="2153"/>
      <c r="N148" s="2153"/>
      <c r="O148" s="2153"/>
      <c r="P148" s="2153"/>
      <c r="Q148" s="2153"/>
      <c r="R148" s="2153"/>
      <c r="S148" s="2153"/>
      <c r="T148" s="2153"/>
      <c r="U148" s="2153"/>
      <c r="V148" s="2153"/>
      <c r="W148" s="2153"/>
      <c r="X148" s="2153"/>
      <c r="Y148" s="2153"/>
      <c r="Z148" s="2153"/>
      <c r="AA148" s="2153"/>
      <c r="AB148" s="2153"/>
      <c r="AC148" s="2153"/>
      <c r="AD148" s="2153"/>
      <c r="AE148" s="2153"/>
      <c r="AF148" s="2153"/>
      <c r="AG148" s="2153"/>
      <c r="AH148" s="2153"/>
      <c r="AI148" s="2153"/>
      <c r="AJ148" s="2153"/>
      <c r="AK148" s="2153"/>
      <c r="AL148" s="2153"/>
      <c r="AM148" s="2153"/>
      <c r="AN148" s="2153"/>
      <c r="AO148" s="2153"/>
      <c r="AP148" s="2153"/>
      <c r="AQ148" s="2153"/>
      <c r="AR148" s="2153"/>
      <c r="AS148" s="2153"/>
      <c r="AT148" s="2153"/>
      <c r="AU148" s="2153"/>
      <c r="AV148" s="2153"/>
      <c r="AW148" s="2153"/>
      <c r="AX148" s="1247"/>
      <c r="AY148" s="1246"/>
      <c r="AZ148" s="1246"/>
      <c r="BA148" s="1246"/>
      <c r="BB148" s="1246"/>
      <c r="BC148" s="1246"/>
      <c r="BD148" s="1246"/>
      <c r="BE148" s="1246"/>
      <c r="BF148" s="1246"/>
      <c r="BG148" s="1246"/>
      <c r="BH148" s="1246"/>
      <c r="BI148" s="1211"/>
    </row>
    <row r="149" spans="2:62" s="525" customFormat="1">
      <c r="B149" s="1214"/>
      <c r="C149" s="1210"/>
      <c r="D149" s="1216"/>
      <c r="E149" s="1209"/>
      <c r="F149" s="1217"/>
      <c r="G149" s="1217"/>
      <c r="H149" s="2152"/>
      <c r="I149" s="2152"/>
      <c r="J149" s="2152"/>
      <c r="K149" s="2152"/>
      <c r="L149" s="2152"/>
      <c r="M149" s="2152"/>
      <c r="N149" s="2152"/>
      <c r="O149" s="2152"/>
      <c r="P149" s="2152"/>
      <c r="Q149" s="2152"/>
      <c r="R149" s="2152"/>
      <c r="S149" s="2152"/>
      <c r="T149" s="2152"/>
      <c r="U149" s="2152"/>
      <c r="V149" s="2152"/>
      <c r="W149" s="2152"/>
      <c r="X149" s="2152"/>
      <c r="Y149" s="2152"/>
      <c r="Z149" s="2152"/>
      <c r="AA149" s="2152"/>
      <c r="AB149" s="2152"/>
      <c r="AC149" s="2152"/>
      <c r="AD149" s="2152"/>
      <c r="AE149" s="2152"/>
      <c r="AF149" s="2152"/>
      <c r="AG149" s="2152"/>
      <c r="AH149" s="2152"/>
      <c r="AI149" s="2152"/>
      <c r="AJ149" s="2152"/>
      <c r="AK149" s="2152"/>
      <c r="AL149" s="2152"/>
      <c r="AM149" s="2152"/>
      <c r="AN149" s="2152"/>
      <c r="AO149" s="2152"/>
      <c r="AP149" s="2152"/>
      <c r="AQ149" s="2152"/>
      <c r="AR149" s="2152"/>
      <c r="AS149" s="2152"/>
      <c r="AT149" s="2152"/>
      <c r="AU149" s="2152"/>
      <c r="AV149" s="2152"/>
      <c r="AW149" s="2152"/>
      <c r="AX149" s="1218"/>
      <c r="AY149" s="1246"/>
      <c r="AZ149" s="1246"/>
      <c r="BA149" s="1246"/>
      <c r="BB149" s="1246"/>
      <c r="BC149" s="1246"/>
      <c r="BD149" s="1246"/>
      <c r="BE149" s="1246"/>
      <c r="BF149" s="1246"/>
      <c r="BG149" s="1246"/>
      <c r="BH149" s="1246"/>
      <c r="BI149" s="1219"/>
    </row>
    <row r="150" spans="2:62">
      <c r="B150" s="1212"/>
      <c r="C150" s="1210"/>
      <c r="D150" s="1216"/>
      <c r="E150" s="1209"/>
      <c r="F150" s="1217"/>
      <c r="G150" s="1217"/>
      <c r="H150" s="2152"/>
      <c r="I150" s="2152"/>
      <c r="J150" s="2152"/>
      <c r="K150" s="2152"/>
      <c r="L150" s="2152"/>
      <c r="M150" s="2152"/>
      <c r="N150" s="2152"/>
      <c r="O150" s="2152"/>
      <c r="P150" s="2152"/>
      <c r="Q150" s="2152"/>
      <c r="R150" s="2152"/>
      <c r="S150" s="2152"/>
      <c r="T150" s="2152"/>
      <c r="U150" s="2152"/>
      <c r="V150" s="2152"/>
      <c r="W150" s="2152"/>
      <c r="X150" s="2152"/>
      <c r="Y150" s="2152"/>
      <c r="Z150" s="2152"/>
      <c r="AA150" s="2152"/>
      <c r="AB150" s="2152"/>
      <c r="AC150" s="2152"/>
      <c r="AD150" s="2152"/>
      <c r="AE150" s="2152"/>
      <c r="AF150" s="2152"/>
      <c r="AG150" s="2152"/>
      <c r="AH150" s="2152"/>
      <c r="AI150" s="2152"/>
      <c r="AJ150" s="2152"/>
      <c r="AK150" s="2152"/>
      <c r="AL150" s="2152"/>
      <c r="AM150" s="2152"/>
      <c r="AN150" s="2152"/>
      <c r="AO150" s="2152"/>
      <c r="AP150" s="2152"/>
      <c r="AQ150" s="2152"/>
      <c r="AR150" s="2152"/>
      <c r="AS150" s="2152"/>
      <c r="AT150" s="2152"/>
      <c r="AU150" s="2152"/>
      <c r="AV150" s="2152"/>
      <c r="AW150" s="2152"/>
      <c r="AX150" s="1218"/>
      <c r="AY150" s="1246"/>
      <c r="AZ150" s="1246"/>
      <c r="BA150" s="1246"/>
      <c r="BB150" s="1246"/>
      <c r="BC150" s="1246"/>
      <c r="BD150" s="1246"/>
      <c r="BE150" s="1246"/>
      <c r="BF150" s="1246"/>
      <c r="BG150" s="1246"/>
      <c r="BH150" s="1246"/>
      <c r="BI150" s="1211"/>
    </row>
    <row r="151" spans="2:62" ht="14">
      <c r="B151" s="1212"/>
      <c r="C151" s="1209"/>
      <c r="D151" s="1213"/>
      <c r="E151" s="1209"/>
      <c r="F151" s="1248"/>
      <c r="G151" s="1248"/>
      <c r="H151" s="2154"/>
      <c r="I151" s="2154"/>
      <c r="J151" s="2154"/>
      <c r="K151" s="2154"/>
      <c r="L151" s="2154"/>
      <c r="M151" s="2154"/>
      <c r="N151" s="2154"/>
      <c r="O151" s="2154"/>
      <c r="P151" s="2154"/>
      <c r="Q151" s="2154"/>
      <c r="R151" s="2154"/>
      <c r="S151" s="2154"/>
      <c r="T151" s="2154"/>
      <c r="U151" s="2154"/>
      <c r="V151" s="2154"/>
      <c r="W151" s="2154"/>
      <c r="X151" s="2154"/>
      <c r="Y151" s="2154"/>
      <c r="Z151" s="2154"/>
      <c r="AA151" s="2154"/>
      <c r="AB151" s="2154"/>
      <c r="AC151" s="2154"/>
      <c r="AD151" s="2154"/>
      <c r="AE151" s="2154"/>
      <c r="AF151" s="2154"/>
      <c r="AG151" s="2154"/>
      <c r="AH151" s="2154"/>
      <c r="AI151" s="2154"/>
      <c r="AJ151" s="2154"/>
      <c r="AK151" s="2154"/>
      <c r="AL151" s="2154"/>
      <c r="AM151" s="2154"/>
      <c r="AN151" s="2154"/>
      <c r="AO151" s="2154"/>
      <c r="AP151" s="2154"/>
      <c r="AQ151" s="2154"/>
      <c r="AR151" s="2154"/>
      <c r="AS151" s="2154"/>
      <c r="AT151" s="2154"/>
      <c r="AU151" s="2154"/>
      <c r="AV151" s="2154"/>
      <c r="AW151" s="2154"/>
      <c r="AX151" s="1246"/>
      <c r="AY151" s="1248"/>
      <c r="AZ151" s="1248"/>
      <c r="BA151" s="1248"/>
      <c r="BB151" s="1248"/>
      <c r="BC151" s="1248"/>
      <c r="BD151" s="1248"/>
      <c r="BE151" s="1248"/>
      <c r="BF151" s="1248"/>
      <c r="BG151" s="1248"/>
      <c r="BH151" s="1248"/>
      <c r="BI151" s="1211"/>
      <c r="BJ151" s="1142"/>
    </row>
    <row r="152" spans="2:62" ht="5.25" customHeight="1">
      <c r="B152" s="1212"/>
      <c r="C152" s="1209"/>
      <c r="D152" s="1209"/>
      <c r="E152" s="1209"/>
      <c r="F152" s="1247"/>
      <c r="G152" s="1247"/>
      <c r="H152" s="2155"/>
      <c r="I152" s="2155"/>
      <c r="J152" s="2155"/>
      <c r="K152" s="2155"/>
      <c r="L152" s="2155"/>
      <c r="M152" s="2155"/>
      <c r="N152" s="2155"/>
      <c r="O152" s="2155"/>
      <c r="P152" s="2155"/>
      <c r="Q152" s="2155"/>
      <c r="R152" s="2155"/>
      <c r="S152" s="2155"/>
      <c r="T152" s="2155"/>
      <c r="U152" s="2155"/>
      <c r="V152" s="2155"/>
      <c r="W152" s="2155"/>
      <c r="X152" s="2155"/>
      <c r="Y152" s="2155"/>
      <c r="Z152" s="2155"/>
      <c r="AA152" s="2155"/>
      <c r="AB152" s="2155"/>
      <c r="AC152" s="2155"/>
      <c r="AD152" s="2155"/>
      <c r="AE152" s="2155"/>
      <c r="AF152" s="2155"/>
      <c r="AG152" s="2155"/>
      <c r="AH152" s="2155"/>
      <c r="AI152" s="2155"/>
      <c r="AJ152" s="2155"/>
      <c r="AK152" s="2155"/>
      <c r="AL152" s="2155"/>
      <c r="AM152" s="2155"/>
      <c r="AN152" s="2155"/>
      <c r="AO152" s="2155"/>
      <c r="AP152" s="2155"/>
      <c r="AQ152" s="2155"/>
      <c r="AR152" s="2155"/>
      <c r="AS152" s="2155"/>
      <c r="AT152" s="2155"/>
      <c r="AU152" s="2155"/>
      <c r="AV152" s="2155"/>
      <c r="AW152" s="2155"/>
      <c r="AX152" s="1247"/>
      <c r="AY152" s="1247"/>
      <c r="AZ152" s="1247"/>
      <c r="BA152" s="1247"/>
      <c r="BB152" s="1247"/>
      <c r="BC152" s="1247"/>
      <c r="BD152" s="1247"/>
      <c r="BE152" s="1247"/>
      <c r="BF152" s="1247"/>
      <c r="BG152" s="1247"/>
      <c r="BH152" s="1247"/>
      <c r="BI152" s="1211"/>
    </row>
    <row r="153" spans="2:62" s="242" customFormat="1" ht="14">
      <c r="B153" s="1226"/>
      <c r="C153" s="1227"/>
      <c r="D153" s="1227"/>
      <c r="E153" s="1227"/>
      <c r="F153" s="1249"/>
      <c r="G153" s="1249"/>
      <c r="H153" s="2156"/>
      <c r="I153" s="2156"/>
      <c r="J153" s="2156"/>
      <c r="K153" s="2156"/>
      <c r="L153" s="2156"/>
      <c r="M153" s="2156"/>
      <c r="N153" s="2156"/>
      <c r="O153" s="2156"/>
      <c r="P153" s="2156"/>
      <c r="Q153" s="2156"/>
      <c r="R153" s="2156"/>
      <c r="S153" s="2156"/>
      <c r="T153" s="2156"/>
      <c r="U153" s="2156"/>
      <c r="V153" s="2156"/>
      <c r="W153" s="2156"/>
      <c r="X153" s="2156"/>
      <c r="Y153" s="2156"/>
      <c r="Z153" s="2156"/>
      <c r="AA153" s="2156"/>
      <c r="AB153" s="2156"/>
      <c r="AC153" s="2156"/>
      <c r="AD153" s="2156"/>
      <c r="AE153" s="2156"/>
      <c r="AF153" s="2156"/>
      <c r="AG153" s="2156"/>
      <c r="AH153" s="2156"/>
      <c r="AI153" s="2156"/>
      <c r="AJ153" s="2156"/>
      <c r="AK153" s="2156"/>
      <c r="AL153" s="2156"/>
      <c r="AM153" s="2156"/>
      <c r="AN153" s="2156"/>
      <c r="AO153" s="2156"/>
      <c r="AP153" s="2156"/>
      <c r="AQ153" s="2156"/>
      <c r="AR153" s="2156"/>
      <c r="AS153" s="2156"/>
      <c r="AT153" s="2156"/>
      <c r="AU153" s="2156"/>
      <c r="AV153" s="2156"/>
      <c r="AW153" s="2156"/>
      <c r="AX153" s="1249"/>
      <c r="AY153" s="1249"/>
      <c r="AZ153" s="1249"/>
      <c r="BA153" s="1249"/>
      <c r="BB153" s="1249"/>
      <c r="BC153" s="1249"/>
      <c r="BD153" s="1249"/>
      <c r="BE153" s="1249"/>
      <c r="BF153" s="1249"/>
      <c r="BG153" s="1249"/>
      <c r="BH153" s="1249"/>
      <c r="BI153" s="1229"/>
    </row>
    <row r="154" spans="2:62" ht="14">
      <c r="B154" s="1212"/>
      <c r="C154" s="1209"/>
      <c r="D154" s="1209"/>
      <c r="E154" s="1209"/>
      <c r="F154" s="1209"/>
      <c r="G154" s="1209"/>
      <c r="H154" s="2151"/>
      <c r="I154" s="2151"/>
      <c r="J154" s="2151"/>
      <c r="K154" s="2151"/>
      <c r="L154" s="2151"/>
      <c r="M154" s="2151"/>
      <c r="N154" s="2151"/>
      <c r="O154" s="2151"/>
      <c r="P154" s="2151"/>
      <c r="Q154" s="2151"/>
      <c r="R154" s="2151"/>
      <c r="S154" s="2151"/>
      <c r="T154" s="2151"/>
      <c r="U154" s="2151"/>
      <c r="V154" s="2151"/>
      <c r="W154" s="2151"/>
      <c r="X154" s="2151"/>
      <c r="Y154" s="2151"/>
      <c r="Z154" s="2151"/>
      <c r="AA154" s="2151"/>
      <c r="AB154" s="2151"/>
      <c r="AC154" s="2151"/>
      <c r="AD154" s="2151"/>
      <c r="AE154" s="2151"/>
      <c r="AF154" s="2151"/>
      <c r="AG154" s="2151"/>
      <c r="AH154" s="2151"/>
      <c r="AI154" s="2151"/>
      <c r="AJ154" s="2151"/>
      <c r="AK154" s="2151"/>
      <c r="AL154" s="2151"/>
      <c r="AM154" s="2151"/>
      <c r="AN154" s="2151"/>
      <c r="AO154" s="2151"/>
      <c r="AP154" s="2151"/>
      <c r="AQ154" s="2151"/>
      <c r="AR154" s="2151"/>
      <c r="AS154" s="2151"/>
      <c r="AT154" s="2151"/>
      <c r="AU154" s="2151"/>
      <c r="AV154" s="2151"/>
      <c r="AW154" s="2151"/>
      <c r="AX154" s="1209"/>
      <c r="AY154" s="1209"/>
      <c r="AZ154" s="1209"/>
      <c r="BA154" s="1209"/>
      <c r="BB154" s="1209"/>
      <c r="BC154" s="1209"/>
      <c r="BD154" s="1209"/>
      <c r="BE154" s="1209"/>
      <c r="BF154" s="1209"/>
      <c r="BG154" s="1209"/>
      <c r="BH154" s="1209"/>
      <c r="BI154" s="1211"/>
    </row>
    <row r="155" spans="2:62" s="528" customFormat="1" ht="13.5" customHeight="1">
      <c r="B155" s="1243"/>
      <c r="C155" s="1244"/>
      <c r="D155" s="1368"/>
      <c r="E155" s="1368"/>
      <c r="F155" s="1367"/>
      <c r="G155" s="1367"/>
      <c r="H155" s="2157"/>
      <c r="I155" s="2157"/>
      <c r="J155" s="2157"/>
      <c r="K155" s="2157"/>
      <c r="L155" s="2157"/>
      <c r="M155" s="2157"/>
      <c r="N155" s="2157"/>
      <c r="O155" s="2157"/>
      <c r="P155" s="2157"/>
      <c r="Q155" s="2157"/>
      <c r="R155" s="2157"/>
      <c r="S155" s="2157"/>
      <c r="T155" s="2157"/>
      <c r="U155" s="2157"/>
      <c r="V155" s="2157"/>
      <c r="W155" s="2157"/>
      <c r="X155" s="2157"/>
      <c r="Y155" s="2157"/>
      <c r="Z155" s="2157"/>
      <c r="AA155" s="2157"/>
      <c r="AB155" s="2157"/>
      <c r="AC155" s="2157"/>
      <c r="AD155" s="2157"/>
      <c r="AE155" s="2157"/>
      <c r="AF155" s="2157"/>
      <c r="AG155" s="2157"/>
      <c r="AH155" s="2157"/>
      <c r="AI155" s="2157"/>
      <c r="AJ155" s="2157"/>
      <c r="AK155" s="2157"/>
      <c r="AL155" s="2157"/>
      <c r="AM155" s="2157"/>
      <c r="AN155" s="2157"/>
      <c r="AO155" s="2157"/>
      <c r="AP155" s="2157"/>
      <c r="AQ155" s="2157"/>
      <c r="AR155" s="2157"/>
      <c r="AS155" s="2157"/>
      <c r="AT155" s="2157"/>
      <c r="AU155" s="2157"/>
      <c r="AV155" s="2157"/>
      <c r="AW155" s="2157"/>
      <c r="AX155" s="1244"/>
      <c r="AY155" s="1369"/>
      <c r="AZ155" s="1244"/>
      <c r="BA155" s="1244"/>
      <c r="BB155" s="1244"/>
      <c r="BC155" s="1244"/>
      <c r="BD155" s="1244"/>
      <c r="BE155" s="1244"/>
      <c r="BF155" s="1244"/>
      <c r="BG155" s="1616"/>
      <c r="BH155" s="1615"/>
      <c r="BI155" s="1245"/>
    </row>
    <row r="156" spans="2:62" s="528" customFormat="1" ht="13.5" customHeight="1">
      <c r="B156" s="1243"/>
      <c r="C156" s="1244"/>
      <c r="D156" s="1368"/>
      <c r="E156" s="1368"/>
      <c r="F156" s="1367"/>
      <c r="G156" s="1367"/>
      <c r="H156" s="2157"/>
      <c r="I156" s="2157"/>
      <c r="J156" s="2157"/>
      <c r="K156" s="2157"/>
      <c r="L156" s="2157"/>
      <c r="M156" s="2157"/>
      <c r="N156" s="2157"/>
      <c r="O156" s="2157"/>
      <c r="P156" s="2157"/>
      <c r="Q156" s="2157"/>
      <c r="R156" s="2157"/>
      <c r="S156" s="2157"/>
      <c r="T156" s="2157"/>
      <c r="U156" s="2157"/>
      <c r="V156" s="2157"/>
      <c r="W156" s="2157"/>
      <c r="X156" s="2157"/>
      <c r="Y156" s="2157"/>
      <c r="Z156" s="2157"/>
      <c r="AA156" s="2157"/>
      <c r="AB156" s="2157"/>
      <c r="AC156" s="2157"/>
      <c r="AD156" s="2157"/>
      <c r="AE156" s="2157"/>
      <c r="AF156" s="2157"/>
      <c r="AG156" s="2157"/>
      <c r="AH156" s="2157"/>
      <c r="AI156" s="2157"/>
      <c r="AJ156" s="2157"/>
      <c r="AK156" s="2157"/>
      <c r="AL156" s="2157"/>
      <c r="AM156" s="2157"/>
      <c r="AN156" s="2157"/>
      <c r="AO156" s="2157"/>
      <c r="AP156" s="2157"/>
      <c r="AQ156" s="2157"/>
      <c r="AR156" s="2157"/>
      <c r="AS156" s="2157"/>
      <c r="AT156" s="2157"/>
      <c r="AU156" s="2157"/>
      <c r="AV156" s="2157"/>
      <c r="AW156" s="2157"/>
      <c r="AX156" s="1244"/>
      <c r="AY156" s="1369"/>
      <c r="AZ156" s="1244"/>
      <c r="BA156" s="1244"/>
      <c r="BB156" s="1244"/>
      <c r="BC156" s="1244"/>
      <c r="BD156" s="1244"/>
      <c r="BE156" s="1244"/>
      <c r="BF156" s="1244"/>
      <c r="BG156" s="1616"/>
      <c r="BH156" s="1615"/>
      <c r="BI156" s="1245"/>
    </row>
    <row r="157" spans="2:62" s="528" customFormat="1" ht="13.5" customHeight="1">
      <c r="B157" s="1243"/>
      <c r="C157" s="1244"/>
      <c r="D157" s="1368"/>
      <c r="E157" s="1368"/>
      <c r="F157" s="1368"/>
      <c r="G157" s="1368"/>
      <c r="H157" s="2158"/>
      <c r="I157" s="2158"/>
      <c r="J157" s="2158"/>
      <c r="K157" s="2158"/>
      <c r="L157" s="2158"/>
      <c r="M157" s="2158"/>
      <c r="N157" s="2158"/>
      <c r="O157" s="2158"/>
      <c r="P157" s="2158"/>
      <c r="Q157" s="2158"/>
      <c r="R157" s="2158"/>
      <c r="S157" s="2158"/>
      <c r="T157" s="2158"/>
      <c r="U157" s="2158"/>
      <c r="V157" s="2158"/>
      <c r="W157" s="2158"/>
      <c r="X157" s="2158"/>
      <c r="Y157" s="2158"/>
      <c r="Z157" s="2158"/>
      <c r="AA157" s="2158"/>
      <c r="AB157" s="2158"/>
      <c r="AC157" s="2158"/>
      <c r="AD157" s="2158"/>
      <c r="AE157" s="2158"/>
      <c r="AF157" s="2158"/>
      <c r="AG157" s="2158"/>
      <c r="AH157" s="2158"/>
      <c r="AI157" s="2158"/>
      <c r="AJ157" s="2158"/>
      <c r="AK157" s="2158"/>
      <c r="AL157" s="2158"/>
      <c r="AM157" s="2158"/>
      <c r="AN157" s="2158"/>
      <c r="AO157" s="2158"/>
      <c r="AP157" s="2158"/>
      <c r="AQ157" s="2158"/>
      <c r="AR157" s="2158"/>
      <c r="AS157" s="2158"/>
      <c r="AT157" s="2158"/>
      <c r="AU157" s="2158"/>
      <c r="AV157" s="2158"/>
      <c r="AW157" s="2158"/>
      <c r="AX157" s="1244"/>
      <c r="AY157" s="1209"/>
      <c r="AZ157" s="1209"/>
      <c r="BA157" s="1209"/>
      <c r="BB157" s="1209"/>
      <c r="BC157" s="1209"/>
      <c r="BD157" s="1209"/>
      <c r="BE157" s="1209"/>
      <c r="BF157" s="1209"/>
      <c r="BG157" s="1209"/>
      <c r="BH157" s="1210"/>
      <c r="BI157" s="1245"/>
    </row>
    <row r="158" spans="2:62" s="528" customFormat="1" ht="13.5" customHeight="1">
      <c r="B158" s="1243"/>
      <c r="C158" s="1368"/>
      <c r="D158" s="1368"/>
      <c r="E158" s="1368"/>
      <c r="F158" s="1653"/>
      <c r="G158" s="1653"/>
      <c r="H158" s="2159"/>
      <c r="I158" s="2159"/>
      <c r="J158" s="2159"/>
      <c r="K158" s="2159"/>
      <c r="L158" s="2159"/>
      <c r="M158" s="2159"/>
      <c r="N158" s="2159"/>
      <c r="O158" s="2159"/>
      <c r="P158" s="2159"/>
      <c r="Q158" s="2159"/>
      <c r="R158" s="2159"/>
      <c r="S158" s="2159"/>
      <c r="T158" s="2159"/>
      <c r="U158" s="2159"/>
      <c r="V158" s="2159"/>
      <c r="W158" s="2159"/>
      <c r="X158" s="2159"/>
      <c r="Y158" s="2159"/>
      <c r="Z158" s="2159"/>
      <c r="AA158" s="2159"/>
      <c r="AB158" s="2159"/>
      <c r="AC158" s="2159"/>
      <c r="AD158" s="2159"/>
      <c r="AE158" s="2159"/>
      <c r="AF158" s="2159"/>
      <c r="AG158" s="2159"/>
      <c r="AH158" s="2159"/>
      <c r="AI158" s="2159"/>
      <c r="AJ158" s="2159"/>
      <c r="AK158" s="2159"/>
      <c r="AL158" s="2159"/>
      <c r="AM158" s="2159"/>
      <c r="AN158" s="2159"/>
      <c r="AO158" s="2159"/>
      <c r="AP158" s="2159"/>
      <c r="AQ158" s="2159"/>
      <c r="AR158" s="2159"/>
      <c r="AS158" s="2159"/>
      <c r="AT158" s="2159"/>
      <c r="AU158" s="2159"/>
      <c r="AV158" s="2159"/>
      <c r="AW158" s="2159"/>
      <c r="AX158" s="1244"/>
      <c r="AY158" s="1625"/>
      <c r="AZ158" s="1625"/>
      <c r="BA158" s="1625"/>
      <c r="BB158" s="1625"/>
      <c r="BC158" s="1625"/>
      <c r="BD158" s="1625"/>
      <c r="BE158" s="1625"/>
      <c r="BF158" s="1625"/>
      <c r="BG158" s="1625"/>
      <c r="BH158" s="1625"/>
      <c r="BI158" s="1245"/>
    </row>
    <row r="159" spans="2:62" s="528" customFormat="1" ht="13.5" customHeight="1">
      <c r="B159" s="1243"/>
      <c r="C159" s="1368"/>
      <c r="D159" s="1368"/>
      <c r="E159" s="1368"/>
      <c r="F159" s="1653"/>
      <c r="G159" s="1653"/>
      <c r="H159" s="2159"/>
      <c r="I159" s="2159"/>
      <c r="J159" s="2159"/>
      <c r="K159" s="2159"/>
      <c r="L159" s="2159"/>
      <c r="M159" s="2159"/>
      <c r="N159" s="2159"/>
      <c r="O159" s="2159"/>
      <c r="P159" s="2159"/>
      <c r="Q159" s="2159"/>
      <c r="R159" s="2159"/>
      <c r="S159" s="2159"/>
      <c r="T159" s="2159"/>
      <c r="U159" s="2159"/>
      <c r="V159" s="2159"/>
      <c r="W159" s="2159"/>
      <c r="X159" s="2159"/>
      <c r="Y159" s="2159"/>
      <c r="Z159" s="2159"/>
      <c r="AA159" s="2159"/>
      <c r="AB159" s="2159"/>
      <c r="AC159" s="2159"/>
      <c r="AD159" s="2159"/>
      <c r="AE159" s="2159"/>
      <c r="AF159" s="2159"/>
      <c r="AG159" s="2159"/>
      <c r="AH159" s="2159"/>
      <c r="AI159" s="2159"/>
      <c r="AJ159" s="2159"/>
      <c r="AK159" s="2159"/>
      <c r="AL159" s="2159"/>
      <c r="AM159" s="2159"/>
      <c r="AN159" s="2159"/>
      <c r="AO159" s="2159"/>
      <c r="AP159" s="2159"/>
      <c r="AQ159" s="2159"/>
      <c r="AR159" s="2159"/>
      <c r="AS159" s="2159"/>
      <c r="AT159" s="2159"/>
      <c r="AU159" s="2159"/>
      <c r="AV159" s="2159"/>
      <c r="AW159" s="2159"/>
      <c r="AX159" s="1244"/>
      <c r="AY159" s="1625"/>
      <c r="AZ159" s="1625"/>
      <c r="BA159" s="1625"/>
      <c r="BB159" s="1625"/>
      <c r="BC159" s="1625"/>
      <c r="BD159" s="1625"/>
      <c r="BE159" s="1625"/>
      <c r="BF159" s="1625"/>
      <c r="BG159" s="1625"/>
      <c r="BH159" s="1625"/>
      <c r="BI159" s="1245"/>
    </row>
    <row r="160" spans="2:62" s="528" customFormat="1" ht="13.5" customHeight="1">
      <c r="B160" s="1243"/>
      <c r="C160" s="1368"/>
      <c r="D160" s="1368"/>
      <c r="E160" s="1368"/>
      <c r="F160" s="1653"/>
      <c r="G160" s="1653"/>
      <c r="H160" s="2159"/>
      <c r="I160" s="2159"/>
      <c r="J160" s="2159"/>
      <c r="K160" s="2159"/>
      <c r="L160" s="2159"/>
      <c r="M160" s="2159"/>
      <c r="N160" s="2159"/>
      <c r="O160" s="2159"/>
      <c r="P160" s="2159"/>
      <c r="Q160" s="2159"/>
      <c r="R160" s="2159"/>
      <c r="S160" s="2159"/>
      <c r="T160" s="2159"/>
      <c r="U160" s="2159"/>
      <c r="V160" s="2159"/>
      <c r="W160" s="2159"/>
      <c r="X160" s="2159"/>
      <c r="Y160" s="2159"/>
      <c r="Z160" s="2159"/>
      <c r="AA160" s="2159"/>
      <c r="AB160" s="2159"/>
      <c r="AC160" s="2159"/>
      <c r="AD160" s="2159"/>
      <c r="AE160" s="2159"/>
      <c r="AF160" s="2159"/>
      <c r="AG160" s="2159"/>
      <c r="AH160" s="2159"/>
      <c r="AI160" s="2159"/>
      <c r="AJ160" s="2159"/>
      <c r="AK160" s="2159"/>
      <c r="AL160" s="2159"/>
      <c r="AM160" s="2159"/>
      <c r="AN160" s="2159"/>
      <c r="AO160" s="2159"/>
      <c r="AP160" s="2159"/>
      <c r="AQ160" s="2159"/>
      <c r="AR160" s="2159"/>
      <c r="AS160" s="2159"/>
      <c r="AT160" s="2159"/>
      <c r="AU160" s="2159"/>
      <c r="AV160" s="2159"/>
      <c r="AW160" s="2159"/>
      <c r="AX160" s="1244"/>
      <c r="AY160" s="1625"/>
      <c r="AZ160" s="1625"/>
      <c r="BA160" s="1625"/>
      <c r="BB160" s="1625"/>
      <c r="BC160" s="1625"/>
      <c r="BD160" s="1625"/>
      <c r="BE160" s="1625"/>
      <c r="BF160" s="1625"/>
      <c r="BG160" s="1625"/>
      <c r="BH160" s="1625"/>
      <c r="BI160" s="1245"/>
    </row>
    <row r="161" spans="2:61" s="528" customFormat="1" ht="13.5" customHeight="1">
      <c r="B161" s="1243"/>
      <c r="C161" s="1368"/>
      <c r="D161" s="1368"/>
      <c r="E161" s="1368"/>
      <c r="F161" s="1653"/>
      <c r="G161" s="1653"/>
      <c r="H161" s="2159"/>
      <c r="I161" s="2159"/>
      <c r="J161" s="2159"/>
      <c r="K161" s="2159"/>
      <c r="L161" s="2159"/>
      <c r="M161" s="2159"/>
      <c r="N161" s="2159"/>
      <c r="O161" s="2159"/>
      <c r="P161" s="2159"/>
      <c r="Q161" s="2159"/>
      <c r="R161" s="2159"/>
      <c r="S161" s="2159"/>
      <c r="T161" s="2159"/>
      <c r="U161" s="2159"/>
      <c r="V161" s="2159"/>
      <c r="W161" s="2159"/>
      <c r="X161" s="2159"/>
      <c r="Y161" s="2159"/>
      <c r="Z161" s="2159"/>
      <c r="AA161" s="2159"/>
      <c r="AB161" s="2159"/>
      <c r="AC161" s="2159"/>
      <c r="AD161" s="2159"/>
      <c r="AE161" s="2159"/>
      <c r="AF161" s="2159"/>
      <c r="AG161" s="2159"/>
      <c r="AH161" s="2159"/>
      <c r="AI161" s="2159"/>
      <c r="AJ161" s="2159"/>
      <c r="AK161" s="2159"/>
      <c r="AL161" s="2159"/>
      <c r="AM161" s="2159"/>
      <c r="AN161" s="2159"/>
      <c r="AO161" s="2159"/>
      <c r="AP161" s="2159"/>
      <c r="AQ161" s="2159"/>
      <c r="AR161" s="2159"/>
      <c r="AS161" s="2159"/>
      <c r="AT161" s="2159"/>
      <c r="AU161" s="2159"/>
      <c r="AV161" s="2159"/>
      <c r="AW161" s="2159"/>
      <c r="AX161" s="1244"/>
      <c r="AY161" s="1625"/>
      <c r="AZ161" s="1625"/>
      <c r="BA161" s="1625"/>
      <c r="BB161" s="1625"/>
      <c r="BC161" s="1625"/>
      <c r="BD161" s="1625"/>
      <c r="BE161" s="1625"/>
      <c r="BF161" s="1625"/>
      <c r="BG161" s="1625"/>
      <c r="BH161" s="1625"/>
      <c r="BI161" s="1245"/>
    </row>
    <row r="162" spans="2:61" s="528" customFormat="1" ht="13.5" customHeight="1">
      <c r="B162" s="1243"/>
      <c r="C162" s="1368"/>
      <c r="D162" s="1368"/>
      <c r="E162" s="1368"/>
      <c r="F162" s="1653"/>
      <c r="G162" s="1653"/>
      <c r="H162" s="2159"/>
      <c r="I162" s="2159"/>
      <c r="J162" s="2159"/>
      <c r="K162" s="2159"/>
      <c r="L162" s="2159"/>
      <c r="M162" s="2159"/>
      <c r="N162" s="2159"/>
      <c r="O162" s="2159"/>
      <c r="P162" s="2159"/>
      <c r="Q162" s="2159"/>
      <c r="R162" s="2159"/>
      <c r="S162" s="2159"/>
      <c r="T162" s="2159"/>
      <c r="U162" s="2159"/>
      <c r="V162" s="2159"/>
      <c r="W162" s="2159"/>
      <c r="X162" s="2159"/>
      <c r="Y162" s="2159"/>
      <c r="Z162" s="2159"/>
      <c r="AA162" s="2159"/>
      <c r="AB162" s="2159"/>
      <c r="AC162" s="2159"/>
      <c r="AD162" s="2159"/>
      <c r="AE162" s="2159"/>
      <c r="AF162" s="2159"/>
      <c r="AG162" s="2159"/>
      <c r="AH162" s="2159"/>
      <c r="AI162" s="2159"/>
      <c r="AJ162" s="2159"/>
      <c r="AK162" s="2159"/>
      <c r="AL162" s="2159"/>
      <c r="AM162" s="2159"/>
      <c r="AN162" s="2159"/>
      <c r="AO162" s="2159"/>
      <c r="AP162" s="2159"/>
      <c r="AQ162" s="2159"/>
      <c r="AR162" s="2159"/>
      <c r="AS162" s="2159"/>
      <c r="AT162" s="2159"/>
      <c r="AU162" s="2159"/>
      <c r="AV162" s="2159"/>
      <c r="AW162" s="2159"/>
      <c r="AX162" s="1244"/>
      <c r="AY162" s="1625"/>
      <c r="AZ162" s="1625"/>
      <c r="BA162" s="1625"/>
      <c r="BB162" s="1625"/>
      <c r="BC162" s="1625"/>
      <c r="BD162" s="1625"/>
      <c r="BE162" s="1625"/>
      <c r="BF162" s="1625"/>
      <c r="BG162" s="1625"/>
      <c r="BH162" s="1625"/>
      <c r="BI162" s="1245"/>
    </row>
    <row r="163" spans="2:61" s="528" customFormat="1" ht="13.5" customHeight="1">
      <c r="B163" s="1243"/>
      <c r="C163" s="1368"/>
      <c r="D163" s="1368"/>
      <c r="E163" s="1368"/>
      <c r="F163" s="1653"/>
      <c r="G163" s="1653"/>
      <c r="H163" s="2159"/>
      <c r="I163" s="2159"/>
      <c r="J163" s="2159"/>
      <c r="K163" s="2159"/>
      <c r="L163" s="2159"/>
      <c r="M163" s="2159"/>
      <c r="N163" s="2159"/>
      <c r="O163" s="2159"/>
      <c r="P163" s="2159"/>
      <c r="Q163" s="2159"/>
      <c r="R163" s="2159"/>
      <c r="S163" s="2159"/>
      <c r="T163" s="2159"/>
      <c r="U163" s="2159"/>
      <c r="V163" s="2159"/>
      <c r="W163" s="2159"/>
      <c r="X163" s="2159"/>
      <c r="Y163" s="2159"/>
      <c r="Z163" s="2159"/>
      <c r="AA163" s="2159"/>
      <c r="AB163" s="2159"/>
      <c r="AC163" s="2159"/>
      <c r="AD163" s="2159"/>
      <c r="AE163" s="2159"/>
      <c r="AF163" s="2159"/>
      <c r="AG163" s="2159"/>
      <c r="AH163" s="2159"/>
      <c r="AI163" s="2159"/>
      <c r="AJ163" s="2159"/>
      <c r="AK163" s="2159"/>
      <c r="AL163" s="2159"/>
      <c r="AM163" s="2159"/>
      <c r="AN163" s="2159"/>
      <c r="AO163" s="2159"/>
      <c r="AP163" s="2159"/>
      <c r="AQ163" s="2159"/>
      <c r="AR163" s="2159"/>
      <c r="AS163" s="2159"/>
      <c r="AT163" s="2159"/>
      <c r="AU163" s="2159"/>
      <c r="AV163" s="2159"/>
      <c r="AW163" s="2159"/>
      <c r="AX163" s="1244"/>
      <c r="AY163" s="1625"/>
      <c r="AZ163" s="1625"/>
      <c r="BA163" s="1625"/>
      <c r="BB163" s="1625"/>
      <c r="BC163" s="1625"/>
      <c r="BD163" s="1625"/>
      <c r="BE163" s="1625"/>
      <c r="BF163" s="1625"/>
      <c r="BG163" s="1625"/>
      <c r="BH163" s="1625"/>
      <c r="BI163" s="1245"/>
    </row>
    <row r="164" spans="2:61" s="528" customFormat="1" ht="13.5" customHeight="1">
      <c r="B164" s="1243"/>
      <c r="C164" s="1368"/>
      <c r="D164" s="1368"/>
      <c r="E164" s="1368"/>
      <c r="F164" s="1653"/>
      <c r="G164" s="1653"/>
      <c r="H164" s="2159"/>
      <c r="I164" s="2159"/>
      <c r="J164" s="2159"/>
      <c r="K164" s="2159"/>
      <c r="L164" s="2159"/>
      <c r="M164" s="2159"/>
      <c r="N164" s="2159"/>
      <c r="O164" s="2159"/>
      <c r="P164" s="2159"/>
      <c r="Q164" s="2159"/>
      <c r="R164" s="2159"/>
      <c r="S164" s="2159"/>
      <c r="T164" s="2159"/>
      <c r="U164" s="2159"/>
      <c r="V164" s="2159"/>
      <c r="W164" s="2159"/>
      <c r="X164" s="2159"/>
      <c r="Y164" s="2159"/>
      <c r="Z164" s="2159"/>
      <c r="AA164" s="2159"/>
      <c r="AB164" s="2159"/>
      <c r="AC164" s="2159"/>
      <c r="AD164" s="2159"/>
      <c r="AE164" s="2159"/>
      <c r="AF164" s="2159"/>
      <c r="AG164" s="2159"/>
      <c r="AH164" s="2159"/>
      <c r="AI164" s="2159"/>
      <c r="AJ164" s="2159"/>
      <c r="AK164" s="2159"/>
      <c r="AL164" s="2159"/>
      <c r="AM164" s="2159"/>
      <c r="AN164" s="2159"/>
      <c r="AO164" s="2159"/>
      <c r="AP164" s="2159"/>
      <c r="AQ164" s="2159"/>
      <c r="AR164" s="2159"/>
      <c r="AS164" s="2159"/>
      <c r="AT164" s="2159"/>
      <c r="AU164" s="2159"/>
      <c r="AV164" s="2159"/>
      <c r="AW164" s="2159"/>
      <c r="AX164" s="1244"/>
      <c r="AY164" s="1625"/>
      <c r="AZ164" s="1625"/>
      <c r="BA164" s="1625"/>
      <c r="BB164" s="1625"/>
      <c r="BC164" s="1625"/>
      <c r="BD164" s="1625"/>
      <c r="BE164" s="1625"/>
      <c r="BF164" s="1625"/>
      <c r="BG164" s="1625"/>
      <c r="BH164" s="1625"/>
      <c r="BI164" s="1245"/>
    </row>
    <row r="165" spans="2:61" s="528" customFormat="1" ht="13.5" customHeight="1">
      <c r="B165" s="1243"/>
      <c r="C165" s="1368"/>
      <c r="D165" s="1368"/>
      <c r="E165" s="1368"/>
      <c r="F165" s="1653"/>
      <c r="G165" s="1653"/>
      <c r="H165" s="2159"/>
      <c r="I165" s="2159"/>
      <c r="J165" s="2159"/>
      <c r="K165" s="2159"/>
      <c r="L165" s="2159"/>
      <c r="M165" s="2159"/>
      <c r="N165" s="2159"/>
      <c r="O165" s="2159"/>
      <c r="P165" s="2159"/>
      <c r="Q165" s="2159"/>
      <c r="R165" s="2159"/>
      <c r="S165" s="2159"/>
      <c r="T165" s="2159"/>
      <c r="U165" s="2159"/>
      <c r="V165" s="2159"/>
      <c r="W165" s="2159"/>
      <c r="X165" s="2159"/>
      <c r="Y165" s="2159"/>
      <c r="Z165" s="2159"/>
      <c r="AA165" s="2159"/>
      <c r="AB165" s="2159"/>
      <c r="AC165" s="2159"/>
      <c r="AD165" s="2159"/>
      <c r="AE165" s="2159"/>
      <c r="AF165" s="2159"/>
      <c r="AG165" s="2159"/>
      <c r="AH165" s="2159"/>
      <c r="AI165" s="2159"/>
      <c r="AJ165" s="2159"/>
      <c r="AK165" s="2159"/>
      <c r="AL165" s="2159"/>
      <c r="AM165" s="2159"/>
      <c r="AN165" s="2159"/>
      <c r="AO165" s="2159"/>
      <c r="AP165" s="2159"/>
      <c r="AQ165" s="2159"/>
      <c r="AR165" s="2159"/>
      <c r="AS165" s="2159"/>
      <c r="AT165" s="2159"/>
      <c r="AU165" s="2159"/>
      <c r="AV165" s="2159"/>
      <c r="AW165" s="2159"/>
      <c r="AX165" s="1244"/>
      <c r="AY165" s="1625"/>
      <c r="AZ165" s="1625"/>
      <c r="BA165" s="1625"/>
      <c r="BB165" s="1625"/>
      <c r="BC165" s="1625"/>
      <c r="BD165" s="1625"/>
      <c r="BE165" s="1625"/>
      <c r="BF165" s="1625"/>
      <c r="BG165" s="1625"/>
      <c r="BH165" s="1625"/>
      <c r="BI165" s="1245"/>
    </row>
    <row r="166" spans="2:61" s="528" customFormat="1" ht="13.5" customHeight="1">
      <c r="B166" s="1243"/>
      <c r="C166" s="1368"/>
      <c r="D166" s="1368"/>
      <c r="E166" s="1368"/>
      <c r="F166" s="1653"/>
      <c r="G166" s="1653"/>
      <c r="H166" s="2159"/>
      <c r="I166" s="2159"/>
      <c r="J166" s="2159"/>
      <c r="K166" s="2159"/>
      <c r="L166" s="2159"/>
      <c r="M166" s="2159"/>
      <c r="N166" s="2159"/>
      <c r="O166" s="2159"/>
      <c r="P166" s="2159"/>
      <c r="Q166" s="2159"/>
      <c r="R166" s="2159"/>
      <c r="S166" s="2159"/>
      <c r="T166" s="2159"/>
      <c r="U166" s="2159"/>
      <c r="V166" s="2159"/>
      <c r="W166" s="2159"/>
      <c r="X166" s="2159"/>
      <c r="Y166" s="2159"/>
      <c r="Z166" s="2159"/>
      <c r="AA166" s="2159"/>
      <c r="AB166" s="2159"/>
      <c r="AC166" s="2159"/>
      <c r="AD166" s="2159"/>
      <c r="AE166" s="2159"/>
      <c r="AF166" s="2159"/>
      <c r="AG166" s="2159"/>
      <c r="AH166" s="2159"/>
      <c r="AI166" s="2159"/>
      <c r="AJ166" s="2159"/>
      <c r="AK166" s="2159"/>
      <c r="AL166" s="2159"/>
      <c r="AM166" s="2159"/>
      <c r="AN166" s="2159"/>
      <c r="AO166" s="2159"/>
      <c r="AP166" s="2159"/>
      <c r="AQ166" s="2159"/>
      <c r="AR166" s="2159"/>
      <c r="AS166" s="2159"/>
      <c r="AT166" s="2159"/>
      <c r="AU166" s="2159"/>
      <c r="AV166" s="2159"/>
      <c r="AW166" s="2159"/>
      <c r="AX166" s="1244"/>
      <c r="AY166" s="1625"/>
      <c r="AZ166" s="1625"/>
      <c r="BA166" s="1625"/>
      <c r="BB166" s="1625"/>
      <c r="BC166" s="1625"/>
      <c r="BD166" s="1625"/>
      <c r="BE166" s="1625"/>
      <c r="BF166" s="1625"/>
      <c r="BG166" s="1625"/>
      <c r="BH166" s="1625"/>
      <c r="BI166" s="1245"/>
    </row>
    <row r="167" spans="2:61" s="528" customFormat="1" ht="13.5" customHeight="1">
      <c r="B167" s="1243"/>
      <c r="C167" s="1368"/>
      <c r="D167" s="1368"/>
      <c r="E167" s="1368"/>
      <c r="F167" s="1653"/>
      <c r="G167" s="1653"/>
      <c r="H167" s="2159"/>
      <c r="I167" s="2159"/>
      <c r="J167" s="2159"/>
      <c r="K167" s="2159"/>
      <c r="L167" s="2159"/>
      <c r="M167" s="2159"/>
      <c r="N167" s="2159"/>
      <c r="O167" s="2159"/>
      <c r="P167" s="2159"/>
      <c r="Q167" s="2159"/>
      <c r="R167" s="2159"/>
      <c r="S167" s="2159"/>
      <c r="T167" s="2159"/>
      <c r="U167" s="2159"/>
      <c r="V167" s="2159"/>
      <c r="W167" s="2159"/>
      <c r="X167" s="2159"/>
      <c r="Y167" s="2159"/>
      <c r="Z167" s="2159"/>
      <c r="AA167" s="2159"/>
      <c r="AB167" s="2159"/>
      <c r="AC167" s="2159"/>
      <c r="AD167" s="2159"/>
      <c r="AE167" s="2159"/>
      <c r="AF167" s="2159"/>
      <c r="AG167" s="2159"/>
      <c r="AH167" s="2159"/>
      <c r="AI167" s="2159"/>
      <c r="AJ167" s="2159"/>
      <c r="AK167" s="2159"/>
      <c r="AL167" s="2159"/>
      <c r="AM167" s="2159"/>
      <c r="AN167" s="2159"/>
      <c r="AO167" s="2159"/>
      <c r="AP167" s="2159"/>
      <c r="AQ167" s="2159"/>
      <c r="AR167" s="2159"/>
      <c r="AS167" s="2159"/>
      <c r="AT167" s="2159"/>
      <c r="AU167" s="2159"/>
      <c r="AV167" s="2159"/>
      <c r="AW167" s="2159"/>
      <c r="AX167" s="1244"/>
      <c r="AY167" s="1625"/>
      <c r="AZ167" s="1625"/>
      <c r="BA167" s="1625"/>
      <c r="BB167" s="1625"/>
      <c r="BC167" s="1625"/>
      <c r="BD167" s="1625"/>
      <c r="BE167" s="1625"/>
      <c r="BF167" s="1625"/>
      <c r="BG167" s="1625"/>
      <c r="BH167" s="1625"/>
      <c r="BI167" s="1245"/>
    </row>
    <row r="168" spans="2:61" s="528" customFormat="1" ht="13.5" customHeight="1">
      <c r="B168" s="1243"/>
      <c r="C168" s="1368"/>
      <c r="D168" s="1368"/>
      <c r="E168" s="1368"/>
      <c r="F168" s="1653"/>
      <c r="G168" s="1653"/>
      <c r="H168" s="2159"/>
      <c r="I168" s="2159"/>
      <c r="J168" s="2159"/>
      <c r="K168" s="2159"/>
      <c r="L168" s="2159"/>
      <c r="M168" s="2159"/>
      <c r="N168" s="2159"/>
      <c r="O168" s="2159"/>
      <c r="P168" s="2159"/>
      <c r="Q168" s="2159"/>
      <c r="R168" s="2159"/>
      <c r="S168" s="2159"/>
      <c r="T168" s="2159"/>
      <c r="U168" s="2159"/>
      <c r="V168" s="2159"/>
      <c r="W168" s="2159"/>
      <c r="X168" s="2159"/>
      <c r="Y168" s="2159"/>
      <c r="Z168" s="2159"/>
      <c r="AA168" s="2159"/>
      <c r="AB168" s="2159"/>
      <c r="AC168" s="2159"/>
      <c r="AD168" s="2159"/>
      <c r="AE168" s="2159"/>
      <c r="AF168" s="2159"/>
      <c r="AG168" s="2159"/>
      <c r="AH168" s="2159"/>
      <c r="AI168" s="2159"/>
      <c r="AJ168" s="2159"/>
      <c r="AK168" s="2159"/>
      <c r="AL168" s="2159"/>
      <c r="AM168" s="2159"/>
      <c r="AN168" s="2159"/>
      <c r="AO168" s="2159"/>
      <c r="AP168" s="2159"/>
      <c r="AQ168" s="2159"/>
      <c r="AR168" s="2159"/>
      <c r="AS168" s="2159"/>
      <c r="AT168" s="2159"/>
      <c r="AU168" s="2159"/>
      <c r="AV168" s="2159"/>
      <c r="AW168" s="2159"/>
      <c r="AX168" s="1244"/>
      <c r="AY168" s="1625"/>
      <c r="AZ168" s="1625"/>
      <c r="BA168" s="1625"/>
      <c r="BB168" s="1625"/>
      <c r="BC168" s="1625"/>
      <c r="BD168" s="1625"/>
      <c r="BE168" s="1625"/>
      <c r="BF168" s="1625"/>
      <c r="BG168" s="1625"/>
      <c r="BH168" s="1625"/>
      <c r="BI168" s="1245"/>
    </row>
    <row r="169" spans="2:61" s="528" customFormat="1" ht="13.5" customHeight="1">
      <c r="B169" s="1243"/>
      <c r="C169" s="1368"/>
      <c r="D169" s="1368"/>
      <c r="E169" s="1368"/>
      <c r="F169" s="1653"/>
      <c r="G169" s="1653"/>
      <c r="H169" s="2159"/>
      <c r="I169" s="2159"/>
      <c r="J169" s="2159"/>
      <c r="K169" s="2159"/>
      <c r="L169" s="2159"/>
      <c r="M169" s="2159"/>
      <c r="N169" s="2159"/>
      <c r="O169" s="2159"/>
      <c r="P169" s="2159"/>
      <c r="Q169" s="2159"/>
      <c r="R169" s="2159"/>
      <c r="S169" s="2159"/>
      <c r="T169" s="2159"/>
      <c r="U169" s="2159"/>
      <c r="V169" s="2159"/>
      <c r="W169" s="2159"/>
      <c r="X169" s="2159"/>
      <c r="Y169" s="2159"/>
      <c r="Z169" s="2159"/>
      <c r="AA169" s="2159"/>
      <c r="AB169" s="2159"/>
      <c r="AC169" s="2159"/>
      <c r="AD169" s="2159"/>
      <c r="AE169" s="2159"/>
      <c r="AF169" s="2159"/>
      <c r="AG169" s="2159"/>
      <c r="AH169" s="2159"/>
      <c r="AI169" s="2159"/>
      <c r="AJ169" s="2159"/>
      <c r="AK169" s="2159"/>
      <c r="AL169" s="2159"/>
      <c r="AM169" s="2159"/>
      <c r="AN169" s="2159"/>
      <c r="AO169" s="2159"/>
      <c r="AP169" s="2159"/>
      <c r="AQ169" s="2159"/>
      <c r="AR169" s="2159"/>
      <c r="AS169" s="2159"/>
      <c r="AT169" s="2159"/>
      <c r="AU169" s="2159"/>
      <c r="AV169" s="2159"/>
      <c r="AW169" s="2159"/>
      <c r="AX169" s="1244"/>
      <c r="AY169" s="1625"/>
      <c r="AZ169" s="1625"/>
      <c r="BA169" s="1625"/>
      <c r="BB169" s="1625"/>
      <c r="BC169" s="1625"/>
      <c r="BD169" s="1625"/>
      <c r="BE169" s="1625"/>
      <c r="BF169" s="1625"/>
      <c r="BG169" s="1625"/>
      <c r="BH169" s="1625"/>
      <c r="BI169" s="1245"/>
    </row>
    <row r="170" spans="2:61" s="528" customFormat="1" ht="13.5" customHeight="1">
      <c r="B170" s="1243"/>
      <c r="C170" s="1368"/>
      <c r="D170" s="1368"/>
      <c r="E170" s="1368"/>
      <c r="F170" s="1653"/>
      <c r="G170" s="1653"/>
      <c r="H170" s="2159"/>
      <c r="I170" s="2159"/>
      <c r="J170" s="2159"/>
      <c r="K170" s="2159"/>
      <c r="L170" s="2159"/>
      <c r="M170" s="2159"/>
      <c r="N170" s="2159"/>
      <c r="O170" s="2159"/>
      <c r="P170" s="2159"/>
      <c r="Q170" s="2159"/>
      <c r="R170" s="2159"/>
      <c r="S170" s="2159"/>
      <c r="T170" s="2159"/>
      <c r="U170" s="2159"/>
      <c r="V170" s="2159"/>
      <c r="W170" s="2159"/>
      <c r="X170" s="2159"/>
      <c r="Y170" s="2159"/>
      <c r="Z170" s="2159"/>
      <c r="AA170" s="2159"/>
      <c r="AB170" s="2159"/>
      <c r="AC170" s="2159"/>
      <c r="AD170" s="2159"/>
      <c r="AE170" s="2159"/>
      <c r="AF170" s="2159"/>
      <c r="AG170" s="2159"/>
      <c r="AH170" s="2159"/>
      <c r="AI170" s="2159"/>
      <c r="AJ170" s="2159"/>
      <c r="AK170" s="2159"/>
      <c r="AL170" s="2159"/>
      <c r="AM170" s="2159"/>
      <c r="AN170" s="2159"/>
      <c r="AO170" s="2159"/>
      <c r="AP170" s="2159"/>
      <c r="AQ170" s="2159"/>
      <c r="AR170" s="2159"/>
      <c r="AS170" s="2159"/>
      <c r="AT170" s="2159"/>
      <c r="AU170" s="2159"/>
      <c r="AV170" s="2159"/>
      <c r="AW170" s="2159"/>
      <c r="AX170" s="1244"/>
      <c r="AY170" s="1625"/>
      <c r="AZ170" s="1625"/>
      <c r="BA170" s="1625"/>
      <c r="BB170" s="1625"/>
      <c r="BC170" s="1625"/>
      <c r="BD170" s="1625"/>
      <c r="BE170" s="1625"/>
      <c r="BF170" s="1625"/>
      <c r="BG170" s="1625"/>
      <c r="BH170" s="1625"/>
      <c r="BI170" s="1245"/>
    </row>
    <row r="171" spans="2:61" s="528" customFormat="1" ht="13.5" customHeight="1">
      <c r="B171" s="1243"/>
      <c r="C171" s="1368"/>
      <c r="D171" s="1368"/>
      <c r="E171" s="1368"/>
      <c r="F171" s="1653"/>
      <c r="G171" s="1653"/>
      <c r="H171" s="2159"/>
      <c r="I171" s="2159"/>
      <c r="J171" s="2159"/>
      <c r="K171" s="2159"/>
      <c r="L171" s="2159"/>
      <c r="M171" s="2159"/>
      <c r="N171" s="2159"/>
      <c r="O171" s="2159"/>
      <c r="P171" s="2159"/>
      <c r="Q171" s="2159"/>
      <c r="R171" s="2159"/>
      <c r="S171" s="2159"/>
      <c r="T171" s="2159"/>
      <c r="U171" s="2159"/>
      <c r="V171" s="2159"/>
      <c r="W171" s="2159"/>
      <c r="X171" s="2159"/>
      <c r="Y171" s="2159"/>
      <c r="Z171" s="2159"/>
      <c r="AA171" s="2159"/>
      <c r="AB171" s="2159"/>
      <c r="AC171" s="2159"/>
      <c r="AD171" s="2159"/>
      <c r="AE171" s="2159"/>
      <c r="AF171" s="2159"/>
      <c r="AG171" s="2159"/>
      <c r="AH171" s="2159"/>
      <c r="AI171" s="2159"/>
      <c r="AJ171" s="2159"/>
      <c r="AK171" s="2159"/>
      <c r="AL171" s="2159"/>
      <c r="AM171" s="2159"/>
      <c r="AN171" s="2159"/>
      <c r="AO171" s="2159"/>
      <c r="AP171" s="2159"/>
      <c r="AQ171" s="2159"/>
      <c r="AR171" s="2159"/>
      <c r="AS171" s="2159"/>
      <c r="AT171" s="2159"/>
      <c r="AU171" s="2159"/>
      <c r="AV171" s="2159"/>
      <c r="AW171" s="2159"/>
      <c r="AX171" s="1244"/>
      <c r="AY171" s="1625"/>
      <c r="AZ171" s="1625"/>
      <c r="BA171" s="1625"/>
      <c r="BB171" s="1625"/>
      <c r="BC171" s="1625"/>
      <c r="BD171" s="1625"/>
      <c r="BE171" s="1625"/>
      <c r="BF171" s="1625"/>
      <c r="BG171" s="1625"/>
      <c r="BH171" s="1625"/>
      <c r="BI171" s="1245"/>
    </row>
    <row r="172" spans="2:61" s="528" customFormat="1" ht="13.5" customHeight="1">
      <c r="B172" s="1243"/>
      <c r="C172" s="1368"/>
      <c r="D172" s="1368"/>
      <c r="E172" s="1368"/>
      <c r="F172" s="1653"/>
      <c r="G172" s="1653"/>
      <c r="H172" s="2159"/>
      <c r="I172" s="2159"/>
      <c r="J172" s="2159"/>
      <c r="K172" s="2159"/>
      <c r="L172" s="2159"/>
      <c r="M172" s="2159"/>
      <c r="N172" s="2159"/>
      <c r="O172" s="2159"/>
      <c r="P172" s="2159"/>
      <c r="Q172" s="2159"/>
      <c r="R172" s="2159"/>
      <c r="S172" s="2159"/>
      <c r="T172" s="2159"/>
      <c r="U172" s="2159"/>
      <c r="V172" s="2159"/>
      <c r="W172" s="2159"/>
      <c r="X172" s="2159"/>
      <c r="Y172" s="2159"/>
      <c r="Z172" s="2159"/>
      <c r="AA172" s="2159"/>
      <c r="AB172" s="2159"/>
      <c r="AC172" s="2159"/>
      <c r="AD172" s="2159"/>
      <c r="AE172" s="2159"/>
      <c r="AF172" s="2159"/>
      <c r="AG172" s="2159"/>
      <c r="AH172" s="2159"/>
      <c r="AI172" s="2159"/>
      <c r="AJ172" s="2159"/>
      <c r="AK172" s="2159"/>
      <c r="AL172" s="2159"/>
      <c r="AM172" s="2159"/>
      <c r="AN172" s="2159"/>
      <c r="AO172" s="2159"/>
      <c r="AP172" s="2159"/>
      <c r="AQ172" s="2159"/>
      <c r="AR172" s="2159"/>
      <c r="AS172" s="2159"/>
      <c r="AT172" s="2159"/>
      <c r="AU172" s="2159"/>
      <c r="AV172" s="2159"/>
      <c r="AW172" s="2159"/>
      <c r="AX172" s="1244"/>
      <c r="AY172" s="1625"/>
      <c r="AZ172" s="1625"/>
      <c r="BA172" s="1625"/>
      <c r="BB172" s="1625"/>
      <c r="BC172" s="1625"/>
      <c r="BD172" s="1625"/>
      <c r="BE172" s="1625"/>
      <c r="BF172" s="1625"/>
      <c r="BG172" s="1625"/>
      <c r="BH172" s="1625"/>
      <c r="BI172" s="1245"/>
    </row>
    <row r="173" spans="2:61" s="528" customFormat="1" ht="13.5" customHeight="1">
      <c r="B173" s="1243"/>
      <c r="C173" s="1368"/>
      <c r="D173" s="1368"/>
      <c r="E173" s="1368"/>
      <c r="F173" s="1653"/>
      <c r="G173" s="1653"/>
      <c r="H173" s="2159"/>
      <c r="I173" s="2159"/>
      <c r="J173" s="2159"/>
      <c r="K173" s="2159"/>
      <c r="L173" s="2159"/>
      <c r="M173" s="2159"/>
      <c r="N173" s="2159"/>
      <c r="O173" s="2159"/>
      <c r="P173" s="2159"/>
      <c r="Q173" s="2159"/>
      <c r="R173" s="2159"/>
      <c r="S173" s="2159"/>
      <c r="T173" s="2159"/>
      <c r="U173" s="2159"/>
      <c r="V173" s="2159"/>
      <c r="W173" s="2159"/>
      <c r="X173" s="2159"/>
      <c r="Y173" s="2159"/>
      <c r="Z173" s="2159"/>
      <c r="AA173" s="2159"/>
      <c r="AB173" s="2159"/>
      <c r="AC173" s="2159"/>
      <c r="AD173" s="2159"/>
      <c r="AE173" s="2159"/>
      <c r="AF173" s="2159"/>
      <c r="AG173" s="2159"/>
      <c r="AH173" s="2159"/>
      <c r="AI173" s="2159"/>
      <c r="AJ173" s="2159"/>
      <c r="AK173" s="2159"/>
      <c r="AL173" s="2159"/>
      <c r="AM173" s="2159"/>
      <c r="AN173" s="2159"/>
      <c r="AO173" s="2159"/>
      <c r="AP173" s="2159"/>
      <c r="AQ173" s="2159"/>
      <c r="AR173" s="2159"/>
      <c r="AS173" s="2159"/>
      <c r="AT173" s="2159"/>
      <c r="AU173" s="2159"/>
      <c r="AV173" s="2159"/>
      <c r="AW173" s="2159"/>
      <c r="AX173" s="1244"/>
      <c r="AY173" s="1625"/>
      <c r="AZ173" s="1625"/>
      <c r="BA173" s="1625"/>
      <c r="BB173" s="1625"/>
      <c r="BC173" s="1625"/>
      <c r="BD173" s="1625"/>
      <c r="BE173" s="1625"/>
      <c r="BF173" s="1625"/>
      <c r="BG173" s="1625"/>
      <c r="BH173" s="1625"/>
      <c r="BI173" s="1245"/>
    </row>
    <row r="174" spans="2:61" s="528" customFormat="1" ht="13.5" customHeight="1">
      <c r="B174" s="1243"/>
      <c r="C174" s="1368"/>
      <c r="D174" s="1368"/>
      <c r="E174" s="1368"/>
      <c r="F174" s="1653"/>
      <c r="G174" s="1653"/>
      <c r="H174" s="2159"/>
      <c r="I174" s="2159"/>
      <c r="J174" s="2159"/>
      <c r="K174" s="2159"/>
      <c r="L174" s="2159"/>
      <c r="M174" s="2159"/>
      <c r="N174" s="2159"/>
      <c r="O174" s="2159"/>
      <c r="P174" s="2159"/>
      <c r="Q174" s="2159"/>
      <c r="R174" s="2159"/>
      <c r="S174" s="2159"/>
      <c r="T174" s="2159"/>
      <c r="U174" s="2159"/>
      <c r="V174" s="2159"/>
      <c r="W174" s="2159"/>
      <c r="X174" s="2159"/>
      <c r="Y174" s="2159"/>
      <c r="Z174" s="2159"/>
      <c r="AA174" s="2159"/>
      <c r="AB174" s="2159"/>
      <c r="AC174" s="2159"/>
      <c r="AD174" s="2159"/>
      <c r="AE174" s="2159"/>
      <c r="AF174" s="2159"/>
      <c r="AG174" s="2159"/>
      <c r="AH174" s="2159"/>
      <c r="AI174" s="2159"/>
      <c r="AJ174" s="2159"/>
      <c r="AK174" s="2159"/>
      <c r="AL174" s="2159"/>
      <c r="AM174" s="2159"/>
      <c r="AN174" s="2159"/>
      <c r="AO174" s="2159"/>
      <c r="AP174" s="2159"/>
      <c r="AQ174" s="2159"/>
      <c r="AR174" s="2159"/>
      <c r="AS174" s="2159"/>
      <c r="AT174" s="2159"/>
      <c r="AU174" s="2159"/>
      <c r="AV174" s="2159"/>
      <c r="AW174" s="2159"/>
      <c r="AX174" s="1244"/>
      <c r="AY174" s="1625"/>
      <c r="AZ174" s="1625"/>
      <c r="BA174" s="1625"/>
      <c r="BB174" s="1625"/>
      <c r="BC174" s="1625"/>
      <c r="BD174" s="1625"/>
      <c r="BE174" s="1625"/>
      <c r="BF174" s="1625"/>
      <c r="BG174" s="1625"/>
      <c r="BH174" s="1625"/>
      <c r="BI174" s="1245"/>
    </row>
    <row r="175" spans="2:61" s="528" customFormat="1" ht="13.5" customHeight="1">
      <c r="B175" s="1243"/>
      <c r="C175" s="1244"/>
      <c r="D175" s="1368"/>
      <c r="E175" s="1368"/>
      <c r="F175" s="1368"/>
      <c r="G175" s="1368"/>
      <c r="H175" s="2158"/>
      <c r="I175" s="2158"/>
      <c r="J175" s="2158"/>
      <c r="K175" s="2158"/>
      <c r="L175" s="2158"/>
      <c r="M175" s="2158"/>
      <c r="N175" s="2158"/>
      <c r="O175" s="2158"/>
      <c r="P175" s="2158"/>
      <c r="Q175" s="2158"/>
      <c r="R175" s="2158"/>
      <c r="S175" s="2158"/>
      <c r="T175" s="2158"/>
      <c r="U175" s="2158"/>
      <c r="V175" s="2158"/>
      <c r="W175" s="2158"/>
      <c r="X175" s="2158"/>
      <c r="Y175" s="2158"/>
      <c r="Z175" s="2158"/>
      <c r="AA175" s="2158"/>
      <c r="AB175" s="2158"/>
      <c r="AC175" s="2158"/>
      <c r="AD175" s="2158"/>
      <c r="AE175" s="2158"/>
      <c r="AF175" s="2158"/>
      <c r="AG175" s="2158"/>
      <c r="AH175" s="2158"/>
      <c r="AI175" s="2158"/>
      <c r="AJ175" s="2158"/>
      <c r="AK175" s="2158"/>
      <c r="AL175" s="2158"/>
      <c r="AM175" s="2158"/>
      <c r="AN175" s="2158"/>
      <c r="AO175" s="2158"/>
      <c r="AP175" s="2158"/>
      <c r="AQ175" s="2158"/>
      <c r="AR175" s="2158"/>
      <c r="AS175" s="2158"/>
      <c r="AT175" s="2158"/>
      <c r="AU175" s="2158"/>
      <c r="AV175" s="2158"/>
      <c r="AW175" s="2158"/>
      <c r="AX175" s="1244"/>
      <c r="AY175" s="1626"/>
      <c r="AZ175" s="1626"/>
      <c r="BA175" s="1626"/>
      <c r="BB175" s="1626"/>
      <c r="BC175" s="1626"/>
      <c r="BD175" s="1626"/>
      <c r="BE175" s="1626"/>
      <c r="BF175" s="1626"/>
      <c r="BG175" s="1626"/>
      <c r="BH175" s="1626"/>
      <c r="BI175" s="1245"/>
    </row>
    <row r="176" spans="2:61" s="117" customFormat="1" ht="14">
      <c r="B176" s="1212"/>
      <c r="C176" s="1209"/>
      <c r="D176" s="1209"/>
      <c r="E176" s="1209"/>
      <c r="F176" s="1227"/>
      <c r="G176" s="1227"/>
      <c r="H176" s="2160"/>
      <c r="I176" s="2160"/>
      <c r="J176" s="2160"/>
      <c r="K176" s="2160"/>
      <c r="L176" s="2160"/>
      <c r="M176" s="2160"/>
      <c r="N176" s="2160"/>
      <c r="O176" s="2160"/>
      <c r="P176" s="2160"/>
      <c r="Q176" s="2160"/>
      <c r="R176" s="2160"/>
      <c r="S176" s="2160"/>
      <c r="T176" s="2160"/>
      <c r="U176" s="2160"/>
      <c r="V176" s="2160"/>
      <c r="W176" s="2160"/>
      <c r="X176" s="2160"/>
      <c r="Y176" s="2160"/>
      <c r="Z176" s="2160"/>
      <c r="AA176" s="2160"/>
      <c r="AB176" s="2160"/>
      <c r="AC176" s="2160"/>
      <c r="AD176" s="2160"/>
      <c r="AE176" s="2160"/>
      <c r="AF176" s="2160"/>
      <c r="AG176" s="2160"/>
      <c r="AH176" s="2160"/>
      <c r="AI176" s="2160"/>
      <c r="AJ176" s="2160"/>
      <c r="AK176" s="2160"/>
      <c r="AL176" s="2160"/>
      <c r="AM176" s="2160"/>
      <c r="AN176" s="2160"/>
      <c r="AO176" s="2160"/>
      <c r="AP176" s="2160"/>
      <c r="AQ176" s="2160"/>
      <c r="AR176" s="2160"/>
      <c r="AS176" s="2160"/>
      <c r="AT176" s="2160"/>
      <c r="AU176" s="2160"/>
      <c r="AV176" s="2160"/>
      <c r="AW176" s="2160"/>
      <c r="AX176" s="1209"/>
      <c r="AY176" s="1209"/>
      <c r="AZ176" s="1665"/>
      <c r="BA176" s="1665"/>
      <c r="BB176" s="1665"/>
      <c r="BC176" s="1665"/>
      <c r="BD176" s="1665"/>
      <c r="BE176" s="1665"/>
      <c r="BF176" s="1665"/>
      <c r="BG176" s="1665"/>
      <c r="BH176" s="1665"/>
      <c r="BI176" s="1211"/>
    </row>
    <row r="177" spans="2:62" s="117" customFormat="1" ht="15">
      <c r="B177" s="1212"/>
      <c r="C177" s="1237"/>
      <c r="D177" s="1209"/>
      <c r="E177" s="1209"/>
      <c r="F177" s="1227"/>
      <c r="G177" s="1227"/>
      <c r="H177" s="2160"/>
      <c r="I177" s="2160"/>
      <c r="J177" s="2160"/>
      <c r="K177" s="2160"/>
      <c r="L177" s="2160"/>
      <c r="M177" s="2160"/>
      <c r="N177" s="2160"/>
      <c r="O177" s="2160"/>
      <c r="P177" s="2160"/>
      <c r="Q177" s="2160"/>
      <c r="R177" s="2160"/>
      <c r="S177" s="2160"/>
      <c r="T177" s="2160"/>
      <c r="U177" s="2160"/>
      <c r="V177" s="2160"/>
      <c r="W177" s="2160"/>
      <c r="X177" s="2160"/>
      <c r="Y177" s="2160"/>
      <c r="Z177" s="2160"/>
      <c r="AA177" s="2160"/>
      <c r="AB177" s="2160"/>
      <c r="AC177" s="2160"/>
      <c r="AD177" s="2160"/>
      <c r="AE177" s="2160"/>
      <c r="AF177" s="2160"/>
      <c r="AG177" s="2160"/>
      <c r="AH177" s="2160"/>
      <c r="AI177" s="2160"/>
      <c r="AJ177" s="2160"/>
      <c r="AK177" s="2160"/>
      <c r="AL177" s="2160"/>
      <c r="AM177" s="2160"/>
      <c r="AN177" s="2160"/>
      <c r="AO177" s="2160"/>
      <c r="AP177" s="2160"/>
      <c r="AQ177" s="2160"/>
      <c r="AR177" s="2160"/>
      <c r="AS177" s="2160"/>
      <c r="AT177" s="2160"/>
      <c r="AU177" s="2160"/>
      <c r="AV177" s="2160"/>
      <c r="AW177" s="2160"/>
      <c r="AX177" s="1209"/>
      <c r="AY177" s="1209"/>
      <c r="AZ177" s="1637"/>
      <c r="BA177" s="1637"/>
      <c r="BB177" s="1637"/>
      <c r="BC177" s="1637"/>
      <c r="BD177" s="1637"/>
      <c r="BE177" s="1637"/>
      <c r="BF177" s="1637"/>
      <c r="BG177" s="1637"/>
      <c r="BH177" s="1637"/>
      <c r="BI177" s="1211"/>
    </row>
    <row r="178" spans="2:62" s="117" customFormat="1" ht="14">
      <c r="B178" s="1212"/>
      <c r="C178" s="1209"/>
      <c r="D178" s="1209"/>
      <c r="E178" s="1209"/>
      <c r="F178" s="1209"/>
      <c r="G178" s="1209"/>
      <c r="H178" s="2151"/>
      <c r="I178" s="2151"/>
      <c r="J178" s="2151"/>
      <c r="K178" s="2151"/>
      <c r="L178" s="2151"/>
      <c r="M178" s="2151"/>
      <c r="N178" s="2151"/>
      <c r="O178" s="2151"/>
      <c r="P178" s="2151"/>
      <c r="Q178" s="2151"/>
      <c r="R178" s="2151"/>
      <c r="S178" s="2151"/>
      <c r="T178" s="2151"/>
      <c r="U178" s="2151"/>
      <c r="V178" s="2151"/>
      <c r="W178" s="2151"/>
      <c r="X178" s="2151"/>
      <c r="Y178" s="2151"/>
      <c r="Z178" s="2151"/>
      <c r="AA178" s="2151"/>
      <c r="AB178" s="2151"/>
      <c r="AC178" s="2151"/>
      <c r="AD178" s="2151"/>
      <c r="AE178" s="2151"/>
      <c r="AF178" s="2151"/>
      <c r="AG178" s="2151"/>
      <c r="AH178" s="2151"/>
      <c r="AI178" s="2151"/>
      <c r="AJ178" s="2151"/>
      <c r="AK178" s="2151"/>
      <c r="AL178" s="2151"/>
      <c r="AM178" s="2151"/>
      <c r="AN178" s="2151"/>
      <c r="AO178" s="2151"/>
      <c r="AP178" s="2151"/>
      <c r="AQ178" s="2151"/>
      <c r="AR178" s="2151"/>
      <c r="AS178" s="2151"/>
      <c r="AT178" s="2151"/>
      <c r="AU178" s="2151"/>
      <c r="AV178" s="2151"/>
      <c r="AW178" s="2151"/>
      <c r="AX178" s="1209"/>
      <c r="AY178" s="1209"/>
      <c r="AZ178" s="1209"/>
      <c r="BA178" s="1209"/>
      <c r="BB178" s="1209"/>
      <c r="BC178" s="1209"/>
      <c r="BD178" s="1209"/>
      <c r="BE178" s="1209"/>
      <c r="BF178" s="1209"/>
      <c r="BG178" s="1209"/>
      <c r="BH178" s="1209"/>
      <c r="BI178" s="1211"/>
    </row>
    <row r="179" spans="2:62" s="117" customFormat="1" ht="14">
      <c r="B179" s="1212"/>
      <c r="C179" s="1209"/>
      <c r="D179" s="1213"/>
      <c r="E179" s="1209"/>
      <c r="F179" s="1209"/>
      <c r="G179" s="1209"/>
      <c r="H179" s="2151"/>
      <c r="I179" s="2151"/>
      <c r="J179" s="2151"/>
      <c r="K179" s="2151"/>
      <c r="L179" s="2151"/>
      <c r="M179" s="2151"/>
      <c r="N179" s="2151"/>
      <c r="O179" s="2151"/>
      <c r="P179" s="2151"/>
      <c r="Q179" s="2151"/>
      <c r="R179" s="2151"/>
      <c r="S179" s="2151"/>
      <c r="T179" s="2151"/>
      <c r="U179" s="2151"/>
      <c r="V179" s="2151"/>
      <c r="W179" s="2151"/>
      <c r="X179" s="2151"/>
      <c r="Y179" s="2151"/>
      <c r="Z179" s="2151"/>
      <c r="AA179" s="2151"/>
      <c r="AB179" s="2151"/>
      <c r="AC179" s="2151"/>
      <c r="AD179" s="2151"/>
      <c r="AE179" s="2151"/>
      <c r="AF179" s="2151"/>
      <c r="AG179" s="2151"/>
      <c r="AH179" s="2151"/>
      <c r="AI179" s="2151"/>
      <c r="AJ179" s="2151"/>
      <c r="AK179" s="2151"/>
      <c r="AL179" s="2151"/>
      <c r="AM179" s="2151"/>
      <c r="AN179" s="2151"/>
      <c r="AO179" s="2151"/>
      <c r="AP179" s="2151"/>
      <c r="AQ179" s="2151"/>
      <c r="AR179" s="2151"/>
      <c r="AS179" s="2151"/>
      <c r="AT179" s="2151"/>
      <c r="AU179" s="2151"/>
      <c r="AV179" s="2151"/>
      <c r="AW179" s="2151"/>
      <c r="AX179" s="1209"/>
      <c r="AY179" s="1209"/>
      <c r="AZ179" s="1209"/>
      <c r="BA179" s="1209"/>
      <c r="BB179" s="1209"/>
      <c r="BC179" s="1209"/>
      <c r="BD179" s="1209"/>
      <c r="BE179" s="1209"/>
      <c r="BF179" s="1209"/>
      <c r="BG179" s="1209"/>
      <c r="BH179" s="1210"/>
      <c r="BI179" s="1211"/>
    </row>
    <row r="180" spans="2:62" s="525" customFormat="1" ht="14">
      <c r="B180" s="1214"/>
      <c r="C180" s="1215"/>
      <c r="D180" s="1216"/>
      <c r="E180" s="1209"/>
      <c r="F180" s="1217"/>
      <c r="G180" s="1217"/>
      <c r="H180" s="2152"/>
      <c r="I180" s="2152"/>
      <c r="J180" s="2152"/>
      <c r="K180" s="2152"/>
      <c r="L180" s="2152"/>
      <c r="M180" s="2152"/>
      <c r="N180" s="2152"/>
      <c r="O180" s="2152"/>
      <c r="P180" s="2152"/>
      <c r="Q180" s="2152"/>
      <c r="R180" s="2152"/>
      <c r="S180" s="2152"/>
      <c r="T180" s="2152"/>
      <c r="U180" s="2152"/>
      <c r="V180" s="2152"/>
      <c r="W180" s="2152"/>
      <c r="X180" s="2152"/>
      <c r="Y180" s="2152"/>
      <c r="Z180" s="2152"/>
      <c r="AA180" s="2152"/>
      <c r="AB180" s="2152"/>
      <c r="AC180" s="2152"/>
      <c r="AD180" s="2152"/>
      <c r="AE180" s="2152"/>
      <c r="AF180" s="2152"/>
      <c r="AG180" s="2152"/>
      <c r="AH180" s="2152"/>
      <c r="AI180" s="2152"/>
      <c r="AJ180" s="2152"/>
      <c r="AK180" s="2152"/>
      <c r="AL180" s="2152"/>
      <c r="AM180" s="2152"/>
      <c r="AN180" s="2152"/>
      <c r="AO180" s="2152"/>
      <c r="AP180" s="2152"/>
      <c r="AQ180" s="2152"/>
      <c r="AR180" s="2152"/>
      <c r="AS180" s="2152"/>
      <c r="AT180" s="2152"/>
      <c r="AU180" s="2152"/>
      <c r="AV180" s="2152"/>
      <c r="AW180" s="2161"/>
      <c r="AX180" s="1218"/>
      <c r="AY180" s="1217"/>
      <c r="AZ180" s="1217"/>
      <c r="BA180" s="1217"/>
      <c r="BB180" s="1217"/>
      <c r="BC180" s="1217"/>
      <c r="BD180" s="1217"/>
      <c r="BE180" s="1217"/>
      <c r="BF180" s="1217"/>
      <c r="BG180" s="1217"/>
      <c r="BH180" s="1217"/>
      <c r="BI180" s="1219"/>
    </row>
    <row r="181" spans="2:62" s="525" customFormat="1" ht="14">
      <c r="B181" s="1214"/>
      <c r="C181" s="1215"/>
      <c r="D181" s="1216"/>
      <c r="E181" s="1209"/>
      <c r="F181" s="1217"/>
      <c r="G181" s="1217"/>
      <c r="H181" s="2152"/>
      <c r="I181" s="2152"/>
      <c r="J181" s="2152"/>
      <c r="K181" s="2152"/>
      <c r="L181" s="2152"/>
      <c r="M181" s="2152"/>
      <c r="N181" s="2152"/>
      <c r="O181" s="2152"/>
      <c r="P181" s="2152"/>
      <c r="Q181" s="2152"/>
      <c r="R181" s="2152"/>
      <c r="S181" s="2152"/>
      <c r="T181" s="2152"/>
      <c r="U181" s="2152"/>
      <c r="V181" s="2152"/>
      <c r="W181" s="2152"/>
      <c r="X181" s="2152"/>
      <c r="Y181" s="2152"/>
      <c r="Z181" s="2152"/>
      <c r="AA181" s="2152"/>
      <c r="AB181" s="2152"/>
      <c r="AC181" s="2152"/>
      <c r="AD181" s="2152"/>
      <c r="AE181" s="2152"/>
      <c r="AF181" s="2152"/>
      <c r="AG181" s="2152"/>
      <c r="AH181" s="2152"/>
      <c r="AI181" s="2152"/>
      <c r="AJ181" s="2152"/>
      <c r="AK181" s="2152"/>
      <c r="AL181" s="2152"/>
      <c r="AM181" s="2152"/>
      <c r="AN181" s="2152"/>
      <c r="AO181" s="2152"/>
      <c r="AP181" s="2152"/>
      <c r="AQ181" s="2152"/>
      <c r="AR181" s="2152"/>
      <c r="AS181" s="2152"/>
      <c r="AT181" s="2152"/>
      <c r="AU181" s="2152"/>
      <c r="AV181" s="2152"/>
      <c r="AW181" s="2161"/>
      <c r="AX181" s="1218"/>
      <c r="AY181" s="1217"/>
      <c r="AZ181" s="1217"/>
      <c r="BA181" s="1217"/>
      <c r="BB181" s="1217"/>
      <c r="BC181" s="1217"/>
      <c r="BD181" s="1217"/>
      <c r="BE181" s="1217"/>
      <c r="BF181" s="1217"/>
      <c r="BG181" s="1217"/>
      <c r="BH181" s="1217"/>
      <c r="BI181" s="1219"/>
    </row>
    <row r="182" spans="2:62" s="117" customFormat="1" ht="14">
      <c r="B182" s="1212"/>
      <c r="C182" s="1210"/>
      <c r="D182" s="1209"/>
      <c r="E182" s="1209"/>
      <c r="F182" s="1220"/>
      <c r="G182" s="1220"/>
      <c r="H182" s="2161"/>
      <c r="I182" s="2161"/>
      <c r="J182" s="2161"/>
      <c r="K182" s="2161"/>
      <c r="L182" s="2161"/>
      <c r="M182" s="2161"/>
      <c r="N182" s="2161"/>
      <c r="O182" s="2161"/>
      <c r="P182" s="2161"/>
      <c r="Q182" s="2161"/>
      <c r="R182" s="2161"/>
      <c r="S182" s="2161"/>
      <c r="T182" s="2161"/>
      <c r="U182" s="2161"/>
      <c r="V182" s="2161"/>
      <c r="W182" s="2161"/>
      <c r="X182" s="2161"/>
      <c r="Y182" s="2161"/>
      <c r="Z182" s="2161"/>
      <c r="AA182" s="2161"/>
      <c r="AB182" s="2161"/>
      <c r="AC182" s="2161"/>
      <c r="AD182" s="2161"/>
      <c r="AE182" s="2161"/>
      <c r="AF182" s="2161"/>
      <c r="AG182" s="2161"/>
      <c r="AH182" s="2161"/>
      <c r="AI182" s="2161"/>
      <c r="AJ182" s="2161"/>
      <c r="AK182" s="2161"/>
      <c r="AL182" s="2161"/>
      <c r="AM182" s="2161"/>
      <c r="AN182" s="2161"/>
      <c r="AO182" s="2161"/>
      <c r="AP182" s="2161"/>
      <c r="AQ182" s="2161"/>
      <c r="AR182" s="2161"/>
      <c r="AS182" s="2161"/>
      <c r="AT182" s="2161"/>
      <c r="AU182" s="2161"/>
      <c r="AV182" s="2161"/>
      <c r="AW182" s="2161"/>
      <c r="AX182" s="1218"/>
      <c r="AY182" s="1220"/>
      <c r="AZ182" s="1220"/>
      <c r="BA182" s="1220"/>
      <c r="BB182" s="1220"/>
      <c r="BC182" s="1220"/>
      <c r="BD182" s="1220"/>
      <c r="BE182" s="1220"/>
      <c r="BF182" s="1220"/>
      <c r="BG182" s="1220"/>
      <c r="BH182" s="1220"/>
      <c r="BI182" s="1211"/>
    </row>
    <row r="183" spans="2:62" s="117" customFormat="1" ht="14">
      <c r="B183" s="1212"/>
      <c r="C183" s="1210"/>
      <c r="D183" s="1209"/>
      <c r="E183" s="1209"/>
      <c r="F183" s="1220"/>
      <c r="G183" s="1220"/>
      <c r="H183" s="2161"/>
      <c r="I183" s="2161"/>
      <c r="J183" s="2161"/>
      <c r="K183" s="2161"/>
      <c r="L183" s="2161"/>
      <c r="M183" s="2161"/>
      <c r="N183" s="2161"/>
      <c r="O183" s="2161"/>
      <c r="P183" s="2161"/>
      <c r="Q183" s="2161"/>
      <c r="R183" s="2161"/>
      <c r="S183" s="2161"/>
      <c r="T183" s="2161"/>
      <c r="U183" s="2161"/>
      <c r="V183" s="2161"/>
      <c r="W183" s="2161"/>
      <c r="X183" s="2161"/>
      <c r="Y183" s="2161"/>
      <c r="Z183" s="2161"/>
      <c r="AA183" s="2161"/>
      <c r="AB183" s="2161"/>
      <c r="AC183" s="2161"/>
      <c r="AD183" s="2161"/>
      <c r="AE183" s="2161"/>
      <c r="AF183" s="2161"/>
      <c r="AG183" s="2161"/>
      <c r="AH183" s="2161"/>
      <c r="AI183" s="2161"/>
      <c r="AJ183" s="2161"/>
      <c r="AK183" s="2161"/>
      <c r="AL183" s="2161"/>
      <c r="AM183" s="2161"/>
      <c r="AN183" s="2161"/>
      <c r="AO183" s="2161"/>
      <c r="AP183" s="2161"/>
      <c r="AQ183" s="2161"/>
      <c r="AR183" s="2161"/>
      <c r="AS183" s="2161"/>
      <c r="AT183" s="2161"/>
      <c r="AU183" s="2161"/>
      <c r="AV183" s="2161"/>
      <c r="AW183" s="2161"/>
      <c r="AX183" s="1218"/>
      <c r="AY183" s="1217"/>
      <c r="AZ183" s="1217"/>
      <c r="BA183" s="1217"/>
      <c r="BB183" s="1217"/>
      <c r="BC183" s="1217"/>
      <c r="BD183" s="1217"/>
      <c r="BE183" s="1217"/>
      <c r="BF183" s="1217"/>
      <c r="BG183" s="1217"/>
      <c r="BH183" s="1217"/>
      <c r="BI183" s="1211"/>
    </row>
    <row r="184" spans="2:62" s="117" customFormat="1" ht="14">
      <c r="B184" s="1212"/>
      <c r="C184" s="1210"/>
      <c r="D184" s="1209"/>
      <c r="E184" s="1209"/>
      <c r="F184" s="1220"/>
      <c r="G184" s="1220"/>
      <c r="H184" s="2161"/>
      <c r="I184" s="2161"/>
      <c r="J184" s="2161"/>
      <c r="K184" s="2161"/>
      <c r="L184" s="2161"/>
      <c r="M184" s="2161"/>
      <c r="N184" s="2161"/>
      <c r="O184" s="2161"/>
      <c r="P184" s="2161"/>
      <c r="Q184" s="2161"/>
      <c r="R184" s="2161"/>
      <c r="S184" s="2161"/>
      <c r="T184" s="2161"/>
      <c r="U184" s="2161"/>
      <c r="V184" s="2161"/>
      <c r="W184" s="2161"/>
      <c r="X184" s="2161"/>
      <c r="Y184" s="2161"/>
      <c r="Z184" s="2161"/>
      <c r="AA184" s="2161"/>
      <c r="AB184" s="2161"/>
      <c r="AC184" s="2161"/>
      <c r="AD184" s="2161"/>
      <c r="AE184" s="2161"/>
      <c r="AF184" s="2161"/>
      <c r="AG184" s="2161"/>
      <c r="AH184" s="2161"/>
      <c r="AI184" s="2161"/>
      <c r="AJ184" s="2161"/>
      <c r="AK184" s="2161"/>
      <c r="AL184" s="2161"/>
      <c r="AM184" s="2161"/>
      <c r="AN184" s="2161"/>
      <c r="AO184" s="2161"/>
      <c r="AP184" s="2161"/>
      <c r="AQ184" s="2161"/>
      <c r="AR184" s="2161"/>
      <c r="AS184" s="2161"/>
      <c r="AT184" s="2161"/>
      <c r="AU184" s="2161"/>
      <c r="AV184" s="2161"/>
      <c r="AW184" s="2161"/>
      <c r="AX184" s="1218"/>
      <c r="AY184" s="1217"/>
      <c r="AZ184" s="1217"/>
      <c r="BA184" s="1217"/>
      <c r="BB184" s="1217"/>
      <c r="BC184" s="1217"/>
      <c r="BD184" s="1217"/>
      <c r="BE184" s="1217"/>
      <c r="BF184" s="1217"/>
      <c r="BG184" s="1217"/>
      <c r="BH184" s="1217"/>
      <c r="BI184" s="1211"/>
    </row>
    <row r="185" spans="2:62" s="117" customFormat="1" ht="14">
      <c r="B185" s="1212"/>
      <c r="C185" s="1210"/>
      <c r="D185" s="1209"/>
      <c r="E185" s="1209"/>
      <c r="F185" s="1220"/>
      <c r="G185" s="1220"/>
      <c r="H185" s="2161"/>
      <c r="I185" s="2161"/>
      <c r="J185" s="2161"/>
      <c r="K185" s="2161"/>
      <c r="L185" s="2161"/>
      <c r="M185" s="2161"/>
      <c r="N185" s="2161"/>
      <c r="O185" s="2161"/>
      <c r="P185" s="2161"/>
      <c r="Q185" s="2161"/>
      <c r="R185" s="2161"/>
      <c r="S185" s="2161"/>
      <c r="T185" s="2161"/>
      <c r="U185" s="2161"/>
      <c r="V185" s="2161"/>
      <c r="W185" s="2161"/>
      <c r="X185" s="2161"/>
      <c r="Y185" s="2161"/>
      <c r="Z185" s="2161"/>
      <c r="AA185" s="2161"/>
      <c r="AB185" s="2161"/>
      <c r="AC185" s="2161"/>
      <c r="AD185" s="2161"/>
      <c r="AE185" s="2161"/>
      <c r="AF185" s="2161"/>
      <c r="AG185" s="2161"/>
      <c r="AH185" s="2161"/>
      <c r="AI185" s="2161"/>
      <c r="AJ185" s="2161"/>
      <c r="AK185" s="2161"/>
      <c r="AL185" s="2161"/>
      <c r="AM185" s="2161"/>
      <c r="AN185" s="2161"/>
      <c r="AO185" s="2161"/>
      <c r="AP185" s="2161"/>
      <c r="AQ185" s="2161"/>
      <c r="AR185" s="2161"/>
      <c r="AS185" s="2161"/>
      <c r="AT185" s="2161"/>
      <c r="AU185" s="2161"/>
      <c r="AV185" s="2161"/>
      <c r="AW185" s="2161"/>
      <c r="AX185" s="1218"/>
      <c r="AY185" s="1217"/>
      <c r="AZ185" s="1217"/>
      <c r="BA185" s="1217"/>
      <c r="BB185" s="1217"/>
      <c r="BC185" s="1217"/>
      <c r="BD185" s="1217"/>
      <c r="BE185" s="1217"/>
      <c r="BF185" s="1217"/>
      <c r="BG185" s="1217"/>
      <c r="BH185" s="1217"/>
      <c r="BI185" s="1211"/>
    </row>
    <row r="186" spans="2:62" s="117" customFormat="1" ht="14">
      <c r="B186" s="1212"/>
      <c r="C186" s="1210"/>
      <c r="D186" s="1209"/>
      <c r="E186" s="1209"/>
      <c r="F186" s="1220"/>
      <c r="G186" s="1220"/>
      <c r="H186" s="2161"/>
      <c r="I186" s="2161"/>
      <c r="J186" s="2161"/>
      <c r="K186" s="2161"/>
      <c r="L186" s="2161"/>
      <c r="M186" s="2161"/>
      <c r="N186" s="2161"/>
      <c r="O186" s="2161"/>
      <c r="P186" s="2161"/>
      <c r="Q186" s="2161"/>
      <c r="R186" s="2161"/>
      <c r="S186" s="2161"/>
      <c r="T186" s="2161"/>
      <c r="U186" s="2161"/>
      <c r="V186" s="2161"/>
      <c r="W186" s="2161"/>
      <c r="X186" s="2161"/>
      <c r="Y186" s="2161"/>
      <c r="Z186" s="2161"/>
      <c r="AA186" s="2161"/>
      <c r="AB186" s="2161"/>
      <c r="AC186" s="2161"/>
      <c r="AD186" s="2161"/>
      <c r="AE186" s="2161"/>
      <c r="AF186" s="2161"/>
      <c r="AG186" s="2161"/>
      <c r="AH186" s="2161"/>
      <c r="AI186" s="2161"/>
      <c r="AJ186" s="2161"/>
      <c r="AK186" s="2161"/>
      <c r="AL186" s="2161"/>
      <c r="AM186" s="2161"/>
      <c r="AN186" s="2161"/>
      <c r="AO186" s="2161"/>
      <c r="AP186" s="2161"/>
      <c r="AQ186" s="2161"/>
      <c r="AR186" s="2161"/>
      <c r="AS186" s="2161"/>
      <c r="AT186" s="2161"/>
      <c r="AU186" s="2161"/>
      <c r="AV186" s="2161"/>
      <c r="AW186" s="2161"/>
      <c r="AX186" s="1218"/>
      <c r="AY186" s="1217"/>
      <c r="AZ186" s="1217"/>
      <c r="BA186" s="1217"/>
      <c r="BB186" s="1217"/>
      <c r="BC186" s="1217"/>
      <c r="BD186" s="1217"/>
      <c r="BE186" s="1217"/>
      <c r="BF186" s="1217"/>
      <c r="BG186" s="1217"/>
      <c r="BH186" s="1217"/>
      <c r="BI186" s="1211"/>
    </row>
    <row r="187" spans="2:62" s="117" customFormat="1" ht="14">
      <c r="B187" s="1212"/>
      <c r="C187" s="1210"/>
      <c r="D187" s="1209"/>
      <c r="E187" s="1209"/>
      <c r="F187" s="1220"/>
      <c r="G187" s="1220"/>
      <c r="H187" s="2161"/>
      <c r="I187" s="2161"/>
      <c r="J187" s="2161"/>
      <c r="K187" s="2161"/>
      <c r="L187" s="2161"/>
      <c r="M187" s="2161"/>
      <c r="N187" s="2161"/>
      <c r="O187" s="2161"/>
      <c r="P187" s="2161"/>
      <c r="Q187" s="2161"/>
      <c r="R187" s="2161"/>
      <c r="S187" s="2161"/>
      <c r="T187" s="2161"/>
      <c r="U187" s="2161"/>
      <c r="V187" s="2161"/>
      <c r="W187" s="2161"/>
      <c r="X187" s="2161"/>
      <c r="Y187" s="2161"/>
      <c r="Z187" s="2161"/>
      <c r="AA187" s="2161"/>
      <c r="AB187" s="2161"/>
      <c r="AC187" s="2161"/>
      <c r="AD187" s="2161"/>
      <c r="AE187" s="2161"/>
      <c r="AF187" s="2161"/>
      <c r="AG187" s="2161"/>
      <c r="AH187" s="2161"/>
      <c r="AI187" s="2161"/>
      <c r="AJ187" s="2161"/>
      <c r="AK187" s="2161"/>
      <c r="AL187" s="2161"/>
      <c r="AM187" s="2161"/>
      <c r="AN187" s="2161"/>
      <c r="AO187" s="2161"/>
      <c r="AP187" s="2161"/>
      <c r="AQ187" s="2161"/>
      <c r="AR187" s="2161"/>
      <c r="AS187" s="2161"/>
      <c r="AT187" s="2161"/>
      <c r="AU187" s="2161"/>
      <c r="AV187" s="2161"/>
      <c r="AW187" s="2161"/>
      <c r="AX187" s="1218"/>
      <c r="AY187" s="1217"/>
      <c r="AZ187" s="1217"/>
      <c r="BA187" s="1217"/>
      <c r="BB187" s="1217"/>
      <c r="BC187" s="1217"/>
      <c r="BD187" s="1217"/>
      <c r="BE187" s="1217"/>
      <c r="BF187" s="1217"/>
      <c r="BG187" s="1217"/>
      <c r="BH187" s="1217"/>
      <c r="BI187" s="1211"/>
    </row>
    <row r="188" spans="2:62" s="117" customFormat="1" ht="14">
      <c r="B188" s="1212"/>
      <c r="C188" s="1210"/>
      <c r="D188" s="1209"/>
      <c r="E188" s="1209"/>
      <c r="F188" s="1218"/>
      <c r="G188" s="1218"/>
      <c r="H188" s="2162"/>
      <c r="I188" s="2162"/>
      <c r="J188" s="2162"/>
      <c r="K188" s="2162"/>
      <c r="L188" s="2162"/>
      <c r="M188" s="2162"/>
      <c r="N188" s="2162"/>
      <c r="O188" s="2162"/>
      <c r="P188" s="2162"/>
      <c r="Q188" s="2162"/>
      <c r="R188" s="2162"/>
      <c r="S188" s="2162"/>
      <c r="T188" s="2162"/>
      <c r="U188" s="2162"/>
      <c r="V188" s="2162"/>
      <c r="W188" s="2162"/>
      <c r="X188" s="2162"/>
      <c r="Y188" s="2162"/>
      <c r="Z188" s="2162"/>
      <c r="AA188" s="2162"/>
      <c r="AB188" s="2162"/>
      <c r="AC188" s="2162"/>
      <c r="AD188" s="2162"/>
      <c r="AE188" s="2162"/>
      <c r="AF188" s="2162"/>
      <c r="AG188" s="2162"/>
      <c r="AH188" s="2162"/>
      <c r="AI188" s="2162"/>
      <c r="AJ188" s="2162"/>
      <c r="AK188" s="2162"/>
      <c r="AL188" s="2162"/>
      <c r="AM188" s="2162"/>
      <c r="AN188" s="2162"/>
      <c r="AO188" s="2162"/>
      <c r="AP188" s="2162"/>
      <c r="AQ188" s="2162"/>
      <c r="AR188" s="2162"/>
      <c r="AS188" s="2162"/>
      <c r="AT188" s="2162"/>
      <c r="AU188" s="2162"/>
      <c r="AV188" s="2162"/>
      <c r="AW188" s="2162"/>
      <c r="AX188" s="1218"/>
      <c r="AY188" s="1217"/>
      <c r="AZ188" s="1217"/>
      <c r="BA188" s="1217"/>
      <c r="BB188" s="1217"/>
      <c r="BC188" s="1217"/>
      <c r="BD188" s="1217"/>
      <c r="BE188" s="1217"/>
      <c r="BF188" s="1217"/>
      <c r="BG188" s="1217"/>
      <c r="BH188" s="1217"/>
      <c r="BI188" s="1211"/>
    </row>
    <row r="189" spans="2:62" s="117" customFormat="1" ht="14">
      <c r="B189" s="1212"/>
      <c r="C189" s="1210"/>
      <c r="D189" s="1209"/>
      <c r="E189" s="1209"/>
      <c r="F189" s="1220"/>
      <c r="G189" s="1220"/>
      <c r="H189" s="2161"/>
      <c r="I189" s="2161"/>
      <c r="J189" s="2161"/>
      <c r="K189" s="2161"/>
      <c r="L189" s="2161"/>
      <c r="M189" s="2161"/>
      <c r="N189" s="2161"/>
      <c r="O189" s="2161"/>
      <c r="P189" s="2161"/>
      <c r="Q189" s="2161"/>
      <c r="R189" s="2161"/>
      <c r="S189" s="2161"/>
      <c r="T189" s="2161"/>
      <c r="U189" s="2161"/>
      <c r="V189" s="2161"/>
      <c r="W189" s="2161"/>
      <c r="X189" s="2161"/>
      <c r="Y189" s="2161"/>
      <c r="Z189" s="2161"/>
      <c r="AA189" s="2161"/>
      <c r="AB189" s="2161"/>
      <c r="AC189" s="2161"/>
      <c r="AD189" s="2161"/>
      <c r="AE189" s="2161"/>
      <c r="AF189" s="2161"/>
      <c r="AG189" s="2161"/>
      <c r="AH189" s="2161"/>
      <c r="AI189" s="2161"/>
      <c r="AJ189" s="2161"/>
      <c r="AK189" s="2161"/>
      <c r="AL189" s="2161"/>
      <c r="AM189" s="2161"/>
      <c r="AN189" s="2161"/>
      <c r="AO189" s="2161"/>
      <c r="AP189" s="2161"/>
      <c r="AQ189" s="2161"/>
      <c r="AR189" s="2161"/>
      <c r="AS189" s="2161"/>
      <c r="AT189" s="2161"/>
      <c r="AU189" s="2161"/>
      <c r="AV189" s="2161"/>
      <c r="AW189" s="2161"/>
      <c r="AX189" s="1218"/>
      <c r="AY189" s="1217"/>
      <c r="AZ189" s="1217"/>
      <c r="BA189" s="1217"/>
      <c r="BB189" s="1217"/>
      <c r="BC189" s="1217"/>
      <c r="BD189" s="1217"/>
      <c r="BE189" s="1217"/>
      <c r="BF189" s="1217"/>
      <c r="BG189" s="1217"/>
      <c r="BH189" s="1217"/>
      <c r="BI189" s="1211"/>
    </row>
    <row r="190" spans="2:62" s="525" customFormat="1" ht="14">
      <c r="B190" s="1214"/>
      <c r="C190" s="1210"/>
      <c r="D190" s="1209"/>
      <c r="E190" s="1209"/>
      <c r="F190" s="1220"/>
      <c r="G190" s="1220"/>
      <c r="H190" s="2161"/>
      <c r="I190" s="2161"/>
      <c r="J190" s="2161"/>
      <c r="K190" s="2161"/>
      <c r="L190" s="2161"/>
      <c r="M190" s="2161"/>
      <c r="N190" s="2161"/>
      <c r="O190" s="2161"/>
      <c r="P190" s="2161"/>
      <c r="Q190" s="2161"/>
      <c r="R190" s="2161"/>
      <c r="S190" s="2161"/>
      <c r="T190" s="2161"/>
      <c r="U190" s="2161"/>
      <c r="V190" s="2161"/>
      <c r="W190" s="2161"/>
      <c r="X190" s="2161"/>
      <c r="Y190" s="2161"/>
      <c r="Z190" s="2161"/>
      <c r="AA190" s="2161"/>
      <c r="AB190" s="2161"/>
      <c r="AC190" s="2161"/>
      <c r="AD190" s="2161"/>
      <c r="AE190" s="2161"/>
      <c r="AF190" s="2161"/>
      <c r="AG190" s="2161"/>
      <c r="AH190" s="2161"/>
      <c r="AI190" s="2161"/>
      <c r="AJ190" s="2161"/>
      <c r="AK190" s="2161"/>
      <c r="AL190" s="2161"/>
      <c r="AM190" s="2161"/>
      <c r="AN190" s="2161"/>
      <c r="AO190" s="2161"/>
      <c r="AP190" s="2161"/>
      <c r="AQ190" s="2161"/>
      <c r="AR190" s="2161"/>
      <c r="AS190" s="2161"/>
      <c r="AT190" s="2161"/>
      <c r="AU190" s="2161"/>
      <c r="AV190" s="2161"/>
      <c r="AW190" s="2161"/>
      <c r="AX190" s="1218"/>
      <c r="AY190" s="1217"/>
      <c r="AZ190" s="1217"/>
      <c r="BA190" s="1217"/>
      <c r="BB190" s="1217"/>
      <c r="BC190" s="1217"/>
      <c r="BD190" s="1217"/>
      <c r="BE190" s="1217"/>
      <c r="BF190" s="1217"/>
      <c r="BG190" s="1217"/>
      <c r="BH190" s="1217"/>
      <c r="BI190" s="1219"/>
    </row>
    <row r="191" spans="2:62" s="117" customFormat="1" ht="14">
      <c r="B191" s="1212"/>
      <c r="C191" s="1210"/>
      <c r="D191" s="1209"/>
      <c r="E191" s="1209"/>
      <c r="F191" s="1220"/>
      <c r="G191" s="1220"/>
      <c r="H191" s="2161"/>
      <c r="I191" s="2161"/>
      <c r="J191" s="2161"/>
      <c r="K191" s="2161"/>
      <c r="L191" s="2161"/>
      <c r="M191" s="2161"/>
      <c r="N191" s="2161"/>
      <c r="O191" s="2161"/>
      <c r="P191" s="2161"/>
      <c r="Q191" s="2161"/>
      <c r="R191" s="2161"/>
      <c r="S191" s="2161"/>
      <c r="T191" s="2161"/>
      <c r="U191" s="2161"/>
      <c r="V191" s="2161"/>
      <c r="W191" s="2161"/>
      <c r="X191" s="2161"/>
      <c r="Y191" s="2161"/>
      <c r="Z191" s="2161"/>
      <c r="AA191" s="2161"/>
      <c r="AB191" s="2161"/>
      <c r="AC191" s="2161"/>
      <c r="AD191" s="2161"/>
      <c r="AE191" s="2161"/>
      <c r="AF191" s="2161"/>
      <c r="AG191" s="2161"/>
      <c r="AH191" s="2161"/>
      <c r="AI191" s="2161"/>
      <c r="AJ191" s="2161"/>
      <c r="AK191" s="2161"/>
      <c r="AL191" s="2161"/>
      <c r="AM191" s="2161"/>
      <c r="AN191" s="2161"/>
      <c r="AO191" s="2161"/>
      <c r="AP191" s="2161"/>
      <c r="AQ191" s="2161"/>
      <c r="AR191" s="2161"/>
      <c r="AS191" s="2161"/>
      <c r="AT191" s="2161"/>
      <c r="AU191" s="2161"/>
      <c r="AV191" s="2161"/>
      <c r="AW191" s="2161"/>
      <c r="AX191" s="1218"/>
      <c r="AY191" s="1217"/>
      <c r="AZ191" s="1217"/>
      <c r="BA191" s="1217"/>
      <c r="BB191" s="1217"/>
      <c r="BC191" s="1217"/>
      <c r="BD191" s="1217"/>
      <c r="BE191" s="1217"/>
      <c r="BF191" s="1217"/>
      <c r="BG191" s="1217"/>
      <c r="BH191" s="1217"/>
      <c r="BI191" s="1211"/>
    </row>
    <row r="192" spans="2:62" s="117" customFormat="1" ht="14">
      <c r="B192" s="1212"/>
      <c r="C192" s="1209"/>
      <c r="D192" s="1209"/>
      <c r="E192" s="1209"/>
      <c r="F192" s="1221"/>
      <c r="G192" s="1221"/>
      <c r="H192" s="2163"/>
      <c r="I192" s="2163"/>
      <c r="J192" s="2163"/>
      <c r="K192" s="2163"/>
      <c r="L192" s="2163"/>
      <c r="M192" s="2163"/>
      <c r="N192" s="2163"/>
      <c r="O192" s="2163"/>
      <c r="P192" s="2163"/>
      <c r="Q192" s="2163"/>
      <c r="R192" s="2163"/>
      <c r="S192" s="2163"/>
      <c r="T192" s="2163"/>
      <c r="U192" s="2163"/>
      <c r="V192" s="2163"/>
      <c r="W192" s="2163"/>
      <c r="X192" s="2163"/>
      <c r="Y192" s="2163"/>
      <c r="Z192" s="2163"/>
      <c r="AA192" s="2163"/>
      <c r="AB192" s="2163"/>
      <c r="AC192" s="2163"/>
      <c r="AD192" s="2163"/>
      <c r="AE192" s="2163"/>
      <c r="AF192" s="2163"/>
      <c r="AG192" s="2163"/>
      <c r="AH192" s="2163"/>
      <c r="AI192" s="2163"/>
      <c r="AJ192" s="2163"/>
      <c r="AK192" s="2163"/>
      <c r="AL192" s="2163"/>
      <c r="AM192" s="2163"/>
      <c r="AN192" s="2163"/>
      <c r="AO192" s="2163"/>
      <c r="AP192" s="2163"/>
      <c r="AQ192" s="2163"/>
      <c r="AR192" s="2163"/>
      <c r="AS192" s="2163"/>
      <c r="AT192" s="2163"/>
      <c r="AU192" s="2163"/>
      <c r="AV192" s="2163"/>
      <c r="AW192" s="2163"/>
      <c r="AX192" s="1218"/>
      <c r="AY192" s="1221"/>
      <c r="AZ192" s="1221"/>
      <c r="BA192" s="1221"/>
      <c r="BB192" s="1221"/>
      <c r="BC192" s="1221"/>
      <c r="BD192" s="1221"/>
      <c r="BE192" s="1221"/>
      <c r="BF192" s="1221"/>
      <c r="BG192" s="1221"/>
      <c r="BH192" s="1221"/>
      <c r="BI192" s="1211"/>
      <c r="BJ192" s="1142"/>
    </row>
    <row r="193" spans="2:61" s="117" customFormat="1" ht="5.25" customHeight="1">
      <c r="B193" s="1212"/>
      <c r="C193" s="1209"/>
      <c r="D193" s="1209"/>
      <c r="E193" s="1209"/>
      <c r="F193" s="1218"/>
      <c r="G193" s="1218"/>
      <c r="H193" s="2162"/>
      <c r="I193" s="2162"/>
      <c r="J193" s="2162"/>
      <c r="K193" s="2162"/>
      <c r="L193" s="2162"/>
      <c r="M193" s="2162"/>
      <c r="N193" s="2162"/>
      <c r="O193" s="2162"/>
      <c r="P193" s="2162"/>
      <c r="Q193" s="2162"/>
      <c r="R193" s="2162"/>
      <c r="S193" s="2162"/>
      <c r="T193" s="2162"/>
      <c r="U193" s="2162"/>
      <c r="V193" s="2162"/>
      <c r="W193" s="2162"/>
      <c r="X193" s="2162"/>
      <c r="Y193" s="2162"/>
      <c r="Z193" s="2162"/>
      <c r="AA193" s="2162"/>
      <c r="AB193" s="2162"/>
      <c r="AC193" s="2162"/>
      <c r="AD193" s="2162"/>
      <c r="AE193" s="2162"/>
      <c r="AF193" s="2162"/>
      <c r="AG193" s="2162"/>
      <c r="AH193" s="2162"/>
      <c r="AI193" s="2162"/>
      <c r="AJ193" s="2162"/>
      <c r="AK193" s="2162"/>
      <c r="AL193" s="2162"/>
      <c r="AM193" s="2162"/>
      <c r="AN193" s="2162"/>
      <c r="AO193" s="2162"/>
      <c r="AP193" s="2162"/>
      <c r="AQ193" s="2162"/>
      <c r="AR193" s="2162"/>
      <c r="AS193" s="2162"/>
      <c r="AT193" s="2162"/>
      <c r="AU193" s="2162"/>
      <c r="AV193" s="2162"/>
      <c r="AW193" s="2162"/>
      <c r="AX193" s="1218"/>
      <c r="AY193" s="1218"/>
      <c r="AZ193" s="1218"/>
      <c r="BA193" s="1218"/>
      <c r="BB193" s="1218"/>
      <c r="BC193" s="1218"/>
      <c r="BD193" s="1218"/>
      <c r="BE193" s="1218"/>
      <c r="BF193" s="1218"/>
      <c r="BG193" s="1218"/>
      <c r="BH193" s="1218"/>
      <c r="BI193" s="1211"/>
    </row>
    <row r="194" spans="2:61" s="242" customFormat="1" ht="14">
      <c r="B194" s="1226"/>
      <c r="C194" s="1227"/>
      <c r="D194" s="1227"/>
      <c r="E194" s="1227"/>
      <c r="F194" s="1236"/>
      <c r="G194" s="1236"/>
      <c r="H194" s="2164"/>
      <c r="I194" s="2164"/>
      <c r="J194" s="2164"/>
      <c r="K194" s="2164"/>
      <c r="L194" s="2164"/>
      <c r="M194" s="2164"/>
      <c r="N194" s="2164"/>
      <c r="O194" s="2164"/>
      <c r="P194" s="2164"/>
      <c r="Q194" s="2164"/>
      <c r="R194" s="2164"/>
      <c r="S194" s="2164"/>
      <c r="T194" s="2164"/>
      <c r="U194" s="2164"/>
      <c r="V194" s="2164"/>
      <c r="W194" s="2164"/>
      <c r="X194" s="2164"/>
      <c r="Y194" s="2164"/>
      <c r="Z194" s="2164"/>
      <c r="AA194" s="2164"/>
      <c r="AB194" s="2164"/>
      <c r="AC194" s="2164"/>
      <c r="AD194" s="2164"/>
      <c r="AE194" s="2164"/>
      <c r="AF194" s="2164"/>
      <c r="AG194" s="2164"/>
      <c r="AH194" s="2164"/>
      <c r="AI194" s="2164"/>
      <c r="AJ194" s="2164"/>
      <c r="AK194" s="2164"/>
      <c r="AL194" s="2164"/>
      <c r="AM194" s="2164"/>
      <c r="AN194" s="2164"/>
      <c r="AO194" s="2164"/>
      <c r="AP194" s="2164"/>
      <c r="AQ194" s="2164"/>
      <c r="AR194" s="2164"/>
      <c r="AS194" s="2164"/>
      <c r="AT194" s="2164"/>
      <c r="AU194" s="2164"/>
      <c r="AV194" s="2164"/>
      <c r="AW194" s="2164"/>
      <c r="AX194" s="1228"/>
      <c r="AY194" s="1236"/>
      <c r="AZ194" s="1236"/>
      <c r="BA194" s="1236"/>
      <c r="BB194" s="1236"/>
      <c r="BC194" s="1236"/>
      <c r="BD194" s="1236"/>
      <c r="BE194" s="1236"/>
      <c r="BF194" s="1236"/>
      <c r="BG194" s="1236"/>
      <c r="BH194" s="1236"/>
      <c r="BI194" s="1211"/>
    </row>
    <row r="195" spans="2:61" s="242" customFormat="1" ht="14">
      <c r="B195" s="1226"/>
      <c r="C195" s="1227"/>
      <c r="D195" s="1227"/>
      <c r="E195" s="1227"/>
      <c r="F195" s="1236"/>
      <c r="G195" s="1236"/>
      <c r="H195" s="2164"/>
      <c r="I195" s="2164"/>
      <c r="J195" s="2164"/>
      <c r="K195" s="2164"/>
      <c r="L195" s="2164"/>
      <c r="M195" s="2164"/>
      <c r="N195" s="2164"/>
      <c r="O195" s="2164"/>
      <c r="P195" s="2164"/>
      <c r="Q195" s="2164"/>
      <c r="R195" s="2164"/>
      <c r="S195" s="2164"/>
      <c r="T195" s="2164"/>
      <c r="U195" s="2164"/>
      <c r="V195" s="2164"/>
      <c r="W195" s="2164"/>
      <c r="X195" s="2164"/>
      <c r="Y195" s="2164"/>
      <c r="Z195" s="2164"/>
      <c r="AA195" s="2164"/>
      <c r="AB195" s="2164"/>
      <c r="AC195" s="2164"/>
      <c r="AD195" s="2164"/>
      <c r="AE195" s="2164"/>
      <c r="AF195" s="2164"/>
      <c r="AG195" s="2164"/>
      <c r="AH195" s="2164"/>
      <c r="AI195" s="2164"/>
      <c r="AJ195" s="2164"/>
      <c r="AK195" s="2164"/>
      <c r="AL195" s="2164"/>
      <c r="AM195" s="2164"/>
      <c r="AN195" s="2164"/>
      <c r="AO195" s="2164"/>
      <c r="AP195" s="2164"/>
      <c r="AQ195" s="2164"/>
      <c r="AR195" s="2164"/>
      <c r="AS195" s="2164"/>
      <c r="AT195" s="2164"/>
      <c r="AU195" s="2164"/>
      <c r="AV195" s="2164"/>
      <c r="AW195" s="2164"/>
      <c r="AX195" s="1228"/>
      <c r="AY195" s="1236"/>
      <c r="AZ195" s="1236"/>
      <c r="BA195" s="1236"/>
      <c r="BB195" s="1236"/>
      <c r="BC195" s="1236"/>
      <c r="BD195" s="1236"/>
      <c r="BE195" s="1236"/>
      <c r="BF195" s="1236"/>
      <c r="BG195" s="1236"/>
      <c r="BH195" s="1236"/>
      <c r="BI195" s="1229"/>
    </row>
    <row r="196" spans="2:61" s="242" customFormat="1" ht="14">
      <c r="B196" s="1226"/>
      <c r="C196" s="1640"/>
      <c r="D196" s="1227"/>
      <c r="E196" s="1227"/>
      <c r="F196" s="1236"/>
      <c r="G196" s="1236"/>
      <c r="H196" s="2164"/>
      <c r="I196" s="2164"/>
      <c r="J196" s="2164"/>
      <c r="K196" s="2164"/>
      <c r="L196" s="2164"/>
      <c r="M196" s="2164"/>
      <c r="N196" s="2164"/>
      <c r="O196" s="2164"/>
      <c r="P196" s="2164"/>
      <c r="Q196" s="2164"/>
      <c r="R196" s="2164"/>
      <c r="S196" s="2164"/>
      <c r="T196" s="2164"/>
      <c r="U196" s="2164"/>
      <c r="V196" s="2164"/>
      <c r="W196" s="2164"/>
      <c r="X196" s="2164"/>
      <c r="Y196" s="2164"/>
      <c r="Z196" s="2164"/>
      <c r="AA196" s="2164"/>
      <c r="AB196" s="2164"/>
      <c r="AC196" s="2164"/>
      <c r="AD196" s="2164"/>
      <c r="AE196" s="2164"/>
      <c r="AF196" s="2164"/>
      <c r="AG196" s="2164"/>
      <c r="AH196" s="2164"/>
      <c r="AI196" s="2164"/>
      <c r="AJ196" s="2164"/>
      <c r="AK196" s="2164"/>
      <c r="AL196" s="2164"/>
      <c r="AM196" s="2164"/>
      <c r="AN196" s="2164"/>
      <c r="AO196" s="2164"/>
      <c r="AP196" s="2164"/>
      <c r="AQ196" s="2164"/>
      <c r="AR196" s="2164"/>
      <c r="AS196" s="2164"/>
      <c r="AT196" s="2164"/>
      <c r="AU196" s="2164"/>
      <c r="AV196" s="2164"/>
      <c r="AW196" s="2164"/>
      <c r="AX196" s="1228"/>
      <c r="AY196" s="1236"/>
      <c r="AZ196" s="1236"/>
      <c r="BA196" s="1236"/>
      <c r="BB196" s="1236"/>
      <c r="BC196" s="1236"/>
      <c r="BD196" s="1236"/>
      <c r="BE196" s="1236"/>
      <c r="BF196" s="1236"/>
      <c r="BG196" s="1236"/>
      <c r="BH196" s="1236"/>
      <c r="BI196" s="1229"/>
    </row>
    <row r="197" spans="2:61" s="117" customFormat="1" ht="14">
      <c r="B197" s="1212"/>
      <c r="C197" s="1209"/>
      <c r="D197" s="1209"/>
      <c r="E197" s="1209"/>
      <c r="F197" s="1209"/>
      <c r="G197" s="1209"/>
      <c r="H197" s="2151"/>
      <c r="I197" s="2151"/>
      <c r="J197" s="2151"/>
      <c r="K197" s="2151"/>
      <c r="L197" s="2151"/>
      <c r="M197" s="2151"/>
      <c r="N197" s="2151"/>
      <c r="O197" s="2151"/>
      <c r="P197" s="2151"/>
      <c r="Q197" s="2151"/>
      <c r="R197" s="2151"/>
      <c r="S197" s="2151"/>
      <c r="T197" s="2151"/>
      <c r="U197" s="2151"/>
      <c r="V197" s="2151"/>
      <c r="W197" s="2151"/>
      <c r="X197" s="2151"/>
      <c r="Y197" s="2151"/>
      <c r="Z197" s="2151"/>
      <c r="AA197" s="2151"/>
      <c r="AB197" s="2151"/>
      <c r="AC197" s="2151"/>
      <c r="AD197" s="2151"/>
      <c r="AE197" s="2151"/>
      <c r="AF197" s="2151"/>
      <c r="AG197" s="2151"/>
      <c r="AH197" s="2151"/>
      <c r="AI197" s="2151"/>
      <c r="AJ197" s="2151"/>
      <c r="AK197" s="2151"/>
      <c r="AL197" s="2151"/>
      <c r="AM197" s="2151"/>
      <c r="AN197" s="2151"/>
      <c r="AO197" s="2151"/>
      <c r="AP197" s="2151"/>
      <c r="AQ197" s="2151"/>
      <c r="AR197" s="2151"/>
      <c r="AS197" s="2151"/>
      <c r="AT197" s="2151"/>
      <c r="AU197" s="2151"/>
      <c r="AV197" s="2151"/>
      <c r="AW197" s="2151"/>
      <c r="AX197" s="1209"/>
      <c r="AY197" s="1209"/>
      <c r="AZ197" s="1209"/>
      <c r="BA197" s="1209"/>
      <c r="BB197" s="1209"/>
      <c r="BC197" s="1209"/>
      <c r="BD197" s="1209"/>
      <c r="BE197" s="1209"/>
      <c r="BF197" s="1209"/>
      <c r="BG197" s="1209"/>
      <c r="BH197" s="1209"/>
      <c r="BI197" s="1209"/>
    </row>
    <row r="198" spans="2:61" s="1639" customFormat="1" ht="14">
      <c r="B198" s="1212"/>
      <c r="C198" s="1209"/>
      <c r="D198" s="1209"/>
      <c r="E198" s="1209"/>
      <c r="F198" s="1209"/>
      <c r="G198" s="1209"/>
      <c r="H198" s="2151"/>
      <c r="I198" s="2151"/>
      <c r="J198" s="2151"/>
      <c r="K198" s="2151"/>
      <c r="L198" s="2151"/>
      <c r="M198" s="2151"/>
      <c r="N198" s="2151"/>
      <c r="O198" s="2151"/>
      <c r="P198" s="2151"/>
      <c r="Q198" s="2151"/>
      <c r="R198" s="2151"/>
      <c r="S198" s="2151"/>
      <c r="T198" s="2151"/>
      <c r="U198" s="2151"/>
      <c r="V198" s="2151"/>
      <c r="W198" s="2151"/>
      <c r="X198" s="2151"/>
      <c r="Y198" s="2151"/>
      <c r="Z198" s="2151"/>
      <c r="AA198" s="2151"/>
      <c r="AB198" s="2151"/>
      <c r="AC198" s="2151"/>
      <c r="AD198" s="2151"/>
      <c r="AE198" s="2151"/>
      <c r="AF198" s="2151"/>
      <c r="AG198" s="2151"/>
      <c r="AH198" s="2151"/>
      <c r="AI198" s="2151"/>
      <c r="AJ198" s="2151"/>
      <c r="AK198" s="2151"/>
      <c r="AL198" s="2151"/>
      <c r="AM198" s="2151"/>
      <c r="AN198" s="2151"/>
      <c r="AO198" s="2151"/>
      <c r="AP198" s="2151"/>
      <c r="AQ198" s="2151"/>
      <c r="AR198" s="2151"/>
      <c r="AS198" s="2151"/>
      <c r="AT198" s="2151"/>
      <c r="AU198" s="2151"/>
      <c r="AV198" s="2151"/>
      <c r="AW198" s="2151"/>
      <c r="AX198" s="1209"/>
      <c r="AY198" s="1218"/>
      <c r="AZ198" s="1209"/>
      <c r="BA198" s="1209"/>
      <c r="BB198" s="1209"/>
      <c r="BC198" s="1209"/>
      <c r="BD198" s="1218"/>
      <c r="BE198" s="1209"/>
      <c r="BF198" s="1209"/>
      <c r="BG198" s="1209"/>
      <c r="BH198" s="1209"/>
      <c r="BI198" s="1641"/>
    </row>
    <row r="199" spans="2:61" s="1639" customFormat="1" ht="14">
      <c r="B199" s="1212"/>
      <c r="C199" s="1209"/>
      <c r="D199" s="1209"/>
      <c r="E199" s="1209"/>
      <c r="F199" s="1209"/>
      <c r="G199" s="1209"/>
      <c r="H199" s="2151"/>
      <c r="I199" s="2151"/>
      <c r="J199" s="2151"/>
      <c r="K199" s="2151"/>
      <c r="L199" s="2151"/>
      <c r="M199" s="2151"/>
      <c r="N199" s="2151"/>
      <c r="O199" s="2151"/>
      <c r="P199" s="2151"/>
      <c r="Q199" s="2151"/>
      <c r="R199" s="2151"/>
      <c r="S199" s="2151"/>
      <c r="T199" s="2151"/>
      <c r="U199" s="2151"/>
      <c r="V199" s="2151"/>
      <c r="W199" s="2151"/>
      <c r="X199" s="2151"/>
      <c r="Y199" s="2151"/>
      <c r="Z199" s="2151"/>
      <c r="AA199" s="2151"/>
      <c r="AB199" s="2151"/>
      <c r="AC199" s="2151"/>
      <c r="AD199" s="2151"/>
      <c r="AE199" s="2151"/>
      <c r="AF199" s="2151"/>
      <c r="AG199" s="2151"/>
      <c r="AH199" s="2151"/>
      <c r="AI199" s="2151"/>
      <c r="AJ199" s="2151"/>
      <c r="AK199" s="2151"/>
      <c r="AL199" s="2151"/>
      <c r="AM199" s="2151"/>
      <c r="AN199" s="2151"/>
      <c r="AO199" s="2151"/>
      <c r="AP199" s="2151"/>
      <c r="AQ199" s="2151"/>
      <c r="AR199" s="2151"/>
      <c r="AS199" s="2151"/>
      <c r="AT199" s="2151"/>
      <c r="AU199" s="2151"/>
      <c r="AV199" s="2151"/>
      <c r="AW199" s="2151"/>
      <c r="AX199" s="1209"/>
      <c r="AY199" s="1209"/>
      <c r="AZ199" s="1209"/>
      <c r="BA199" s="1209"/>
      <c r="BB199" s="1209"/>
      <c r="BC199" s="1209"/>
      <c r="BD199" s="1209"/>
      <c r="BE199" s="1209"/>
      <c r="BF199" s="1209"/>
      <c r="BG199" s="1209"/>
      <c r="BH199" s="1209"/>
      <c r="BI199" s="1211"/>
    </row>
    <row r="200" spans="2:61" s="117" customFormat="1" ht="14">
      <c r="B200" s="1212"/>
      <c r="C200" s="1209"/>
      <c r="D200" s="1209"/>
      <c r="E200" s="1209"/>
      <c r="F200" s="1209"/>
      <c r="G200" s="1209"/>
      <c r="H200" s="2151"/>
      <c r="I200" s="2151"/>
      <c r="J200" s="2151"/>
      <c r="K200" s="2151"/>
      <c r="L200" s="2151"/>
      <c r="M200" s="2151"/>
      <c r="N200" s="2151"/>
      <c r="O200" s="2151"/>
      <c r="P200" s="2151"/>
      <c r="Q200" s="2151"/>
      <c r="R200" s="2151"/>
      <c r="S200" s="2151"/>
      <c r="T200" s="2151"/>
      <c r="U200" s="2151"/>
      <c r="V200" s="2151"/>
      <c r="W200" s="2151"/>
      <c r="X200" s="2151"/>
      <c r="Y200" s="2151"/>
      <c r="Z200" s="2151"/>
      <c r="AA200" s="2151"/>
      <c r="AB200" s="2151"/>
      <c r="AC200" s="2151"/>
      <c r="AD200" s="2151"/>
      <c r="AE200" s="2151"/>
      <c r="AF200" s="2151"/>
      <c r="AG200" s="2151"/>
      <c r="AH200" s="2151"/>
      <c r="AI200" s="2151"/>
      <c r="AJ200" s="2151"/>
      <c r="AK200" s="2151"/>
      <c r="AL200" s="2151"/>
      <c r="AM200" s="2151"/>
      <c r="AN200" s="2151"/>
      <c r="AO200" s="2151"/>
      <c r="AP200" s="2151"/>
      <c r="AQ200" s="2151"/>
      <c r="AR200" s="2151"/>
      <c r="AS200" s="2151"/>
      <c r="AT200" s="2151"/>
      <c r="AU200" s="2151"/>
      <c r="AV200" s="2151"/>
      <c r="AW200" s="2151"/>
      <c r="AX200" s="1209"/>
      <c r="AY200" s="1209"/>
      <c r="AZ200" s="1209"/>
      <c r="BA200" s="1209"/>
      <c r="BB200" s="1209"/>
      <c r="BC200" s="1209"/>
      <c r="BD200" s="1209"/>
      <c r="BE200" s="1209"/>
      <c r="BF200" s="1209"/>
      <c r="BG200" s="1209"/>
      <c r="BH200" s="1209"/>
      <c r="BI200" s="1211"/>
    </row>
    <row r="201" spans="2:61" ht="15">
      <c r="B201" s="1212"/>
      <c r="C201" s="1237"/>
      <c r="D201" s="1209"/>
      <c r="E201" s="1209"/>
      <c r="F201" s="1209"/>
      <c r="G201" s="1209"/>
      <c r="H201" s="2151"/>
      <c r="I201" s="2151"/>
      <c r="J201" s="2151"/>
      <c r="K201" s="2151"/>
      <c r="L201" s="2151"/>
      <c r="M201" s="2151"/>
      <c r="N201" s="2151"/>
      <c r="O201" s="2151"/>
      <c r="P201" s="2151"/>
      <c r="Q201" s="2151"/>
      <c r="R201" s="2151"/>
      <c r="S201" s="2151"/>
      <c r="T201" s="2151"/>
      <c r="U201" s="2151"/>
      <c r="V201" s="2151"/>
      <c r="W201" s="2151"/>
      <c r="X201" s="2151"/>
      <c r="Y201" s="2151"/>
      <c r="Z201" s="2151"/>
      <c r="AA201" s="2151"/>
      <c r="AB201" s="2151"/>
      <c r="AC201" s="2151"/>
      <c r="AD201" s="2151"/>
      <c r="AE201" s="2151"/>
      <c r="AF201" s="2151"/>
      <c r="AG201" s="2151"/>
      <c r="AH201" s="2151"/>
      <c r="AI201" s="2151"/>
      <c r="AJ201" s="2151"/>
      <c r="AK201" s="2151"/>
      <c r="AL201" s="2151"/>
      <c r="AM201" s="2151"/>
      <c r="AN201" s="2151"/>
      <c r="AO201" s="2151"/>
      <c r="AP201" s="2151"/>
      <c r="AQ201" s="2151"/>
      <c r="AR201" s="2151"/>
      <c r="AS201" s="2151"/>
      <c r="AT201" s="2151"/>
      <c r="AU201" s="2151"/>
      <c r="AV201" s="2151"/>
      <c r="AW201" s="2151"/>
      <c r="AX201" s="1209"/>
      <c r="AY201" s="1209"/>
      <c r="AZ201" s="1209"/>
      <c r="BA201" s="1209"/>
      <c r="BB201" s="1209"/>
      <c r="BC201" s="1209"/>
      <c r="BD201" s="1209"/>
      <c r="BE201" s="1209"/>
      <c r="BF201" s="1209"/>
      <c r="BG201" s="1209"/>
      <c r="BH201" s="1209"/>
      <c r="BI201" s="1211"/>
    </row>
    <row r="202" spans="2:61" ht="15">
      <c r="B202" s="1208"/>
      <c r="C202" s="1237"/>
      <c r="D202" s="1209"/>
      <c r="E202" s="1209"/>
      <c r="F202" s="1239"/>
      <c r="G202" s="1239"/>
      <c r="H202" s="2165"/>
      <c r="I202" s="2165"/>
      <c r="J202" s="2165"/>
      <c r="K202" s="2165"/>
      <c r="L202" s="2165"/>
      <c r="M202" s="2165"/>
      <c r="N202" s="2165"/>
      <c r="O202" s="2165"/>
      <c r="P202" s="2165"/>
      <c r="Q202" s="2165"/>
      <c r="R202" s="2165"/>
      <c r="S202" s="2165"/>
      <c r="T202" s="2165"/>
      <c r="U202" s="2165"/>
      <c r="V202" s="2165"/>
      <c r="W202" s="2165"/>
      <c r="X202" s="2165"/>
      <c r="Y202" s="2165"/>
      <c r="Z202" s="2165"/>
      <c r="AA202" s="2165"/>
      <c r="AB202" s="2165"/>
      <c r="AC202" s="2165"/>
      <c r="AD202" s="2165"/>
      <c r="AE202" s="2165"/>
      <c r="AF202" s="2165"/>
      <c r="AG202" s="2165"/>
      <c r="AH202" s="2165"/>
      <c r="AI202" s="2165"/>
      <c r="AJ202" s="2165"/>
      <c r="AK202" s="2165"/>
      <c r="AL202" s="2165"/>
      <c r="AM202" s="2165"/>
      <c r="AN202" s="2165"/>
      <c r="AO202" s="2165"/>
      <c r="AP202" s="2165"/>
      <c r="AQ202" s="2165"/>
      <c r="AR202" s="2165"/>
      <c r="AS202" s="2165"/>
      <c r="AT202" s="2165"/>
      <c r="AU202" s="2165"/>
      <c r="AV202" s="2165"/>
      <c r="AW202" s="2165"/>
      <c r="AX202" s="1209"/>
      <c r="AY202" s="1240"/>
      <c r="AZ202" s="1241"/>
      <c r="BA202" s="1209"/>
      <c r="BB202" s="1209"/>
      <c r="BC202" s="1209"/>
      <c r="BD202" s="1209"/>
      <c r="BE202" s="1209"/>
      <c r="BF202" s="1209"/>
      <c r="BG202" s="1209"/>
      <c r="BH202" s="1209"/>
      <c r="BI202" s="1211"/>
    </row>
    <row r="203" spans="2:61" s="526" customFormat="1" ht="14">
      <c r="B203" s="1222"/>
      <c r="C203" s="1213"/>
      <c r="D203" s="1213"/>
      <c r="E203" s="1213"/>
      <c r="F203" s="1223"/>
      <c r="G203" s="1223"/>
      <c r="H203" s="2166"/>
      <c r="I203" s="2166"/>
      <c r="J203" s="2166"/>
      <c r="K203" s="2166"/>
      <c r="L203" s="2166"/>
      <c r="M203" s="2166"/>
      <c r="N203" s="2166"/>
      <c r="O203" s="2166"/>
      <c r="P203" s="2166"/>
      <c r="Q203" s="2166"/>
      <c r="R203" s="2166"/>
      <c r="S203" s="2166"/>
      <c r="T203" s="2166"/>
      <c r="U203" s="2166"/>
      <c r="V203" s="2166"/>
      <c r="W203" s="2166"/>
      <c r="X203" s="2166"/>
      <c r="Y203" s="2166"/>
      <c r="Z203" s="2166"/>
      <c r="AA203" s="2166"/>
      <c r="AB203" s="2166"/>
      <c r="AC203" s="2166"/>
      <c r="AD203" s="2166"/>
      <c r="AE203" s="2166"/>
      <c r="AF203" s="2166"/>
      <c r="AG203" s="2166"/>
      <c r="AH203" s="2166"/>
      <c r="AI203" s="2166"/>
      <c r="AJ203" s="2166"/>
      <c r="AK203" s="2166"/>
      <c r="AL203" s="2166"/>
      <c r="AM203" s="2166"/>
      <c r="AN203" s="2166"/>
      <c r="AO203" s="2166"/>
      <c r="AP203" s="2166"/>
      <c r="AQ203" s="2166"/>
      <c r="AR203" s="2166"/>
      <c r="AS203" s="2166"/>
      <c r="AT203" s="2166"/>
      <c r="AU203" s="2166"/>
      <c r="AV203" s="2166"/>
      <c r="AW203" s="2166"/>
      <c r="AX203" s="1223"/>
      <c r="AY203" s="1223"/>
      <c r="AZ203" s="1223"/>
      <c r="BA203" s="1213"/>
      <c r="BB203" s="1213"/>
      <c r="BC203" s="1213"/>
      <c r="BD203" s="1213"/>
      <c r="BE203" s="1224"/>
      <c r="BF203" s="1224"/>
      <c r="BG203" s="1224"/>
      <c r="BH203" s="1224"/>
      <c r="BI203" s="1225"/>
    </row>
    <row r="204" spans="2:61" ht="14">
      <c r="B204" s="1212"/>
      <c r="C204" s="1209"/>
      <c r="D204" s="1209"/>
      <c r="E204" s="1209"/>
      <c r="F204" s="1220"/>
      <c r="G204" s="1220"/>
      <c r="H204" s="2161"/>
      <c r="I204" s="2161"/>
      <c r="J204" s="2161"/>
      <c r="K204" s="2161"/>
      <c r="L204" s="2161"/>
      <c r="M204" s="2161"/>
      <c r="N204" s="2161"/>
      <c r="O204" s="2161"/>
      <c r="P204" s="2161"/>
      <c r="Q204" s="2161"/>
      <c r="R204" s="2161"/>
      <c r="S204" s="2161"/>
      <c r="T204" s="2161"/>
      <c r="U204" s="2161"/>
      <c r="V204" s="2161"/>
      <c r="W204" s="2161"/>
      <c r="X204" s="2161"/>
      <c r="Y204" s="2161"/>
      <c r="Z204" s="2161"/>
      <c r="AA204" s="2161"/>
      <c r="AB204" s="2161"/>
      <c r="AC204" s="2161"/>
      <c r="AD204" s="2161"/>
      <c r="AE204" s="2161"/>
      <c r="AF204" s="2161"/>
      <c r="AG204" s="2161"/>
      <c r="AH204" s="2161"/>
      <c r="AI204" s="2161"/>
      <c r="AJ204" s="2161"/>
      <c r="AK204" s="2161"/>
      <c r="AL204" s="2161"/>
      <c r="AM204" s="2161"/>
      <c r="AN204" s="2161"/>
      <c r="AO204" s="2161"/>
      <c r="AP204" s="2161"/>
      <c r="AQ204" s="2161"/>
      <c r="AR204" s="2161"/>
      <c r="AS204" s="2161"/>
      <c r="AT204" s="2161"/>
      <c r="AU204" s="2161"/>
      <c r="AV204" s="2161"/>
      <c r="AW204" s="2161"/>
      <c r="AX204" s="1220"/>
      <c r="AY204" s="1220"/>
      <c r="AZ204" s="1220"/>
      <c r="BA204" s="1209"/>
      <c r="BB204" s="1220"/>
      <c r="BC204" s="1220"/>
      <c r="BD204" s="1209"/>
      <c r="BE204" s="1209"/>
      <c r="BF204" s="1209"/>
      <c r="BG204" s="1209"/>
      <c r="BH204" s="1209"/>
      <c r="BI204" s="1211"/>
    </row>
    <row r="205" spans="2:61" ht="14">
      <c r="B205" s="1212"/>
      <c r="C205" s="1209"/>
      <c r="D205" s="1213"/>
      <c r="E205" s="1209"/>
      <c r="F205" s="1223"/>
      <c r="G205" s="1223"/>
      <c r="H205" s="2166"/>
      <c r="I205" s="2166"/>
      <c r="J205" s="2166"/>
      <c r="K205" s="2166"/>
      <c r="L205" s="2166"/>
      <c r="M205" s="2166"/>
      <c r="N205" s="2166"/>
      <c r="O205" s="2166"/>
      <c r="P205" s="2166"/>
      <c r="Q205" s="2166"/>
      <c r="R205" s="2166"/>
      <c r="S205" s="2166"/>
      <c r="T205" s="2166"/>
      <c r="U205" s="2166"/>
      <c r="V205" s="2166"/>
      <c r="W205" s="2166"/>
      <c r="X205" s="2166"/>
      <c r="Y205" s="2166"/>
      <c r="Z205" s="2166"/>
      <c r="AA205" s="2166"/>
      <c r="AB205" s="2166"/>
      <c r="AC205" s="2166"/>
      <c r="AD205" s="2166"/>
      <c r="AE205" s="2166"/>
      <c r="AF205" s="2166"/>
      <c r="AG205" s="2166"/>
      <c r="AH205" s="2166"/>
      <c r="AI205" s="2166"/>
      <c r="AJ205" s="2166"/>
      <c r="AK205" s="2166"/>
      <c r="AL205" s="2166"/>
      <c r="AM205" s="2166"/>
      <c r="AN205" s="2166"/>
      <c r="AO205" s="2166"/>
      <c r="AP205" s="2166"/>
      <c r="AQ205" s="2166"/>
      <c r="AR205" s="2166"/>
      <c r="AS205" s="2166"/>
      <c r="AT205" s="2166"/>
      <c r="AU205" s="2166"/>
      <c r="AV205" s="2166"/>
      <c r="AW205" s="2166"/>
      <c r="AX205" s="1220"/>
      <c r="AY205" s="1223"/>
      <c r="AZ205" s="1223"/>
      <c r="BA205" s="1209"/>
      <c r="BB205" s="1223"/>
      <c r="BC205" s="1223"/>
      <c r="BD205" s="1209"/>
      <c r="BE205" s="1224"/>
      <c r="BF205" s="1224"/>
      <c r="BG205" s="1224"/>
      <c r="BH205" s="1224"/>
      <c r="BI205" s="1211"/>
    </row>
    <row r="206" spans="2:61" s="242" customFormat="1" ht="14">
      <c r="B206" s="1226"/>
      <c r="C206" s="1227"/>
      <c r="D206" s="1227"/>
      <c r="E206" s="1227"/>
      <c r="F206" s="1227"/>
      <c r="G206" s="1227"/>
      <c r="H206" s="2160"/>
      <c r="I206" s="2160"/>
      <c r="J206" s="2160"/>
      <c r="K206" s="2160"/>
      <c r="L206" s="2160"/>
      <c r="M206" s="2160"/>
      <c r="N206" s="2160"/>
      <c r="O206" s="2160"/>
      <c r="P206" s="2160"/>
      <c r="Q206" s="2160"/>
      <c r="R206" s="2160"/>
      <c r="S206" s="2160"/>
      <c r="T206" s="2160"/>
      <c r="U206" s="2160"/>
      <c r="V206" s="2160"/>
      <c r="W206" s="2160"/>
      <c r="X206" s="2160"/>
      <c r="Y206" s="2160"/>
      <c r="Z206" s="2160"/>
      <c r="AA206" s="2160"/>
      <c r="AB206" s="2160"/>
      <c r="AC206" s="2160"/>
      <c r="AD206" s="2160"/>
      <c r="AE206" s="2160"/>
      <c r="AF206" s="2160"/>
      <c r="AG206" s="2160"/>
      <c r="AH206" s="2160"/>
      <c r="AI206" s="2160"/>
      <c r="AJ206" s="2160"/>
      <c r="AK206" s="2160"/>
      <c r="AL206" s="2160"/>
      <c r="AM206" s="2160"/>
      <c r="AN206" s="2160"/>
      <c r="AO206" s="2160"/>
      <c r="AP206" s="2160"/>
      <c r="AQ206" s="2160"/>
      <c r="AR206" s="2160"/>
      <c r="AS206" s="2160"/>
      <c r="AT206" s="2160"/>
      <c r="AU206" s="2160"/>
      <c r="AV206" s="2160"/>
      <c r="AW206" s="2160"/>
      <c r="AX206" s="1227"/>
      <c r="AY206" s="1242"/>
      <c r="AZ206" s="1242"/>
      <c r="BA206" s="1242"/>
      <c r="BB206" s="1242"/>
      <c r="BC206" s="1242"/>
      <c r="BD206" s="1242"/>
      <c r="BE206" s="1242"/>
      <c r="BF206" s="1242"/>
      <c r="BG206" s="1242"/>
      <c r="BH206" s="1242"/>
      <c r="BI206" s="1229"/>
    </row>
    <row r="207" spans="2:61" s="242" customFormat="1" ht="14">
      <c r="B207" s="1226"/>
      <c r="C207" s="1227"/>
      <c r="D207" s="1227"/>
      <c r="E207" s="1227"/>
      <c r="F207" s="1227"/>
      <c r="G207" s="1227"/>
      <c r="H207" s="2160"/>
      <c r="I207" s="2160"/>
      <c r="J207" s="2160"/>
      <c r="K207" s="2160"/>
      <c r="L207" s="2160"/>
      <c r="M207" s="2160"/>
      <c r="N207" s="2160"/>
      <c r="O207" s="2160"/>
      <c r="P207" s="2160"/>
      <c r="Q207" s="2160"/>
      <c r="R207" s="2160"/>
      <c r="S207" s="2160"/>
      <c r="T207" s="2160"/>
      <c r="U207" s="2160"/>
      <c r="V207" s="2160"/>
      <c r="W207" s="2160"/>
      <c r="X207" s="2160"/>
      <c r="Y207" s="2160"/>
      <c r="Z207" s="2160"/>
      <c r="AA207" s="2160"/>
      <c r="AB207" s="2160"/>
      <c r="AC207" s="2160"/>
      <c r="AD207" s="2160"/>
      <c r="AE207" s="2160"/>
      <c r="AF207" s="2160"/>
      <c r="AG207" s="2160"/>
      <c r="AH207" s="2160"/>
      <c r="AI207" s="2160"/>
      <c r="AJ207" s="2160"/>
      <c r="AK207" s="2160"/>
      <c r="AL207" s="2160"/>
      <c r="AM207" s="2160"/>
      <c r="AN207" s="2160"/>
      <c r="AO207" s="2160"/>
      <c r="AP207" s="2160"/>
      <c r="AQ207" s="2160"/>
      <c r="AR207" s="2160"/>
      <c r="AS207" s="2160"/>
      <c r="AT207" s="2160"/>
      <c r="AU207" s="2160"/>
      <c r="AV207" s="2160"/>
      <c r="AW207" s="2160"/>
      <c r="AX207" s="1227"/>
      <c r="AY207" s="1242"/>
      <c r="AZ207" s="1242"/>
      <c r="BA207" s="1242"/>
      <c r="BB207" s="1242"/>
      <c r="BC207" s="1242"/>
      <c r="BD207" s="1242"/>
      <c r="BE207" s="1242"/>
      <c r="BF207" s="1242"/>
      <c r="BG207" s="1242"/>
      <c r="BH207" s="1242"/>
      <c r="BI207" s="1229"/>
    </row>
    <row r="208" spans="2:61" ht="14">
      <c r="B208" s="1230"/>
      <c r="C208" s="1231"/>
      <c r="D208" s="1231"/>
      <c r="E208" s="1231"/>
      <c r="F208" s="1231"/>
      <c r="G208" s="1231"/>
      <c r="H208" s="2167"/>
      <c r="I208" s="2167"/>
      <c r="J208" s="2167"/>
      <c r="K208" s="2167"/>
      <c r="L208" s="2167"/>
      <c r="M208" s="2167"/>
      <c r="N208" s="2167"/>
      <c r="O208" s="2167"/>
      <c r="P208" s="2167"/>
      <c r="Q208" s="2167"/>
      <c r="R208" s="2167"/>
      <c r="S208" s="2167"/>
      <c r="T208" s="2167"/>
      <c r="U208" s="2167"/>
      <c r="V208" s="2167"/>
      <c r="W208" s="2167"/>
      <c r="X208" s="2167"/>
      <c r="Y208" s="2167"/>
      <c r="Z208" s="2167"/>
      <c r="AA208" s="2167"/>
      <c r="AB208" s="2167"/>
      <c r="AC208" s="2167"/>
      <c r="AD208" s="2167"/>
      <c r="AE208" s="2167"/>
      <c r="AF208" s="2167"/>
      <c r="AG208" s="2167"/>
      <c r="AH208" s="2167"/>
      <c r="AI208" s="2167"/>
      <c r="AJ208" s="2167"/>
      <c r="AK208" s="2167"/>
      <c r="AL208" s="2167"/>
      <c r="AM208" s="2167"/>
      <c r="AN208" s="2167"/>
      <c r="AO208" s="2167"/>
      <c r="AP208" s="2167"/>
      <c r="AQ208" s="2167"/>
      <c r="AR208" s="2167"/>
      <c r="AS208" s="2167"/>
      <c r="AT208" s="2167"/>
      <c r="AU208" s="2167"/>
      <c r="AV208" s="2167"/>
      <c r="AW208" s="2167"/>
      <c r="AX208" s="1231"/>
      <c r="AY208" s="1231"/>
      <c r="AZ208" s="1231"/>
      <c r="BA208" s="1231"/>
      <c r="BB208" s="1231"/>
      <c r="BC208" s="1231"/>
      <c r="BD208" s="1231"/>
      <c r="BE208" s="1231"/>
      <c r="BF208" s="1231"/>
      <c r="BG208" s="1231"/>
      <c r="BH208" s="1231"/>
      <c r="BI208" s="1232"/>
    </row>
    <row r="209" spans="1:61" s="1044" customFormat="1" ht="14">
      <c r="B209" s="37"/>
      <c r="C209" s="37"/>
      <c r="D209" s="37"/>
      <c r="E209" s="37"/>
      <c r="F209" s="37"/>
      <c r="G209" s="37"/>
      <c r="H209" s="2139"/>
      <c r="I209" s="2139"/>
      <c r="J209" s="2139"/>
      <c r="K209" s="2139"/>
      <c r="L209" s="2139"/>
      <c r="M209" s="2139"/>
      <c r="N209" s="2139"/>
      <c r="O209" s="2139"/>
      <c r="P209" s="2139"/>
      <c r="Q209" s="2139"/>
      <c r="R209" s="2139"/>
      <c r="S209" s="2139"/>
      <c r="T209" s="2139"/>
      <c r="U209" s="2139"/>
      <c r="V209" s="2139"/>
      <c r="W209" s="2139"/>
      <c r="X209" s="2139"/>
      <c r="Y209" s="2139"/>
      <c r="Z209" s="2139"/>
      <c r="AA209" s="2139"/>
      <c r="AB209" s="2139"/>
      <c r="AC209" s="2139"/>
      <c r="AD209" s="2139"/>
      <c r="AE209" s="2139"/>
      <c r="AF209" s="2139"/>
      <c r="AG209" s="2139"/>
      <c r="AH209" s="2139"/>
      <c r="AI209" s="2139"/>
      <c r="AJ209" s="2139"/>
      <c r="AK209" s="2139"/>
      <c r="AL209" s="2139"/>
      <c r="AM209" s="2139"/>
      <c r="AN209" s="2139"/>
      <c r="AO209" s="2139"/>
      <c r="AP209" s="2139"/>
      <c r="AQ209" s="2139"/>
      <c r="AR209" s="2139"/>
      <c r="AS209" s="2139"/>
      <c r="AT209" s="2139"/>
      <c r="AU209" s="2139"/>
      <c r="AV209" s="2139"/>
      <c r="AW209" s="2139"/>
      <c r="AX209" s="37"/>
      <c r="AY209" s="37"/>
      <c r="AZ209" s="37"/>
      <c r="BA209" s="37"/>
      <c r="BB209" s="37"/>
      <c r="BC209" s="37"/>
      <c r="BD209" s="37"/>
      <c r="BE209" s="37"/>
      <c r="BF209" s="37"/>
      <c r="BG209" s="37"/>
      <c r="BH209" s="37"/>
      <c r="BI209" s="37"/>
    </row>
    <row r="210" spans="1:61" s="1618" customFormat="1" ht="22">
      <c r="A210" s="799"/>
      <c r="B210" s="1207"/>
      <c r="C210" s="1233"/>
      <c r="D210" s="1233"/>
      <c r="E210" s="1233"/>
      <c r="F210" s="1233"/>
      <c r="G210" s="1233"/>
      <c r="H210" s="2150"/>
      <c r="I210" s="2150"/>
      <c r="J210" s="2150"/>
      <c r="K210" s="2150"/>
      <c r="L210" s="2150"/>
      <c r="M210" s="2150"/>
      <c r="N210" s="2150"/>
      <c r="O210" s="2150"/>
      <c r="P210" s="2150"/>
      <c r="Q210" s="2150"/>
      <c r="R210" s="2150"/>
      <c r="S210" s="2150"/>
      <c r="T210" s="2150"/>
      <c r="U210" s="2150"/>
      <c r="V210" s="2150"/>
      <c r="W210" s="2150"/>
      <c r="X210" s="2150"/>
      <c r="Y210" s="2150"/>
      <c r="Z210" s="2150"/>
      <c r="AA210" s="2150"/>
      <c r="AB210" s="2150"/>
      <c r="AC210" s="2150"/>
      <c r="AD210" s="2150"/>
      <c r="AE210" s="2150"/>
      <c r="AF210" s="2150"/>
      <c r="AG210" s="2150"/>
      <c r="AH210" s="2150"/>
      <c r="AI210" s="2150"/>
      <c r="AJ210" s="2150"/>
      <c r="AK210" s="2150"/>
      <c r="AL210" s="2150"/>
      <c r="AM210" s="2150"/>
      <c r="AN210" s="2150"/>
      <c r="AO210" s="2150"/>
      <c r="AP210" s="2150"/>
      <c r="AQ210" s="2150"/>
      <c r="AR210" s="2150"/>
      <c r="AS210" s="2150"/>
      <c r="AT210" s="2150"/>
      <c r="AU210" s="2150"/>
      <c r="AV210" s="2150"/>
      <c r="AW210" s="2150"/>
      <c r="AX210" s="1233"/>
      <c r="AY210" s="1233"/>
      <c r="AZ210" s="1233"/>
      <c r="BA210" s="1233"/>
      <c r="BB210" s="1233"/>
      <c r="BC210" s="1233"/>
      <c r="BD210" s="1233"/>
      <c r="BE210" s="1233"/>
      <c r="BF210" s="1233"/>
      <c r="BG210" s="1233"/>
      <c r="BH210" s="1234"/>
      <c r="BI210" s="1235"/>
    </row>
    <row r="211" spans="1:61" s="1618" customFormat="1" ht="14">
      <c r="B211" s="1209"/>
      <c r="C211" s="1209"/>
      <c r="D211" s="1209"/>
      <c r="E211" s="1209"/>
      <c r="F211" s="1209"/>
      <c r="G211" s="1209"/>
      <c r="H211" s="2151"/>
      <c r="I211" s="2151"/>
      <c r="J211" s="2151"/>
      <c r="K211" s="2151"/>
      <c r="L211" s="2151"/>
      <c r="M211" s="2151"/>
      <c r="N211" s="2151"/>
      <c r="O211" s="2151"/>
      <c r="P211" s="2151"/>
      <c r="Q211" s="2151"/>
      <c r="R211" s="2151"/>
      <c r="S211" s="2151"/>
      <c r="T211" s="2151"/>
      <c r="U211" s="2151"/>
      <c r="V211" s="2151"/>
      <c r="W211" s="2151"/>
      <c r="X211" s="2151"/>
      <c r="Y211" s="2151"/>
      <c r="Z211" s="2151"/>
      <c r="AA211" s="2151"/>
      <c r="AB211" s="2151"/>
      <c r="AC211" s="2151"/>
      <c r="AD211" s="2151"/>
      <c r="AE211" s="2151"/>
      <c r="AF211" s="2151"/>
      <c r="AG211" s="2151"/>
      <c r="AH211" s="2151"/>
      <c r="AI211" s="2151"/>
      <c r="AJ211" s="2151"/>
      <c r="AK211" s="2151"/>
      <c r="AL211" s="2151"/>
      <c r="AM211" s="2151"/>
      <c r="AN211" s="2151"/>
      <c r="AO211" s="2151"/>
      <c r="AP211" s="2151"/>
      <c r="AQ211" s="2151"/>
      <c r="AR211" s="2151"/>
      <c r="AS211" s="2151"/>
      <c r="AT211" s="2151"/>
      <c r="AU211" s="2151"/>
      <c r="AV211" s="2151"/>
      <c r="AW211" s="2151"/>
      <c r="AX211" s="1209"/>
      <c r="AY211" s="1209"/>
      <c r="AZ211" s="1209"/>
      <c r="BA211" s="1209"/>
      <c r="BB211" s="1209"/>
      <c r="BC211" s="1209"/>
      <c r="BD211" s="1209"/>
      <c r="BE211" s="1209"/>
      <c r="BF211" s="1209"/>
      <c r="BG211" s="1209"/>
      <c r="BH211" s="1209"/>
      <c r="BI211" s="1209"/>
    </row>
    <row r="212" spans="1:61" s="1618" customFormat="1" ht="14">
      <c r="B212" s="1213"/>
      <c r="C212" s="1209"/>
      <c r="D212" s="1209"/>
      <c r="E212" s="1209"/>
      <c r="F212" s="1209"/>
      <c r="G212" s="1209"/>
      <c r="H212" s="2151"/>
      <c r="I212" s="2151"/>
      <c r="J212" s="2151"/>
      <c r="K212" s="2151"/>
      <c r="L212" s="2151"/>
      <c r="M212" s="2151"/>
      <c r="N212" s="2151"/>
      <c r="O212" s="2151"/>
      <c r="P212" s="2151"/>
      <c r="Q212" s="2151"/>
      <c r="R212" s="2151"/>
      <c r="S212" s="2151"/>
      <c r="T212" s="2151"/>
      <c r="U212" s="2151"/>
      <c r="V212" s="2151"/>
      <c r="W212" s="2151"/>
      <c r="X212" s="2151"/>
      <c r="Y212" s="2151"/>
      <c r="Z212" s="2151"/>
      <c r="AA212" s="2151"/>
      <c r="AB212" s="2151"/>
      <c r="AC212" s="2151"/>
      <c r="AD212" s="2151"/>
      <c r="AE212" s="2151"/>
      <c r="AF212" s="2151"/>
      <c r="AG212" s="2151"/>
      <c r="AH212" s="2151"/>
      <c r="AI212" s="2151"/>
      <c r="AJ212" s="2151"/>
      <c r="AK212" s="2151"/>
      <c r="AL212" s="2151"/>
      <c r="AM212" s="2151"/>
      <c r="AN212" s="2151"/>
      <c r="AO212" s="2151"/>
      <c r="AP212" s="2151"/>
      <c r="AQ212" s="2151"/>
      <c r="AR212" s="2151"/>
      <c r="AS212" s="2151"/>
      <c r="AT212" s="2151"/>
      <c r="AU212" s="2151"/>
      <c r="AV212" s="2151"/>
      <c r="AW212" s="2151"/>
      <c r="AX212" s="1209"/>
      <c r="AY212" s="1209"/>
      <c r="AZ212" s="1209"/>
      <c r="BA212" s="1209"/>
      <c r="BB212" s="1209"/>
      <c r="BC212" s="1209"/>
      <c r="BD212" s="1209"/>
      <c r="BE212" s="1209"/>
      <c r="BF212" s="1209"/>
      <c r="BG212" s="1209"/>
      <c r="BH212" s="1209"/>
      <c r="BI212" s="1209"/>
    </row>
    <row r="213" spans="1:61" s="1618" customFormat="1" ht="14">
      <c r="B213" s="1209"/>
      <c r="C213" s="1209"/>
      <c r="D213" s="1209"/>
      <c r="E213" s="1209"/>
      <c r="F213" s="1209"/>
      <c r="G213" s="1209"/>
      <c r="H213" s="2151"/>
      <c r="I213" s="2151"/>
      <c r="J213" s="2151"/>
      <c r="K213" s="2151"/>
      <c r="L213" s="2151"/>
      <c r="M213" s="2151"/>
      <c r="N213" s="2151"/>
      <c r="O213" s="2151"/>
      <c r="P213" s="2151"/>
      <c r="Q213" s="2151"/>
      <c r="R213" s="2151"/>
      <c r="S213" s="2151"/>
      <c r="T213" s="2151"/>
      <c r="U213" s="2151"/>
      <c r="V213" s="2151"/>
      <c r="W213" s="2151"/>
      <c r="X213" s="2151"/>
      <c r="Y213" s="2151"/>
      <c r="Z213" s="2151"/>
      <c r="AA213" s="2151"/>
      <c r="AB213" s="2151"/>
      <c r="AC213" s="2151"/>
      <c r="AD213" s="2151"/>
      <c r="AE213" s="2151"/>
      <c r="AF213" s="2151"/>
      <c r="AG213" s="2151"/>
      <c r="AH213" s="2151"/>
      <c r="AI213" s="2151"/>
      <c r="AJ213" s="2151"/>
      <c r="AK213" s="2151"/>
      <c r="AL213" s="2151"/>
      <c r="AM213" s="2151"/>
      <c r="AN213" s="2151"/>
      <c r="AO213" s="2151"/>
      <c r="AP213" s="2151"/>
      <c r="AQ213" s="2151"/>
      <c r="AR213" s="2151"/>
      <c r="AS213" s="2151"/>
      <c r="AT213" s="2151"/>
      <c r="AU213" s="2151"/>
      <c r="AV213" s="2151"/>
      <c r="AW213" s="2151"/>
      <c r="AX213" s="1209"/>
      <c r="AY213" s="1209"/>
      <c r="AZ213" s="1209"/>
      <c r="BA213" s="1209"/>
      <c r="BB213" s="1209"/>
      <c r="BC213" s="1209"/>
      <c r="BD213" s="1209"/>
      <c r="BE213" s="1209"/>
      <c r="BF213" s="1209"/>
      <c r="BG213" s="1209"/>
      <c r="BH213" s="1209"/>
      <c r="BI213" s="1209"/>
    </row>
    <row r="214" spans="1:61" s="1618" customFormat="1" ht="14">
      <c r="B214" s="1209"/>
      <c r="C214" s="1227"/>
      <c r="D214" s="1209"/>
      <c r="E214" s="1209"/>
      <c r="F214" s="1209"/>
      <c r="G214" s="1209"/>
      <c r="H214" s="2151"/>
      <c r="I214" s="2151"/>
      <c r="J214" s="2151"/>
      <c r="K214" s="2151"/>
      <c r="L214" s="2151"/>
      <c r="M214" s="2151"/>
      <c r="N214" s="2151"/>
      <c r="O214" s="2151"/>
      <c r="P214" s="2151"/>
      <c r="Q214" s="2151"/>
      <c r="R214" s="2151"/>
      <c r="S214" s="2151"/>
      <c r="T214" s="2151"/>
      <c r="U214" s="2151"/>
      <c r="V214" s="2151"/>
      <c r="W214" s="2151"/>
      <c r="X214" s="2151"/>
      <c r="Y214" s="2151"/>
      <c r="Z214" s="2151"/>
      <c r="AA214" s="2151"/>
      <c r="AB214" s="2151"/>
      <c r="AC214" s="2151"/>
      <c r="AD214" s="2151"/>
      <c r="AE214" s="2151"/>
      <c r="AF214" s="2151"/>
      <c r="AG214" s="2151"/>
      <c r="AH214" s="2151"/>
      <c r="AI214" s="2151"/>
      <c r="AJ214" s="2151"/>
      <c r="AK214" s="2151"/>
      <c r="AL214" s="2151"/>
      <c r="AM214" s="2151"/>
      <c r="AN214" s="2151"/>
      <c r="AO214" s="2151"/>
      <c r="AP214" s="2151"/>
      <c r="AQ214" s="2151"/>
      <c r="AR214" s="2151"/>
      <c r="AS214" s="2151"/>
      <c r="AT214" s="2151"/>
      <c r="AU214" s="2151"/>
      <c r="AV214" s="2151"/>
      <c r="AW214" s="2151"/>
      <c r="AX214" s="1209"/>
      <c r="AY214" s="1636"/>
      <c r="AZ214" s="1636"/>
      <c r="BA214" s="1636"/>
      <c r="BB214" s="1636"/>
      <c r="BC214" s="1636"/>
      <c r="BD214" s="1636"/>
      <c r="BE214" s="1636"/>
      <c r="BF214" s="1636"/>
      <c r="BG214" s="1636"/>
      <c r="BH214" s="1636"/>
      <c r="BI214" s="1209"/>
    </row>
    <row r="215" spans="1:61" s="1618" customFormat="1" ht="14">
      <c r="B215" s="1209"/>
      <c r="C215" s="1628"/>
      <c r="D215" s="1628"/>
      <c r="E215" s="1209"/>
      <c r="F215" s="524"/>
      <c r="G215" s="524"/>
      <c r="H215" s="2168"/>
      <c r="I215" s="2168"/>
      <c r="J215" s="2168"/>
      <c r="K215" s="2168"/>
      <c r="L215" s="2168"/>
      <c r="M215" s="2168"/>
      <c r="N215" s="2168"/>
      <c r="O215" s="2168"/>
      <c r="P215" s="2168"/>
      <c r="Q215" s="2168"/>
      <c r="R215" s="2168"/>
      <c r="S215" s="2168"/>
      <c r="T215" s="2168"/>
      <c r="U215" s="2168"/>
      <c r="V215" s="2168"/>
      <c r="W215" s="2168"/>
      <c r="X215" s="2168"/>
      <c r="Y215" s="2168"/>
      <c r="Z215" s="2168"/>
      <c r="AA215" s="2168"/>
      <c r="AB215" s="2168"/>
      <c r="AC215" s="2168"/>
      <c r="AD215" s="2168"/>
      <c r="AE215" s="2168"/>
      <c r="AF215" s="2168"/>
      <c r="AG215" s="2168"/>
      <c r="AH215" s="2168"/>
      <c r="AI215" s="2168"/>
      <c r="AJ215" s="2168"/>
      <c r="AK215" s="2168"/>
      <c r="AL215" s="2168"/>
      <c r="AM215" s="2168"/>
      <c r="AN215" s="2168"/>
      <c r="AO215" s="2168"/>
      <c r="AP215" s="2168"/>
      <c r="AQ215" s="2168"/>
      <c r="AR215" s="2168"/>
      <c r="AS215" s="2168"/>
      <c r="AT215" s="2168"/>
      <c r="AU215" s="2168"/>
      <c r="AV215" s="2168"/>
      <c r="AW215" s="2168"/>
      <c r="AX215" s="1627"/>
      <c r="AY215" s="1629"/>
      <c r="AZ215" s="1629"/>
      <c r="BA215" s="1629"/>
      <c r="BB215" s="1629"/>
      <c r="BC215" s="1629"/>
      <c r="BD215" s="1629"/>
      <c r="BE215" s="1629"/>
      <c r="BF215" s="1629"/>
      <c r="BG215" s="1629"/>
      <c r="BH215" s="1629"/>
      <c r="BI215" s="1209"/>
    </row>
    <row r="216" spans="1:61" s="1618" customFormat="1" ht="14">
      <c r="B216" s="1209"/>
      <c r="C216" s="1628"/>
      <c r="D216" s="1628"/>
      <c r="E216" s="1209"/>
      <c r="F216" s="524"/>
      <c r="G216" s="524"/>
      <c r="H216" s="2168"/>
      <c r="I216" s="2168"/>
      <c r="J216" s="2168"/>
      <c r="K216" s="2168"/>
      <c r="L216" s="2168"/>
      <c r="M216" s="2168"/>
      <c r="N216" s="2168"/>
      <c r="O216" s="2168"/>
      <c r="P216" s="2168"/>
      <c r="Q216" s="2168"/>
      <c r="R216" s="2168"/>
      <c r="S216" s="2168"/>
      <c r="T216" s="2168"/>
      <c r="U216" s="2168"/>
      <c r="V216" s="2168"/>
      <c r="W216" s="2168"/>
      <c r="X216" s="2168"/>
      <c r="Y216" s="2168"/>
      <c r="Z216" s="2168"/>
      <c r="AA216" s="2168"/>
      <c r="AB216" s="2168"/>
      <c r="AC216" s="2168"/>
      <c r="AD216" s="2168"/>
      <c r="AE216" s="2168"/>
      <c r="AF216" s="2168"/>
      <c r="AG216" s="2168"/>
      <c r="AH216" s="2168"/>
      <c r="AI216" s="2168"/>
      <c r="AJ216" s="2168"/>
      <c r="AK216" s="2168"/>
      <c r="AL216" s="2168"/>
      <c r="AM216" s="2168"/>
      <c r="AN216" s="2168"/>
      <c r="AO216" s="2168"/>
      <c r="AP216" s="2168"/>
      <c r="AQ216" s="2168"/>
      <c r="AR216" s="2168"/>
      <c r="AS216" s="2168"/>
      <c r="AT216" s="2168"/>
      <c r="AU216" s="2168"/>
      <c r="AV216" s="2168"/>
      <c r="AW216" s="2168"/>
      <c r="AX216" s="1627"/>
      <c r="AY216" s="1629"/>
      <c r="AZ216" s="1629"/>
      <c r="BA216" s="1629"/>
      <c r="BB216" s="1629"/>
      <c r="BC216" s="1629"/>
      <c r="BD216" s="1629"/>
      <c r="BE216" s="1629"/>
      <c r="BF216" s="1629"/>
      <c r="BG216" s="1629"/>
      <c r="BH216" s="1629"/>
      <c r="BI216" s="1209"/>
    </row>
    <row r="217" spans="1:61" s="1618" customFormat="1" ht="14">
      <c r="B217" s="1209"/>
      <c r="C217" s="1628"/>
      <c r="D217" s="1628"/>
      <c r="E217" s="1209"/>
      <c r="F217" s="524"/>
      <c r="G217" s="524"/>
      <c r="H217" s="2168"/>
      <c r="I217" s="2168"/>
      <c r="J217" s="2168"/>
      <c r="K217" s="2168"/>
      <c r="L217" s="2168"/>
      <c r="M217" s="2168"/>
      <c r="N217" s="2168"/>
      <c r="O217" s="2168"/>
      <c r="P217" s="2168"/>
      <c r="Q217" s="2168"/>
      <c r="R217" s="2168"/>
      <c r="S217" s="2168"/>
      <c r="T217" s="2168"/>
      <c r="U217" s="2168"/>
      <c r="V217" s="2168"/>
      <c r="W217" s="2168"/>
      <c r="X217" s="2168"/>
      <c r="Y217" s="2168"/>
      <c r="Z217" s="2168"/>
      <c r="AA217" s="2168"/>
      <c r="AB217" s="2168"/>
      <c r="AC217" s="2168"/>
      <c r="AD217" s="2168"/>
      <c r="AE217" s="2168"/>
      <c r="AF217" s="2168"/>
      <c r="AG217" s="2168"/>
      <c r="AH217" s="2168"/>
      <c r="AI217" s="2168"/>
      <c r="AJ217" s="2168"/>
      <c r="AK217" s="2168"/>
      <c r="AL217" s="2168"/>
      <c r="AM217" s="2168"/>
      <c r="AN217" s="2168"/>
      <c r="AO217" s="2168"/>
      <c r="AP217" s="2168"/>
      <c r="AQ217" s="2168"/>
      <c r="AR217" s="2168"/>
      <c r="AS217" s="2168"/>
      <c r="AT217" s="2168"/>
      <c r="AU217" s="2168"/>
      <c r="AV217" s="2168"/>
      <c r="AW217" s="2168"/>
      <c r="AX217" s="1627"/>
      <c r="AY217" s="1629"/>
      <c r="AZ217" s="1629"/>
      <c r="BA217" s="1629"/>
      <c r="BB217" s="1629"/>
      <c r="BC217" s="1629"/>
      <c r="BD217" s="1629"/>
      <c r="BE217" s="1629"/>
      <c r="BF217" s="1629"/>
      <c r="BG217" s="1629"/>
      <c r="BH217" s="1629"/>
      <c r="BI217" s="1209"/>
    </row>
    <row r="218" spans="1:61" s="1618" customFormat="1" ht="14">
      <c r="B218" s="1209"/>
      <c r="C218" s="1627"/>
      <c r="D218" s="1627"/>
      <c r="E218" s="1627"/>
      <c r="F218" s="1627"/>
      <c r="G218" s="1627"/>
      <c r="H218" s="2151"/>
      <c r="I218" s="2151"/>
      <c r="J218" s="2151"/>
      <c r="K218" s="2151"/>
      <c r="L218" s="2151"/>
      <c r="M218" s="2151"/>
      <c r="N218" s="2151"/>
      <c r="O218" s="2151"/>
      <c r="P218" s="2151"/>
      <c r="Q218" s="2151"/>
      <c r="R218" s="2151"/>
      <c r="S218" s="2151"/>
      <c r="T218" s="2151"/>
      <c r="U218" s="2151"/>
      <c r="V218" s="2151"/>
      <c r="W218" s="2151"/>
      <c r="X218" s="2151"/>
      <c r="Y218" s="2151"/>
      <c r="Z218" s="2151"/>
      <c r="AA218" s="2151"/>
      <c r="AB218" s="2151"/>
      <c r="AC218" s="2151"/>
      <c r="AD218" s="2151"/>
      <c r="AE218" s="2151"/>
      <c r="AF218" s="2151"/>
      <c r="AG218" s="2151"/>
      <c r="AH218" s="2151"/>
      <c r="AI218" s="2151"/>
      <c r="AJ218" s="2151"/>
      <c r="AK218" s="2151"/>
      <c r="AL218" s="2151"/>
      <c r="AM218" s="2151"/>
      <c r="AN218" s="2151"/>
      <c r="AO218" s="2151"/>
      <c r="AP218" s="2151"/>
      <c r="AQ218" s="2151"/>
      <c r="AR218" s="2151"/>
      <c r="AS218" s="2151"/>
      <c r="AT218" s="2151"/>
      <c r="AU218" s="2151"/>
      <c r="AV218" s="2151"/>
      <c r="AW218" s="2151"/>
      <c r="AX218" s="1627"/>
      <c r="AY218" s="1627"/>
      <c r="AZ218" s="1627"/>
      <c r="BA218" s="1627"/>
      <c r="BB218" s="1627"/>
      <c r="BC218" s="1627"/>
      <c r="BD218" s="1627"/>
      <c r="BE218" s="1627"/>
      <c r="BF218" s="1627"/>
      <c r="BG218" s="1627"/>
      <c r="BH218" s="1627"/>
      <c r="BI218" s="1209"/>
    </row>
    <row r="219" spans="1:61" s="1618" customFormat="1" ht="14">
      <c r="B219" s="1209"/>
      <c r="C219" s="1676"/>
      <c r="D219" s="1627"/>
      <c r="E219" s="1627"/>
      <c r="F219" s="1627"/>
      <c r="G219" s="1627"/>
      <c r="H219" s="2151"/>
      <c r="I219" s="2151"/>
      <c r="J219" s="2151"/>
      <c r="K219" s="2151"/>
      <c r="L219" s="2151"/>
      <c r="M219" s="2151"/>
      <c r="N219" s="2151"/>
      <c r="O219" s="2151"/>
      <c r="P219" s="2151"/>
      <c r="Q219" s="2151"/>
      <c r="R219" s="2151"/>
      <c r="S219" s="2151"/>
      <c r="T219" s="2151"/>
      <c r="U219" s="2151"/>
      <c r="V219" s="2151"/>
      <c r="W219" s="2151"/>
      <c r="X219" s="2151"/>
      <c r="Y219" s="2151"/>
      <c r="Z219" s="2151"/>
      <c r="AA219" s="2151"/>
      <c r="AB219" s="2151"/>
      <c r="AC219" s="2151"/>
      <c r="AD219" s="2151"/>
      <c r="AE219" s="2151"/>
      <c r="AF219" s="2151"/>
      <c r="AG219" s="2151"/>
      <c r="AH219" s="2151"/>
      <c r="AI219" s="2151"/>
      <c r="AJ219" s="2151"/>
      <c r="AK219" s="2151"/>
      <c r="AL219" s="2151"/>
      <c r="AM219" s="2151"/>
      <c r="AN219" s="2151"/>
      <c r="AO219" s="2151"/>
      <c r="AP219" s="2151"/>
      <c r="AQ219" s="2151"/>
      <c r="AR219" s="2151"/>
      <c r="AS219" s="2151"/>
      <c r="AT219" s="2151"/>
      <c r="AU219" s="2151"/>
      <c r="AV219" s="2151"/>
      <c r="AW219" s="2151"/>
      <c r="AX219" s="1627"/>
      <c r="AY219" s="1627"/>
      <c r="AZ219" s="1627"/>
      <c r="BA219" s="1627"/>
      <c r="BB219" s="1627"/>
      <c r="BC219" s="1627"/>
      <c r="BD219" s="1627"/>
      <c r="BE219" s="1627"/>
      <c r="BF219" s="1627"/>
      <c r="BG219" s="1627"/>
      <c r="BH219" s="1627"/>
      <c r="BI219" s="1209"/>
    </row>
    <row r="220" spans="1:61" s="1618" customFormat="1" ht="14">
      <c r="B220" s="1209"/>
      <c r="C220" s="1628"/>
      <c r="D220" s="1628"/>
      <c r="E220" s="1209"/>
      <c r="F220" s="524"/>
      <c r="G220" s="524"/>
      <c r="H220" s="2168"/>
      <c r="I220" s="2168"/>
      <c r="J220" s="2168"/>
      <c r="K220" s="2168"/>
      <c r="L220" s="2168"/>
      <c r="M220" s="2168"/>
      <c r="N220" s="2168"/>
      <c r="O220" s="2168"/>
      <c r="P220" s="2168"/>
      <c r="Q220" s="2168"/>
      <c r="R220" s="2168"/>
      <c r="S220" s="2168"/>
      <c r="T220" s="2168"/>
      <c r="U220" s="2168"/>
      <c r="V220" s="2168"/>
      <c r="W220" s="2168"/>
      <c r="X220" s="2168"/>
      <c r="Y220" s="2168"/>
      <c r="Z220" s="2168"/>
      <c r="AA220" s="2168"/>
      <c r="AB220" s="2168"/>
      <c r="AC220" s="2168"/>
      <c r="AD220" s="2168"/>
      <c r="AE220" s="2168"/>
      <c r="AF220" s="2168"/>
      <c r="AG220" s="2168"/>
      <c r="AH220" s="2168"/>
      <c r="AI220" s="2168"/>
      <c r="AJ220" s="2168"/>
      <c r="AK220" s="2168"/>
      <c r="AL220" s="2168"/>
      <c r="AM220" s="2168"/>
      <c r="AN220" s="2168"/>
      <c r="AO220" s="2168"/>
      <c r="AP220" s="2168"/>
      <c r="AQ220" s="2168"/>
      <c r="AR220" s="2168"/>
      <c r="AS220" s="2168"/>
      <c r="AT220" s="2168"/>
      <c r="AU220" s="2168"/>
      <c r="AV220" s="2168"/>
      <c r="AW220" s="2168"/>
      <c r="AX220" s="1627"/>
      <c r="AY220" s="1629"/>
      <c r="AZ220" s="1629"/>
      <c r="BA220" s="1629"/>
      <c r="BB220" s="1629"/>
      <c r="BC220" s="1629"/>
      <c r="BD220" s="1629"/>
      <c r="BE220" s="1629"/>
      <c r="BF220" s="1629"/>
      <c r="BG220" s="1629"/>
      <c r="BH220" s="1629"/>
      <c r="BI220" s="1209"/>
    </row>
    <row r="221" spans="1:61" s="1618" customFormat="1" ht="14">
      <c r="B221" s="1209"/>
      <c r="C221" s="1628"/>
      <c r="D221" s="1628"/>
      <c r="E221" s="1209"/>
      <c r="F221" s="524"/>
      <c r="G221" s="524"/>
      <c r="H221" s="2168"/>
      <c r="I221" s="2168"/>
      <c r="J221" s="2168"/>
      <c r="K221" s="2168"/>
      <c r="L221" s="2168"/>
      <c r="M221" s="2168"/>
      <c r="N221" s="2168"/>
      <c r="O221" s="2168"/>
      <c r="P221" s="2168"/>
      <c r="Q221" s="2168"/>
      <c r="R221" s="2168"/>
      <c r="S221" s="2168"/>
      <c r="T221" s="2168"/>
      <c r="U221" s="2168"/>
      <c r="V221" s="2168"/>
      <c r="W221" s="2168"/>
      <c r="X221" s="2168"/>
      <c r="Y221" s="2168"/>
      <c r="Z221" s="2168"/>
      <c r="AA221" s="2168"/>
      <c r="AB221" s="2168"/>
      <c r="AC221" s="2168"/>
      <c r="AD221" s="2168"/>
      <c r="AE221" s="2168"/>
      <c r="AF221" s="2168"/>
      <c r="AG221" s="2168"/>
      <c r="AH221" s="2168"/>
      <c r="AI221" s="2168"/>
      <c r="AJ221" s="2168"/>
      <c r="AK221" s="2168"/>
      <c r="AL221" s="2168"/>
      <c r="AM221" s="2168"/>
      <c r="AN221" s="2168"/>
      <c r="AO221" s="2168"/>
      <c r="AP221" s="2168"/>
      <c r="AQ221" s="2168"/>
      <c r="AR221" s="2168"/>
      <c r="AS221" s="2168"/>
      <c r="AT221" s="2168"/>
      <c r="AU221" s="2168"/>
      <c r="AV221" s="2168"/>
      <c r="AW221" s="2168"/>
      <c r="AX221" s="1627"/>
      <c r="AY221" s="1629"/>
      <c r="AZ221" s="1629"/>
      <c r="BA221" s="1629"/>
      <c r="BB221" s="1629"/>
      <c r="BC221" s="1629"/>
      <c r="BD221" s="1629"/>
      <c r="BE221" s="1629"/>
      <c r="BF221" s="1629"/>
      <c r="BG221" s="1629"/>
      <c r="BH221" s="1629"/>
      <c r="BI221" s="1209"/>
    </row>
    <row r="222" spans="1:61" s="1618" customFormat="1" ht="14">
      <c r="B222" s="1209"/>
      <c r="C222" s="1628"/>
      <c r="D222" s="1628"/>
      <c r="E222" s="1209"/>
      <c r="F222" s="524"/>
      <c r="G222" s="524"/>
      <c r="H222" s="2168"/>
      <c r="I222" s="2168"/>
      <c r="J222" s="2168"/>
      <c r="K222" s="2168"/>
      <c r="L222" s="2168"/>
      <c r="M222" s="2168"/>
      <c r="N222" s="2168"/>
      <c r="O222" s="2168"/>
      <c r="P222" s="2168"/>
      <c r="Q222" s="2168"/>
      <c r="R222" s="2168"/>
      <c r="S222" s="2168"/>
      <c r="T222" s="2168"/>
      <c r="U222" s="2168"/>
      <c r="V222" s="2168"/>
      <c r="W222" s="2168"/>
      <c r="X222" s="2168"/>
      <c r="Y222" s="2168"/>
      <c r="Z222" s="2168"/>
      <c r="AA222" s="2168"/>
      <c r="AB222" s="2168"/>
      <c r="AC222" s="2168"/>
      <c r="AD222" s="2168"/>
      <c r="AE222" s="2168"/>
      <c r="AF222" s="2168"/>
      <c r="AG222" s="2168"/>
      <c r="AH222" s="2168"/>
      <c r="AI222" s="2168"/>
      <c r="AJ222" s="2168"/>
      <c r="AK222" s="2168"/>
      <c r="AL222" s="2168"/>
      <c r="AM222" s="2168"/>
      <c r="AN222" s="2168"/>
      <c r="AO222" s="2168"/>
      <c r="AP222" s="2168"/>
      <c r="AQ222" s="2168"/>
      <c r="AR222" s="2168"/>
      <c r="AS222" s="2168"/>
      <c r="AT222" s="2168"/>
      <c r="AU222" s="2168"/>
      <c r="AV222" s="2168"/>
      <c r="AW222" s="2168"/>
      <c r="AX222" s="1627"/>
      <c r="AY222" s="1629"/>
      <c r="AZ222" s="1629"/>
      <c r="BA222" s="1629"/>
      <c r="BB222" s="1629"/>
      <c r="BC222" s="1629"/>
      <c r="BD222" s="1629"/>
      <c r="BE222" s="1629"/>
      <c r="BF222" s="1629"/>
      <c r="BG222" s="1629"/>
      <c r="BH222" s="1629"/>
      <c r="BI222" s="1209"/>
    </row>
    <row r="223" spans="1:61" s="1618" customFormat="1" ht="14">
      <c r="B223" s="1209"/>
      <c r="C223" s="1209"/>
      <c r="D223" s="1209"/>
      <c r="E223" s="1209"/>
      <c r="F223" s="1209"/>
      <c r="G223" s="1209"/>
      <c r="H223" s="2151"/>
      <c r="I223" s="2151"/>
      <c r="J223" s="2151"/>
      <c r="K223" s="2151"/>
      <c r="L223" s="2151"/>
      <c r="M223" s="2151"/>
      <c r="N223" s="2151"/>
      <c r="O223" s="2151"/>
      <c r="P223" s="2151"/>
      <c r="Q223" s="2151"/>
      <c r="R223" s="2151"/>
      <c r="S223" s="2151"/>
      <c r="T223" s="2151"/>
      <c r="U223" s="2151"/>
      <c r="V223" s="2151"/>
      <c r="W223" s="2151"/>
      <c r="X223" s="2151"/>
      <c r="Y223" s="2151"/>
      <c r="Z223" s="2151"/>
      <c r="AA223" s="2151"/>
      <c r="AB223" s="2151"/>
      <c r="AC223" s="2151"/>
      <c r="AD223" s="2151"/>
      <c r="AE223" s="2151"/>
      <c r="AF223" s="2151"/>
      <c r="AG223" s="2151"/>
      <c r="AH223" s="2151"/>
      <c r="AI223" s="2151"/>
      <c r="AJ223" s="2151"/>
      <c r="AK223" s="2151"/>
      <c r="AL223" s="2151"/>
      <c r="AM223" s="2151"/>
      <c r="AN223" s="2151"/>
      <c r="AO223" s="2151"/>
      <c r="AP223" s="2151"/>
      <c r="AQ223" s="2151"/>
      <c r="AR223" s="2151"/>
      <c r="AS223" s="2151"/>
      <c r="AT223" s="2151"/>
      <c r="AU223" s="2151"/>
      <c r="AV223" s="2151"/>
      <c r="AW223" s="2151"/>
      <c r="AX223" s="1209"/>
      <c r="AY223" s="1209"/>
      <c r="AZ223" s="1209"/>
      <c r="BA223" s="1209"/>
      <c r="BB223" s="1209"/>
      <c r="BC223" s="1209"/>
      <c r="BD223" s="1209"/>
      <c r="BE223" s="1209"/>
      <c r="BF223" s="1209"/>
      <c r="BG223" s="1209"/>
      <c r="BH223" s="1209"/>
      <c r="BI223" s="1209"/>
    </row>
    <row r="224" spans="1:61" s="1618" customFormat="1" ht="14">
      <c r="B224" s="1209"/>
      <c r="C224" s="1227"/>
      <c r="D224" s="1209"/>
      <c r="E224" s="1209"/>
      <c r="F224" s="1209"/>
      <c r="G224" s="1209"/>
      <c r="H224" s="2151"/>
      <c r="I224" s="2151"/>
      <c r="J224" s="2151"/>
      <c r="K224" s="2151"/>
      <c r="L224" s="2151"/>
      <c r="M224" s="2151"/>
      <c r="N224" s="2151"/>
      <c r="O224" s="2151"/>
      <c r="P224" s="2151"/>
      <c r="Q224" s="2151"/>
      <c r="R224" s="2151"/>
      <c r="S224" s="2151"/>
      <c r="T224" s="2151"/>
      <c r="U224" s="2151"/>
      <c r="V224" s="2151"/>
      <c r="W224" s="2151"/>
      <c r="X224" s="2151"/>
      <c r="Y224" s="2151"/>
      <c r="Z224" s="2151"/>
      <c r="AA224" s="2151"/>
      <c r="AB224" s="2151"/>
      <c r="AC224" s="2151"/>
      <c r="AD224" s="2151"/>
      <c r="AE224" s="2151"/>
      <c r="AF224" s="2151"/>
      <c r="AG224" s="2151"/>
      <c r="AH224" s="2151"/>
      <c r="AI224" s="2151"/>
      <c r="AJ224" s="2151"/>
      <c r="AK224" s="2151"/>
      <c r="AL224" s="2151"/>
      <c r="AM224" s="2151"/>
      <c r="AN224" s="2151"/>
      <c r="AO224" s="2151"/>
      <c r="AP224" s="2151"/>
      <c r="AQ224" s="2151"/>
      <c r="AR224" s="2151"/>
      <c r="AS224" s="2151"/>
      <c r="AT224" s="2151"/>
      <c r="AU224" s="2151"/>
      <c r="AV224" s="2151"/>
      <c r="AW224" s="2151"/>
      <c r="AX224" s="1209"/>
      <c r="AY224" s="1209"/>
      <c r="AZ224" s="1209"/>
      <c r="BA224" s="1209"/>
      <c r="BB224" s="1209"/>
      <c r="BC224" s="1209"/>
      <c r="BD224" s="1209"/>
      <c r="BE224" s="1209"/>
      <c r="BF224" s="1209"/>
      <c r="BG224" s="1209"/>
      <c r="BH224" s="1209"/>
      <c r="BI224" s="1209"/>
    </row>
    <row r="225" spans="2:62" s="1618" customFormat="1" ht="14">
      <c r="B225" s="1209"/>
      <c r="C225" s="1628"/>
      <c r="D225" s="1628"/>
      <c r="E225" s="1209"/>
      <c r="F225" s="524"/>
      <c r="G225" s="524"/>
      <c r="H225" s="2168"/>
      <c r="I225" s="2168"/>
      <c r="J225" s="2168"/>
      <c r="K225" s="2168"/>
      <c r="L225" s="2168"/>
      <c r="M225" s="2168"/>
      <c r="N225" s="2168"/>
      <c r="O225" s="2168"/>
      <c r="P225" s="2168"/>
      <c r="Q225" s="2168"/>
      <c r="R225" s="2168"/>
      <c r="S225" s="2168"/>
      <c r="T225" s="2168"/>
      <c r="U225" s="2168"/>
      <c r="V225" s="2168"/>
      <c r="W225" s="2168"/>
      <c r="X225" s="2168"/>
      <c r="Y225" s="2168"/>
      <c r="Z225" s="2168"/>
      <c r="AA225" s="2168"/>
      <c r="AB225" s="2168"/>
      <c r="AC225" s="2168"/>
      <c r="AD225" s="2168"/>
      <c r="AE225" s="2168"/>
      <c r="AF225" s="2168"/>
      <c r="AG225" s="2168"/>
      <c r="AH225" s="2168"/>
      <c r="AI225" s="2168"/>
      <c r="AJ225" s="2168"/>
      <c r="AK225" s="2168"/>
      <c r="AL225" s="2168"/>
      <c r="AM225" s="2168"/>
      <c r="AN225" s="2168"/>
      <c r="AO225" s="2168"/>
      <c r="AP225" s="2168"/>
      <c r="AQ225" s="2168"/>
      <c r="AR225" s="2168"/>
      <c r="AS225" s="2168"/>
      <c r="AT225" s="2168"/>
      <c r="AU225" s="2168"/>
      <c r="AV225" s="2168"/>
      <c r="AW225" s="2168"/>
      <c r="AX225" s="1209"/>
      <c r="AY225" s="1218"/>
      <c r="AZ225" s="1218"/>
      <c r="BA225" s="1218"/>
      <c r="BB225" s="1218"/>
      <c r="BC225" s="1218"/>
      <c r="BD225" s="1218"/>
      <c r="BE225" s="1218"/>
      <c r="BF225" s="1218"/>
      <c r="BG225" s="1218"/>
      <c r="BH225" s="1218"/>
      <c r="BI225" s="1209"/>
    </row>
    <row r="226" spans="2:62" s="1618" customFormat="1" ht="14">
      <c r="B226" s="1209"/>
      <c r="C226" s="1628"/>
      <c r="D226" s="1628"/>
      <c r="E226" s="1209"/>
      <c r="F226" s="524"/>
      <c r="G226" s="524"/>
      <c r="H226" s="2168"/>
      <c r="I226" s="2168"/>
      <c r="J226" s="2168"/>
      <c r="K226" s="2168"/>
      <c r="L226" s="2168"/>
      <c r="M226" s="2168"/>
      <c r="N226" s="2168"/>
      <c r="O226" s="2168"/>
      <c r="P226" s="2168"/>
      <c r="Q226" s="2168"/>
      <c r="R226" s="2168"/>
      <c r="S226" s="2168"/>
      <c r="T226" s="2168"/>
      <c r="U226" s="2168"/>
      <c r="V226" s="2168"/>
      <c r="W226" s="2168"/>
      <c r="X226" s="2168"/>
      <c r="Y226" s="2168"/>
      <c r="Z226" s="2168"/>
      <c r="AA226" s="2168"/>
      <c r="AB226" s="2168"/>
      <c r="AC226" s="2168"/>
      <c r="AD226" s="2168"/>
      <c r="AE226" s="2168"/>
      <c r="AF226" s="2168"/>
      <c r="AG226" s="2168"/>
      <c r="AH226" s="2168"/>
      <c r="AI226" s="2168"/>
      <c r="AJ226" s="2168"/>
      <c r="AK226" s="2168"/>
      <c r="AL226" s="2168"/>
      <c r="AM226" s="2168"/>
      <c r="AN226" s="2168"/>
      <c r="AO226" s="2168"/>
      <c r="AP226" s="2168"/>
      <c r="AQ226" s="2168"/>
      <c r="AR226" s="2168"/>
      <c r="AS226" s="2168"/>
      <c r="AT226" s="2168"/>
      <c r="AU226" s="2168"/>
      <c r="AV226" s="2168"/>
      <c r="AW226" s="2168"/>
      <c r="AX226" s="1209"/>
      <c r="AY226" s="1218"/>
      <c r="AZ226" s="1218"/>
      <c r="BA226" s="1218"/>
      <c r="BB226" s="1218"/>
      <c r="BC226" s="1218"/>
      <c r="BD226" s="1218"/>
      <c r="BE226" s="1218"/>
      <c r="BF226" s="1218"/>
      <c r="BG226" s="1218"/>
      <c r="BH226" s="1218"/>
      <c r="BI226" s="1209"/>
    </row>
    <row r="227" spans="2:62" s="1618" customFormat="1" ht="14">
      <c r="B227" s="1209"/>
      <c r="C227" s="1628"/>
      <c r="D227" s="1628"/>
      <c r="E227" s="1209"/>
      <c r="F227" s="524"/>
      <c r="G227" s="524"/>
      <c r="H227" s="2168"/>
      <c r="I227" s="2168"/>
      <c r="J227" s="2168"/>
      <c r="K227" s="2168"/>
      <c r="L227" s="2168"/>
      <c r="M227" s="2168"/>
      <c r="N227" s="2168"/>
      <c r="O227" s="2168"/>
      <c r="P227" s="2168"/>
      <c r="Q227" s="2168"/>
      <c r="R227" s="2168"/>
      <c r="S227" s="2168"/>
      <c r="T227" s="2168"/>
      <c r="U227" s="2168"/>
      <c r="V227" s="2168"/>
      <c r="W227" s="2168"/>
      <c r="X227" s="2168"/>
      <c r="Y227" s="2168"/>
      <c r="Z227" s="2168"/>
      <c r="AA227" s="2168"/>
      <c r="AB227" s="2168"/>
      <c r="AC227" s="2168"/>
      <c r="AD227" s="2168"/>
      <c r="AE227" s="2168"/>
      <c r="AF227" s="2168"/>
      <c r="AG227" s="2168"/>
      <c r="AH227" s="2168"/>
      <c r="AI227" s="2168"/>
      <c r="AJ227" s="2168"/>
      <c r="AK227" s="2168"/>
      <c r="AL227" s="2168"/>
      <c r="AM227" s="2168"/>
      <c r="AN227" s="2168"/>
      <c r="AO227" s="2168"/>
      <c r="AP227" s="2168"/>
      <c r="AQ227" s="2168"/>
      <c r="AR227" s="2168"/>
      <c r="AS227" s="2168"/>
      <c r="AT227" s="2168"/>
      <c r="AU227" s="2168"/>
      <c r="AV227" s="2168"/>
      <c r="AW227" s="2168"/>
      <c r="AX227" s="1209"/>
      <c r="AY227" s="1218"/>
      <c r="AZ227" s="1218"/>
      <c r="BA227" s="1218"/>
      <c r="BB227" s="1218"/>
      <c r="BC227" s="1218"/>
      <c r="BD227" s="1218"/>
      <c r="BE227" s="1218"/>
      <c r="BF227" s="1218"/>
      <c r="BG227" s="1218"/>
      <c r="BH227" s="1218"/>
      <c r="BI227" s="1209"/>
    </row>
    <row r="228" spans="2:62" s="1618" customFormat="1" ht="14">
      <c r="B228" s="1209"/>
      <c r="C228" s="1209"/>
      <c r="D228" s="1209"/>
      <c r="E228" s="1209"/>
      <c r="F228" s="1209"/>
      <c r="G228" s="1209"/>
      <c r="H228" s="2151"/>
      <c r="I228" s="2151"/>
      <c r="J228" s="2151"/>
      <c r="K228" s="2151"/>
      <c r="L228" s="2151"/>
      <c r="M228" s="2151"/>
      <c r="N228" s="2151"/>
      <c r="O228" s="2151"/>
      <c r="P228" s="2151"/>
      <c r="Q228" s="2151"/>
      <c r="R228" s="2151"/>
      <c r="S228" s="2151"/>
      <c r="T228" s="2151"/>
      <c r="U228" s="2151"/>
      <c r="V228" s="2151"/>
      <c r="W228" s="2151"/>
      <c r="X228" s="2151"/>
      <c r="Y228" s="2151"/>
      <c r="Z228" s="2151"/>
      <c r="AA228" s="2151"/>
      <c r="AB228" s="2151"/>
      <c r="AC228" s="2151"/>
      <c r="AD228" s="2151"/>
      <c r="AE228" s="2151"/>
      <c r="AF228" s="2151"/>
      <c r="AG228" s="2151"/>
      <c r="AH228" s="2151"/>
      <c r="AI228" s="2151"/>
      <c r="AJ228" s="2151"/>
      <c r="AK228" s="2151"/>
      <c r="AL228" s="2151"/>
      <c r="AM228" s="2151"/>
      <c r="AN228" s="2151"/>
      <c r="AO228" s="2151"/>
      <c r="AP228" s="2151"/>
      <c r="AQ228" s="2151"/>
      <c r="AR228" s="2151"/>
      <c r="AS228" s="2151"/>
      <c r="AT228" s="2151"/>
      <c r="AU228" s="2151"/>
      <c r="AV228" s="2151"/>
      <c r="AW228" s="2151"/>
      <c r="AX228" s="1209"/>
      <c r="AY228" s="1209"/>
      <c r="AZ228" s="1209"/>
      <c r="BA228" s="1209"/>
      <c r="BB228" s="1209"/>
      <c r="BC228" s="1209"/>
      <c r="BD228" s="1209"/>
      <c r="BE228" s="1209"/>
      <c r="BF228" s="1209"/>
      <c r="BG228" s="1209"/>
      <c r="BH228" s="1209"/>
      <c r="BI228" s="1209"/>
    </row>
    <row r="229" spans="2:62" s="1618" customFormat="1" ht="14">
      <c r="B229" s="1675"/>
      <c r="C229" s="1627"/>
      <c r="D229" s="1627"/>
      <c r="E229" s="1627"/>
      <c r="F229" s="1627"/>
      <c r="G229" s="1627"/>
      <c r="H229" s="2151"/>
      <c r="I229" s="2151"/>
      <c r="J229" s="2151"/>
      <c r="K229" s="2151"/>
      <c r="L229" s="2151"/>
      <c r="M229" s="2151"/>
      <c r="N229" s="2151"/>
      <c r="O229" s="2151"/>
      <c r="P229" s="2151"/>
      <c r="Q229" s="2151"/>
      <c r="R229" s="2151"/>
      <c r="S229" s="2151"/>
      <c r="T229" s="2151"/>
      <c r="U229" s="2151"/>
      <c r="V229" s="2151"/>
      <c r="W229" s="2151"/>
      <c r="X229" s="2151"/>
      <c r="Y229" s="2151"/>
      <c r="Z229" s="2151"/>
      <c r="AA229" s="2151"/>
      <c r="AB229" s="2151"/>
      <c r="AC229" s="2151"/>
      <c r="AD229" s="2151"/>
      <c r="AE229" s="2151"/>
      <c r="AF229" s="2151"/>
      <c r="AG229" s="2151"/>
      <c r="AH229" s="2151"/>
      <c r="AI229" s="2151"/>
      <c r="AJ229" s="2151"/>
      <c r="AK229" s="2151"/>
      <c r="AL229" s="2151"/>
      <c r="AM229" s="2151"/>
      <c r="AN229" s="2151"/>
      <c r="AO229" s="2151"/>
      <c r="AP229" s="2151"/>
      <c r="AQ229" s="2151"/>
      <c r="AR229" s="2151"/>
      <c r="AS229" s="2151"/>
      <c r="AT229" s="2151"/>
      <c r="AU229" s="2151"/>
      <c r="AV229" s="2151"/>
      <c r="AW229" s="2151"/>
      <c r="AX229" s="1627"/>
      <c r="AY229" s="1627"/>
      <c r="AZ229" s="1627"/>
      <c r="BA229" s="1627"/>
      <c r="BB229" s="1627"/>
      <c r="BC229" s="1627"/>
      <c r="BD229" s="1627"/>
      <c r="BE229" s="1627"/>
      <c r="BF229" s="1627"/>
      <c r="BG229" s="1627"/>
      <c r="BH229" s="1627"/>
      <c r="BI229" s="1209"/>
    </row>
    <row r="230" spans="2:62" s="1618" customFormat="1" ht="14">
      <c r="B230" s="1209"/>
      <c r="C230" s="1209"/>
      <c r="D230" s="1209"/>
      <c r="E230" s="1209"/>
      <c r="F230" s="1209"/>
      <c r="G230" s="1209"/>
      <c r="H230" s="2151"/>
      <c r="I230" s="2151"/>
      <c r="J230" s="2151"/>
      <c r="K230" s="2151"/>
      <c r="L230" s="2151"/>
      <c r="M230" s="2151"/>
      <c r="N230" s="2151"/>
      <c r="O230" s="2151"/>
      <c r="P230" s="2151"/>
      <c r="Q230" s="2151"/>
      <c r="R230" s="2151"/>
      <c r="S230" s="2151"/>
      <c r="T230" s="2151"/>
      <c r="U230" s="2151"/>
      <c r="V230" s="2151"/>
      <c r="W230" s="2151"/>
      <c r="X230" s="2151"/>
      <c r="Y230" s="2151"/>
      <c r="Z230" s="2151"/>
      <c r="AA230" s="2151"/>
      <c r="AB230" s="2151"/>
      <c r="AC230" s="2151"/>
      <c r="AD230" s="2151"/>
      <c r="AE230" s="2151"/>
      <c r="AF230" s="2151"/>
      <c r="AG230" s="2151"/>
      <c r="AH230" s="2151"/>
      <c r="AI230" s="2151"/>
      <c r="AJ230" s="2151"/>
      <c r="AK230" s="2151"/>
      <c r="AL230" s="2151"/>
      <c r="AM230" s="2151"/>
      <c r="AN230" s="2151"/>
      <c r="AO230" s="2151"/>
      <c r="AP230" s="2151"/>
      <c r="AQ230" s="2151"/>
      <c r="AR230" s="2151"/>
      <c r="AS230" s="2151"/>
      <c r="AT230" s="2151"/>
      <c r="AU230" s="2151"/>
      <c r="AV230" s="2151"/>
      <c r="AW230" s="2151"/>
      <c r="AX230" s="1209"/>
      <c r="AY230" s="1209"/>
      <c r="AZ230" s="1209"/>
      <c r="BA230" s="1209"/>
      <c r="BB230" s="1209"/>
      <c r="BC230" s="1209"/>
      <c r="BD230" s="1209"/>
      <c r="BE230" s="1209"/>
      <c r="BF230" s="1209"/>
      <c r="BG230" s="1209"/>
      <c r="BH230" s="1209"/>
      <c r="BI230" s="1209"/>
      <c r="BJ230" s="1664"/>
    </row>
    <row r="231" spans="2:62" s="1618" customFormat="1" ht="14">
      <c r="B231" s="1209"/>
      <c r="C231" s="1654"/>
      <c r="D231" s="1627"/>
      <c r="E231" s="1627"/>
      <c r="F231" s="1627"/>
      <c r="G231" s="1627"/>
      <c r="H231" s="2151"/>
      <c r="I231" s="2151"/>
      <c r="J231" s="2151"/>
      <c r="K231" s="2151"/>
      <c r="L231" s="2151"/>
      <c r="M231" s="2151"/>
      <c r="N231" s="2151"/>
      <c r="O231" s="2151"/>
      <c r="P231" s="2151"/>
      <c r="Q231" s="2151"/>
      <c r="R231" s="2151"/>
      <c r="S231" s="2151"/>
      <c r="T231" s="2151"/>
      <c r="U231" s="2151"/>
      <c r="V231" s="2151"/>
      <c r="W231" s="2151"/>
      <c r="X231" s="2151"/>
      <c r="Y231" s="2151"/>
      <c r="Z231" s="2151"/>
      <c r="AA231" s="2151"/>
      <c r="AB231" s="2151"/>
      <c r="AC231" s="2151"/>
      <c r="AD231" s="2151"/>
      <c r="AE231" s="2151"/>
      <c r="AF231" s="2151"/>
      <c r="AG231" s="2151"/>
      <c r="AH231" s="2151"/>
      <c r="AI231" s="2151"/>
      <c r="AJ231" s="2151"/>
      <c r="AK231" s="2151"/>
      <c r="AL231" s="2151"/>
      <c r="AM231" s="2151"/>
      <c r="AN231" s="2151"/>
      <c r="AO231" s="2151"/>
      <c r="AP231" s="2151"/>
      <c r="AQ231" s="2151"/>
      <c r="AR231" s="2151"/>
      <c r="AS231" s="2151"/>
      <c r="AT231" s="2151"/>
      <c r="AU231" s="2151"/>
      <c r="AV231" s="2151"/>
      <c r="AW231" s="2151"/>
      <c r="AX231" s="1627"/>
      <c r="AY231" s="1655"/>
      <c r="AZ231" s="1655"/>
      <c r="BA231" s="1655"/>
      <c r="BB231" s="1655"/>
      <c r="BC231" s="1655"/>
      <c r="BD231" s="1655"/>
      <c r="BE231" s="1655"/>
      <c r="BF231" s="1655"/>
      <c r="BG231" s="1655"/>
      <c r="BH231" s="1655"/>
      <c r="BI231" s="1209"/>
    </row>
    <row r="232" spans="2:62" s="1618" customFormat="1" ht="14">
      <c r="B232" s="1209"/>
      <c r="C232" s="1659"/>
      <c r="D232" s="1654"/>
      <c r="E232" s="1627"/>
      <c r="F232" s="1627"/>
      <c r="G232" s="1627"/>
      <c r="H232" s="2151"/>
      <c r="I232" s="2151"/>
      <c r="J232" s="2151"/>
      <c r="K232" s="2151"/>
      <c r="L232" s="2151"/>
      <c r="M232" s="2151"/>
      <c r="N232" s="2151"/>
      <c r="O232" s="2151"/>
      <c r="P232" s="2151"/>
      <c r="Q232" s="2151"/>
      <c r="R232" s="2151"/>
      <c r="S232" s="2151"/>
      <c r="T232" s="2151"/>
      <c r="U232" s="2151"/>
      <c r="V232" s="2151"/>
      <c r="W232" s="2151"/>
      <c r="X232" s="2151"/>
      <c r="Y232" s="2151"/>
      <c r="Z232" s="2151"/>
      <c r="AA232" s="2151"/>
      <c r="AB232" s="2151"/>
      <c r="AC232" s="2151"/>
      <c r="AD232" s="2151"/>
      <c r="AE232" s="2151"/>
      <c r="AF232" s="2151"/>
      <c r="AG232" s="2151"/>
      <c r="AH232" s="2151"/>
      <c r="AI232" s="2151"/>
      <c r="AJ232" s="2151"/>
      <c r="AK232" s="2151"/>
      <c r="AL232" s="2151"/>
      <c r="AM232" s="2151"/>
      <c r="AN232" s="2151"/>
      <c r="AO232" s="2151"/>
      <c r="AP232" s="2151"/>
      <c r="AQ232" s="2151"/>
      <c r="AR232" s="2151"/>
      <c r="AS232" s="2151"/>
      <c r="AT232" s="2151"/>
      <c r="AU232" s="2151"/>
      <c r="AV232" s="2151"/>
      <c r="AW232" s="2151"/>
      <c r="AX232" s="1627"/>
      <c r="AY232" s="1656"/>
      <c r="AZ232" s="1656"/>
      <c r="BA232" s="1656"/>
      <c r="BB232" s="1656"/>
      <c r="BC232" s="1656"/>
      <c r="BD232" s="1656"/>
      <c r="BE232" s="1656"/>
      <c r="BF232" s="1656"/>
      <c r="BG232" s="1656"/>
      <c r="BH232" s="1656"/>
      <c r="BI232" s="1209"/>
    </row>
    <row r="233" spans="2:62" s="1618" customFormat="1" ht="14">
      <c r="B233" s="1209"/>
      <c r="C233" s="1657"/>
      <c r="D233" s="1632"/>
      <c r="E233" s="1627"/>
      <c r="F233" s="1627"/>
      <c r="G233" s="1627"/>
      <c r="H233" s="2151"/>
      <c r="I233" s="2151"/>
      <c r="J233" s="2151"/>
      <c r="K233" s="2151"/>
      <c r="L233" s="2151"/>
      <c r="M233" s="2151"/>
      <c r="N233" s="2151"/>
      <c r="O233" s="2151"/>
      <c r="P233" s="2151"/>
      <c r="Q233" s="2151"/>
      <c r="R233" s="2151"/>
      <c r="S233" s="2151"/>
      <c r="T233" s="2151"/>
      <c r="U233" s="2151"/>
      <c r="V233" s="2151"/>
      <c r="W233" s="2151"/>
      <c r="X233" s="2151"/>
      <c r="Y233" s="2151"/>
      <c r="Z233" s="2151"/>
      <c r="AA233" s="2151"/>
      <c r="AB233" s="2151"/>
      <c r="AC233" s="2151"/>
      <c r="AD233" s="2151"/>
      <c r="AE233" s="2151"/>
      <c r="AF233" s="2151"/>
      <c r="AG233" s="2151"/>
      <c r="AH233" s="2151"/>
      <c r="AI233" s="2151"/>
      <c r="AJ233" s="2151"/>
      <c r="AK233" s="2168"/>
      <c r="AL233" s="2168"/>
      <c r="AM233" s="2168"/>
      <c r="AN233" s="2168"/>
      <c r="AO233" s="2168"/>
      <c r="AP233" s="2168"/>
      <c r="AQ233" s="2168"/>
      <c r="AR233" s="2168"/>
      <c r="AS233" s="2168"/>
      <c r="AT233" s="2168"/>
      <c r="AU233" s="2168"/>
      <c r="AV233" s="2168"/>
      <c r="AW233" s="2151"/>
      <c r="AX233" s="1627"/>
      <c r="AY233" s="1658"/>
      <c r="AZ233" s="1658"/>
      <c r="BA233" s="1658"/>
      <c r="BB233" s="1658"/>
      <c r="BC233" s="1658"/>
      <c r="BD233" s="1658"/>
      <c r="BE233" s="1658"/>
      <c r="BF233" s="1658"/>
      <c r="BG233" s="1658"/>
      <c r="BH233" s="1658"/>
      <c r="BI233" s="1209"/>
    </row>
    <row r="234" spans="2:62" s="1618" customFormat="1" ht="14">
      <c r="B234" s="1209"/>
      <c r="C234" s="1657"/>
      <c r="D234" s="1632"/>
      <c r="E234" s="1627"/>
      <c r="F234" s="1627"/>
      <c r="G234" s="1627"/>
      <c r="H234" s="2151"/>
      <c r="I234" s="2151"/>
      <c r="J234" s="2151"/>
      <c r="K234" s="2151"/>
      <c r="L234" s="2151"/>
      <c r="M234" s="2151"/>
      <c r="N234" s="2151"/>
      <c r="O234" s="2151"/>
      <c r="P234" s="2151"/>
      <c r="Q234" s="2151"/>
      <c r="R234" s="2151"/>
      <c r="S234" s="2151"/>
      <c r="T234" s="2151"/>
      <c r="U234" s="2151"/>
      <c r="V234" s="2151"/>
      <c r="W234" s="2151"/>
      <c r="X234" s="2151"/>
      <c r="Y234" s="2151"/>
      <c r="Z234" s="2151"/>
      <c r="AA234" s="2151"/>
      <c r="AB234" s="2151"/>
      <c r="AC234" s="2151"/>
      <c r="AD234" s="2151"/>
      <c r="AE234" s="2151"/>
      <c r="AF234" s="2151"/>
      <c r="AG234" s="2151"/>
      <c r="AH234" s="2151"/>
      <c r="AI234" s="2151"/>
      <c r="AJ234" s="2151"/>
      <c r="AK234" s="2168"/>
      <c r="AL234" s="2168"/>
      <c r="AM234" s="2168"/>
      <c r="AN234" s="2168"/>
      <c r="AO234" s="2168"/>
      <c r="AP234" s="2168"/>
      <c r="AQ234" s="2168"/>
      <c r="AR234" s="2168"/>
      <c r="AS234" s="2168"/>
      <c r="AT234" s="2168"/>
      <c r="AU234" s="2168"/>
      <c r="AV234" s="2168"/>
      <c r="AW234" s="2151"/>
      <c r="AX234" s="1627"/>
      <c r="AY234" s="1658"/>
      <c r="AZ234" s="1658"/>
      <c r="BA234" s="1658"/>
      <c r="BB234" s="1658"/>
      <c r="BC234" s="1658"/>
      <c r="BD234" s="1658"/>
      <c r="BE234" s="1658"/>
      <c r="BF234" s="1658"/>
      <c r="BG234" s="1658"/>
      <c r="BH234" s="1658"/>
      <c r="BI234" s="1209"/>
    </row>
    <row r="235" spans="2:62" s="1618" customFormat="1" ht="14">
      <c r="B235" s="1209"/>
      <c r="C235" s="1657"/>
      <c r="D235" s="1632"/>
      <c r="E235" s="1627"/>
      <c r="F235" s="1627"/>
      <c r="G235" s="1627"/>
      <c r="H235" s="2151"/>
      <c r="I235" s="2151"/>
      <c r="J235" s="2151"/>
      <c r="K235" s="2151"/>
      <c r="L235" s="2151"/>
      <c r="M235" s="2151"/>
      <c r="N235" s="2151"/>
      <c r="O235" s="2151"/>
      <c r="P235" s="2151"/>
      <c r="Q235" s="2151"/>
      <c r="R235" s="2151"/>
      <c r="S235" s="2151"/>
      <c r="T235" s="2151"/>
      <c r="U235" s="2151"/>
      <c r="V235" s="2151"/>
      <c r="W235" s="2151"/>
      <c r="X235" s="2151"/>
      <c r="Y235" s="2151"/>
      <c r="Z235" s="2151"/>
      <c r="AA235" s="2151"/>
      <c r="AB235" s="2151"/>
      <c r="AC235" s="2151"/>
      <c r="AD235" s="2151"/>
      <c r="AE235" s="2151"/>
      <c r="AF235" s="2151"/>
      <c r="AG235" s="2151"/>
      <c r="AH235" s="2151"/>
      <c r="AI235" s="2151"/>
      <c r="AJ235" s="2151"/>
      <c r="AK235" s="2151"/>
      <c r="AL235" s="2151"/>
      <c r="AM235" s="2151"/>
      <c r="AN235" s="2151"/>
      <c r="AO235" s="2151"/>
      <c r="AP235" s="2151"/>
      <c r="AQ235" s="2151"/>
      <c r="AR235" s="2151"/>
      <c r="AS235" s="2151"/>
      <c r="AT235" s="2151"/>
      <c r="AU235" s="2151"/>
      <c r="AV235" s="2151"/>
      <c r="AW235" s="2151"/>
      <c r="AX235" s="1627"/>
      <c r="AY235" s="1658"/>
      <c r="AZ235" s="1658"/>
      <c r="BA235" s="1658"/>
      <c r="BB235" s="1658"/>
      <c r="BC235" s="1658"/>
      <c r="BD235" s="1658"/>
      <c r="BE235" s="1658"/>
      <c r="BF235" s="1658"/>
      <c r="BG235" s="1658"/>
      <c r="BH235" s="1658"/>
      <c r="BI235" s="1209"/>
    </row>
    <row r="236" spans="2:62" s="1618" customFormat="1" ht="14">
      <c r="B236" s="1209"/>
      <c r="C236" s="1657"/>
      <c r="D236" s="1632"/>
      <c r="E236" s="1627"/>
      <c r="F236" s="1627"/>
      <c r="G236" s="1627"/>
      <c r="H236" s="2151"/>
      <c r="I236" s="2151"/>
      <c r="J236" s="2151"/>
      <c r="K236" s="2151"/>
      <c r="L236" s="2151"/>
      <c r="M236" s="2151"/>
      <c r="N236" s="2151"/>
      <c r="O236" s="2151"/>
      <c r="P236" s="2151"/>
      <c r="Q236" s="2151"/>
      <c r="R236" s="2151"/>
      <c r="S236" s="2151"/>
      <c r="T236" s="2151"/>
      <c r="U236" s="2151"/>
      <c r="V236" s="2151"/>
      <c r="W236" s="2151"/>
      <c r="X236" s="2151"/>
      <c r="Y236" s="2151"/>
      <c r="Z236" s="2151"/>
      <c r="AA236" s="2151"/>
      <c r="AB236" s="2151"/>
      <c r="AC236" s="2151"/>
      <c r="AD236" s="2151"/>
      <c r="AE236" s="2151"/>
      <c r="AF236" s="2151"/>
      <c r="AG236" s="2151"/>
      <c r="AH236" s="2151"/>
      <c r="AI236" s="2151"/>
      <c r="AJ236" s="2151"/>
      <c r="AK236" s="2151"/>
      <c r="AL236" s="2151"/>
      <c r="AM236" s="2151"/>
      <c r="AN236" s="2151"/>
      <c r="AO236" s="2151"/>
      <c r="AP236" s="2151"/>
      <c r="AQ236" s="2151"/>
      <c r="AR236" s="2151"/>
      <c r="AS236" s="2151"/>
      <c r="AT236" s="2151"/>
      <c r="AU236" s="2151"/>
      <c r="AV236" s="2151"/>
      <c r="AW236" s="2151"/>
      <c r="AX236" s="1627"/>
      <c r="AY236" s="1658"/>
      <c r="AZ236" s="1658"/>
      <c r="BA236" s="1658"/>
      <c r="BB236" s="1658"/>
      <c r="BC236" s="1658"/>
      <c r="BD236" s="1658"/>
      <c r="BE236" s="1658"/>
      <c r="BF236" s="1658"/>
      <c r="BG236" s="1658"/>
      <c r="BH236" s="1658"/>
      <c r="BI236" s="1209"/>
    </row>
    <row r="237" spans="2:62" s="1618" customFormat="1" ht="14">
      <c r="B237" s="1209"/>
      <c r="C237" s="1631"/>
      <c r="D237" s="1627"/>
      <c r="E237" s="1627"/>
      <c r="F237" s="1627"/>
      <c r="G237" s="1627"/>
      <c r="H237" s="2151"/>
      <c r="I237" s="2151"/>
      <c r="J237" s="2151"/>
      <c r="K237" s="2151"/>
      <c r="L237" s="2151"/>
      <c r="M237" s="2151"/>
      <c r="N237" s="2151"/>
      <c r="O237" s="2151"/>
      <c r="P237" s="2151"/>
      <c r="Q237" s="2151"/>
      <c r="R237" s="2151"/>
      <c r="S237" s="2151"/>
      <c r="T237" s="2151"/>
      <c r="U237" s="2151"/>
      <c r="V237" s="2151"/>
      <c r="W237" s="2151"/>
      <c r="X237" s="2151"/>
      <c r="Y237" s="2151"/>
      <c r="Z237" s="2151"/>
      <c r="AA237" s="2151"/>
      <c r="AB237" s="2151"/>
      <c r="AC237" s="2151"/>
      <c r="AD237" s="2151"/>
      <c r="AE237" s="2151"/>
      <c r="AF237" s="2151"/>
      <c r="AG237" s="2151"/>
      <c r="AH237" s="2151"/>
      <c r="AI237" s="2151"/>
      <c r="AJ237" s="2151"/>
      <c r="AK237" s="2151"/>
      <c r="AL237" s="2151"/>
      <c r="AM237" s="2151"/>
      <c r="AN237" s="2151"/>
      <c r="AO237" s="2151"/>
      <c r="AP237" s="2151"/>
      <c r="AQ237" s="2151"/>
      <c r="AR237" s="2151"/>
      <c r="AS237" s="2151"/>
      <c r="AT237" s="2151"/>
      <c r="AU237" s="2151"/>
      <c r="AV237" s="2151"/>
      <c r="AW237" s="2151"/>
      <c r="AX237" s="1627"/>
      <c r="AY237" s="1627"/>
      <c r="AZ237" s="1627"/>
      <c r="BA237" s="1627"/>
      <c r="BB237" s="1627"/>
      <c r="BC237" s="1627"/>
      <c r="BD237" s="1627"/>
      <c r="BE237" s="1627"/>
      <c r="BF237" s="1627"/>
      <c r="BG237" s="1627"/>
      <c r="BH237" s="1627"/>
      <c r="BI237" s="1209"/>
    </row>
    <row r="238" spans="2:62" s="1618" customFormat="1" ht="14">
      <c r="B238" s="1209"/>
      <c r="C238" s="1654"/>
      <c r="D238" s="1627"/>
      <c r="E238" s="1627"/>
      <c r="F238" s="1627"/>
      <c r="G238" s="1627"/>
      <c r="H238" s="2151"/>
      <c r="I238" s="2151"/>
      <c r="J238" s="2151"/>
      <c r="K238" s="2151"/>
      <c r="L238" s="2151"/>
      <c r="M238" s="2151"/>
      <c r="N238" s="2151"/>
      <c r="O238" s="2151"/>
      <c r="P238" s="2151"/>
      <c r="Q238" s="2151"/>
      <c r="R238" s="2151"/>
      <c r="S238" s="2151"/>
      <c r="T238" s="2151"/>
      <c r="U238" s="2151"/>
      <c r="V238" s="2151"/>
      <c r="W238" s="2151"/>
      <c r="X238" s="2151"/>
      <c r="Y238" s="2151"/>
      <c r="Z238" s="2151"/>
      <c r="AA238" s="2151"/>
      <c r="AB238" s="2151"/>
      <c r="AC238" s="2151"/>
      <c r="AD238" s="2151"/>
      <c r="AE238" s="2151"/>
      <c r="AF238" s="2151"/>
      <c r="AG238" s="2151"/>
      <c r="AH238" s="2151"/>
      <c r="AI238" s="2151"/>
      <c r="AJ238" s="2151"/>
      <c r="AK238" s="2151"/>
      <c r="AL238" s="2151"/>
      <c r="AM238" s="2151"/>
      <c r="AN238" s="2151"/>
      <c r="AO238" s="2151"/>
      <c r="AP238" s="2151"/>
      <c r="AQ238" s="2151"/>
      <c r="AR238" s="2151"/>
      <c r="AS238" s="2151"/>
      <c r="AT238" s="2151"/>
      <c r="AU238" s="2151"/>
      <c r="AV238" s="2151"/>
      <c r="AW238" s="2151"/>
      <c r="AX238" s="1627"/>
      <c r="AY238" s="1655"/>
      <c r="AZ238" s="1655"/>
      <c r="BA238" s="1655"/>
      <c r="BB238" s="1655"/>
      <c r="BC238" s="1655"/>
      <c r="BD238" s="1655"/>
      <c r="BE238" s="1655"/>
      <c r="BF238" s="1655"/>
      <c r="BG238" s="1655"/>
      <c r="BH238" s="1655"/>
      <c r="BI238" s="1209"/>
    </row>
    <row r="239" spans="2:62" s="1618" customFormat="1" ht="14">
      <c r="B239" s="1209"/>
      <c r="C239" s="1659"/>
      <c r="D239" s="1654"/>
      <c r="E239" s="1627"/>
      <c r="F239" s="1627"/>
      <c r="G239" s="1627"/>
      <c r="H239" s="2151"/>
      <c r="I239" s="2151"/>
      <c r="J239" s="2151"/>
      <c r="K239" s="2151"/>
      <c r="L239" s="2151"/>
      <c r="M239" s="2151"/>
      <c r="N239" s="2151"/>
      <c r="O239" s="2151"/>
      <c r="P239" s="2151"/>
      <c r="Q239" s="2151"/>
      <c r="R239" s="2151"/>
      <c r="S239" s="2151"/>
      <c r="T239" s="2151"/>
      <c r="U239" s="2151"/>
      <c r="V239" s="2151"/>
      <c r="W239" s="2151"/>
      <c r="X239" s="2151"/>
      <c r="Y239" s="2151"/>
      <c r="Z239" s="2151"/>
      <c r="AA239" s="2151"/>
      <c r="AB239" s="2151"/>
      <c r="AC239" s="2151"/>
      <c r="AD239" s="2151"/>
      <c r="AE239" s="2151"/>
      <c r="AF239" s="2151"/>
      <c r="AG239" s="2151"/>
      <c r="AH239" s="2151"/>
      <c r="AI239" s="2151"/>
      <c r="AJ239" s="2151"/>
      <c r="AK239" s="2151"/>
      <c r="AL239" s="2151"/>
      <c r="AM239" s="2151"/>
      <c r="AN239" s="2151"/>
      <c r="AO239" s="2151"/>
      <c r="AP239" s="2151"/>
      <c r="AQ239" s="2151"/>
      <c r="AR239" s="2151"/>
      <c r="AS239" s="2151"/>
      <c r="AT239" s="2151"/>
      <c r="AU239" s="2151"/>
      <c r="AV239" s="2151"/>
      <c r="AW239" s="2151"/>
      <c r="AX239" s="1627"/>
      <c r="AY239" s="1656"/>
      <c r="AZ239" s="1656"/>
      <c r="BA239" s="1656"/>
      <c r="BB239" s="1656"/>
      <c r="BC239" s="1656"/>
      <c r="BD239" s="1656"/>
      <c r="BE239" s="1656"/>
      <c r="BF239" s="1656"/>
      <c r="BG239" s="1656"/>
      <c r="BH239" s="1656"/>
      <c r="BI239" s="1209"/>
    </row>
    <row r="240" spans="2:62" s="1618" customFormat="1" ht="14">
      <c r="B240" s="1209"/>
      <c r="C240" s="1657"/>
      <c r="D240" s="1632"/>
      <c r="E240" s="1627"/>
      <c r="F240" s="1627"/>
      <c r="G240" s="1627"/>
      <c r="H240" s="2151"/>
      <c r="I240" s="2151"/>
      <c r="J240" s="2151"/>
      <c r="K240" s="2151"/>
      <c r="L240" s="2151"/>
      <c r="M240" s="2151"/>
      <c r="N240" s="2151"/>
      <c r="O240" s="2151"/>
      <c r="P240" s="2151"/>
      <c r="Q240" s="2151"/>
      <c r="R240" s="2151"/>
      <c r="S240" s="2151"/>
      <c r="T240" s="2151"/>
      <c r="U240" s="2151"/>
      <c r="V240" s="2151"/>
      <c r="W240" s="2151"/>
      <c r="X240" s="2151"/>
      <c r="Y240" s="2151"/>
      <c r="Z240" s="2151"/>
      <c r="AA240" s="2151"/>
      <c r="AB240" s="2151"/>
      <c r="AC240" s="2151"/>
      <c r="AD240" s="2151"/>
      <c r="AE240" s="2151"/>
      <c r="AF240" s="2151"/>
      <c r="AG240" s="2151"/>
      <c r="AH240" s="2151"/>
      <c r="AI240" s="2151"/>
      <c r="AJ240" s="2151"/>
      <c r="AK240" s="2151"/>
      <c r="AL240" s="2151"/>
      <c r="AM240" s="2151"/>
      <c r="AN240" s="2151"/>
      <c r="AO240" s="2151"/>
      <c r="AP240" s="2151"/>
      <c r="AQ240" s="2151"/>
      <c r="AR240" s="2151"/>
      <c r="AS240" s="2151"/>
      <c r="AT240" s="2151"/>
      <c r="AU240" s="2151"/>
      <c r="AV240" s="2151"/>
      <c r="AW240" s="2151"/>
      <c r="AX240" s="1627"/>
      <c r="AY240" s="1658"/>
      <c r="AZ240" s="1658"/>
      <c r="BA240" s="1658"/>
      <c r="BB240" s="1658"/>
      <c r="BC240" s="1658"/>
      <c r="BD240" s="1658"/>
      <c r="BE240" s="1658"/>
      <c r="BF240" s="1658"/>
      <c r="BG240" s="1658"/>
      <c r="BH240" s="1658"/>
      <c r="BI240" s="1209"/>
      <c r="BJ240" s="2074"/>
    </row>
    <row r="241" spans="2:62" s="1618" customFormat="1" ht="14">
      <c r="B241" s="1209"/>
      <c r="C241" s="1657"/>
      <c r="D241" s="1632"/>
      <c r="E241" s="1627"/>
      <c r="F241" s="1627"/>
      <c r="G241" s="1627"/>
      <c r="H241" s="2151"/>
      <c r="I241" s="2151"/>
      <c r="J241" s="2151"/>
      <c r="K241" s="2151"/>
      <c r="L241" s="2151"/>
      <c r="M241" s="2151"/>
      <c r="N241" s="2151"/>
      <c r="O241" s="2151"/>
      <c r="P241" s="2151"/>
      <c r="Q241" s="2151"/>
      <c r="R241" s="2151"/>
      <c r="S241" s="2151"/>
      <c r="T241" s="2151"/>
      <c r="U241" s="2151"/>
      <c r="V241" s="2151"/>
      <c r="W241" s="2151"/>
      <c r="X241" s="2151"/>
      <c r="Y241" s="2151"/>
      <c r="Z241" s="2151"/>
      <c r="AA241" s="2151"/>
      <c r="AB241" s="2151"/>
      <c r="AC241" s="2151"/>
      <c r="AD241" s="2151"/>
      <c r="AE241" s="2151"/>
      <c r="AF241" s="2151"/>
      <c r="AG241" s="2151"/>
      <c r="AH241" s="2151"/>
      <c r="AI241" s="2151"/>
      <c r="AJ241" s="2151"/>
      <c r="AK241" s="2151"/>
      <c r="AL241" s="2151"/>
      <c r="AM241" s="2151"/>
      <c r="AN241" s="2151"/>
      <c r="AO241" s="2151"/>
      <c r="AP241" s="2151"/>
      <c r="AQ241" s="2151"/>
      <c r="AR241" s="2151"/>
      <c r="AS241" s="2151"/>
      <c r="AT241" s="2151"/>
      <c r="AU241" s="2151"/>
      <c r="AV241" s="2151"/>
      <c r="AW241" s="2151"/>
      <c r="AX241" s="1627"/>
      <c r="AY241" s="1658"/>
      <c r="AZ241" s="1658"/>
      <c r="BA241" s="1658"/>
      <c r="BB241" s="1658"/>
      <c r="BC241" s="1658"/>
      <c r="BD241" s="1658"/>
      <c r="BE241" s="1658"/>
      <c r="BF241" s="1658"/>
      <c r="BG241" s="1658"/>
      <c r="BH241" s="1658"/>
      <c r="BI241" s="1209"/>
      <c r="BJ241" s="2074"/>
    </row>
    <row r="242" spans="2:62" s="1618" customFormat="1" ht="14">
      <c r="B242" s="1209"/>
      <c r="C242" s="1657"/>
      <c r="D242" s="1632"/>
      <c r="E242" s="1627"/>
      <c r="F242" s="1627"/>
      <c r="G242" s="1627"/>
      <c r="H242" s="2151"/>
      <c r="I242" s="2151"/>
      <c r="J242" s="2151"/>
      <c r="K242" s="2151"/>
      <c r="L242" s="2151"/>
      <c r="M242" s="2151"/>
      <c r="N242" s="2151"/>
      <c r="O242" s="2151"/>
      <c r="P242" s="2151"/>
      <c r="Q242" s="2151"/>
      <c r="R242" s="2151"/>
      <c r="S242" s="2151"/>
      <c r="T242" s="2151"/>
      <c r="U242" s="2151"/>
      <c r="V242" s="2151"/>
      <c r="W242" s="2151"/>
      <c r="X242" s="2151"/>
      <c r="Y242" s="2151"/>
      <c r="Z242" s="2151"/>
      <c r="AA242" s="2151"/>
      <c r="AB242" s="2151"/>
      <c r="AC242" s="2151"/>
      <c r="AD242" s="2151"/>
      <c r="AE242" s="2151"/>
      <c r="AF242" s="2151"/>
      <c r="AG242" s="2151"/>
      <c r="AH242" s="2151"/>
      <c r="AI242" s="2151"/>
      <c r="AJ242" s="2151"/>
      <c r="AK242" s="2151"/>
      <c r="AL242" s="2151"/>
      <c r="AM242" s="2151"/>
      <c r="AN242" s="2151"/>
      <c r="AO242" s="2151"/>
      <c r="AP242" s="2151"/>
      <c r="AQ242" s="2151"/>
      <c r="AR242" s="2151"/>
      <c r="AS242" s="2151"/>
      <c r="AT242" s="2151"/>
      <c r="AU242" s="2151"/>
      <c r="AV242" s="2151"/>
      <c r="AW242" s="2151"/>
      <c r="AX242" s="1627"/>
      <c r="AY242" s="1658"/>
      <c r="AZ242" s="1658"/>
      <c r="BA242" s="1658"/>
      <c r="BB242" s="1658"/>
      <c r="BC242" s="1658"/>
      <c r="BD242" s="1658"/>
      <c r="BE242" s="1658"/>
      <c r="BF242" s="1658"/>
      <c r="BG242" s="1658"/>
      <c r="BH242" s="1658"/>
      <c r="BI242" s="1209"/>
      <c r="BJ242" s="2074"/>
    </row>
    <row r="243" spans="2:62" s="1618" customFormat="1" ht="14">
      <c r="B243" s="1209"/>
      <c r="C243" s="1632"/>
      <c r="D243" s="1627"/>
      <c r="E243" s="1627"/>
      <c r="F243" s="1627"/>
      <c r="G243" s="1627"/>
      <c r="H243" s="2151"/>
      <c r="I243" s="2151"/>
      <c r="J243" s="2151"/>
      <c r="K243" s="2151"/>
      <c r="L243" s="2151"/>
      <c r="M243" s="2151"/>
      <c r="N243" s="2151"/>
      <c r="O243" s="2151"/>
      <c r="P243" s="2151"/>
      <c r="Q243" s="2151"/>
      <c r="R243" s="2151"/>
      <c r="S243" s="2151"/>
      <c r="T243" s="2151"/>
      <c r="U243" s="2151"/>
      <c r="V243" s="2151"/>
      <c r="W243" s="2151"/>
      <c r="X243" s="2151"/>
      <c r="Y243" s="2151"/>
      <c r="Z243" s="2151"/>
      <c r="AA243" s="2151"/>
      <c r="AB243" s="2151"/>
      <c r="AC243" s="2151"/>
      <c r="AD243" s="2151"/>
      <c r="AE243" s="2151"/>
      <c r="AF243" s="2151"/>
      <c r="AG243" s="2151"/>
      <c r="AH243" s="2151"/>
      <c r="AI243" s="2151"/>
      <c r="AJ243" s="2151"/>
      <c r="AK243" s="2151"/>
      <c r="AL243" s="2151"/>
      <c r="AM243" s="2151"/>
      <c r="AN243" s="2151"/>
      <c r="AO243" s="2151"/>
      <c r="AP243" s="2151"/>
      <c r="AQ243" s="2151"/>
      <c r="AR243" s="2151"/>
      <c r="AS243" s="2151"/>
      <c r="AT243" s="2151"/>
      <c r="AU243" s="2151"/>
      <c r="AV243" s="2151"/>
      <c r="AW243" s="2151"/>
      <c r="AX243" s="1627"/>
      <c r="AY243" s="1627"/>
      <c r="AZ243" s="1627"/>
      <c r="BA243" s="1627"/>
      <c r="BB243" s="1627"/>
      <c r="BC243" s="1627"/>
      <c r="BD243" s="1627"/>
      <c r="BE243" s="1627"/>
      <c r="BF243" s="1627"/>
      <c r="BG243" s="1627"/>
      <c r="BH243" s="1627"/>
      <c r="BI243" s="1209"/>
      <c r="BJ243" s="2074"/>
    </row>
    <row r="244" spans="2:62" s="1618" customFormat="1" ht="14">
      <c r="B244" s="1209"/>
      <c r="C244" s="1654"/>
      <c r="D244" s="1627"/>
      <c r="E244" s="1627"/>
      <c r="F244" s="1627"/>
      <c r="G244" s="1627"/>
      <c r="H244" s="2151"/>
      <c r="I244" s="2151"/>
      <c r="J244" s="2151"/>
      <c r="K244" s="2151"/>
      <c r="L244" s="2151"/>
      <c r="M244" s="2151"/>
      <c r="N244" s="2151"/>
      <c r="O244" s="2151"/>
      <c r="P244" s="2151"/>
      <c r="Q244" s="2151"/>
      <c r="R244" s="2151"/>
      <c r="S244" s="2151"/>
      <c r="T244" s="2151"/>
      <c r="U244" s="2151"/>
      <c r="V244" s="2151"/>
      <c r="W244" s="2151"/>
      <c r="X244" s="2151"/>
      <c r="Y244" s="2151"/>
      <c r="Z244" s="2151"/>
      <c r="AA244" s="2151"/>
      <c r="AB244" s="2151"/>
      <c r="AC244" s="2151"/>
      <c r="AD244" s="2151"/>
      <c r="AE244" s="2151"/>
      <c r="AF244" s="2151"/>
      <c r="AG244" s="2151"/>
      <c r="AH244" s="2151"/>
      <c r="AI244" s="2151"/>
      <c r="AJ244" s="2151"/>
      <c r="AK244" s="2151"/>
      <c r="AL244" s="2151"/>
      <c r="AM244" s="2151"/>
      <c r="AN244" s="2151"/>
      <c r="AO244" s="2151"/>
      <c r="AP244" s="2151"/>
      <c r="AQ244" s="2151"/>
      <c r="AR244" s="2151"/>
      <c r="AS244" s="2151"/>
      <c r="AT244" s="2151"/>
      <c r="AU244" s="2151"/>
      <c r="AV244" s="2151"/>
      <c r="AW244" s="2151"/>
      <c r="AX244" s="1627"/>
      <c r="AY244" s="1655"/>
      <c r="AZ244" s="1655"/>
      <c r="BA244" s="1655"/>
      <c r="BB244" s="1655"/>
      <c r="BC244" s="1655"/>
      <c r="BD244" s="1655"/>
      <c r="BE244" s="1655"/>
      <c r="BF244" s="1655"/>
      <c r="BG244" s="1655"/>
      <c r="BH244" s="1655"/>
      <c r="BI244" s="1209"/>
      <c r="BJ244" s="2074"/>
    </row>
    <row r="245" spans="2:62" s="1618" customFormat="1" ht="14">
      <c r="B245" s="1209"/>
      <c r="C245" s="1627"/>
      <c r="D245" s="1654"/>
      <c r="E245" s="1627"/>
      <c r="F245" s="1627"/>
      <c r="G245" s="1627"/>
      <c r="H245" s="2151"/>
      <c r="I245" s="2151"/>
      <c r="J245" s="2151"/>
      <c r="K245" s="2151"/>
      <c r="L245" s="2151"/>
      <c r="M245" s="2151"/>
      <c r="N245" s="2151"/>
      <c r="O245" s="2151"/>
      <c r="P245" s="2151"/>
      <c r="Q245" s="2151"/>
      <c r="R245" s="2151"/>
      <c r="S245" s="2151"/>
      <c r="T245" s="2151"/>
      <c r="U245" s="2151"/>
      <c r="V245" s="2151"/>
      <c r="W245" s="2151"/>
      <c r="X245" s="2151"/>
      <c r="Y245" s="2151"/>
      <c r="Z245" s="2151"/>
      <c r="AA245" s="2151"/>
      <c r="AB245" s="2151"/>
      <c r="AC245" s="2151"/>
      <c r="AD245" s="2151"/>
      <c r="AE245" s="2151"/>
      <c r="AF245" s="2151"/>
      <c r="AG245" s="2151"/>
      <c r="AH245" s="2151"/>
      <c r="AI245" s="2151"/>
      <c r="AJ245" s="2151"/>
      <c r="AK245" s="2151"/>
      <c r="AL245" s="2151"/>
      <c r="AM245" s="2151"/>
      <c r="AN245" s="2151"/>
      <c r="AO245" s="2151"/>
      <c r="AP245" s="2151"/>
      <c r="AQ245" s="2151"/>
      <c r="AR245" s="2151"/>
      <c r="AS245" s="2151"/>
      <c r="AT245" s="2151"/>
      <c r="AU245" s="2151"/>
      <c r="AV245" s="2151"/>
      <c r="AW245" s="2151"/>
      <c r="AX245" s="1627"/>
      <c r="AY245" s="1656"/>
      <c r="AZ245" s="1656"/>
      <c r="BA245" s="1656"/>
      <c r="BB245" s="1656"/>
      <c r="BC245" s="1656"/>
      <c r="BD245" s="1656"/>
      <c r="BE245" s="1656"/>
      <c r="BF245" s="1656"/>
      <c r="BG245" s="1656"/>
      <c r="BH245" s="1656"/>
      <c r="BI245" s="1209"/>
      <c r="BJ245" s="2074"/>
    </row>
    <row r="246" spans="2:62" s="1618" customFormat="1" ht="14">
      <c r="B246" s="1209"/>
      <c r="C246" s="1657"/>
      <c r="D246" s="1632"/>
      <c r="E246" s="1627"/>
      <c r="F246" s="1627"/>
      <c r="G246" s="1627"/>
      <c r="H246" s="2151"/>
      <c r="I246" s="2151"/>
      <c r="J246" s="2151"/>
      <c r="K246" s="2151"/>
      <c r="L246" s="2151"/>
      <c r="M246" s="2151"/>
      <c r="N246" s="2151"/>
      <c r="O246" s="2151"/>
      <c r="P246" s="2151"/>
      <c r="Q246" s="2151"/>
      <c r="R246" s="2151"/>
      <c r="S246" s="2151"/>
      <c r="T246" s="2151"/>
      <c r="U246" s="2151"/>
      <c r="V246" s="2151"/>
      <c r="W246" s="2151"/>
      <c r="X246" s="2151"/>
      <c r="Y246" s="2151"/>
      <c r="Z246" s="2151"/>
      <c r="AA246" s="2151"/>
      <c r="AB246" s="2151"/>
      <c r="AC246" s="2151"/>
      <c r="AD246" s="2151"/>
      <c r="AE246" s="2151"/>
      <c r="AF246" s="2151"/>
      <c r="AG246" s="2151"/>
      <c r="AH246" s="2151"/>
      <c r="AI246" s="2151"/>
      <c r="AJ246" s="2151"/>
      <c r="AK246" s="2151"/>
      <c r="AL246" s="2151"/>
      <c r="AM246" s="2151"/>
      <c r="AN246" s="2151"/>
      <c r="AO246" s="2151"/>
      <c r="AP246" s="2151"/>
      <c r="AQ246" s="2151"/>
      <c r="AR246" s="2151"/>
      <c r="AS246" s="2151"/>
      <c r="AT246" s="2151"/>
      <c r="AU246" s="2151"/>
      <c r="AV246" s="2151"/>
      <c r="AW246" s="2151"/>
      <c r="AX246" s="1627"/>
      <c r="AY246" s="1658"/>
      <c r="AZ246" s="1658"/>
      <c r="BA246" s="1658"/>
      <c r="BB246" s="1658"/>
      <c r="BC246" s="1658"/>
      <c r="BD246" s="1658"/>
      <c r="BE246" s="1658"/>
      <c r="BF246" s="1658"/>
      <c r="BG246" s="1658"/>
      <c r="BH246" s="1658"/>
      <c r="BI246" s="1209"/>
      <c r="BJ246" s="2074"/>
    </row>
    <row r="247" spans="2:62" s="1618" customFormat="1" ht="14">
      <c r="B247" s="1209"/>
      <c r="C247" s="1657"/>
      <c r="D247" s="1632"/>
      <c r="E247" s="1627"/>
      <c r="F247" s="1627"/>
      <c r="G247" s="1627"/>
      <c r="H247" s="2151"/>
      <c r="I247" s="2151"/>
      <c r="J247" s="2151"/>
      <c r="K247" s="2151"/>
      <c r="L247" s="2151"/>
      <c r="M247" s="2151"/>
      <c r="N247" s="2151"/>
      <c r="O247" s="2151"/>
      <c r="P247" s="2151"/>
      <c r="Q247" s="2151"/>
      <c r="R247" s="2151"/>
      <c r="S247" s="2151"/>
      <c r="T247" s="2151"/>
      <c r="U247" s="2151"/>
      <c r="V247" s="2151"/>
      <c r="W247" s="2151"/>
      <c r="X247" s="2151"/>
      <c r="Y247" s="2151"/>
      <c r="Z247" s="2151"/>
      <c r="AA247" s="2151"/>
      <c r="AB247" s="2151"/>
      <c r="AC247" s="2151"/>
      <c r="AD247" s="2151"/>
      <c r="AE247" s="2151"/>
      <c r="AF247" s="2151"/>
      <c r="AG247" s="2151"/>
      <c r="AH247" s="2151"/>
      <c r="AI247" s="2151"/>
      <c r="AJ247" s="2151"/>
      <c r="AK247" s="2151"/>
      <c r="AL247" s="2151"/>
      <c r="AM247" s="2151"/>
      <c r="AN247" s="2151"/>
      <c r="AO247" s="2151"/>
      <c r="AP247" s="2151"/>
      <c r="AQ247" s="2151"/>
      <c r="AR247" s="2151"/>
      <c r="AS247" s="2151"/>
      <c r="AT247" s="2151"/>
      <c r="AU247" s="2151"/>
      <c r="AV247" s="2151"/>
      <c r="AW247" s="2151"/>
      <c r="AX247" s="1627"/>
      <c r="AY247" s="1658"/>
      <c r="AZ247" s="1658"/>
      <c r="BA247" s="1658"/>
      <c r="BB247" s="1658"/>
      <c r="BC247" s="1658"/>
      <c r="BD247" s="1658"/>
      <c r="BE247" s="1658"/>
      <c r="BF247" s="1658"/>
      <c r="BG247" s="1658"/>
      <c r="BH247" s="1658"/>
      <c r="BI247" s="1209"/>
      <c r="BJ247" s="2074"/>
    </row>
    <row r="248" spans="2:62" s="1618" customFormat="1" ht="14">
      <c r="B248" s="1209"/>
      <c r="C248" s="1657"/>
      <c r="D248" s="1632"/>
      <c r="E248" s="1627"/>
      <c r="F248" s="1627"/>
      <c r="G248" s="1627"/>
      <c r="H248" s="2151"/>
      <c r="I248" s="2151"/>
      <c r="J248" s="2151"/>
      <c r="K248" s="2151"/>
      <c r="L248" s="2151"/>
      <c r="M248" s="2151"/>
      <c r="N248" s="2151"/>
      <c r="O248" s="2151"/>
      <c r="P248" s="2151"/>
      <c r="Q248" s="2151"/>
      <c r="R248" s="2151"/>
      <c r="S248" s="2151"/>
      <c r="T248" s="2151"/>
      <c r="U248" s="2151"/>
      <c r="V248" s="2151"/>
      <c r="W248" s="2151"/>
      <c r="X248" s="2151"/>
      <c r="Y248" s="2151"/>
      <c r="Z248" s="2151"/>
      <c r="AA248" s="2151"/>
      <c r="AB248" s="2151"/>
      <c r="AC248" s="2151"/>
      <c r="AD248" s="2151"/>
      <c r="AE248" s="2151"/>
      <c r="AF248" s="2151"/>
      <c r="AG248" s="2151"/>
      <c r="AH248" s="2151"/>
      <c r="AI248" s="2151"/>
      <c r="AJ248" s="2151"/>
      <c r="AK248" s="2151"/>
      <c r="AL248" s="2151"/>
      <c r="AM248" s="2151"/>
      <c r="AN248" s="2151"/>
      <c r="AO248" s="2151"/>
      <c r="AP248" s="2151"/>
      <c r="AQ248" s="2151"/>
      <c r="AR248" s="2151"/>
      <c r="AS248" s="2151"/>
      <c r="AT248" s="2151"/>
      <c r="AU248" s="2151"/>
      <c r="AV248" s="2151"/>
      <c r="AW248" s="2151"/>
      <c r="AX248" s="1627"/>
      <c r="AY248" s="1658"/>
      <c r="AZ248" s="1658"/>
      <c r="BA248" s="1658"/>
      <c r="BB248" s="1658"/>
      <c r="BC248" s="1658"/>
      <c r="BD248" s="1658"/>
      <c r="BE248" s="1658"/>
      <c r="BF248" s="1658"/>
      <c r="BG248" s="1658"/>
      <c r="BH248" s="1658"/>
      <c r="BI248" s="1209"/>
      <c r="BJ248" s="2074"/>
    </row>
    <row r="249" spans="2:62" s="1618" customFormat="1" ht="14">
      <c r="B249" s="1209"/>
      <c r="C249" s="1657"/>
      <c r="D249" s="1632"/>
      <c r="E249" s="1627"/>
      <c r="F249" s="1627"/>
      <c r="G249" s="1627"/>
      <c r="H249" s="2151"/>
      <c r="I249" s="2151"/>
      <c r="J249" s="2151"/>
      <c r="K249" s="2151"/>
      <c r="L249" s="2151"/>
      <c r="M249" s="2151"/>
      <c r="N249" s="2151"/>
      <c r="O249" s="2151"/>
      <c r="P249" s="2151"/>
      <c r="Q249" s="2151"/>
      <c r="R249" s="2151"/>
      <c r="S249" s="2151"/>
      <c r="T249" s="2151"/>
      <c r="U249" s="2151"/>
      <c r="V249" s="2151"/>
      <c r="W249" s="2151"/>
      <c r="X249" s="2151"/>
      <c r="Y249" s="2151"/>
      <c r="Z249" s="2151"/>
      <c r="AA249" s="2151"/>
      <c r="AB249" s="2151"/>
      <c r="AC249" s="2151"/>
      <c r="AD249" s="2151"/>
      <c r="AE249" s="2151"/>
      <c r="AF249" s="2151"/>
      <c r="AG249" s="2151"/>
      <c r="AH249" s="2151"/>
      <c r="AI249" s="2151"/>
      <c r="AJ249" s="2151"/>
      <c r="AK249" s="2168"/>
      <c r="AL249" s="2168"/>
      <c r="AM249" s="2168"/>
      <c r="AN249" s="2168"/>
      <c r="AO249" s="2168"/>
      <c r="AP249" s="2168"/>
      <c r="AQ249" s="2168"/>
      <c r="AR249" s="2168"/>
      <c r="AS249" s="2168"/>
      <c r="AT249" s="2168"/>
      <c r="AU249" s="2168"/>
      <c r="AV249" s="2168"/>
      <c r="AW249" s="2151"/>
      <c r="AX249" s="1627"/>
      <c r="AY249" s="1658"/>
      <c r="AZ249" s="1658"/>
      <c r="BA249" s="1658"/>
      <c r="BB249" s="1658"/>
      <c r="BC249" s="1658"/>
      <c r="BD249" s="1658"/>
      <c r="BE249" s="1658"/>
      <c r="BF249" s="1658"/>
      <c r="BG249" s="1658"/>
      <c r="BH249" s="1658"/>
      <c r="BI249" s="1209"/>
      <c r="BJ249" s="2074"/>
    </row>
    <row r="250" spans="2:62" s="1618" customFormat="1" ht="14">
      <c r="B250" s="1209"/>
      <c r="C250" s="1657"/>
      <c r="D250" s="1632"/>
      <c r="E250" s="1627"/>
      <c r="F250" s="1627"/>
      <c r="G250" s="1627"/>
      <c r="H250" s="2151"/>
      <c r="I250" s="2151"/>
      <c r="J250" s="2151"/>
      <c r="K250" s="2151"/>
      <c r="L250" s="2151"/>
      <c r="M250" s="2151"/>
      <c r="N250" s="2151"/>
      <c r="O250" s="2151"/>
      <c r="P250" s="2151"/>
      <c r="Q250" s="2151"/>
      <c r="R250" s="2151"/>
      <c r="S250" s="2151"/>
      <c r="T250" s="2151"/>
      <c r="U250" s="2151"/>
      <c r="V250" s="2151"/>
      <c r="W250" s="2151"/>
      <c r="X250" s="2151"/>
      <c r="Y250" s="2151"/>
      <c r="Z250" s="2151"/>
      <c r="AA250" s="2151"/>
      <c r="AB250" s="2151"/>
      <c r="AC250" s="2151"/>
      <c r="AD250" s="2151"/>
      <c r="AE250" s="2151"/>
      <c r="AF250" s="2151"/>
      <c r="AG250" s="2151"/>
      <c r="AH250" s="2151"/>
      <c r="AI250" s="2151"/>
      <c r="AJ250" s="2151"/>
      <c r="AK250" s="2168"/>
      <c r="AL250" s="2168"/>
      <c r="AM250" s="2168"/>
      <c r="AN250" s="2168"/>
      <c r="AO250" s="2168"/>
      <c r="AP250" s="2168"/>
      <c r="AQ250" s="2168"/>
      <c r="AR250" s="2168"/>
      <c r="AS250" s="2168"/>
      <c r="AT250" s="2168"/>
      <c r="AU250" s="2168"/>
      <c r="AV250" s="2168"/>
      <c r="AW250" s="2151"/>
      <c r="AX250" s="1627"/>
      <c r="AY250" s="1658"/>
      <c r="AZ250" s="1658"/>
      <c r="BA250" s="1658"/>
      <c r="BB250" s="1658"/>
      <c r="BC250" s="1658"/>
      <c r="BD250" s="1658"/>
      <c r="BE250" s="1658"/>
      <c r="BF250" s="1658"/>
      <c r="BG250" s="1658"/>
      <c r="BH250" s="1658"/>
      <c r="BI250" s="1209"/>
      <c r="BJ250" s="2074"/>
    </row>
    <row r="251" spans="2:62" s="1855" customFormat="1">
      <c r="B251" s="1209"/>
      <c r="C251" s="1657"/>
      <c r="D251" s="1632"/>
      <c r="E251" s="1627"/>
      <c r="F251" s="1627"/>
      <c r="G251" s="1627"/>
      <c r="H251" s="1627"/>
      <c r="I251" s="1627"/>
      <c r="J251" s="1627"/>
      <c r="K251" s="1627"/>
      <c r="L251" s="1627"/>
      <c r="M251" s="1627"/>
      <c r="N251" s="1627"/>
      <c r="O251" s="1627"/>
      <c r="P251" s="1627"/>
      <c r="Q251" s="1627"/>
      <c r="R251" s="1627"/>
      <c r="S251" s="1627"/>
      <c r="T251" s="1627"/>
      <c r="U251" s="1627"/>
      <c r="V251" s="1627"/>
      <c r="W251" s="1627"/>
      <c r="X251" s="1627"/>
      <c r="Y251" s="1627"/>
      <c r="Z251" s="1627"/>
      <c r="AA251" s="1627"/>
      <c r="AB251" s="1627"/>
      <c r="AC251" s="1627"/>
      <c r="AD251" s="1627"/>
      <c r="AE251" s="1627"/>
      <c r="AF251" s="1627"/>
      <c r="AG251" s="1627"/>
      <c r="AH251" s="1627"/>
      <c r="AI251" s="1627"/>
      <c r="AJ251" s="1627"/>
      <c r="AK251" s="1627"/>
      <c r="AL251" s="1627"/>
      <c r="AM251" s="1627"/>
      <c r="AN251" s="1627"/>
      <c r="AO251" s="1627"/>
      <c r="AP251" s="1627"/>
      <c r="AQ251" s="1627"/>
      <c r="AR251" s="1627"/>
      <c r="AS251" s="1627"/>
      <c r="AT251" s="1627"/>
      <c r="AU251" s="1627"/>
      <c r="AV251" s="1627"/>
      <c r="AW251" s="1627"/>
      <c r="AX251" s="1627"/>
      <c r="AY251" s="1658"/>
      <c r="AZ251" s="1658"/>
      <c r="BA251" s="1658"/>
      <c r="BB251" s="1658"/>
      <c r="BC251" s="1658"/>
      <c r="BD251" s="1658"/>
      <c r="BE251" s="1658"/>
      <c r="BF251" s="1658"/>
      <c r="BG251" s="1658"/>
      <c r="BH251" s="1658"/>
      <c r="BI251" s="1209"/>
      <c r="BJ251" s="2074"/>
    </row>
    <row r="252" spans="2:62" s="1855" customFormat="1">
      <c r="B252" s="1209"/>
      <c r="C252" s="1654"/>
      <c r="D252" s="1632"/>
      <c r="E252" s="1627"/>
      <c r="F252" s="1627"/>
      <c r="G252" s="1627"/>
      <c r="H252" s="1627"/>
      <c r="I252" s="1627"/>
      <c r="J252" s="1627"/>
      <c r="K252" s="1627"/>
      <c r="L252" s="1627"/>
      <c r="M252" s="1627"/>
      <c r="N252" s="1627"/>
      <c r="O252" s="1627"/>
      <c r="P252" s="1627"/>
      <c r="Q252" s="1627"/>
      <c r="R252" s="1627"/>
      <c r="S252" s="1627"/>
      <c r="T252" s="1627"/>
      <c r="U252" s="1627"/>
      <c r="V252" s="1627"/>
      <c r="W252" s="1627"/>
      <c r="X252" s="1627"/>
      <c r="Y252" s="1627"/>
      <c r="Z252" s="1627"/>
      <c r="AA252" s="1627"/>
      <c r="AB252" s="1627"/>
      <c r="AC252" s="1627"/>
      <c r="AD252" s="1627"/>
      <c r="AE252" s="1627"/>
      <c r="AF252" s="1627"/>
      <c r="AG252" s="1627"/>
      <c r="AH252" s="1627"/>
      <c r="AI252" s="1627"/>
      <c r="AJ252" s="1627"/>
      <c r="AK252" s="1627"/>
      <c r="AL252" s="1627"/>
      <c r="AM252" s="1627"/>
      <c r="AN252" s="1627"/>
      <c r="AO252" s="1627"/>
      <c r="AP252" s="1627"/>
      <c r="AQ252" s="1627"/>
      <c r="AR252" s="1627"/>
      <c r="AS252" s="1627"/>
      <c r="AT252" s="1627"/>
      <c r="AU252" s="1627"/>
      <c r="AV252" s="1627"/>
      <c r="AW252" s="1627"/>
      <c r="AX252" s="1627"/>
      <c r="AY252" s="1929"/>
      <c r="AZ252" s="1929"/>
      <c r="BA252" s="1929"/>
      <c r="BB252" s="1929"/>
      <c r="BC252" s="1929"/>
      <c r="BD252" s="1929"/>
      <c r="BE252" s="1929"/>
      <c r="BF252" s="1929"/>
      <c r="BG252" s="1929"/>
      <c r="BH252" s="1929"/>
      <c r="BI252" s="1209"/>
    </row>
    <row r="253" spans="2:62" s="1855" customFormat="1">
      <c r="B253" s="1209"/>
      <c r="C253" s="1657"/>
      <c r="D253" s="1632"/>
      <c r="E253" s="1627"/>
      <c r="F253" s="1627"/>
      <c r="G253" s="1627"/>
      <c r="H253" s="1627"/>
      <c r="I253" s="1627"/>
      <c r="J253" s="1627"/>
      <c r="K253" s="1627"/>
      <c r="L253" s="1627"/>
      <c r="M253" s="1627"/>
      <c r="N253" s="1627"/>
      <c r="O253" s="1627"/>
      <c r="P253" s="1627"/>
      <c r="Q253" s="1627"/>
      <c r="R253" s="1627"/>
      <c r="S253" s="1627"/>
      <c r="T253" s="1627"/>
      <c r="U253" s="1627"/>
      <c r="V253" s="1627"/>
      <c r="W253" s="1627"/>
      <c r="X253" s="1627"/>
      <c r="Y253" s="1627"/>
      <c r="Z253" s="1627"/>
      <c r="AA253" s="1627"/>
      <c r="AB253" s="1627"/>
      <c r="AC253" s="1627"/>
      <c r="AD253" s="1627"/>
      <c r="AE253" s="1627"/>
      <c r="AF253" s="1627"/>
      <c r="AG253" s="1627"/>
      <c r="AH253" s="1627"/>
      <c r="AI253" s="1627"/>
      <c r="AJ253" s="1627"/>
      <c r="AK253" s="1627"/>
      <c r="AL253" s="1627"/>
      <c r="AM253" s="1627"/>
      <c r="AN253" s="1627"/>
      <c r="AO253" s="1627"/>
      <c r="AP253" s="1627"/>
      <c r="AQ253" s="1627"/>
      <c r="AR253" s="1627"/>
      <c r="AS253" s="1627"/>
      <c r="AT253" s="1627"/>
      <c r="AU253" s="1627"/>
      <c r="AV253" s="1627"/>
      <c r="AW253" s="1627"/>
      <c r="AX253" s="1627"/>
      <c r="AY253" s="2079"/>
      <c r="AZ253" s="2079"/>
      <c r="BA253" s="2079"/>
      <c r="BB253" s="2079"/>
      <c r="BC253" s="2079"/>
      <c r="BD253" s="2079"/>
      <c r="BE253" s="2079"/>
      <c r="BF253" s="2079"/>
      <c r="BG253" s="2079"/>
      <c r="BH253" s="2079"/>
      <c r="BI253" s="1209"/>
    </row>
    <row r="254" spans="2:62" s="1855" customFormat="1">
      <c r="B254" s="1209"/>
      <c r="C254" s="1657"/>
      <c r="D254" s="1632"/>
      <c r="E254" s="1627"/>
      <c r="F254" s="1627"/>
      <c r="G254" s="1627"/>
      <c r="H254" s="1627"/>
      <c r="I254" s="1627"/>
      <c r="J254" s="1627"/>
      <c r="K254" s="1627"/>
      <c r="L254" s="1627"/>
      <c r="M254" s="1627"/>
      <c r="N254" s="1627"/>
      <c r="O254" s="1627"/>
      <c r="P254" s="1627"/>
      <c r="Q254" s="1627"/>
      <c r="R254" s="1627"/>
      <c r="S254" s="1627"/>
      <c r="T254" s="1627"/>
      <c r="U254" s="1627"/>
      <c r="V254" s="1627"/>
      <c r="W254" s="1627"/>
      <c r="X254" s="1627"/>
      <c r="Y254" s="1627"/>
      <c r="Z254" s="1627"/>
      <c r="AA254" s="1627"/>
      <c r="AB254" s="1627"/>
      <c r="AC254" s="1627"/>
      <c r="AD254" s="1627"/>
      <c r="AE254" s="1627"/>
      <c r="AF254" s="1627"/>
      <c r="AG254" s="1627"/>
      <c r="AH254" s="1627"/>
      <c r="AI254" s="1627"/>
      <c r="AJ254" s="1627"/>
      <c r="AK254" s="1627"/>
      <c r="AL254" s="1627"/>
      <c r="AM254" s="1627"/>
      <c r="AN254" s="1627"/>
      <c r="AO254" s="1627"/>
      <c r="AP254" s="1627"/>
      <c r="AQ254" s="1627"/>
      <c r="AR254" s="1627"/>
      <c r="AS254" s="1627"/>
      <c r="AT254" s="1627"/>
      <c r="AU254" s="1627"/>
      <c r="AV254" s="1627"/>
      <c r="AW254" s="1627"/>
      <c r="AX254" s="1627"/>
      <c r="AY254" s="2079"/>
      <c r="AZ254" s="2079"/>
      <c r="BA254" s="2079"/>
      <c r="BB254" s="2079"/>
      <c r="BC254" s="2079"/>
      <c r="BD254" s="2079"/>
      <c r="BE254" s="2079"/>
      <c r="BF254" s="2079"/>
      <c r="BG254" s="2079"/>
      <c r="BH254" s="2079"/>
      <c r="BI254" s="1209"/>
    </row>
    <row r="255" spans="2:62" s="1855" customFormat="1">
      <c r="B255" s="1209"/>
      <c r="C255" s="1657"/>
      <c r="D255" s="1632"/>
      <c r="E255" s="1627"/>
      <c r="F255" s="1627"/>
      <c r="G255" s="1627"/>
      <c r="H255" s="1627"/>
      <c r="I255" s="1627"/>
      <c r="J255" s="1627"/>
      <c r="K255" s="1627"/>
      <c r="L255" s="1627"/>
      <c r="M255" s="1627"/>
      <c r="N255" s="1627"/>
      <c r="O255" s="1627"/>
      <c r="P255" s="1627"/>
      <c r="Q255" s="1627"/>
      <c r="R255" s="1627"/>
      <c r="S255" s="1627"/>
      <c r="T255" s="1627"/>
      <c r="U255" s="1627"/>
      <c r="V255" s="1627"/>
      <c r="W255" s="1627"/>
      <c r="X255" s="1627"/>
      <c r="Y255" s="1627"/>
      <c r="Z255" s="1627"/>
      <c r="AA255" s="1627"/>
      <c r="AB255" s="1627"/>
      <c r="AC255" s="1627"/>
      <c r="AD255" s="1627"/>
      <c r="AE255" s="1627"/>
      <c r="AF255" s="1627"/>
      <c r="AG255" s="1627"/>
      <c r="AH255" s="1627"/>
      <c r="AI255" s="1627"/>
      <c r="AJ255" s="1627"/>
      <c r="AK255" s="1627"/>
      <c r="AL255" s="1627"/>
      <c r="AM255" s="1627"/>
      <c r="AN255" s="1627"/>
      <c r="AO255" s="1627"/>
      <c r="AP255" s="1627"/>
      <c r="AQ255" s="1627"/>
      <c r="AR255" s="1627"/>
      <c r="AS255" s="1627"/>
      <c r="AT255" s="1627"/>
      <c r="AU255" s="1627"/>
      <c r="AV255" s="1627"/>
      <c r="AW255" s="1627"/>
      <c r="AX255" s="1627"/>
      <c r="AY255" s="2079"/>
      <c r="AZ255" s="2079"/>
      <c r="BA255" s="2079"/>
      <c r="BB255" s="2079"/>
      <c r="BC255" s="2079"/>
      <c r="BD255" s="2079"/>
      <c r="BE255" s="2079"/>
      <c r="BF255" s="2079"/>
      <c r="BG255" s="2079"/>
      <c r="BH255" s="2079"/>
      <c r="BI255" s="1209"/>
    </row>
    <row r="256" spans="2:62" s="1533" customFormat="1">
      <c r="B256" s="1610"/>
      <c r="C256" s="1610"/>
      <c r="D256" s="1610"/>
      <c r="E256" s="1610"/>
      <c r="F256" s="1610"/>
      <c r="G256" s="1610"/>
      <c r="H256" s="1610"/>
      <c r="I256" s="1610"/>
      <c r="J256" s="1610"/>
      <c r="K256" s="1610"/>
      <c r="L256" s="1610"/>
      <c r="M256" s="1610"/>
      <c r="N256" s="1610"/>
      <c r="O256" s="1610"/>
      <c r="P256" s="1610"/>
      <c r="Q256" s="1610"/>
      <c r="R256" s="1610"/>
      <c r="S256" s="1610"/>
      <c r="T256" s="1610"/>
      <c r="U256" s="1610"/>
      <c r="V256" s="1610"/>
      <c r="W256" s="1610"/>
      <c r="X256" s="1610"/>
      <c r="Y256" s="1610"/>
      <c r="Z256" s="1610"/>
      <c r="AA256" s="1610"/>
      <c r="AB256" s="1610"/>
      <c r="AC256" s="1610"/>
      <c r="AD256" s="1610"/>
      <c r="AE256" s="1610"/>
      <c r="AF256" s="1610"/>
      <c r="AG256" s="1610"/>
      <c r="AH256" s="1610"/>
      <c r="AI256" s="1610"/>
      <c r="AJ256" s="1610"/>
      <c r="AK256" s="1610"/>
      <c r="AL256" s="1610"/>
      <c r="AM256" s="1610"/>
      <c r="AN256" s="1610"/>
      <c r="AO256" s="1610"/>
      <c r="AP256" s="1610"/>
      <c r="AQ256" s="1610"/>
      <c r="AR256" s="1610"/>
      <c r="AS256" s="1610"/>
      <c r="AT256" s="1610"/>
      <c r="AU256" s="1610"/>
      <c r="AV256" s="1610"/>
      <c r="AW256" s="1610"/>
      <c r="AX256" s="1610"/>
      <c r="AY256" s="1610"/>
      <c r="AZ256" s="1610"/>
      <c r="BA256" s="1610"/>
      <c r="BB256" s="1610"/>
      <c r="BC256" s="1610"/>
      <c r="BD256" s="1610"/>
      <c r="BE256" s="1610"/>
      <c r="BF256" s="1610"/>
      <c r="BG256" s="1610"/>
      <c r="BH256" s="1610"/>
      <c r="BI256" s="1610"/>
    </row>
    <row r="257" spans="1:61" s="1619" customFormat="1" ht="22">
      <c r="A257" s="799"/>
      <c r="B257" s="1207"/>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3"/>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233"/>
      <c r="AX257" s="1233"/>
      <c r="AY257" s="1233"/>
      <c r="AZ257" s="1233"/>
      <c r="BA257" s="1233"/>
      <c r="BB257" s="1233"/>
      <c r="BC257" s="1233"/>
      <c r="BD257" s="1233"/>
      <c r="BE257" s="1233"/>
      <c r="BF257" s="1233"/>
      <c r="BG257" s="1233"/>
      <c r="BH257" s="1234"/>
      <c r="BI257" s="1235"/>
    </row>
    <row r="258" spans="1:61" s="1619" customFormat="1">
      <c r="B258" s="1209"/>
      <c r="C258" s="1209"/>
      <c r="D258" s="1209"/>
      <c r="E258" s="1209"/>
      <c r="F258" s="1209"/>
      <c r="G258" s="1209"/>
      <c r="H258" s="1209"/>
      <c r="I258" s="1209"/>
      <c r="J258" s="1209"/>
      <c r="K258" s="1209"/>
      <c r="L258" s="1209"/>
      <c r="M258" s="1209"/>
      <c r="N258" s="1209"/>
      <c r="O258" s="1209"/>
      <c r="P258" s="1209"/>
      <c r="Q258" s="1209"/>
      <c r="R258" s="1209"/>
      <c r="S258" s="1209"/>
      <c r="T258" s="1209"/>
      <c r="U258" s="1209"/>
      <c r="V258" s="1209"/>
      <c r="W258" s="1209"/>
      <c r="X258" s="1209"/>
      <c r="Y258" s="1209"/>
      <c r="Z258" s="1209"/>
      <c r="AA258" s="1209"/>
      <c r="AB258" s="1209"/>
      <c r="AC258" s="1209"/>
      <c r="AD258" s="1209"/>
      <c r="AE258" s="1209"/>
      <c r="AF258" s="1209"/>
      <c r="AG258" s="1209"/>
      <c r="AH258" s="1209"/>
      <c r="AI258" s="1209"/>
      <c r="AJ258" s="1209"/>
      <c r="AK258" s="1209"/>
      <c r="AL258" s="1209"/>
      <c r="AM258" s="1209"/>
      <c r="AN258" s="1209"/>
      <c r="AO258" s="1209"/>
      <c r="AP258" s="1209"/>
      <c r="AQ258" s="1209"/>
      <c r="AR258" s="1209"/>
      <c r="AS258" s="1209"/>
      <c r="AT258" s="1209"/>
      <c r="AU258" s="1209"/>
      <c r="AV258" s="1209"/>
      <c r="AW258" s="1209"/>
      <c r="AX258" s="1209"/>
      <c r="AY258" s="1209"/>
      <c r="AZ258" s="1209"/>
      <c r="BA258" s="1209"/>
      <c r="BB258" s="1209"/>
      <c r="BC258" s="1209"/>
      <c r="BD258" s="1209"/>
      <c r="BE258" s="1209"/>
      <c r="BF258" s="1209"/>
      <c r="BG258" s="1209"/>
      <c r="BH258" s="1209"/>
      <c r="BI258" s="1209"/>
    </row>
    <row r="259" spans="1:61" s="1647" customFormat="1">
      <c r="B259" s="1209"/>
      <c r="C259" s="1209"/>
      <c r="D259" s="1209"/>
      <c r="E259" s="1209"/>
      <c r="F259" s="1209"/>
      <c r="G259" s="1209"/>
      <c r="H259" s="1209"/>
      <c r="I259" s="1209"/>
      <c r="J259" s="1209"/>
      <c r="K259" s="1209"/>
      <c r="L259" s="1209"/>
      <c r="M259" s="1209"/>
      <c r="N259" s="1209"/>
      <c r="O259" s="1209"/>
      <c r="P259" s="1209"/>
      <c r="Q259" s="1209"/>
      <c r="R259" s="1209"/>
      <c r="S259" s="1209"/>
      <c r="T259" s="1209"/>
      <c r="U259" s="1209"/>
      <c r="V259" s="1209"/>
      <c r="W259" s="1209"/>
      <c r="X259" s="1209"/>
      <c r="Y259" s="1209"/>
      <c r="Z259" s="1209"/>
      <c r="AA259" s="1209"/>
      <c r="AB259" s="1209"/>
      <c r="AC259" s="1209"/>
      <c r="AD259" s="1209"/>
      <c r="AE259" s="1209"/>
      <c r="AF259" s="1209"/>
      <c r="AG259" s="1209"/>
      <c r="AH259" s="1209"/>
      <c r="AI259" s="1209"/>
      <c r="AJ259" s="1209"/>
      <c r="AK259" s="1209"/>
      <c r="AL259" s="1209"/>
      <c r="AM259" s="1209"/>
      <c r="AN259" s="1209"/>
      <c r="AO259" s="1209"/>
      <c r="AP259" s="1209"/>
      <c r="AQ259" s="1209"/>
      <c r="AR259" s="1209"/>
      <c r="AS259" s="1209"/>
      <c r="AT259" s="1209"/>
      <c r="AU259" s="1209"/>
      <c r="AV259" s="1209"/>
      <c r="AW259" s="1209"/>
      <c r="AX259" s="1209"/>
      <c r="AY259" s="1209"/>
      <c r="AZ259" s="1209"/>
      <c r="BA259" s="1209"/>
      <c r="BB259" s="1209"/>
      <c r="BC259" s="1209"/>
      <c r="BD259" s="1209"/>
      <c r="BE259" s="1209"/>
      <c r="BF259" s="1209"/>
      <c r="BG259" s="1209"/>
      <c r="BH259" s="1209"/>
      <c r="BI259" s="1209"/>
    </row>
    <row r="260" spans="1:61" s="1619" customFormat="1">
      <c r="B260" s="1209"/>
      <c r="C260" s="1652"/>
      <c r="D260" s="1209"/>
      <c r="E260" s="1209"/>
      <c r="F260" s="1209"/>
      <c r="G260" s="1209"/>
      <c r="H260" s="1209"/>
      <c r="I260" s="1209"/>
      <c r="J260" s="1209"/>
      <c r="K260" s="1209"/>
      <c r="L260" s="1209"/>
      <c r="M260" s="1209"/>
      <c r="N260" s="1209"/>
      <c r="O260" s="1209"/>
      <c r="P260" s="1209"/>
      <c r="Q260" s="1209"/>
      <c r="R260" s="1209"/>
      <c r="S260" s="1209"/>
      <c r="T260" s="1209"/>
      <c r="U260" s="1209"/>
      <c r="V260" s="1209"/>
      <c r="W260" s="1209"/>
      <c r="X260" s="1209"/>
      <c r="Y260" s="1209"/>
      <c r="Z260" s="1209"/>
      <c r="AA260" s="1209"/>
      <c r="AB260" s="1209"/>
      <c r="AC260" s="1209"/>
      <c r="AD260" s="1209"/>
      <c r="AE260" s="1209"/>
      <c r="AF260" s="1209"/>
      <c r="AG260" s="1209"/>
      <c r="AH260" s="1209"/>
      <c r="AI260" s="1209"/>
      <c r="AJ260" s="1209"/>
      <c r="AK260" s="1209"/>
      <c r="AL260" s="1209"/>
      <c r="AM260" s="1209"/>
      <c r="AN260" s="1209"/>
      <c r="AO260" s="1209"/>
      <c r="AP260" s="1209"/>
      <c r="AQ260" s="1209"/>
      <c r="AR260" s="1209"/>
      <c r="AS260" s="1209"/>
      <c r="AT260" s="1209"/>
      <c r="AU260" s="1209"/>
      <c r="AV260" s="1209"/>
      <c r="AW260" s="1209"/>
      <c r="AX260" s="1209"/>
      <c r="AY260" s="1651"/>
      <c r="AZ260" s="1651"/>
      <c r="BA260" s="1651"/>
      <c r="BB260" s="1651"/>
      <c r="BC260" s="1651"/>
      <c r="BD260" s="1651"/>
      <c r="BE260" s="1651"/>
      <c r="BF260" s="1651"/>
      <c r="BG260" s="1651"/>
      <c r="BH260" s="1651"/>
      <c r="BI260" s="1209"/>
    </row>
    <row r="261" spans="1:61" s="1619" customFormat="1">
      <c r="B261" s="1209"/>
      <c r="C261" s="1648"/>
      <c r="D261" s="1213"/>
      <c r="E261" s="1209"/>
      <c r="F261" s="1209"/>
      <c r="G261" s="1209"/>
      <c r="H261" s="1209"/>
      <c r="I261" s="1209"/>
      <c r="J261" s="1209"/>
      <c r="K261" s="1209"/>
      <c r="L261" s="1209"/>
      <c r="M261" s="1209"/>
      <c r="N261" s="1209"/>
      <c r="O261" s="1209"/>
      <c r="P261" s="1209"/>
      <c r="Q261" s="1209"/>
      <c r="R261" s="1209"/>
      <c r="S261" s="1209"/>
      <c r="T261" s="1209"/>
      <c r="U261" s="1209"/>
      <c r="V261" s="1209"/>
      <c r="W261" s="1209"/>
      <c r="X261" s="1209"/>
      <c r="Y261" s="1209"/>
      <c r="Z261" s="1209"/>
      <c r="AA261" s="1209"/>
      <c r="AB261" s="1209"/>
      <c r="AC261" s="1209"/>
      <c r="AD261" s="1209"/>
      <c r="AE261" s="1209"/>
      <c r="AF261" s="1209"/>
      <c r="AG261" s="1209"/>
      <c r="AH261" s="1209"/>
      <c r="AI261" s="1209"/>
      <c r="AJ261" s="1209"/>
      <c r="AK261" s="1209"/>
      <c r="AL261" s="1209"/>
      <c r="AM261" s="1209"/>
      <c r="AN261" s="1209"/>
      <c r="AO261" s="1209"/>
      <c r="AP261" s="1209"/>
      <c r="AQ261" s="1209"/>
      <c r="AR261" s="1209"/>
      <c r="AS261" s="1209"/>
      <c r="AT261" s="1209"/>
      <c r="AU261" s="1209"/>
      <c r="AV261" s="1209"/>
      <c r="AW261" s="1209"/>
      <c r="AX261" s="1209"/>
      <c r="AY261" s="1637"/>
      <c r="AZ261" s="1637"/>
      <c r="BA261" s="1637"/>
      <c r="BB261" s="1637"/>
      <c r="BC261" s="1637"/>
      <c r="BD261" s="1637"/>
      <c r="BE261" s="1637"/>
      <c r="BF261" s="1637"/>
      <c r="BG261" s="1637"/>
      <c r="BH261" s="1637"/>
      <c r="BI261" s="1209"/>
    </row>
    <row r="262" spans="1:61" s="1619" customFormat="1">
      <c r="B262" s="1209"/>
      <c r="C262" s="1648"/>
      <c r="D262" s="1213"/>
      <c r="E262" s="1209"/>
      <c r="F262" s="1209"/>
      <c r="G262" s="1209"/>
      <c r="H262" s="1209"/>
      <c r="I262" s="1209"/>
      <c r="J262" s="1209"/>
      <c r="K262" s="1209"/>
      <c r="L262" s="1209"/>
      <c r="M262" s="1209"/>
      <c r="N262" s="1209"/>
      <c r="O262" s="1209"/>
      <c r="P262" s="1209"/>
      <c r="Q262" s="1209"/>
      <c r="R262" s="1209"/>
      <c r="S262" s="1209"/>
      <c r="T262" s="1209"/>
      <c r="U262" s="1209"/>
      <c r="V262" s="1209"/>
      <c r="W262" s="1209"/>
      <c r="X262" s="1209"/>
      <c r="Y262" s="1209"/>
      <c r="Z262" s="1209"/>
      <c r="AA262" s="1209"/>
      <c r="AB262" s="1209"/>
      <c r="AC262" s="1209"/>
      <c r="AD262" s="1209"/>
      <c r="AE262" s="1209"/>
      <c r="AF262" s="1209"/>
      <c r="AG262" s="1209"/>
      <c r="AH262" s="1209"/>
      <c r="AI262" s="1209"/>
      <c r="AJ262" s="1209"/>
      <c r="AK262" s="1209"/>
      <c r="AL262" s="1209"/>
      <c r="AM262" s="1209"/>
      <c r="AN262" s="1209"/>
      <c r="AO262" s="1209"/>
      <c r="AP262" s="1209"/>
      <c r="AQ262" s="1209"/>
      <c r="AR262" s="1209"/>
      <c r="AS262" s="1209"/>
      <c r="AT262" s="1209"/>
      <c r="AU262" s="1209"/>
      <c r="AV262" s="1209"/>
      <c r="AW262" s="1209"/>
      <c r="AX262" s="1209"/>
      <c r="AY262" s="1637"/>
      <c r="AZ262" s="1637"/>
      <c r="BA262" s="1637"/>
      <c r="BB262" s="1637"/>
      <c r="BC262" s="1637"/>
      <c r="BD262" s="1637"/>
      <c r="BE262" s="1637"/>
      <c r="BF262" s="1637"/>
      <c r="BG262" s="1637"/>
      <c r="BH262" s="1637"/>
      <c r="BI262" s="1209"/>
    </row>
    <row r="263" spans="1:61" s="1619" customFormat="1">
      <c r="B263" s="1209"/>
      <c r="C263" s="1648"/>
      <c r="D263" s="1213"/>
      <c r="E263" s="1209"/>
      <c r="F263" s="1209"/>
      <c r="G263" s="1209"/>
      <c r="H263" s="1209"/>
      <c r="I263" s="1209"/>
      <c r="J263" s="1209"/>
      <c r="K263" s="1209"/>
      <c r="L263" s="1209"/>
      <c r="M263" s="1209"/>
      <c r="N263" s="1209"/>
      <c r="O263" s="1209"/>
      <c r="P263" s="1209"/>
      <c r="Q263" s="1209"/>
      <c r="R263" s="1209"/>
      <c r="S263" s="1209"/>
      <c r="T263" s="1209"/>
      <c r="U263" s="1209"/>
      <c r="V263" s="1209"/>
      <c r="W263" s="1209"/>
      <c r="X263" s="1209"/>
      <c r="Y263" s="1209"/>
      <c r="Z263" s="1209"/>
      <c r="AA263" s="1209"/>
      <c r="AB263" s="1209"/>
      <c r="AC263" s="1209"/>
      <c r="AD263" s="1209"/>
      <c r="AE263" s="1209"/>
      <c r="AF263" s="1209"/>
      <c r="AG263" s="1209"/>
      <c r="AH263" s="1209"/>
      <c r="AI263" s="1209"/>
      <c r="AJ263" s="1209"/>
      <c r="AK263" s="1209"/>
      <c r="AL263" s="1209"/>
      <c r="AM263" s="1209"/>
      <c r="AN263" s="1209"/>
      <c r="AO263" s="1209"/>
      <c r="AP263" s="1209"/>
      <c r="AQ263" s="1209"/>
      <c r="AR263" s="1209"/>
      <c r="AS263" s="1209"/>
      <c r="AT263" s="1209"/>
      <c r="AU263" s="1209"/>
      <c r="AV263" s="1209"/>
      <c r="AW263" s="1209"/>
      <c r="AX263" s="1209"/>
      <c r="AY263" s="1637"/>
      <c r="AZ263" s="1637"/>
      <c r="BA263" s="1637"/>
      <c r="BB263" s="1637"/>
      <c r="BC263" s="1637"/>
      <c r="BD263" s="1637"/>
      <c r="BE263" s="1637"/>
      <c r="BF263" s="1637"/>
      <c r="BG263" s="1637"/>
      <c r="BH263" s="1637"/>
      <c r="BI263" s="1209"/>
    </row>
    <row r="264" spans="1:61" s="1619" customFormat="1">
      <c r="B264" s="1209"/>
      <c r="C264" s="1648"/>
      <c r="D264" s="1213"/>
      <c r="E264" s="1209"/>
      <c r="F264" s="1209"/>
      <c r="G264" s="1209"/>
      <c r="H264" s="1209"/>
      <c r="I264" s="1209"/>
      <c r="J264" s="1209"/>
      <c r="K264" s="1209"/>
      <c r="L264" s="1209"/>
      <c r="M264" s="1209"/>
      <c r="N264" s="1209"/>
      <c r="O264" s="1209"/>
      <c r="P264" s="1209"/>
      <c r="Q264" s="1209"/>
      <c r="R264" s="1209"/>
      <c r="S264" s="1209"/>
      <c r="T264" s="1209"/>
      <c r="U264" s="1209"/>
      <c r="V264" s="1209"/>
      <c r="W264" s="1209"/>
      <c r="X264" s="1209"/>
      <c r="Y264" s="1209"/>
      <c r="Z264" s="1209"/>
      <c r="AA264" s="1209"/>
      <c r="AB264" s="1209"/>
      <c r="AC264" s="1209"/>
      <c r="AD264" s="1209"/>
      <c r="AE264" s="1209"/>
      <c r="AF264" s="1209"/>
      <c r="AG264" s="1209"/>
      <c r="AH264" s="1209"/>
      <c r="AI264" s="1209"/>
      <c r="AJ264" s="1209"/>
      <c r="AK264" s="1209"/>
      <c r="AL264" s="1209"/>
      <c r="AM264" s="1209"/>
      <c r="AN264" s="1209"/>
      <c r="AO264" s="1209"/>
      <c r="AP264" s="1209"/>
      <c r="AQ264" s="1209"/>
      <c r="AR264" s="1209"/>
      <c r="AS264" s="1209"/>
      <c r="AT264" s="1209"/>
      <c r="AU264" s="1209"/>
      <c r="AV264" s="1209"/>
      <c r="AW264" s="1209"/>
      <c r="AX264" s="1209"/>
      <c r="AY264" s="1637"/>
      <c r="AZ264" s="1637"/>
      <c r="BA264" s="1637"/>
      <c r="BB264" s="1637"/>
      <c r="BC264" s="1637"/>
      <c r="BD264" s="1637"/>
      <c r="BE264" s="1637"/>
      <c r="BF264" s="1637"/>
      <c r="BG264" s="1637"/>
      <c r="BH264" s="1637"/>
      <c r="BI264" s="1209"/>
    </row>
    <row r="265" spans="1:61" s="1619" customFormat="1">
      <c r="B265" s="1209"/>
      <c r="C265" s="1648"/>
      <c r="D265" s="1213"/>
      <c r="E265" s="1209"/>
      <c r="F265" s="1209"/>
      <c r="G265" s="1209"/>
      <c r="H265" s="1209"/>
      <c r="I265" s="1209"/>
      <c r="J265" s="1209"/>
      <c r="K265" s="1209"/>
      <c r="L265" s="1209"/>
      <c r="M265" s="1209"/>
      <c r="N265" s="1209"/>
      <c r="O265" s="1209"/>
      <c r="P265" s="1209"/>
      <c r="Q265" s="1209"/>
      <c r="R265" s="1209"/>
      <c r="S265" s="1209"/>
      <c r="T265" s="1209"/>
      <c r="U265" s="1209"/>
      <c r="V265" s="1209"/>
      <c r="W265" s="1209"/>
      <c r="X265" s="1209"/>
      <c r="Y265" s="1209"/>
      <c r="Z265" s="1209"/>
      <c r="AA265" s="1209"/>
      <c r="AB265" s="1209"/>
      <c r="AC265" s="1209"/>
      <c r="AD265" s="1209"/>
      <c r="AE265" s="1209"/>
      <c r="AF265" s="1209"/>
      <c r="AG265" s="1209"/>
      <c r="AH265" s="1209"/>
      <c r="AI265" s="1209"/>
      <c r="AJ265" s="1209"/>
      <c r="AK265" s="1209"/>
      <c r="AL265" s="1209"/>
      <c r="AM265" s="1209"/>
      <c r="AN265" s="1209"/>
      <c r="AO265" s="1209"/>
      <c r="AP265" s="1209"/>
      <c r="AQ265" s="1209"/>
      <c r="AR265" s="1209"/>
      <c r="AS265" s="1209"/>
      <c r="AT265" s="1209"/>
      <c r="AU265" s="1209"/>
      <c r="AV265" s="1209"/>
      <c r="AW265" s="1209"/>
      <c r="AX265" s="1209"/>
      <c r="AY265" s="1637"/>
      <c r="AZ265" s="1637"/>
      <c r="BA265" s="1637"/>
      <c r="BB265" s="1637"/>
      <c r="BC265" s="1637"/>
      <c r="BD265" s="1637"/>
      <c r="BE265" s="1637"/>
      <c r="BF265" s="1637"/>
      <c r="BG265" s="1637"/>
      <c r="BH265" s="1637"/>
      <c r="BI265" s="1209"/>
    </row>
    <row r="266" spans="1:61" s="1619" customFormat="1">
      <c r="B266" s="1209"/>
      <c r="C266" s="1649"/>
      <c r="D266" s="1213"/>
      <c r="E266" s="1209"/>
      <c r="F266" s="1209"/>
      <c r="G266" s="1209"/>
      <c r="H266" s="1209"/>
      <c r="I266" s="1209"/>
      <c r="J266" s="1209"/>
      <c r="K266" s="1209"/>
      <c r="L266" s="1209"/>
      <c r="M266" s="1209"/>
      <c r="N266" s="1209"/>
      <c r="O266" s="1209"/>
      <c r="P266" s="1209"/>
      <c r="Q266" s="1209"/>
      <c r="R266" s="1209"/>
      <c r="S266" s="1209"/>
      <c r="T266" s="1209"/>
      <c r="U266" s="1209"/>
      <c r="V266" s="1209"/>
      <c r="W266" s="1209"/>
      <c r="X266" s="1209"/>
      <c r="Y266" s="1209"/>
      <c r="Z266" s="1209"/>
      <c r="AA266" s="1209"/>
      <c r="AB266" s="1209"/>
      <c r="AC266" s="1209"/>
      <c r="AD266" s="1209"/>
      <c r="AE266" s="1209"/>
      <c r="AF266" s="1209"/>
      <c r="AG266" s="1209"/>
      <c r="AH266" s="1209"/>
      <c r="AI266" s="1209"/>
      <c r="AJ266" s="1209"/>
      <c r="AK266" s="1209"/>
      <c r="AL266" s="1209"/>
      <c r="AM266" s="1209"/>
      <c r="AN266" s="1209"/>
      <c r="AO266" s="1209"/>
      <c r="AP266" s="1209"/>
      <c r="AQ266" s="1209"/>
      <c r="AR266" s="1209"/>
      <c r="AS266" s="1209"/>
      <c r="AT266" s="1209"/>
      <c r="AU266" s="1209"/>
      <c r="AV266" s="1209"/>
      <c r="AW266" s="1209"/>
      <c r="AX266" s="1209"/>
      <c r="AY266" s="1637"/>
      <c r="AZ266" s="1637"/>
      <c r="BA266" s="1637"/>
      <c r="BB266" s="1637"/>
      <c r="BC266" s="1637"/>
      <c r="BD266" s="1637"/>
      <c r="BE266" s="1637"/>
      <c r="BF266" s="1637"/>
      <c r="BG266" s="1637"/>
      <c r="BH266" s="1637"/>
      <c r="BI266" s="1209"/>
    </row>
    <row r="267" spans="1:61" s="1619" customFormat="1">
      <c r="B267" s="1209"/>
      <c r="C267" s="1648"/>
      <c r="D267" s="1213"/>
      <c r="E267" s="1209"/>
      <c r="F267" s="1209"/>
      <c r="G267" s="1209"/>
      <c r="H267" s="1209"/>
      <c r="I267" s="1209"/>
      <c r="J267" s="1209"/>
      <c r="K267" s="1209"/>
      <c r="L267" s="1209"/>
      <c r="M267" s="1209"/>
      <c r="N267" s="1209"/>
      <c r="O267" s="1209"/>
      <c r="P267" s="1209"/>
      <c r="Q267" s="1209"/>
      <c r="R267" s="1209"/>
      <c r="S267" s="1209"/>
      <c r="T267" s="1209"/>
      <c r="U267" s="1209"/>
      <c r="V267" s="1209"/>
      <c r="W267" s="1209"/>
      <c r="X267" s="1209"/>
      <c r="Y267" s="1209"/>
      <c r="Z267" s="1209"/>
      <c r="AA267" s="1209"/>
      <c r="AB267" s="1209"/>
      <c r="AC267" s="1209"/>
      <c r="AD267" s="1209"/>
      <c r="AE267" s="1209"/>
      <c r="AF267" s="1209"/>
      <c r="AG267" s="1209"/>
      <c r="AH267" s="1209"/>
      <c r="AI267" s="1209"/>
      <c r="AJ267" s="1209"/>
      <c r="AK267" s="1209"/>
      <c r="AL267" s="1209"/>
      <c r="AM267" s="1209"/>
      <c r="AN267" s="1209"/>
      <c r="AO267" s="1209"/>
      <c r="AP267" s="1209"/>
      <c r="AQ267" s="1209"/>
      <c r="AR267" s="1209"/>
      <c r="AS267" s="1209"/>
      <c r="AT267" s="1209"/>
      <c r="AU267" s="1209"/>
      <c r="AV267" s="1209"/>
      <c r="AW267" s="1209"/>
      <c r="AX267" s="1209"/>
      <c r="AY267" s="1637"/>
      <c r="AZ267" s="1637"/>
      <c r="BA267" s="1637"/>
      <c r="BB267" s="1637"/>
      <c r="BC267" s="1637"/>
      <c r="BD267" s="1637"/>
      <c r="BE267" s="1637"/>
      <c r="BF267" s="1637"/>
      <c r="BG267" s="1637"/>
      <c r="BH267" s="1637"/>
      <c r="BI267" s="1209"/>
    </row>
    <row r="268" spans="1:61" s="1647" customFormat="1">
      <c r="B268" s="1209"/>
      <c r="C268" s="1648"/>
      <c r="D268" s="1213"/>
      <c r="E268" s="1209"/>
      <c r="F268" s="1209"/>
      <c r="G268" s="1209"/>
      <c r="H268" s="1209"/>
      <c r="I268" s="1209"/>
      <c r="J268" s="1209"/>
      <c r="K268" s="1209"/>
      <c r="L268" s="1209"/>
      <c r="M268" s="1209"/>
      <c r="N268" s="1209"/>
      <c r="O268" s="1209"/>
      <c r="P268" s="1209"/>
      <c r="Q268" s="1209"/>
      <c r="R268" s="1209"/>
      <c r="S268" s="1209"/>
      <c r="T268" s="1209"/>
      <c r="U268" s="1209"/>
      <c r="V268" s="1209"/>
      <c r="W268" s="1209"/>
      <c r="X268" s="1209"/>
      <c r="Y268" s="1209"/>
      <c r="Z268" s="1209"/>
      <c r="AA268" s="1209"/>
      <c r="AB268" s="1209"/>
      <c r="AC268" s="1209"/>
      <c r="AD268" s="1209"/>
      <c r="AE268" s="1209"/>
      <c r="AF268" s="1209"/>
      <c r="AG268" s="1209"/>
      <c r="AH268" s="1209"/>
      <c r="AI268" s="1209"/>
      <c r="AJ268" s="1209"/>
      <c r="AK268" s="1209"/>
      <c r="AL268" s="1209"/>
      <c r="AM268" s="1209"/>
      <c r="AN268" s="1209"/>
      <c r="AO268" s="1209"/>
      <c r="AP268" s="1209"/>
      <c r="AQ268" s="1209"/>
      <c r="AR268" s="1209"/>
      <c r="AS268" s="1209"/>
      <c r="AT268" s="1209"/>
      <c r="AU268" s="1209"/>
      <c r="AV268" s="1209"/>
      <c r="AW268" s="1209"/>
      <c r="AX268" s="1209"/>
      <c r="AY268" s="1637"/>
      <c r="AZ268" s="1637"/>
      <c r="BA268" s="1637"/>
      <c r="BB268" s="1637"/>
      <c r="BC268" s="1637"/>
      <c r="BD268" s="1637"/>
      <c r="BE268" s="1637"/>
      <c r="BF268" s="1637"/>
      <c r="BG268" s="1637"/>
      <c r="BH268" s="1637"/>
      <c r="BI268" s="1209"/>
    </row>
    <row r="269" spans="1:61" s="1647" customFormat="1">
      <c r="B269" s="1209"/>
      <c r="C269" s="1634"/>
      <c r="D269" s="1213"/>
      <c r="E269" s="1209"/>
      <c r="F269" s="1209"/>
      <c r="G269" s="1209"/>
      <c r="H269" s="1209"/>
      <c r="I269" s="1209"/>
      <c r="J269" s="1209"/>
      <c r="K269" s="1209"/>
      <c r="L269" s="1209"/>
      <c r="M269" s="1209"/>
      <c r="N269" s="1209"/>
      <c r="O269" s="1209"/>
      <c r="P269" s="1209"/>
      <c r="Q269" s="1209"/>
      <c r="R269" s="1209"/>
      <c r="S269" s="1209"/>
      <c r="T269" s="1209"/>
      <c r="U269" s="1209"/>
      <c r="V269" s="1209"/>
      <c r="W269" s="1209"/>
      <c r="X269" s="1209"/>
      <c r="Y269" s="1209"/>
      <c r="Z269" s="1209"/>
      <c r="AA269" s="1209"/>
      <c r="AB269" s="1209"/>
      <c r="AC269" s="1209"/>
      <c r="AD269" s="1209"/>
      <c r="AE269" s="1209"/>
      <c r="AF269" s="1209"/>
      <c r="AG269" s="1209"/>
      <c r="AH269" s="1209"/>
      <c r="AI269" s="1209"/>
      <c r="AJ269" s="1209"/>
      <c r="AK269" s="1209"/>
      <c r="AL269" s="1209"/>
      <c r="AM269" s="1209"/>
      <c r="AN269" s="1209"/>
      <c r="AO269" s="1209"/>
      <c r="AP269" s="1209"/>
      <c r="AQ269" s="1209"/>
      <c r="AR269" s="1209"/>
      <c r="AS269" s="1209"/>
      <c r="AT269" s="1209"/>
      <c r="AU269" s="1209"/>
      <c r="AV269" s="1209"/>
      <c r="AW269" s="1209"/>
      <c r="AX269" s="1209"/>
      <c r="AY269" s="1651"/>
      <c r="AZ269" s="1651"/>
      <c r="BA269" s="1651"/>
      <c r="BB269" s="1651"/>
      <c r="BC269" s="1651"/>
      <c r="BD269" s="1651"/>
      <c r="BE269" s="1651"/>
      <c r="BF269" s="1651"/>
      <c r="BG269" s="1651"/>
      <c r="BH269" s="1651"/>
      <c r="BI269" s="1209"/>
    </row>
    <row r="270" spans="1:61" s="1647" customFormat="1">
      <c r="B270" s="1209"/>
      <c r="C270" s="1210"/>
      <c r="D270" s="1209"/>
      <c r="E270" s="1209"/>
      <c r="F270" s="1209"/>
      <c r="G270" s="1209"/>
      <c r="H270" s="1209"/>
      <c r="I270" s="1209"/>
      <c r="J270" s="1209"/>
      <c r="K270" s="1209"/>
      <c r="L270" s="1209"/>
      <c r="M270" s="1209"/>
      <c r="N270" s="1209"/>
      <c r="O270" s="1209"/>
      <c r="P270" s="1209"/>
      <c r="Q270" s="1209"/>
      <c r="R270" s="1209"/>
      <c r="S270" s="1209"/>
      <c r="T270" s="1209"/>
      <c r="U270" s="1209"/>
      <c r="V270" s="1209"/>
      <c r="W270" s="1209"/>
      <c r="X270" s="1209"/>
      <c r="Y270" s="1209"/>
      <c r="Z270" s="1209"/>
      <c r="AA270" s="1209"/>
      <c r="AB270" s="1209"/>
      <c r="AC270" s="1209"/>
      <c r="AD270" s="1209"/>
      <c r="AE270" s="1209"/>
      <c r="AF270" s="1209"/>
      <c r="AG270" s="1209"/>
      <c r="AH270" s="1209"/>
      <c r="AI270" s="1209"/>
      <c r="AJ270" s="1209"/>
      <c r="AK270" s="1209"/>
      <c r="AL270" s="1209"/>
      <c r="AM270" s="1209"/>
      <c r="AN270" s="1209"/>
      <c r="AO270" s="1209"/>
      <c r="AP270" s="1209"/>
      <c r="AQ270" s="1209"/>
      <c r="AR270" s="1209"/>
      <c r="AS270" s="1209"/>
      <c r="AT270" s="1209"/>
      <c r="AU270" s="1209"/>
      <c r="AV270" s="1209"/>
      <c r="AW270" s="1209"/>
      <c r="AX270" s="1209"/>
      <c r="AY270" s="1637"/>
      <c r="AZ270" s="1637"/>
      <c r="BA270" s="1637"/>
      <c r="BB270" s="1637"/>
      <c r="BC270" s="1637"/>
      <c r="BD270" s="1637"/>
      <c r="BE270" s="1637"/>
      <c r="BF270" s="1637"/>
      <c r="BG270" s="1637"/>
      <c r="BH270" s="1637"/>
      <c r="BI270" s="1209"/>
    </row>
    <row r="271" spans="1:61" s="1647" customFormat="1">
      <c r="B271" s="1209"/>
      <c r="C271" s="1210"/>
      <c r="D271" s="1650"/>
      <c r="E271" s="1209"/>
      <c r="F271" s="1209"/>
      <c r="G271" s="1209"/>
      <c r="H271" s="1209"/>
      <c r="I271" s="1209"/>
      <c r="J271" s="1209"/>
      <c r="K271" s="1209"/>
      <c r="L271" s="1209"/>
      <c r="M271" s="1209"/>
      <c r="N271" s="1209"/>
      <c r="O271" s="1209"/>
      <c r="P271" s="1209"/>
      <c r="Q271" s="1209"/>
      <c r="R271" s="1209"/>
      <c r="S271" s="1209"/>
      <c r="T271" s="1209"/>
      <c r="U271" s="1209"/>
      <c r="V271" s="1209"/>
      <c r="W271" s="1209"/>
      <c r="X271" s="1209"/>
      <c r="Y271" s="1209"/>
      <c r="Z271" s="1209"/>
      <c r="AA271" s="1209"/>
      <c r="AB271" s="1209"/>
      <c r="AC271" s="1209"/>
      <c r="AD271" s="1209"/>
      <c r="AE271" s="1209"/>
      <c r="AF271" s="1209"/>
      <c r="AG271" s="1209"/>
      <c r="AH271" s="1209"/>
      <c r="AI271" s="1209"/>
      <c r="AJ271" s="1209"/>
      <c r="AK271" s="1209"/>
      <c r="AL271" s="1209"/>
      <c r="AM271" s="1209"/>
      <c r="AN271" s="1209"/>
      <c r="AO271" s="1209"/>
      <c r="AP271" s="1209"/>
      <c r="AQ271" s="1209"/>
      <c r="AR271" s="1209"/>
      <c r="AS271" s="1209"/>
      <c r="AT271" s="1209"/>
      <c r="AU271" s="1209"/>
      <c r="AV271" s="1209"/>
      <c r="AW271" s="1209"/>
      <c r="AX271" s="1209"/>
      <c r="AY271" s="1637"/>
      <c r="AZ271" s="1637"/>
      <c r="BA271" s="1637"/>
      <c r="BB271" s="1637"/>
      <c r="BC271" s="1637"/>
      <c r="BD271" s="1637"/>
      <c r="BE271" s="1637"/>
      <c r="BF271" s="1637"/>
      <c r="BG271" s="1637"/>
      <c r="BH271" s="1637"/>
      <c r="BI271" s="1209"/>
    </row>
    <row r="272" spans="1:61" s="1647" customFormat="1">
      <c r="B272" s="1209"/>
      <c r="C272" s="1210"/>
      <c r="D272" s="1650"/>
      <c r="E272" s="1209"/>
      <c r="F272" s="1209"/>
      <c r="G272" s="1209"/>
      <c r="H272" s="1209"/>
      <c r="I272" s="1209"/>
      <c r="J272" s="1209"/>
      <c r="K272" s="1209"/>
      <c r="L272" s="1209"/>
      <c r="M272" s="1209"/>
      <c r="N272" s="1209"/>
      <c r="O272" s="1209"/>
      <c r="P272" s="1209"/>
      <c r="Q272" s="1209"/>
      <c r="R272" s="1209"/>
      <c r="S272" s="1209"/>
      <c r="T272" s="1209"/>
      <c r="U272" s="1209"/>
      <c r="V272" s="1209"/>
      <c r="W272" s="1209"/>
      <c r="X272" s="1209"/>
      <c r="Y272" s="1209"/>
      <c r="Z272" s="1209"/>
      <c r="AA272" s="1209"/>
      <c r="AB272" s="1209"/>
      <c r="AC272" s="1209"/>
      <c r="AD272" s="1209"/>
      <c r="AE272" s="1209"/>
      <c r="AF272" s="1209"/>
      <c r="AG272" s="1209"/>
      <c r="AH272" s="1209"/>
      <c r="AI272" s="1209"/>
      <c r="AJ272" s="1209"/>
      <c r="AK272" s="1209"/>
      <c r="AL272" s="1209"/>
      <c r="AM272" s="1209"/>
      <c r="AN272" s="1209"/>
      <c r="AO272" s="1209"/>
      <c r="AP272" s="1209"/>
      <c r="AQ272" s="1209"/>
      <c r="AR272" s="1209"/>
      <c r="AS272" s="1209"/>
      <c r="AT272" s="1209"/>
      <c r="AU272" s="1209"/>
      <c r="AV272" s="1209"/>
      <c r="AW272" s="1209"/>
      <c r="AX272" s="1209"/>
      <c r="AY272" s="1637"/>
      <c r="AZ272" s="1637"/>
      <c r="BA272" s="1637"/>
      <c r="BB272" s="1637"/>
      <c r="BC272" s="1637"/>
      <c r="BD272" s="1637"/>
      <c r="BE272" s="1637"/>
      <c r="BF272" s="1637"/>
      <c r="BG272" s="1637"/>
      <c r="BH272" s="1637"/>
      <c r="BI272" s="1209"/>
    </row>
    <row r="273" spans="1:61" s="1647" customFormat="1">
      <c r="B273" s="1209"/>
      <c r="C273" s="1210"/>
      <c r="D273" s="1650"/>
      <c r="E273" s="1209"/>
      <c r="F273" s="1209"/>
      <c r="G273" s="1209"/>
      <c r="H273" s="1209"/>
      <c r="I273" s="1209"/>
      <c r="J273" s="1209"/>
      <c r="K273" s="1209"/>
      <c r="L273" s="1209"/>
      <c r="M273" s="1209"/>
      <c r="N273" s="1209"/>
      <c r="O273" s="1209"/>
      <c r="P273" s="1209"/>
      <c r="Q273" s="1209"/>
      <c r="R273" s="1209"/>
      <c r="S273" s="1209"/>
      <c r="T273" s="1209"/>
      <c r="U273" s="1209"/>
      <c r="V273" s="1209"/>
      <c r="W273" s="1209"/>
      <c r="X273" s="1209"/>
      <c r="Y273" s="1209"/>
      <c r="Z273" s="1209"/>
      <c r="AA273" s="1209"/>
      <c r="AB273" s="1209"/>
      <c r="AC273" s="1209"/>
      <c r="AD273" s="1209"/>
      <c r="AE273" s="1209"/>
      <c r="AF273" s="1209"/>
      <c r="AG273" s="1209"/>
      <c r="AH273" s="1209"/>
      <c r="AI273" s="1209"/>
      <c r="AJ273" s="1209"/>
      <c r="AK273" s="1209"/>
      <c r="AL273" s="1209"/>
      <c r="AM273" s="1209"/>
      <c r="AN273" s="1209"/>
      <c r="AO273" s="1209"/>
      <c r="AP273" s="1209"/>
      <c r="AQ273" s="1209"/>
      <c r="AR273" s="1209"/>
      <c r="AS273" s="1209"/>
      <c r="AT273" s="1209"/>
      <c r="AU273" s="1209"/>
      <c r="AV273" s="1209"/>
      <c r="AW273" s="1209"/>
      <c r="AX273" s="1209"/>
      <c r="AY273" s="1637"/>
      <c r="AZ273" s="1637"/>
      <c r="BA273" s="1637"/>
      <c r="BB273" s="1637"/>
      <c r="BC273" s="1637"/>
      <c r="BD273" s="1637"/>
      <c r="BE273" s="1637"/>
      <c r="BF273" s="1637"/>
      <c r="BG273" s="1637"/>
      <c r="BH273" s="1637"/>
      <c r="BI273" s="1209"/>
    </row>
    <row r="274" spans="1:61" s="1619" customFormat="1">
      <c r="B274" s="1209"/>
      <c r="C274" s="1635"/>
      <c r="D274" s="1209"/>
      <c r="E274" s="1209"/>
      <c r="F274" s="1209"/>
      <c r="G274" s="1209"/>
      <c r="H274" s="1209"/>
      <c r="I274" s="1209"/>
      <c r="J274" s="1209"/>
      <c r="K274" s="1209"/>
      <c r="L274" s="1209"/>
      <c r="M274" s="1209"/>
      <c r="N274" s="1209"/>
      <c r="O274" s="1209"/>
      <c r="P274" s="1209"/>
      <c r="Q274" s="1209"/>
      <c r="R274" s="1209"/>
      <c r="S274" s="1209"/>
      <c r="T274" s="1209"/>
      <c r="U274" s="1209"/>
      <c r="V274" s="1209"/>
      <c r="W274" s="1209"/>
      <c r="X274" s="1209"/>
      <c r="Y274" s="1209"/>
      <c r="Z274" s="1209"/>
      <c r="AA274" s="1209"/>
      <c r="AB274" s="1209"/>
      <c r="AC274" s="1209"/>
      <c r="AD274" s="1209"/>
      <c r="AE274" s="1209"/>
      <c r="AF274" s="1209"/>
      <c r="AG274" s="1209"/>
      <c r="AH274" s="1209"/>
      <c r="AI274" s="1209"/>
      <c r="AJ274" s="1209"/>
      <c r="AK274" s="1209"/>
      <c r="AL274" s="1209"/>
      <c r="AM274" s="1209"/>
      <c r="AN274" s="1209"/>
      <c r="AO274" s="1209"/>
      <c r="AP274" s="1209"/>
      <c r="AQ274" s="1209"/>
      <c r="AR274" s="1209"/>
      <c r="AS274" s="1209"/>
      <c r="AT274" s="1209"/>
      <c r="AU274" s="1209"/>
      <c r="AV274" s="1209"/>
      <c r="AW274" s="1209"/>
      <c r="AX274" s="1209"/>
      <c r="AY274" s="1209"/>
      <c r="AZ274" s="1209"/>
      <c r="BA274" s="1209"/>
      <c r="BB274" s="1209"/>
      <c r="BC274" s="1209"/>
      <c r="BD274" s="1209"/>
      <c r="BE274" s="1209"/>
      <c r="BF274" s="1209"/>
      <c r="BG274" s="1209"/>
      <c r="BH274" s="1209"/>
      <c r="BI274" s="1209"/>
    </row>
    <row r="275" spans="1:61" s="1619" customFormat="1">
      <c r="B275" s="1209"/>
      <c r="C275" s="1633"/>
      <c r="D275" s="1367"/>
      <c r="E275" s="1630"/>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4"/>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244"/>
      <c r="AX275" s="1369"/>
      <c r="AY275" s="2061"/>
      <c r="AZ275" s="2061"/>
      <c r="BA275" s="2061"/>
      <c r="BB275" s="2061"/>
      <c r="BC275" s="2061"/>
      <c r="BD275" s="2061"/>
      <c r="BE275" s="2061"/>
      <c r="BF275" s="2061"/>
      <c r="BG275" s="2061"/>
      <c r="BH275" s="2061"/>
      <c r="BI275" s="1209"/>
    </row>
    <row r="276" spans="1:61" s="1619" customFormat="1">
      <c r="B276" s="1209"/>
      <c r="C276" s="1633"/>
      <c r="D276" s="1367"/>
      <c r="E276" s="1630"/>
      <c r="F276" s="1244"/>
      <c r="G276" s="1244"/>
      <c r="H276" s="1244"/>
      <c r="I276" s="1244"/>
      <c r="J276" s="1244"/>
      <c r="K276" s="1244"/>
      <c r="L276" s="1244"/>
      <c r="M276" s="1244"/>
      <c r="N276" s="1244"/>
      <c r="O276" s="1244"/>
      <c r="P276" s="1244"/>
      <c r="Q276" s="1244"/>
      <c r="R276" s="1244"/>
      <c r="S276" s="1244"/>
      <c r="T276" s="1244"/>
      <c r="U276" s="1244"/>
      <c r="V276" s="1244"/>
      <c r="W276" s="1244"/>
      <c r="X276" s="1244"/>
      <c r="Y276" s="1244"/>
      <c r="Z276" s="1244"/>
      <c r="AA276" s="1244"/>
      <c r="AB276" s="1244"/>
      <c r="AC276" s="1244"/>
      <c r="AD276" s="1244"/>
      <c r="AE276" s="1244"/>
      <c r="AF276" s="1244"/>
      <c r="AG276" s="1244"/>
      <c r="AH276" s="1244"/>
      <c r="AI276" s="1244"/>
      <c r="AJ276" s="1244"/>
      <c r="AK276" s="1244"/>
      <c r="AL276" s="1244"/>
      <c r="AM276" s="1244"/>
      <c r="AN276" s="1244"/>
      <c r="AO276" s="1244"/>
      <c r="AP276" s="1244"/>
      <c r="AQ276" s="1244"/>
      <c r="AR276" s="1244"/>
      <c r="AS276" s="1244"/>
      <c r="AT276" s="1244"/>
      <c r="AU276" s="1244"/>
      <c r="AV276" s="1244"/>
      <c r="AW276" s="1244"/>
      <c r="AX276" s="1369"/>
      <c r="AY276" s="2061"/>
      <c r="AZ276" s="2061"/>
      <c r="BA276" s="2061"/>
      <c r="BB276" s="2061"/>
      <c r="BC276" s="2061"/>
      <c r="BD276" s="2061"/>
      <c r="BE276" s="2061"/>
      <c r="BF276" s="2061"/>
      <c r="BG276" s="2061"/>
      <c r="BH276" s="2061"/>
      <c r="BI276" s="1209"/>
    </row>
    <row r="277" spans="1:61" s="1638" customFormat="1">
      <c r="B277" s="1209"/>
      <c r="C277" s="1633"/>
      <c r="D277" s="1367"/>
      <c r="E277" s="1630"/>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4"/>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244"/>
      <c r="AX277" s="1369"/>
      <c r="AY277" s="1369"/>
      <c r="AZ277" s="1369"/>
      <c r="BA277" s="1369"/>
      <c r="BB277" s="1369"/>
      <c r="BC277" s="1369"/>
      <c r="BD277" s="1369"/>
      <c r="BE277" s="1369"/>
      <c r="BF277" s="1369"/>
      <c r="BG277" s="1369"/>
      <c r="BH277" s="1369"/>
      <c r="BI277" s="1209"/>
    </row>
    <row r="278" spans="1:61" s="1638" customFormat="1">
      <c r="B278" s="1209"/>
      <c r="C278" s="1630"/>
      <c r="D278" s="1367"/>
      <c r="E278" s="1630"/>
      <c r="F278" s="1244"/>
      <c r="G278" s="1244"/>
      <c r="H278" s="1244"/>
      <c r="I278" s="1244"/>
      <c r="J278" s="1244"/>
      <c r="K278" s="1244"/>
      <c r="L278" s="1244"/>
      <c r="M278" s="1244"/>
      <c r="N278" s="1244"/>
      <c r="O278" s="1244"/>
      <c r="P278" s="1244"/>
      <c r="Q278" s="1244"/>
      <c r="R278" s="1244"/>
      <c r="S278" s="1244"/>
      <c r="T278" s="1244"/>
      <c r="U278" s="1244"/>
      <c r="V278" s="1244"/>
      <c r="W278" s="1244"/>
      <c r="X278" s="1244"/>
      <c r="Y278" s="1244"/>
      <c r="Z278" s="1244"/>
      <c r="AA278" s="1244"/>
      <c r="AB278" s="1244"/>
      <c r="AC278" s="1244"/>
      <c r="AD278" s="1244"/>
      <c r="AE278" s="1244"/>
      <c r="AF278" s="1244"/>
      <c r="AG278" s="1244"/>
      <c r="AH278" s="1244"/>
      <c r="AI278" s="1244"/>
      <c r="AJ278" s="1244"/>
      <c r="AK278" s="1244"/>
      <c r="AL278" s="1244"/>
      <c r="AM278" s="1244"/>
      <c r="AN278" s="1244"/>
      <c r="AO278" s="1244"/>
      <c r="AP278" s="1244"/>
      <c r="AQ278" s="1244"/>
      <c r="AR278" s="1244"/>
      <c r="AS278" s="1244"/>
      <c r="AT278" s="1244"/>
      <c r="AU278" s="1244"/>
      <c r="AV278" s="1244"/>
      <c r="AW278" s="1244"/>
      <c r="AX278" s="1369"/>
      <c r="AY278" s="1369"/>
      <c r="AZ278" s="1369"/>
      <c r="BA278" s="1369"/>
      <c r="BB278" s="1369"/>
      <c r="BC278" s="1369"/>
      <c r="BD278" s="1369"/>
      <c r="BE278" s="1369"/>
      <c r="BF278" s="1369"/>
      <c r="BG278" s="1369"/>
      <c r="BH278" s="1369"/>
      <c r="BI278" s="1209"/>
    </row>
    <row r="279" spans="1:61" s="1619" customFormat="1">
      <c r="B279" s="1209"/>
      <c r="C279" s="1209"/>
      <c r="D279" s="1209"/>
      <c r="E279" s="1209"/>
      <c r="F279" s="1209"/>
      <c r="G279" s="1209"/>
      <c r="H279" s="1209"/>
      <c r="I279" s="1209"/>
      <c r="J279" s="1209"/>
      <c r="K279" s="1209"/>
      <c r="L279" s="1209"/>
      <c r="M279" s="1209"/>
      <c r="N279" s="1209"/>
      <c r="O279" s="1209"/>
      <c r="P279" s="1209"/>
      <c r="Q279" s="1209"/>
      <c r="R279" s="1209"/>
      <c r="S279" s="1209"/>
      <c r="T279" s="1209"/>
      <c r="U279" s="1209"/>
      <c r="V279" s="1209"/>
      <c r="W279" s="1209"/>
      <c r="X279" s="1209"/>
      <c r="Y279" s="1209"/>
      <c r="Z279" s="1209"/>
      <c r="AA279" s="1209"/>
      <c r="AB279" s="1209"/>
      <c r="AC279" s="1209"/>
      <c r="AD279" s="1209"/>
      <c r="AE279" s="1209"/>
      <c r="AF279" s="1209"/>
      <c r="AG279" s="1209"/>
      <c r="AH279" s="1209"/>
      <c r="AI279" s="1209"/>
      <c r="AJ279" s="1209"/>
      <c r="AK279" s="1209"/>
      <c r="AL279" s="1209"/>
      <c r="AM279" s="1209"/>
      <c r="AN279" s="1209"/>
      <c r="AO279" s="1209"/>
      <c r="AP279" s="1209"/>
      <c r="AQ279" s="1209"/>
      <c r="AR279" s="1209"/>
      <c r="AS279" s="1209"/>
      <c r="AT279" s="1209"/>
      <c r="AU279" s="1209"/>
      <c r="AV279" s="1209"/>
      <c r="AW279" s="1209"/>
      <c r="AX279" s="1209"/>
      <c r="AY279" s="1209"/>
      <c r="AZ279" s="1209"/>
      <c r="BA279" s="1209"/>
      <c r="BB279" s="1209"/>
      <c r="BC279" s="1209"/>
      <c r="BD279" s="1209"/>
      <c r="BE279" s="1209"/>
      <c r="BF279" s="1209"/>
      <c r="BG279" s="1209"/>
      <c r="BH279" s="1209"/>
      <c r="BI279" s="1209"/>
    </row>
    <row r="280" spans="1:61" s="117" customFormat="1">
      <c r="G280" s="2118"/>
      <c r="H280" s="2118"/>
      <c r="I280" s="2118"/>
      <c r="J280" s="2118"/>
      <c r="K280" s="2118"/>
      <c r="L280" s="2118"/>
      <c r="M280" s="2118"/>
      <c r="N280" s="2118"/>
      <c r="O280" s="2118"/>
      <c r="P280" s="2118"/>
      <c r="Q280" s="2118"/>
      <c r="R280" s="2118"/>
      <c r="S280" s="2118"/>
      <c r="T280" s="2118"/>
      <c r="U280" s="2118"/>
      <c r="V280" s="2118"/>
      <c r="W280" s="2118"/>
      <c r="X280" s="2118"/>
      <c r="Y280" s="2118"/>
      <c r="Z280" s="2118"/>
      <c r="AA280" s="2118"/>
      <c r="AB280" s="2118"/>
      <c r="AC280" s="2118"/>
      <c r="AD280" s="2118"/>
      <c r="AE280" s="2118"/>
      <c r="AF280" s="2118"/>
      <c r="AG280" s="2118"/>
      <c r="AH280" s="2118"/>
      <c r="AI280" s="2118"/>
      <c r="AJ280" s="2118"/>
      <c r="AK280" s="2118"/>
      <c r="AL280" s="2118"/>
      <c r="AM280" s="2118"/>
      <c r="AN280" s="2118"/>
      <c r="AO280" s="2118"/>
      <c r="AP280" s="2118"/>
      <c r="AQ280" s="2118"/>
      <c r="AR280" s="2118"/>
      <c r="AS280" s="2118"/>
      <c r="AT280" s="2118"/>
      <c r="AU280" s="2118"/>
      <c r="AV280" s="2118"/>
      <c r="AW280" s="2118"/>
    </row>
    <row r="281" spans="1:61" s="117" customFormat="1" ht="22">
      <c r="A281" s="799"/>
      <c r="B281" s="1497"/>
      <c r="C281" s="1498"/>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498"/>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98"/>
      <c r="AX281" s="1498"/>
      <c r="AY281" s="1499"/>
      <c r="AZ281" s="1499"/>
      <c r="BA281" s="1499"/>
      <c r="BB281" s="1499"/>
      <c r="BC281" s="1499"/>
      <c r="BD281" s="1499"/>
      <c r="BE281" s="1499"/>
      <c r="BF281" s="1499"/>
      <c r="BG281" s="1499"/>
      <c r="BH281" s="1499"/>
      <c r="BI281" s="1500"/>
    </row>
    <row r="282" spans="1:61" s="117" customFormat="1" ht="15">
      <c r="B282" s="1506"/>
      <c r="C282" s="1502"/>
      <c r="D282" s="1502"/>
      <c r="E282" s="1502"/>
      <c r="F282" s="1502"/>
      <c r="G282" s="1502"/>
      <c r="H282" s="1502"/>
      <c r="I282" s="1502"/>
      <c r="J282" s="1502"/>
      <c r="K282" s="1502"/>
      <c r="L282" s="1502"/>
      <c r="M282" s="1502"/>
      <c r="N282" s="1502"/>
      <c r="O282" s="1502"/>
      <c r="P282" s="1502"/>
      <c r="Q282" s="1502"/>
      <c r="R282" s="1502"/>
      <c r="S282" s="1502"/>
      <c r="T282" s="1502"/>
      <c r="U282" s="1502"/>
      <c r="V282" s="1502"/>
      <c r="W282" s="1502"/>
      <c r="X282" s="1502"/>
      <c r="Y282" s="1502"/>
      <c r="Z282" s="1502"/>
      <c r="AA282" s="1502"/>
      <c r="AB282" s="1502"/>
      <c r="AC282" s="1502"/>
      <c r="AD282" s="1502"/>
      <c r="AE282" s="1502"/>
      <c r="AF282" s="1502"/>
      <c r="AG282" s="1502"/>
      <c r="AH282" s="1502"/>
      <c r="AI282" s="1502"/>
      <c r="AJ282" s="1502"/>
      <c r="AK282" s="1502"/>
      <c r="AL282" s="1502"/>
      <c r="AM282" s="1502"/>
      <c r="AN282" s="1502"/>
      <c r="AO282" s="1502"/>
      <c r="AP282" s="1502"/>
      <c r="AQ282" s="1502"/>
      <c r="AR282" s="1502"/>
      <c r="AS282" s="1502"/>
      <c r="AT282" s="1502"/>
      <c r="AU282" s="1502"/>
      <c r="AV282" s="1502"/>
      <c r="AW282" s="1502"/>
      <c r="AX282" s="1502"/>
      <c r="AY282" s="1503"/>
      <c r="AZ282" s="1503"/>
      <c r="BA282" s="1503"/>
      <c r="BB282" s="1503"/>
      <c r="BC282" s="1503"/>
      <c r="BD282" s="1503"/>
      <c r="BE282" s="1503"/>
      <c r="BF282" s="1503"/>
      <c r="BG282" s="1503"/>
      <c r="BH282" s="1503"/>
      <c r="BI282" s="1507"/>
    </row>
    <row r="283" spans="1:61" s="117" customFormat="1">
      <c r="B283" s="1504"/>
      <c r="C283" s="1501"/>
      <c r="D283" s="1501"/>
      <c r="E283" s="1501"/>
      <c r="F283" s="1508"/>
      <c r="G283" s="1508"/>
      <c r="H283" s="1508"/>
      <c r="I283" s="1508"/>
      <c r="J283" s="1508"/>
      <c r="K283" s="1508"/>
      <c r="L283" s="1508"/>
      <c r="M283" s="1508"/>
      <c r="N283" s="1508"/>
      <c r="O283" s="1508"/>
      <c r="P283" s="1508"/>
      <c r="Q283" s="1508"/>
      <c r="R283" s="1508"/>
      <c r="S283" s="1508"/>
      <c r="T283" s="1508"/>
      <c r="U283" s="1508"/>
      <c r="V283" s="1508"/>
      <c r="W283" s="1508"/>
      <c r="X283" s="1508"/>
      <c r="Y283" s="1508"/>
      <c r="Z283" s="1508"/>
      <c r="AA283" s="1508"/>
      <c r="AB283" s="1508"/>
      <c r="AC283" s="1508"/>
      <c r="AD283" s="1508"/>
      <c r="AE283" s="1508"/>
      <c r="AF283" s="1508"/>
      <c r="AG283" s="1508"/>
      <c r="AH283" s="1508"/>
      <c r="AI283" s="1508"/>
      <c r="AJ283" s="1508"/>
      <c r="AK283" s="1508"/>
      <c r="AL283" s="1508"/>
      <c r="AM283" s="1508"/>
      <c r="AN283" s="1508"/>
      <c r="AO283" s="1508"/>
      <c r="AP283" s="1508"/>
      <c r="AQ283" s="1508"/>
      <c r="AR283" s="1508"/>
      <c r="AS283" s="1508"/>
      <c r="AT283" s="1508"/>
      <c r="AU283" s="1508"/>
      <c r="AV283" s="1508"/>
      <c r="AW283" s="1508"/>
      <c r="AX283" s="1508"/>
      <c r="AY283" s="1508"/>
      <c r="AZ283" s="1508"/>
      <c r="BA283" s="1508"/>
      <c r="BB283" s="1508"/>
      <c r="BC283" s="1508"/>
      <c r="BD283" s="1508"/>
      <c r="BE283" s="1508"/>
      <c r="BF283" s="1508"/>
      <c r="BG283" s="1508"/>
      <c r="BH283" s="1508"/>
      <c r="BI283" s="1505"/>
    </row>
    <row r="284" spans="1:61" s="117" customFormat="1">
      <c r="B284" s="1504"/>
      <c r="C284" s="1501"/>
      <c r="D284" s="1501"/>
      <c r="E284" s="1501"/>
      <c r="F284" s="1508"/>
      <c r="G284" s="1508"/>
      <c r="H284" s="1508"/>
      <c r="I284" s="1508"/>
      <c r="J284" s="1508"/>
      <c r="K284" s="1508"/>
      <c r="L284" s="1508"/>
      <c r="M284" s="1508"/>
      <c r="N284" s="1508"/>
      <c r="O284" s="1508"/>
      <c r="P284" s="1508"/>
      <c r="Q284" s="1508"/>
      <c r="R284" s="1508"/>
      <c r="S284" s="1508"/>
      <c r="T284" s="1508"/>
      <c r="U284" s="1508"/>
      <c r="V284" s="1508"/>
      <c r="W284" s="1508"/>
      <c r="X284" s="1508"/>
      <c r="Y284" s="1508"/>
      <c r="Z284" s="1508"/>
      <c r="AA284" s="1508"/>
      <c r="AB284" s="1508"/>
      <c r="AC284" s="1508"/>
      <c r="AD284" s="1508"/>
      <c r="AE284" s="1508"/>
      <c r="AF284" s="1508"/>
      <c r="AG284" s="1508"/>
      <c r="AH284" s="1508"/>
      <c r="AI284" s="1508"/>
      <c r="AJ284" s="1508"/>
      <c r="AK284" s="1508"/>
      <c r="AL284" s="1508"/>
      <c r="AM284" s="1508"/>
      <c r="AN284" s="1508"/>
      <c r="AO284" s="1508"/>
      <c r="AP284" s="1508"/>
      <c r="AQ284" s="1508"/>
      <c r="AR284" s="1508"/>
      <c r="AS284" s="1508"/>
      <c r="AT284" s="1508"/>
      <c r="AU284" s="1508"/>
      <c r="AV284" s="1508"/>
      <c r="AW284" s="1508"/>
      <c r="AX284" s="1508"/>
      <c r="AY284" s="1508"/>
      <c r="AZ284" s="1508"/>
      <c r="BA284" s="1508"/>
      <c r="BB284" s="1508"/>
      <c r="BC284" s="1508"/>
      <c r="BD284" s="1508"/>
      <c r="BE284" s="1508"/>
      <c r="BF284" s="1508"/>
      <c r="BG284" s="1508"/>
      <c r="BH284" s="1508"/>
      <c r="BI284" s="1505"/>
    </row>
    <row r="285" spans="1:61" s="117" customFormat="1">
      <c r="B285" s="1504"/>
      <c r="C285" s="1501"/>
      <c r="D285" s="1501"/>
      <c r="E285" s="1501"/>
      <c r="F285" s="1508"/>
      <c r="G285" s="1508"/>
      <c r="H285" s="1508"/>
      <c r="I285" s="1508"/>
      <c r="J285" s="1508"/>
      <c r="K285" s="1508"/>
      <c r="L285" s="1508"/>
      <c r="M285" s="1508"/>
      <c r="N285" s="1508"/>
      <c r="O285" s="1508"/>
      <c r="P285" s="1508"/>
      <c r="Q285" s="1508"/>
      <c r="R285" s="1508"/>
      <c r="S285" s="1508"/>
      <c r="T285" s="1508"/>
      <c r="U285" s="1508"/>
      <c r="V285" s="1508"/>
      <c r="W285" s="1508"/>
      <c r="X285" s="1508"/>
      <c r="Y285" s="1508"/>
      <c r="Z285" s="1508"/>
      <c r="AA285" s="1508"/>
      <c r="AB285" s="1508"/>
      <c r="AC285" s="1508"/>
      <c r="AD285" s="1508"/>
      <c r="AE285" s="1508"/>
      <c r="AF285" s="1508"/>
      <c r="AG285" s="1508"/>
      <c r="AH285" s="1508"/>
      <c r="AI285" s="1508"/>
      <c r="AJ285" s="1508"/>
      <c r="AK285" s="1508"/>
      <c r="AL285" s="1508"/>
      <c r="AM285" s="1508"/>
      <c r="AN285" s="1508"/>
      <c r="AO285" s="1508"/>
      <c r="AP285" s="1508"/>
      <c r="AQ285" s="1508"/>
      <c r="AR285" s="1508"/>
      <c r="AS285" s="1508"/>
      <c r="AT285" s="1508"/>
      <c r="AU285" s="1508"/>
      <c r="AV285" s="1508"/>
      <c r="AW285" s="1508"/>
      <c r="AX285" s="1508"/>
      <c r="AY285" s="1508"/>
      <c r="AZ285" s="1508"/>
      <c r="BA285" s="1508"/>
      <c r="BB285" s="1508"/>
      <c r="BC285" s="1508"/>
      <c r="BD285" s="1508"/>
      <c r="BE285" s="1508"/>
      <c r="BF285" s="1508"/>
      <c r="BG285" s="1508"/>
      <c r="BH285" s="1508"/>
      <c r="BI285" s="1505"/>
    </row>
    <row r="286" spans="1:61" s="117" customFormat="1">
      <c r="B286" s="1504"/>
      <c r="C286" s="1501"/>
      <c r="D286" s="1501"/>
      <c r="E286" s="1501"/>
      <c r="F286" s="1508"/>
      <c r="G286" s="1508"/>
      <c r="H286" s="1508"/>
      <c r="I286" s="1508"/>
      <c r="J286" s="1508"/>
      <c r="K286" s="1508"/>
      <c r="L286" s="1508"/>
      <c r="M286" s="1508"/>
      <c r="N286" s="1508"/>
      <c r="O286" s="1508"/>
      <c r="P286" s="1508"/>
      <c r="Q286" s="1508"/>
      <c r="R286" s="1508"/>
      <c r="S286" s="1508"/>
      <c r="T286" s="1508"/>
      <c r="U286" s="1508"/>
      <c r="V286" s="1508"/>
      <c r="W286" s="1508"/>
      <c r="X286" s="1508"/>
      <c r="Y286" s="1508"/>
      <c r="Z286" s="1508"/>
      <c r="AA286" s="1508"/>
      <c r="AB286" s="1508"/>
      <c r="AC286" s="1508"/>
      <c r="AD286" s="1508"/>
      <c r="AE286" s="1508"/>
      <c r="AF286" s="1508"/>
      <c r="AG286" s="1508"/>
      <c r="AH286" s="1508"/>
      <c r="AI286" s="1508"/>
      <c r="AJ286" s="1508"/>
      <c r="AK286" s="1508"/>
      <c r="AL286" s="1508"/>
      <c r="AM286" s="1508"/>
      <c r="AN286" s="1508"/>
      <c r="AO286" s="1508"/>
      <c r="AP286" s="1508"/>
      <c r="AQ286" s="1508"/>
      <c r="AR286" s="1508"/>
      <c r="AS286" s="1508"/>
      <c r="AT286" s="1508"/>
      <c r="AU286" s="1508"/>
      <c r="AV286" s="1508"/>
      <c r="AW286" s="1508"/>
      <c r="AX286" s="1508"/>
      <c r="AY286" s="1508"/>
      <c r="AZ286" s="1508"/>
      <c r="BA286" s="1508"/>
      <c r="BB286" s="1508"/>
      <c r="BC286" s="1508"/>
      <c r="BD286" s="1508"/>
      <c r="BE286" s="1508"/>
      <c r="BF286" s="1508"/>
      <c r="BG286" s="1508"/>
      <c r="BH286" s="1508"/>
      <c r="BI286" s="1505"/>
    </row>
    <row r="287" spans="1:61" s="117" customFormat="1">
      <c r="B287" s="1504"/>
      <c r="C287" s="1501"/>
      <c r="D287" s="1501"/>
      <c r="E287" s="1501"/>
      <c r="F287" s="1508"/>
      <c r="G287" s="1508"/>
      <c r="H287" s="1508"/>
      <c r="I287" s="1508"/>
      <c r="J287" s="1508"/>
      <c r="K287" s="1508"/>
      <c r="L287" s="1508"/>
      <c r="M287" s="1508"/>
      <c r="N287" s="1508"/>
      <c r="O287" s="1508"/>
      <c r="P287" s="1508"/>
      <c r="Q287" s="1508"/>
      <c r="R287" s="1508"/>
      <c r="S287" s="1508"/>
      <c r="T287" s="1508"/>
      <c r="U287" s="1508"/>
      <c r="V287" s="1508"/>
      <c r="W287" s="1508"/>
      <c r="X287" s="1508"/>
      <c r="Y287" s="1508"/>
      <c r="Z287" s="1508"/>
      <c r="AA287" s="1508"/>
      <c r="AB287" s="1508"/>
      <c r="AC287" s="1508"/>
      <c r="AD287" s="1508"/>
      <c r="AE287" s="1508"/>
      <c r="AF287" s="1508"/>
      <c r="AG287" s="1508"/>
      <c r="AH287" s="1508"/>
      <c r="AI287" s="1508"/>
      <c r="AJ287" s="1508"/>
      <c r="AK287" s="1508"/>
      <c r="AL287" s="1508"/>
      <c r="AM287" s="1508"/>
      <c r="AN287" s="1508"/>
      <c r="AO287" s="1508"/>
      <c r="AP287" s="1508"/>
      <c r="AQ287" s="1508"/>
      <c r="AR287" s="1508"/>
      <c r="AS287" s="1508"/>
      <c r="AT287" s="1508"/>
      <c r="AU287" s="1508"/>
      <c r="AV287" s="1508"/>
      <c r="AW287" s="1508"/>
      <c r="AX287" s="1508"/>
      <c r="AY287" s="1508"/>
      <c r="AZ287" s="1508"/>
      <c r="BA287" s="1508"/>
      <c r="BB287" s="1508"/>
      <c r="BC287" s="1508"/>
      <c r="BD287" s="1508"/>
      <c r="BE287" s="1508"/>
      <c r="BF287" s="1508"/>
      <c r="BG287" s="1508"/>
      <c r="BH287" s="1508"/>
      <c r="BI287" s="1505"/>
    </row>
    <row r="288" spans="1:61" s="117" customFormat="1">
      <c r="B288" s="1504"/>
      <c r="C288" s="1501"/>
      <c r="D288" s="1501"/>
      <c r="E288" s="1501"/>
      <c r="F288" s="1508"/>
      <c r="G288" s="1508"/>
      <c r="H288" s="1508"/>
      <c r="I288" s="1508"/>
      <c r="J288" s="1508"/>
      <c r="K288" s="1508"/>
      <c r="L288" s="1508"/>
      <c r="M288" s="1508"/>
      <c r="N288" s="1508"/>
      <c r="O288" s="1508"/>
      <c r="P288" s="1508"/>
      <c r="Q288" s="1508"/>
      <c r="R288" s="1508"/>
      <c r="S288" s="1508"/>
      <c r="T288" s="1508"/>
      <c r="U288" s="1508"/>
      <c r="V288" s="1508"/>
      <c r="W288" s="1508"/>
      <c r="X288" s="1508"/>
      <c r="Y288" s="1508"/>
      <c r="Z288" s="1508"/>
      <c r="AA288" s="1508"/>
      <c r="AB288" s="1508"/>
      <c r="AC288" s="1508"/>
      <c r="AD288" s="1508"/>
      <c r="AE288" s="1508"/>
      <c r="AF288" s="1508"/>
      <c r="AG288" s="1508"/>
      <c r="AH288" s="1508"/>
      <c r="AI288" s="1508"/>
      <c r="AJ288" s="1508"/>
      <c r="AK288" s="1508"/>
      <c r="AL288" s="1508"/>
      <c r="AM288" s="1508"/>
      <c r="AN288" s="1508"/>
      <c r="AO288" s="1508"/>
      <c r="AP288" s="1508"/>
      <c r="AQ288" s="1508"/>
      <c r="AR288" s="1508"/>
      <c r="AS288" s="1508"/>
      <c r="AT288" s="1508"/>
      <c r="AU288" s="1508"/>
      <c r="AV288" s="1508"/>
      <c r="AW288" s="1508"/>
      <c r="AX288" s="1508"/>
      <c r="AY288" s="1508"/>
      <c r="AZ288" s="1508"/>
      <c r="BA288" s="1508"/>
      <c r="BB288" s="1508"/>
      <c r="BC288" s="1508"/>
      <c r="BD288" s="1508"/>
      <c r="BE288" s="1508"/>
      <c r="BF288" s="1508"/>
      <c r="BG288" s="1508"/>
      <c r="BH288" s="1508"/>
      <c r="BI288" s="1505"/>
    </row>
    <row r="289" spans="1:62" s="117" customFormat="1">
      <c r="B289" s="1504"/>
      <c r="C289" s="1501"/>
      <c r="D289" s="1501"/>
      <c r="E289" s="1501"/>
      <c r="F289" s="1508"/>
      <c r="G289" s="1508"/>
      <c r="H289" s="1508"/>
      <c r="I289" s="1508"/>
      <c r="J289" s="1508"/>
      <c r="K289" s="1508"/>
      <c r="L289" s="1508"/>
      <c r="M289" s="1508"/>
      <c r="N289" s="1508"/>
      <c r="O289" s="1508"/>
      <c r="P289" s="1508"/>
      <c r="Q289" s="1508"/>
      <c r="R289" s="1508"/>
      <c r="S289" s="1508"/>
      <c r="T289" s="1508"/>
      <c r="U289" s="1508"/>
      <c r="V289" s="1508"/>
      <c r="W289" s="1508"/>
      <c r="X289" s="1508"/>
      <c r="Y289" s="1508"/>
      <c r="Z289" s="1508"/>
      <c r="AA289" s="1508"/>
      <c r="AB289" s="1508"/>
      <c r="AC289" s="1508"/>
      <c r="AD289" s="1508"/>
      <c r="AE289" s="1508"/>
      <c r="AF289" s="1508"/>
      <c r="AG289" s="1508"/>
      <c r="AH289" s="1508"/>
      <c r="AI289" s="1508"/>
      <c r="AJ289" s="1508"/>
      <c r="AK289" s="1508"/>
      <c r="AL289" s="1508"/>
      <c r="AM289" s="1508"/>
      <c r="AN289" s="1508"/>
      <c r="AO289" s="1508"/>
      <c r="AP289" s="1508"/>
      <c r="AQ289" s="1508"/>
      <c r="AR289" s="1508"/>
      <c r="AS289" s="1508"/>
      <c r="AT289" s="1508"/>
      <c r="AU289" s="1508"/>
      <c r="AV289" s="1508"/>
      <c r="AW289" s="1508"/>
      <c r="AX289" s="1508"/>
      <c r="AY289" s="1508"/>
      <c r="AZ289" s="1508"/>
      <c r="BA289" s="1508"/>
      <c r="BB289" s="1508"/>
      <c r="BC289" s="1508"/>
      <c r="BD289" s="1508"/>
      <c r="BE289" s="1508"/>
      <c r="BF289" s="1508"/>
      <c r="BG289" s="1508"/>
      <c r="BH289" s="1508"/>
      <c r="BI289" s="1505"/>
    </row>
    <row r="290" spans="1:62" s="117" customFormat="1">
      <c r="B290" s="1504"/>
      <c r="C290" s="1501"/>
      <c r="D290" s="1501"/>
      <c r="E290" s="1501"/>
      <c r="F290" s="1508"/>
      <c r="G290" s="1508"/>
      <c r="H290" s="1508"/>
      <c r="I290" s="1508"/>
      <c r="J290" s="1508"/>
      <c r="K290" s="1508"/>
      <c r="L290" s="1508"/>
      <c r="M290" s="1508"/>
      <c r="N290" s="1508"/>
      <c r="O290" s="1508"/>
      <c r="P290" s="1508"/>
      <c r="Q290" s="1508"/>
      <c r="R290" s="1508"/>
      <c r="S290" s="1508"/>
      <c r="T290" s="1508"/>
      <c r="U290" s="1508"/>
      <c r="V290" s="1508"/>
      <c r="W290" s="1508"/>
      <c r="X290" s="1508"/>
      <c r="Y290" s="1508"/>
      <c r="Z290" s="1508"/>
      <c r="AA290" s="1508"/>
      <c r="AB290" s="1508"/>
      <c r="AC290" s="1508"/>
      <c r="AD290" s="1508"/>
      <c r="AE290" s="1508"/>
      <c r="AF290" s="1508"/>
      <c r="AG290" s="1508"/>
      <c r="AH290" s="1508"/>
      <c r="AI290" s="1508"/>
      <c r="AJ290" s="1508"/>
      <c r="AK290" s="1508"/>
      <c r="AL290" s="1508"/>
      <c r="AM290" s="1508"/>
      <c r="AN290" s="1508"/>
      <c r="AO290" s="1508"/>
      <c r="AP290" s="1508"/>
      <c r="AQ290" s="1508"/>
      <c r="AR290" s="1508"/>
      <c r="AS290" s="1508"/>
      <c r="AT290" s="1508"/>
      <c r="AU290" s="1508"/>
      <c r="AV290" s="1508"/>
      <c r="AW290" s="1508"/>
      <c r="AX290" s="1508"/>
      <c r="AY290" s="1508"/>
      <c r="AZ290" s="1508"/>
      <c r="BA290" s="1508"/>
      <c r="BB290" s="1508"/>
      <c r="BC290" s="1508"/>
      <c r="BD290" s="1508"/>
      <c r="BE290" s="1508"/>
      <c r="BF290" s="1508"/>
      <c r="BG290" s="1508"/>
      <c r="BH290" s="1508"/>
      <c r="BI290" s="1505"/>
    </row>
    <row r="291" spans="1:62" s="117" customFormat="1">
      <c r="B291" s="1504"/>
      <c r="C291" s="1501"/>
      <c r="D291" s="1501"/>
      <c r="E291" s="1501"/>
      <c r="F291" s="1508"/>
      <c r="G291" s="1508"/>
      <c r="H291" s="1508"/>
      <c r="I291" s="1508"/>
      <c r="J291" s="1508"/>
      <c r="K291" s="1508"/>
      <c r="L291" s="1508"/>
      <c r="M291" s="1508"/>
      <c r="N291" s="1508"/>
      <c r="O291" s="1508"/>
      <c r="P291" s="1508"/>
      <c r="Q291" s="1508"/>
      <c r="R291" s="1508"/>
      <c r="S291" s="1508"/>
      <c r="T291" s="1508"/>
      <c r="U291" s="1508"/>
      <c r="V291" s="1508"/>
      <c r="W291" s="1508"/>
      <c r="X291" s="1508"/>
      <c r="Y291" s="1508"/>
      <c r="Z291" s="1508"/>
      <c r="AA291" s="1508"/>
      <c r="AB291" s="1508"/>
      <c r="AC291" s="1508"/>
      <c r="AD291" s="1508"/>
      <c r="AE291" s="1508"/>
      <c r="AF291" s="1508"/>
      <c r="AG291" s="1508"/>
      <c r="AH291" s="1508"/>
      <c r="AI291" s="1508"/>
      <c r="AJ291" s="1508"/>
      <c r="AK291" s="1508"/>
      <c r="AL291" s="1508"/>
      <c r="AM291" s="1508"/>
      <c r="AN291" s="1508"/>
      <c r="AO291" s="1508"/>
      <c r="AP291" s="1508"/>
      <c r="AQ291" s="1508"/>
      <c r="AR291" s="1508"/>
      <c r="AS291" s="1508"/>
      <c r="AT291" s="1508"/>
      <c r="AU291" s="1508"/>
      <c r="AV291" s="1508"/>
      <c r="AW291" s="1508"/>
      <c r="AX291" s="1508"/>
      <c r="AY291" s="1508"/>
      <c r="AZ291" s="1508"/>
      <c r="BA291" s="1508"/>
      <c r="BB291" s="1508"/>
      <c r="BC291" s="1508"/>
      <c r="BD291" s="1508"/>
      <c r="BE291" s="1508"/>
      <c r="BF291" s="1508"/>
      <c r="BG291" s="1508"/>
      <c r="BH291" s="1508"/>
      <c r="BI291" s="1505"/>
    </row>
    <row r="292" spans="1:62" s="117" customFormat="1">
      <c r="B292" s="1504"/>
      <c r="C292" s="1501"/>
      <c r="D292" s="1501"/>
      <c r="E292" s="1501"/>
      <c r="F292" s="1508"/>
      <c r="G292" s="1508"/>
      <c r="H292" s="1508"/>
      <c r="I292" s="1508"/>
      <c r="J292" s="1508"/>
      <c r="K292" s="1508"/>
      <c r="L292" s="1508"/>
      <c r="M292" s="1508"/>
      <c r="N292" s="1508"/>
      <c r="O292" s="1508"/>
      <c r="P292" s="1508"/>
      <c r="Q292" s="1508"/>
      <c r="R292" s="1508"/>
      <c r="S292" s="1508"/>
      <c r="T292" s="1508"/>
      <c r="U292" s="1508"/>
      <c r="V292" s="1508"/>
      <c r="W292" s="1508"/>
      <c r="X292" s="1508"/>
      <c r="Y292" s="1508"/>
      <c r="Z292" s="1508"/>
      <c r="AA292" s="1508"/>
      <c r="AB292" s="1508"/>
      <c r="AC292" s="1508"/>
      <c r="AD292" s="1508"/>
      <c r="AE292" s="1508"/>
      <c r="AF292" s="1508"/>
      <c r="AG292" s="1508"/>
      <c r="AH292" s="1508"/>
      <c r="AI292" s="1508"/>
      <c r="AJ292" s="1508"/>
      <c r="AK292" s="1508"/>
      <c r="AL292" s="1508"/>
      <c r="AM292" s="1508"/>
      <c r="AN292" s="1508"/>
      <c r="AO292" s="1508"/>
      <c r="AP292" s="1508"/>
      <c r="AQ292" s="1508"/>
      <c r="AR292" s="1508"/>
      <c r="AS292" s="1508"/>
      <c r="AT292" s="1508"/>
      <c r="AU292" s="1508"/>
      <c r="AV292" s="1508"/>
      <c r="AW292" s="1508"/>
      <c r="AX292" s="1508"/>
      <c r="AY292" s="1508"/>
      <c r="AZ292" s="1508"/>
      <c r="BA292" s="1508"/>
      <c r="BB292" s="1508"/>
      <c r="BC292" s="1508"/>
      <c r="BD292" s="1508"/>
      <c r="BE292" s="1508"/>
      <c r="BF292" s="1508"/>
      <c r="BG292" s="1508"/>
      <c r="BH292" s="1508"/>
      <c r="BI292" s="1505"/>
    </row>
    <row r="293" spans="1:62" s="117" customFormat="1">
      <c r="B293" s="1504"/>
      <c r="C293" s="1501"/>
      <c r="D293" s="1501"/>
      <c r="E293" s="1501"/>
      <c r="F293" s="1508"/>
      <c r="G293" s="1508"/>
      <c r="H293" s="1508"/>
      <c r="I293" s="1508"/>
      <c r="J293" s="1508"/>
      <c r="K293" s="1508"/>
      <c r="L293" s="1508"/>
      <c r="M293" s="1508"/>
      <c r="N293" s="1508"/>
      <c r="O293" s="1508"/>
      <c r="P293" s="1508"/>
      <c r="Q293" s="1508"/>
      <c r="R293" s="1508"/>
      <c r="S293" s="1508"/>
      <c r="T293" s="1508"/>
      <c r="U293" s="1508"/>
      <c r="V293" s="1508"/>
      <c r="W293" s="1508"/>
      <c r="X293" s="1508"/>
      <c r="Y293" s="1508"/>
      <c r="Z293" s="1508"/>
      <c r="AA293" s="1508"/>
      <c r="AB293" s="1508"/>
      <c r="AC293" s="1508"/>
      <c r="AD293" s="1508"/>
      <c r="AE293" s="1508"/>
      <c r="AF293" s="1508"/>
      <c r="AG293" s="1508"/>
      <c r="AH293" s="1508"/>
      <c r="AI293" s="1508"/>
      <c r="AJ293" s="1508"/>
      <c r="AK293" s="1508"/>
      <c r="AL293" s="1508"/>
      <c r="AM293" s="1508"/>
      <c r="AN293" s="1508"/>
      <c r="AO293" s="1508"/>
      <c r="AP293" s="1508"/>
      <c r="AQ293" s="1508"/>
      <c r="AR293" s="1508"/>
      <c r="AS293" s="1508"/>
      <c r="AT293" s="1508"/>
      <c r="AU293" s="1508"/>
      <c r="AV293" s="1508"/>
      <c r="AW293" s="1508"/>
      <c r="AX293" s="1508"/>
      <c r="AY293" s="1508"/>
      <c r="AZ293" s="1508"/>
      <c r="BA293" s="1508"/>
      <c r="BB293" s="1508"/>
      <c r="BC293" s="1508"/>
      <c r="BD293" s="1508"/>
      <c r="BE293" s="1508"/>
      <c r="BF293" s="1508"/>
      <c r="BG293" s="1508"/>
      <c r="BH293" s="1508"/>
      <c r="BI293" s="1505"/>
    </row>
    <row r="294" spans="1:62" s="117" customFormat="1">
      <c r="B294" s="1504"/>
      <c r="C294" s="1501"/>
      <c r="D294" s="1501"/>
      <c r="E294" s="1501"/>
      <c r="F294" s="1508"/>
      <c r="G294" s="1508"/>
      <c r="H294" s="1508"/>
      <c r="I294" s="1508"/>
      <c r="J294" s="1508"/>
      <c r="K294" s="1508"/>
      <c r="L294" s="1508"/>
      <c r="M294" s="1508"/>
      <c r="N294" s="1508"/>
      <c r="O294" s="1508"/>
      <c r="P294" s="1508"/>
      <c r="Q294" s="1508"/>
      <c r="R294" s="1508"/>
      <c r="S294" s="1508"/>
      <c r="T294" s="1508"/>
      <c r="U294" s="1508"/>
      <c r="V294" s="1508"/>
      <c r="W294" s="1508"/>
      <c r="X294" s="1508"/>
      <c r="Y294" s="1508"/>
      <c r="Z294" s="1508"/>
      <c r="AA294" s="1508"/>
      <c r="AB294" s="1508"/>
      <c r="AC294" s="1508"/>
      <c r="AD294" s="1508"/>
      <c r="AE294" s="1508"/>
      <c r="AF294" s="1508"/>
      <c r="AG294" s="1508"/>
      <c r="AH294" s="1508"/>
      <c r="AI294" s="1508"/>
      <c r="AJ294" s="1508"/>
      <c r="AK294" s="1508"/>
      <c r="AL294" s="1508"/>
      <c r="AM294" s="1508"/>
      <c r="AN294" s="1508"/>
      <c r="AO294" s="1508"/>
      <c r="AP294" s="1508"/>
      <c r="AQ294" s="1508"/>
      <c r="AR294" s="1508"/>
      <c r="AS294" s="1508"/>
      <c r="AT294" s="1508"/>
      <c r="AU294" s="1508"/>
      <c r="AV294" s="1508"/>
      <c r="AW294" s="1508"/>
      <c r="AX294" s="1508"/>
      <c r="AY294" s="1508"/>
      <c r="AZ294" s="1508"/>
      <c r="BA294" s="1508"/>
      <c r="BB294" s="1508"/>
      <c r="BC294" s="1508"/>
      <c r="BD294" s="1508"/>
      <c r="BE294" s="1508"/>
      <c r="BF294" s="1508"/>
      <c r="BG294" s="1508"/>
      <c r="BH294" s="1508"/>
      <c r="BI294" s="1505"/>
    </row>
    <row r="295" spans="1:62" s="117" customFormat="1">
      <c r="B295" s="1504"/>
      <c r="C295" s="1501"/>
      <c r="D295" s="1501"/>
      <c r="E295" s="1501"/>
      <c r="F295" s="1508"/>
      <c r="G295" s="1508"/>
      <c r="H295" s="1508"/>
      <c r="I295" s="1508"/>
      <c r="J295" s="1508"/>
      <c r="K295" s="1508"/>
      <c r="L295" s="1508"/>
      <c r="M295" s="1508"/>
      <c r="N295" s="1508"/>
      <c r="O295" s="1508"/>
      <c r="P295" s="1508"/>
      <c r="Q295" s="1508"/>
      <c r="R295" s="1508"/>
      <c r="S295" s="1508"/>
      <c r="T295" s="1508"/>
      <c r="U295" s="1508"/>
      <c r="V295" s="1508"/>
      <c r="W295" s="1508"/>
      <c r="X295" s="1508"/>
      <c r="Y295" s="1508"/>
      <c r="Z295" s="1508"/>
      <c r="AA295" s="1508"/>
      <c r="AB295" s="1508"/>
      <c r="AC295" s="1508"/>
      <c r="AD295" s="1508"/>
      <c r="AE295" s="1508"/>
      <c r="AF295" s="1508"/>
      <c r="AG295" s="1508"/>
      <c r="AH295" s="1508"/>
      <c r="AI295" s="1508"/>
      <c r="AJ295" s="1508"/>
      <c r="AK295" s="1508"/>
      <c r="AL295" s="1508"/>
      <c r="AM295" s="1508"/>
      <c r="AN295" s="1508"/>
      <c r="AO295" s="1508"/>
      <c r="AP295" s="1508"/>
      <c r="AQ295" s="1508"/>
      <c r="AR295" s="1508"/>
      <c r="AS295" s="1508"/>
      <c r="AT295" s="1508"/>
      <c r="AU295" s="1508"/>
      <c r="AV295" s="1508"/>
      <c r="AW295" s="1508"/>
      <c r="AX295" s="1508"/>
      <c r="AY295" s="1508"/>
      <c r="AZ295" s="1508"/>
      <c r="BA295" s="1508"/>
      <c r="BB295" s="1508"/>
      <c r="BC295" s="1508"/>
      <c r="BD295" s="1508"/>
      <c r="BE295" s="1508"/>
      <c r="BF295" s="1508"/>
      <c r="BG295" s="1508"/>
      <c r="BH295" s="1508"/>
      <c r="BI295" s="1505"/>
    </row>
    <row r="296" spans="1:62" s="117" customFormat="1">
      <c r="B296" s="1504"/>
      <c r="C296" s="1501"/>
      <c r="D296" s="1509"/>
      <c r="E296" s="1501"/>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1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510"/>
      <c r="AX296" s="1510"/>
      <c r="AY296" s="1510"/>
      <c r="AZ296" s="1510"/>
      <c r="BA296" s="1510"/>
      <c r="BB296" s="1510"/>
      <c r="BC296" s="1510"/>
      <c r="BD296" s="1510"/>
      <c r="BE296" s="1510"/>
      <c r="BF296" s="1510"/>
      <c r="BG296" s="1510"/>
      <c r="BH296" s="1510"/>
      <c r="BI296" s="1505"/>
    </row>
    <row r="297" spans="1:62" s="117" customFormat="1">
      <c r="B297" s="1504"/>
      <c r="C297" s="1501"/>
      <c r="D297" s="1501"/>
      <c r="E297" s="150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11"/>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511"/>
      <c r="AX297" s="1511"/>
      <c r="AY297" s="1511"/>
      <c r="AZ297" s="1511"/>
      <c r="BA297" s="1511"/>
      <c r="BB297" s="1511"/>
      <c r="BC297" s="1511"/>
      <c r="BD297" s="1511"/>
      <c r="BE297" s="1511"/>
      <c r="BF297" s="1511"/>
      <c r="BG297" s="1511"/>
      <c r="BH297" s="1511"/>
      <c r="BI297" s="1505"/>
    </row>
    <row r="298" spans="1:62" s="117" customFormat="1">
      <c r="B298" s="1504"/>
      <c r="C298" s="1501"/>
      <c r="D298" s="1501"/>
      <c r="E298" s="1501"/>
      <c r="F298" s="1511"/>
      <c r="G298" s="1511"/>
      <c r="H298" s="1511"/>
      <c r="I298" s="1511"/>
      <c r="J298" s="1511"/>
      <c r="K298" s="1511"/>
      <c r="L298" s="1511"/>
      <c r="M298" s="1511"/>
      <c r="N298" s="1511"/>
      <c r="O298" s="1511"/>
      <c r="P298" s="1511"/>
      <c r="Q298" s="1511"/>
      <c r="R298" s="1511"/>
      <c r="S298" s="1511"/>
      <c r="T298" s="1511"/>
      <c r="U298" s="1511"/>
      <c r="V298" s="1511"/>
      <c r="W298" s="1511"/>
      <c r="X298" s="1511"/>
      <c r="Y298" s="1511"/>
      <c r="Z298" s="1511"/>
      <c r="AA298" s="1511"/>
      <c r="AB298" s="1511"/>
      <c r="AC298" s="1511"/>
      <c r="AD298" s="1511"/>
      <c r="AE298" s="1511"/>
      <c r="AF298" s="1511"/>
      <c r="AG298" s="1511"/>
      <c r="AH298" s="1511"/>
      <c r="AI298" s="1511"/>
      <c r="AJ298" s="1511"/>
      <c r="AK298" s="1511"/>
      <c r="AL298" s="1511"/>
      <c r="AM298" s="1511"/>
      <c r="AN298" s="1511"/>
      <c r="AO298" s="1511"/>
      <c r="AP298" s="1511"/>
      <c r="AQ298" s="1511"/>
      <c r="AR298" s="1511"/>
      <c r="AS298" s="1511"/>
      <c r="AT298" s="1511"/>
      <c r="AU298" s="1511"/>
      <c r="AV298" s="1511"/>
      <c r="AW298" s="1511"/>
      <c r="AX298" s="1511"/>
      <c r="AY298" s="1511"/>
      <c r="AZ298" s="1511"/>
      <c r="BA298" s="1511"/>
      <c r="BB298" s="1511"/>
      <c r="BC298" s="1511"/>
      <c r="BD298" s="1511"/>
      <c r="BE298" s="1511"/>
      <c r="BF298" s="1511"/>
      <c r="BG298" s="1511"/>
      <c r="BH298" s="1617"/>
      <c r="BI298" s="1505"/>
    </row>
    <row r="299" spans="1:62" s="117" customFormat="1">
      <c r="B299" s="1504"/>
      <c r="C299" s="1501"/>
      <c r="D299" s="1501"/>
      <c r="E299" s="150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11"/>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511"/>
      <c r="AX299" s="1511"/>
      <c r="AY299" s="1511"/>
      <c r="AZ299" s="1511"/>
      <c r="BA299" s="1511"/>
      <c r="BB299" s="1511"/>
      <c r="BC299" s="1511"/>
      <c r="BD299" s="1511"/>
      <c r="BE299" s="1511"/>
      <c r="BF299" s="1511"/>
      <c r="BG299" s="1511"/>
      <c r="BH299" s="1511"/>
      <c r="BI299" s="1505"/>
    </row>
    <row r="300" spans="1:62" s="117" customFormat="1">
      <c r="B300" s="1504"/>
      <c r="C300" s="1501"/>
      <c r="D300" s="1501"/>
      <c r="E300" s="1501"/>
      <c r="F300" s="1511"/>
      <c r="G300" s="1511"/>
      <c r="H300" s="1511"/>
      <c r="I300" s="1511"/>
      <c r="J300" s="1511"/>
      <c r="K300" s="1511"/>
      <c r="L300" s="1511"/>
      <c r="M300" s="1511"/>
      <c r="N300" s="1511"/>
      <c r="O300" s="1511"/>
      <c r="P300" s="1511"/>
      <c r="Q300" s="1511"/>
      <c r="R300" s="1511"/>
      <c r="S300" s="1511"/>
      <c r="T300" s="1511"/>
      <c r="U300" s="1511"/>
      <c r="V300" s="1511"/>
      <c r="W300" s="1511"/>
      <c r="X300" s="1511"/>
      <c r="Y300" s="1511"/>
      <c r="Z300" s="1511"/>
      <c r="AA300" s="1511"/>
      <c r="AB300" s="1511"/>
      <c r="AC300" s="1511"/>
      <c r="AD300" s="1511"/>
      <c r="AE300" s="1511"/>
      <c r="AF300" s="1511"/>
      <c r="AG300" s="1511"/>
      <c r="AH300" s="1511"/>
      <c r="AI300" s="1511"/>
      <c r="AJ300" s="1511"/>
      <c r="AK300" s="1511"/>
      <c r="AL300" s="1511"/>
      <c r="AM300" s="1511"/>
      <c r="AN300" s="1511"/>
      <c r="AO300" s="1511"/>
      <c r="AP300" s="1511"/>
      <c r="AQ300" s="1511"/>
      <c r="AR300" s="1511"/>
      <c r="AS300" s="1511"/>
      <c r="AT300" s="1511"/>
      <c r="AU300" s="1511"/>
      <c r="AV300" s="1511"/>
      <c r="AW300" s="1511"/>
      <c r="AX300" s="1511"/>
      <c r="AY300" s="1511"/>
      <c r="AZ300" s="1511"/>
      <c r="BA300" s="1511"/>
      <c r="BB300" s="1511"/>
      <c r="BC300" s="1511"/>
      <c r="BD300" s="1511"/>
      <c r="BE300" s="1511"/>
      <c r="BF300" s="1511"/>
      <c r="BG300" s="1511"/>
      <c r="BH300" s="1511"/>
      <c r="BI300" s="1505"/>
    </row>
    <row r="301" spans="1:62" s="117" customFormat="1">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42"/>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442"/>
      <c r="AX301" s="1442"/>
      <c r="AY301" s="1442"/>
      <c r="AZ301" s="1442"/>
      <c r="BA301" s="1442"/>
      <c r="BB301" s="1442"/>
      <c r="BC301" s="1442"/>
      <c r="BD301" s="1442"/>
      <c r="BE301" s="1442"/>
      <c r="BF301" s="1442"/>
      <c r="BG301" s="1442"/>
      <c r="BH301" s="1442"/>
    </row>
    <row r="302" spans="1:62" ht="15">
      <c r="A302"/>
      <c r="B302" s="1497"/>
      <c r="C302" s="1498"/>
      <c r="D302" s="1498"/>
      <c r="E302" s="1498"/>
      <c r="F302" s="1498"/>
      <c r="G302" s="1498"/>
      <c r="H302" s="1498"/>
      <c r="I302" s="1498"/>
      <c r="J302" s="1498"/>
      <c r="K302" s="1498"/>
      <c r="L302" s="1498"/>
      <c r="M302" s="1498"/>
      <c r="N302" s="1498"/>
      <c r="O302" s="1498"/>
      <c r="P302" s="1498"/>
      <c r="Q302" s="1498"/>
      <c r="R302" s="1498"/>
      <c r="S302" s="1498"/>
      <c r="T302" s="1498"/>
      <c r="U302" s="1498"/>
      <c r="V302" s="1498"/>
      <c r="W302" s="1498"/>
      <c r="X302" s="1498"/>
      <c r="Y302" s="1498"/>
      <c r="Z302" s="1498"/>
      <c r="AA302" s="1498"/>
      <c r="AB302" s="1498"/>
      <c r="AC302" s="1498"/>
      <c r="AD302" s="1498"/>
      <c r="AE302" s="1498"/>
      <c r="AF302" s="1498"/>
      <c r="AG302" s="1498"/>
      <c r="AH302" s="1498"/>
      <c r="AI302" s="1498"/>
      <c r="AJ302" s="1498"/>
      <c r="AK302" s="1498"/>
      <c r="AL302" s="1498"/>
      <c r="AM302" s="1498"/>
      <c r="AN302" s="1498"/>
      <c r="AO302" s="1498"/>
      <c r="AP302" s="1498"/>
      <c r="AQ302" s="1498"/>
      <c r="AR302" s="1498"/>
      <c r="AS302" s="1498"/>
      <c r="AT302" s="1498"/>
      <c r="AU302" s="1498"/>
      <c r="AV302" s="1498"/>
      <c r="AW302" s="1498"/>
      <c r="AX302" s="1498"/>
      <c r="AY302" s="1499"/>
      <c r="AZ302" s="1499"/>
      <c r="BA302" s="1499"/>
      <c r="BB302" s="1499"/>
      <c r="BC302" s="1499"/>
      <c r="BD302" s="1499"/>
      <c r="BE302" s="1499"/>
      <c r="BF302" s="1499"/>
      <c r="BG302" s="1499"/>
      <c r="BH302" s="1499"/>
      <c r="BI302" s="1500"/>
      <c r="BJ302"/>
    </row>
    <row r="303" spans="1:62" ht="15">
      <c r="B303" s="1506"/>
      <c r="C303" s="1502"/>
      <c r="D303" s="1502"/>
      <c r="E303" s="1502"/>
      <c r="F303" s="1502"/>
      <c r="G303" s="1502"/>
      <c r="H303" s="1502"/>
      <c r="I303" s="1502"/>
      <c r="J303" s="1502"/>
      <c r="K303" s="1502"/>
      <c r="L303" s="1502"/>
      <c r="M303" s="1502"/>
      <c r="N303" s="1502"/>
      <c r="O303" s="1502"/>
      <c r="P303" s="1502"/>
      <c r="Q303" s="1502"/>
      <c r="R303" s="1502"/>
      <c r="S303" s="1502"/>
      <c r="T303" s="1502"/>
      <c r="U303" s="1502"/>
      <c r="V303" s="1502"/>
      <c r="W303" s="1502"/>
      <c r="X303" s="1502"/>
      <c r="Y303" s="1502"/>
      <c r="Z303" s="1502"/>
      <c r="AA303" s="1502"/>
      <c r="AB303" s="1502"/>
      <c r="AC303" s="1502"/>
      <c r="AD303" s="1502"/>
      <c r="AE303" s="1502"/>
      <c r="AF303" s="1502"/>
      <c r="AG303" s="1502"/>
      <c r="AH303" s="1502"/>
      <c r="AI303" s="1502"/>
      <c r="AJ303" s="1502"/>
      <c r="AK303" s="1502"/>
      <c r="AL303" s="1502"/>
      <c r="AM303" s="1502"/>
      <c r="AN303" s="1502"/>
      <c r="AO303" s="1502"/>
      <c r="AP303" s="1502"/>
      <c r="AQ303" s="1502"/>
      <c r="AR303" s="1502"/>
      <c r="AS303" s="1502"/>
      <c r="AT303" s="1502"/>
      <c r="AU303" s="1502"/>
      <c r="AV303" s="1502"/>
      <c r="AW303" s="1502"/>
      <c r="AX303" s="1502"/>
      <c r="AY303" s="1503"/>
      <c r="AZ303" s="1503"/>
      <c r="BA303" s="1503"/>
      <c r="BB303" s="1503"/>
      <c r="BC303" s="1503"/>
      <c r="BD303" s="1503"/>
      <c r="BE303" s="1503"/>
      <c r="BF303" s="1503"/>
      <c r="BG303" s="1503"/>
      <c r="BH303" s="1503"/>
      <c r="BI303" s="1507"/>
    </row>
    <row r="304" spans="1:62">
      <c r="B304" s="1504"/>
      <c r="C304" s="1600"/>
      <c r="D304" s="1602"/>
      <c r="E304" s="1509"/>
      <c r="F304" s="1603"/>
      <c r="G304" s="1603"/>
      <c r="H304" s="1603"/>
      <c r="I304" s="1603"/>
      <c r="J304" s="1603"/>
      <c r="K304" s="1603"/>
      <c r="L304" s="1603"/>
      <c r="M304" s="1603"/>
      <c r="N304" s="1603"/>
      <c r="O304" s="1603"/>
      <c r="P304" s="1603"/>
      <c r="Q304" s="1603"/>
      <c r="R304" s="1603"/>
      <c r="S304" s="1603"/>
      <c r="T304" s="1603"/>
      <c r="U304" s="1603"/>
      <c r="V304" s="1603"/>
      <c r="W304" s="1603"/>
      <c r="X304" s="1603"/>
      <c r="Y304" s="1603"/>
      <c r="Z304" s="1603"/>
      <c r="AA304" s="1603"/>
      <c r="AB304" s="1603"/>
      <c r="AC304" s="1603"/>
      <c r="AD304" s="1603"/>
      <c r="AE304" s="1603"/>
      <c r="AF304" s="1603"/>
      <c r="AG304" s="1603"/>
      <c r="AH304" s="1603"/>
      <c r="AI304" s="1603"/>
      <c r="AJ304" s="1603"/>
      <c r="AK304" s="1603"/>
      <c r="AL304" s="1603"/>
      <c r="AM304" s="1603"/>
      <c r="AN304" s="1603"/>
      <c r="AO304" s="1603"/>
      <c r="AP304" s="1603"/>
      <c r="AQ304" s="1603"/>
      <c r="AR304" s="1603"/>
      <c r="AS304" s="1603"/>
      <c r="AT304" s="1603"/>
      <c r="AU304" s="1603"/>
      <c r="AV304" s="1603"/>
      <c r="AW304" s="1603"/>
      <c r="AX304" s="1603"/>
      <c r="AY304" s="1603"/>
      <c r="AZ304" s="1603"/>
      <c r="BA304" s="1603"/>
      <c r="BB304" s="1603"/>
      <c r="BC304" s="1603"/>
      <c r="BD304" s="1603"/>
      <c r="BE304" s="1603"/>
      <c r="BF304" s="1603"/>
      <c r="BG304" s="1603"/>
      <c r="BH304" s="1604"/>
      <c r="BI304" s="1505"/>
    </row>
    <row r="305" spans="2:66" ht="4.5" customHeight="1">
      <c r="B305" s="1504"/>
      <c r="C305" s="1509"/>
      <c r="D305" s="1501"/>
      <c r="E305" s="1501"/>
      <c r="F305" s="1508"/>
      <c r="G305" s="1508"/>
      <c r="H305" s="1508"/>
      <c r="I305" s="1508"/>
      <c r="J305" s="1508"/>
      <c r="K305" s="1508"/>
      <c r="L305" s="1508"/>
      <c r="M305" s="1508"/>
      <c r="N305" s="1508"/>
      <c r="O305" s="1508"/>
      <c r="P305" s="1508"/>
      <c r="Q305" s="1508"/>
      <c r="R305" s="1508"/>
      <c r="S305" s="1508"/>
      <c r="T305" s="1508"/>
      <c r="U305" s="1508"/>
      <c r="V305" s="1508"/>
      <c r="W305" s="1508"/>
      <c r="X305" s="1508"/>
      <c r="Y305" s="1508"/>
      <c r="Z305" s="1508"/>
      <c r="AA305" s="1508"/>
      <c r="AB305" s="1508"/>
      <c r="AC305" s="1508"/>
      <c r="AD305" s="1508"/>
      <c r="AE305" s="1508"/>
      <c r="AF305" s="1508"/>
      <c r="AG305" s="1508"/>
      <c r="AH305" s="1508"/>
      <c r="AI305" s="1508"/>
      <c r="AJ305" s="1508"/>
      <c r="AK305" s="1508"/>
      <c r="AL305" s="1508"/>
      <c r="AM305" s="1508"/>
      <c r="AN305" s="1508"/>
      <c r="AO305" s="1508"/>
      <c r="AP305" s="1508"/>
      <c r="AQ305" s="1508"/>
      <c r="AR305" s="1508"/>
      <c r="AS305" s="1508"/>
      <c r="AT305" s="1508"/>
      <c r="AU305" s="1508"/>
      <c r="AV305" s="1508"/>
      <c r="AW305" s="1508"/>
      <c r="AX305" s="1508"/>
      <c r="AY305" s="1508"/>
      <c r="AZ305" s="1508"/>
      <c r="BA305" s="1508"/>
      <c r="BB305" s="1508"/>
      <c r="BC305" s="1508"/>
      <c r="BD305" s="1508"/>
      <c r="BE305" s="1508"/>
      <c r="BF305" s="1508"/>
      <c r="BG305" s="1508"/>
      <c r="BH305" s="1508"/>
      <c r="BI305" s="1505"/>
    </row>
    <row r="306" spans="2:66">
      <c r="B306" s="1504"/>
      <c r="C306" s="1597"/>
      <c r="D306" s="1597"/>
      <c r="E306" s="1596"/>
      <c r="F306" s="1598"/>
      <c r="G306" s="1598"/>
      <c r="H306" s="1598"/>
      <c r="I306" s="1598"/>
      <c r="J306" s="1598"/>
      <c r="K306" s="1598"/>
      <c r="L306" s="1598"/>
      <c r="M306" s="1598"/>
      <c r="N306" s="1598"/>
      <c r="O306" s="1598"/>
      <c r="P306" s="1598"/>
      <c r="Q306" s="1598"/>
      <c r="R306" s="1598"/>
      <c r="S306" s="1598"/>
      <c r="T306" s="1598"/>
      <c r="U306" s="1598"/>
      <c r="V306" s="1598"/>
      <c r="W306" s="1598"/>
      <c r="X306" s="1598"/>
      <c r="Y306" s="1598"/>
      <c r="Z306" s="1598"/>
      <c r="AA306" s="1598"/>
      <c r="AB306" s="1598"/>
      <c r="AC306" s="1598"/>
      <c r="AD306" s="1598"/>
      <c r="AE306" s="1598"/>
      <c r="AF306" s="1598"/>
      <c r="AG306" s="1598"/>
      <c r="AH306" s="1598"/>
      <c r="AI306" s="1598"/>
      <c r="AJ306" s="1598"/>
      <c r="AK306" s="1598"/>
      <c r="AL306" s="1598"/>
      <c r="AM306" s="1598"/>
      <c r="AN306" s="1598"/>
      <c r="AO306" s="1598"/>
      <c r="AP306" s="1598"/>
      <c r="AQ306" s="1598"/>
      <c r="AR306" s="1598"/>
      <c r="AS306" s="1598"/>
      <c r="AT306" s="1598"/>
      <c r="AU306" s="1598"/>
      <c r="AV306" s="1598"/>
      <c r="AW306" s="1598"/>
      <c r="AX306" s="1596"/>
      <c r="AY306" s="1599"/>
      <c r="AZ306" s="1599"/>
      <c r="BA306" s="1599"/>
      <c r="BB306" s="1599"/>
      <c r="BC306" s="1599"/>
      <c r="BD306" s="1599"/>
      <c r="BE306" s="1599"/>
      <c r="BF306" s="1599"/>
      <c r="BG306" s="1599"/>
      <c r="BH306" s="1599"/>
      <c r="BI306" s="1505"/>
      <c r="BJ306" s="1647"/>
      <c r="BK306" s="1125"/>
      <c r="BL306" s="1125"/>
      <c r="BN306" s="1647"/>
    </row>
    <row r="307" spans="2:66" s="1594" customFormat="1">
      <c r="B307" s="1504"/>
      <c r="C307" s="1597"/>
      <c r="D307" s="1597"/>
      <c r="E307" s="1596"/>
      <c r="F307" s="1598"/>
      <c r="G307" s="1598"/>
      <c r="H307" s="1598"/>
      <c r="I307" s="1598"/>
      <c r="J307" s="1598"/>
      <c r="K307" s="1598"/>
      <c r="L307" s="1598"/>
      <c r="M307" s="1598"/>
      <c r="N307" s="1598"/>
      <c r="O307" s="1598"/>
      <c r="P307" s="1598"/>
      <c r="Q307" s="1598"/>
      <c r="R307" s="1598"/>
      <c r="S307" s="1598"/>
      <c r="T307" s="1598"/>
      <c r="U307" s="1598"/>
      <c r="V307" s="1598"/>
      <c r="W307" s="1598"/>
      <c r="X307" s="1598"/>
      <c r="Y307" s="1598"/>
      <c r="Z307" s="1598"/>
      <c r="AA307" s="1598"/>
      <c r="AB307" s="1598"/>
      <c r="AC307" s="1598"/>
      <c r="AD307" s="1598"/>
      <c r="AE307" s="1598"/>
      <c r="AF307" s="1598"/>
      <c r="AG307" s="1598"/>
      <c r="AH307" s="1598"/>
      <c r="AI307" s="1598"/>
      <c r="AJ307" s="1598"/>
      <c r="AK307" s="1598"/>
      <c r="AL307" s="1598"/>
      <c r="AM307" s="1598"/>
      <c r="AN307" s="1598"/>
      <c r="AO307" s="1598"/>
      <c r="AP307" s="1598"/>
      <c r="AQ307" s="1598"/>
      <c r="AR307" s="1598"/>
      <c r="AS307" s="1598"/>
      <c r="AT307" s="1598"/>
      <c r="AU307" s="1598"/>
      <c r="AV307" s="1598"/>
      <c r="AW307" s="1598"/>
      <c r="AX307" s="1596"/>
      <c r="AY307" s="1599"/>
      <c r="AZ307" s="1599"/>
      <c r="BA307" s="1599"/>
      <c r="BB307" s="1599"/>
      <c r="BC307" s="1599"/>
      <c r="BD307" s="1599"/>
      <c r="BE307" s="1599"/>
      <c r="BF307" s="1599"/>
      <c r="BG307" s="1599"/>
      <c r="BH307" s="1599"/>
      <c r="BI307" s="1505"/>
      <c r="BJ307" s="1647"/>
      <c r="BK307" s="1125"/>
      <c r="BL307" s="1125"/>
    </row>
    <row r="308" spans="2:66" s="1594" customFormat="1">
      <c r="B308" s="1504"/>
      <c r="C308" s="1597"/>
      <c r="D308" s="1597"/>
      <c r="E308" s="1596"/>
      <c r="F308" s="1598"/>
      <c r="G308" s="1598"/>
      <c r="H308" s="1598"/>
      <c r="I308" s="1598"/>
      <c r="J308" s="1598"/>
      <c r="K308" s="1598"/>
      <c r="L308" s="1598"/>
      <c r="M308" s="1598"/>
      <c r="N308" s="1598"/>
      <c r="O308" s="1598"/>
      <c r="P308" s="1598"/>
      <c r="Q308" s="1598"/>
      <c r="R308" s="1598"/>
      <c r="S308" s="1598"/>
      <c r="T308" s="1598"/>
      <c r="U308" s="1598"/>
      <c r="V308" s="1598"/>
      <c r="W308" s="1598"/>
      <c r="X308" s="1598"/>
      <c r="Y308" s="1598"/>
      <c r="Z308" s="1598"/>
      <c r="AA308" s="1598"/>
      <c r="AB308" s="1598"/>
      <c r="AC308" s="1598"/>
      <c r="AD308" s="1598"/>
      <c r="AE308" s="1598"/>
      <c r="AF308" s="1598"/>
      <c r="AG308" s="1598"/>
      <c r="AH308" s="1598"/>
      <c r="AI308" s="1598"/>
      <c r="AJ308" s="1598"/>
      <c r="AK308" s="1598"/>
      <c r="AL308" s="1598"/>
      <c r="AM308" s="1598"/>
      <c r="AN308" s="1598"/>
      <c r="AO308" s="1598"/>
      <c r="AP308" s="1598"/>
      <c r="AQ308" s="1598"/>
      <c r="AR308" s="1598"/>
      <c r="AS308" s="1598"/>
      <c r="AT308" s="1598"/>
      <c r="AU308" s="1598"/>
      <c r="AV308" s="1598"/>
      <c r="AW308" s="1598"/>
      <c r="AX308" s="1596"/>
      <c r="AY308" s="1599"/>
      <c r="AZ308" s="1599"/>
      <c r="BA308" s="1599"/>
      <c r="BB308" s="1599"/>
      <c r="BC308" s="1599"/>
      <c r="BD308" s="1599"/>
      <c r="BE308" s="1599"/>
      <c r="BF308" s="1599"/>
      <c r="BG308" s="1599"/>
      <c r="BH308" s="1599"/>
      <c r="BI308" s="1505"/>
      <c r="BK308" s="1125"/>
      <c r="BL308" s="1125"/>
    </row>
    <row r="309" spans="2:66">
      <c r="B309" s="1504"/>
      <c r="C309" s="1597"/>
      <c r="D309" s="1597"/>
      <c r="E309" s="1596"/>
      <c r="F309" s="1598"/>
      <c r="G309" s="1598"/>
      <c r="H309" s="1598"/>
      <c r="I309" s="1598"/>
      <c r="J309" s="1598"/>
      <c r="K309" s="1598"/>
      <c r="L309" s="1598"/>
      <c r="M309" s="1598"/>
      <c r="N309" s="1598"/>
      <c r="O309" s="1598"/>
      <c r="P309" s="1598"/>
      <c r="Q309" s="1598"/>
      <c r="R309" s="1598"/>
      <c r="S309" s="1598"/>
      <c r="T309" s="1598"/>
      <c r="U309" s="1598"/>
      <c r="V309" s="1598"/>
      <c r="W309" s="1598"/>
      <c r="X309" s="1598"/>
      <c r="Y309" s="1598"/>
      <c r="Z309" s="1598"/>
      <c r="AA309" s="1598"/>
      <c r="AB309" s="1598"/>
      <c r="AC309" s="1598"/>
      <c r="AD309" s="1598"/>
      <c r="AE309" s="1598"/>
      <c r="AF309" s="1598"/>
      <c r="AG309" s="1598"/>
      <c r="AH309" s="1598"/>
      <c r="AI309" s="1598"/>
      <c r="AJ309" s="1598"/>
      <c r="AK309" s="1598"/>
      <c r="AL309" s="1598"/>
      <c r="AM309" s="1598"/>
      <c r="AN309" s="1598"/>
      <c r="AO309" s="1598"/>
      <c r="AP309" s="1598"/>
      <c r="AQ309" s="1598"/>
      <c r="AR309" s="1598"/>
      <c r="AS309" s="1598"/>
      <c r="AT309" s="1598"/>
      <c r="AU309" s="1598"/>
      <c r="AV309" s="1598"/>
      <c r="AW309" s="1598"/>
      <c r="AX309" s="1596"/>
      <c r="AY309" s="1599"/>
      <c r="AZ309" s="1599"/>
      <c r="BA309" s="1599"/>
      <c r="BB309" s="1599"/>
      <c r="BC309" s="1599"/>
      <c r="BD309" s="1599"/>
      <c r="BE309" s="1599"/>
      <c r="BF309" s="1599"/>
      <c r="BG309" s="1599"/>
      <c r="BH309" s="1599"/>
      <c r="BI309" s="1505"/>
      <c r="BJ309" s="1647"/>
      <c r="BK309" s="1125"/>
      <c r="BL309" s="1125"/>
      <c r="BN309" s="1647"/>
    </row>
    <row r="310" spans="2:66">
      <c r="B310" s="1504"/>
      <c r="C310" s="1597"/>
      <c r="D310" s="1597"/>
      <c r="E310" s="1596"/>
      <c r="F310" s="1598"/>
      <c r="G310" s="1598"/>
      <c r="H310" s="1598"/>
      <c r="I310" s="1598"/>
      <c r="J310" s="1598"/>
      <c r="K310" s="1598"/>
      <c r="L310" s="1598"/>
      <c r="M310" s="1598"/>
      <c r="N310" s="1598"/>
      <c r="O310" s="1598"/>
      <c r="P310" s="1598"/>
      <c r="Q310" s="1598"/>
      <c r="R310" s="1598"/>
      <c r="S310" s="1598"/>
      <c r="T310" s="1598"/>
      <c r="U310" s="1598"/>
      <c r="V310" s="1598"/>
      <c r="W310" s="1598"/>
      <c r="X310" s="1598"/>
      <c r="Y310" s="1598"/>
      <c r="Z310" s="1598"/>
      <c r="AA310" s="1598"/>
      <c r="AB310" s="1598"/>
      <c r="AC310" s="1598"/>
      <c r="AD310" s="1598"/>
      <c r="AE310" s="1598"/>
      <c r="AF310" s="1598"/>
      <c r="AG310" s="1598"/>
      <c r="AH310" s="1598"/>
      <c r="AI310" s="1598"/>
      <c r="AJ310" s="1598"/>
      <c r="AK310" s="1598"/>
      <c r="AL310" s="1598"/>
      <c r="AM310" s="1598"/>
      <c r="AN310" s="1598"/>
      <c r="AO310" s="1598"/>
      <c r="AP310" s="1598"/>
      <c r="AQ310" s="1598"/>
      <c r="AR310" s="1598"/>
      <c r="AS310" s="1598"/>
      <c r="AT310" s="1598"/>
      <c r="AU310" s="1598"/>
      <c r="AV310" s="1598"/>
      <c r="AW310" s="1598"/>
      <c r="AX310" s="1596"/>
      <c r="AY310" s="1599"/>
      <c r="AZ310" s="1599"/>
      <c r="BA310" s="1599"/>
      <c r="BB310" s="1599"/>
      <c r="BC310" s="1599"/>
      <c r="BD310" s="1599"/>
      <c r="BE310" s="1599"/>
      <c r="BF310" s="1599"/>
      <c r="BG310" s="1599"/>
      <c r="BH310" s="1599"/>
      <c r="BI310" s="1505"/>
      <c r="BJ310" s="1647"/>
      <c r="BK310" s="1125"/>
      <c r="BL310" s="1125"/>
      <c r="BN310" s="1647"/>
    </row>
    <row r="311" spans="2:66">
      <c r="B311" s="1504"/>
      <c r="C311" s="1597"/>
      <c r="D311" s="1597"/>
      <c r="E311" s="1596"/>
      <c r="F311" s="1598"/>
      <c r="G311" s="1598"/>
      <c r="H311" s="1598"/>
      <c r="I311" s="1598"/>
      <c r="J311" s="1598"/>
      <c r="K311" s="1598"/>
      <c r="L311" s="1598"/>
      <c r="M311" s="1598"/>
      <c r="N311" s="1598"/>
      <c r="O311" s="1598"/>
      <c r="P311" s="1598"/>
      <c r="Q311" s="1598"/>
      <c r="R311" s="1598"/>
      <c r="S311" s="1598"/>
      <c r="T311" s="1598"/>
      <c r="U311" s="1598"/>
      <c r="V311" s="1598"/>
      <c r="W311" s="1598"/>
      <c r="X311" s="1598"/>
      <c r="Y311" s="1598"/>
      <c r="Z311" s="1598"/>
      <c r="AA311" s="1598"/>
      <c r="AB311" s="1598"/>
      <c r="AC311" s="1598"/>
      <c r="AD311" s="1598"/>
      <c r="AE311" s="1598"/>
      <c r="AF311" s="1598"/>
      <c r="AG311" s="1598"/>
      <c r="AH311" s="1598"/>
      <c r="AI311" s="1598"/>
      <c r="AJ311" s="1598"/>
      <c r="AK311" s="1598"/>
      <c r="AL311" s="1598"/>
      <c r="AM311" s="1598"/>
      <c r="AN311" s="1598"/>
      <c r="AO311" s="1598"/>
      <c r="AP311" s="1598"/>
      <c r="AQ311" s="1598"/>
      <c r="AR311" s="1598"/>
      <c r="AS311" s="1598"/>
      <c r="AT311" s="1598"/>
      <c r="AU311" s="1598"/>
      <c r="AV311" s="1598"/>
      <c r="AW311" s="1598"/>
      <c r="AX311" s="1596"/>
      <c r="AY311" s="1599"/>
      <c r="AZ311" s="1599"/>
      <c r="BA311" s="1599"/>
      <c r="BB311" s="1599"/>
      <c r="BC311" s="1599"/>
      <c r="BD311" s="1599"/>
      <c r="BE311" s="1599"/>
      <c r="BF311" s="1599"/>
      <c r="BG311" s="1599"/>
      <c r="BH311" s="1599"/>
      <c r="BI311" s="1505"/>
      <c r="BJ311" s="1647"/>
      <c r="BK311" s="1125"/>
      <c r="BL311" s="1125"/>
      <c r="BN311" s="1647"/>
    </row>
    <row r="312" spans="2:66">
      <c r="B312" s="1504"/>
      <c r="C312" s="1597"/>
      <c r="D312" s="1597"/>
      <c r="E312" s="1596"/>
      <c r="F312" s="1598"/>
      <c r="G312" s="1598"/>
      <c r="H312" s="1598"/>
      <c r="I312" s="1598"/>
      <c r="J312" s="1598"/>
      <c r="K312" s="1598"/>
      <c r="L312" s="1598"/>
      <c r="M312" s="1598"/>
      <c r="N312" s="1598"/>
      <c r="O312" s="1598"/>
      <c r="P312" s="1598"/>
      <c r="Q312" s="1598"/>
      <c r="R312" s="1598"/>
      <c r="S312" s="1598"/>
      <c r="T312" s="1598"/>
      <c r="U312" s="1598"/>
      <c r="V312" s="1598"/>
      <c r="W312" s="1598"/>
      <c r="X312" s="1598"/>
      <c r="Y312" s="1598"/>
      <c r="Z312" s="1598"/>
      <c r="AA312" s="1598"/>
      <c r="AB312" s="1598"/>
      <c r="AC312" s="1598"/>
      <c r="AD312" s="1598"/>
      <c r="AE312" s="1598"/>
      <c r="AF312" s="1598"/>
      <c r="AG312" s="1598"/>
      <c r="AH312" s="1598"/>
      <c r="AI312" s="1598"/>
      <c r="AJ312" s="1598"/>
      <c r="AK312" s="1598"/>
      <c r="AL312" s="1598"/>
      <c r="AM312" s="1598"/>
      <c r="AN312" s="1598"/>
      <c r="AO312" s="1598"/>
      <c r="AP312" s="1598"/>
      <c r="AQ312" s="1598"/>
      <c r="AR312" s="1598"/>
      <c r="AS312" s="1598"/>
      <c r="AT312" s="1598"/>
      <c r="AU312" s="1598"/>
      <c r="AV312" s="1598"/>
      <c r="AW312" s="1598"/>
      <c r="AX312" s="1596"/>
      <c r="AY312" s="1599"/>
      <c r="AZ312" s="1599"/>
      <c r="BA312" s="1599"/>
      <c r="BB312" s="1599"/>
      <c r="BC312" s="1599"/>
      <c r="BD312" s="1599"/>
      <c r="BE312" s="1599"/>
      <c r="BF312" s="1599"/>
      <c r="BG312" s="1599"/>
      <c r="BH312" s="1599"/>
      <c r="BI312" s="1505"/>
      <c r="BJ312" s="1647"/>
      <c r="BK312" s="1125"/>
      <c r="BL312" s="1125"/>
      <c r="BN312" s="1647"/>
    </row>
    <row r="313" spans="2:66">
      <c r="B313" s="1504"/>
      <c r="C313" s="1597"/>
      <c r="D313" s="1597"/>
      <c r="E313" s="1596"/>
      <c r="F313" s="1598"/>
      <c r="G313" s="1598"/>
      <c r="H313" s="1598"/>
      <c r="I313" s="1598"/>
      <c r="J313" s="1598"/>
      <c r="K313" s="1598"/>
      <c r="L313" s="1598"/>
      <c r="M313" s="1598"/>
      <c r="N313" s="1598"/>
      <c r="O313" s="1598"/>
      <c r="P313" s="1598"/>
      <c r="Q313" s="1598"/>
      <c r="R313" s="1598"/>
      <c r="S313" s="1598"/>
      <c r="T313" s="1598"/>
      <c r="U313" s="1598"/>
      <c r="V313" s="1598"/>
      <c r="W313" s="1598"/>
      <c r="X313" s="1598"/>
      <c r="Y313" s="1598"/>
      <c r="Z313" s="1598"/>
      <c r="AA313" s="1598"/>
      <c r="AB313" s="1598"/>
      <c r="AC313" s="1598"/>
      <c r="AD313" s="1598"/>
      <c r="AE313" s="1598"/>
      <c r="AF313" s="1598"/>
      <c r="AG313" s="1598"/>
      <c r="AH313" s="1598"/>
      <c r="AI313" s="1598"/>
      <c r="AJ313" s="1598"/>
      <c r="AK313" s="1598"/>
      <c r="AL313" s="1598"/>
      <c r="AM313" s="1598"/>
      <c r="AN313" s="1598"/>
      <c r="AO313" s="1598"/>
      <c r="AP313" s="1598"/>
      <c r="AQ313" s="1598"/>
      <c r="AR313" s="1598"/>
      <c r="AS313" s="1598"/>
      <c r="AT313" s="1598"/>
      <c r="AU313" s="1598"/>
      <c r="AV313" s="1598"/>
      <c r="AW313" s="1598"/>
      <c r="AX313" s="1596"/>
      <c r="AY313" s="1599"/>
      <c r="AZ313" s="1599"/>
      <c r="BA313" s="1599"/>
      <c r="BB313" s="1599"/>
      <c r="BC313" s="1599"/>
      <c r="BD313" s="1599"/>
      <c r="BE313" s="1599"/>
      <c r="BF313" s="1599"/>
      <c r="BG313" s="1599"/>
      <c r="BH313" s="1599"/>
      <c r="BI313" s="1505"/>
      <c r="BJ313" s="1647"/>
      <c r="BK313" s="1125"/>
      <c r="BL313" s="1125"/>
      <c r="BN313" s="1647"/>
    </row>
    <row r="314" spans="2:66">
      <c r="B314" s="1504"/>
      <c r="C314" s="1597"/>
      <c r="D314" s="1597"/>
      <c r="E314" s="1596"/>
      <c r="F314" s="1598"/>
      <c r="G314" s="1598"/>
      <c r="H314" s="1598"/>
      <c r="I314" s="1598"/>
      <c r="J314" s="1598"/>
      <c r="K314" s="1598"/>
      <c r="L314" s="1598"/>
      <c r="M314" s="1598"/>
      <c r="N314" s="1598"/>
      <c r="O314" s="1598"/>
      <c r="P314" s="1598"/>
      <c r="Q314" s="1598"/>
      <c r="R314" s="1598"/>
      <c r="S314" s="1598"/>
      <c r="T314" s="1598"/>
      <c r="U314" s="1598"/>
      <c r="V314" s="1598"/>
      <c r="W314" s="1598"/>
      <c r="X314" s="1598"/>
      <c r="Y314" s="1598"/>
      <c r="Z314" s="1598"/>
      <c r="AA314" s="1598"/>
      <c r="AB314" s="1598"/>
      <c r="AC314" s="1598"/>
      <c r="AD314" s="1598"/>
      <c r="AE314" s="1598"/>
      <c r="AF314" s="1598"/>
      <c r="AG314" s="1598"/>
      <c r="AH314" s="1598"/>
      <c r="AI314" s="1598"/>
      <c r="AJ314" s="1598"/>
      <c r="AK314" s="1598"/>
      <c r="AL314" s="1598"/>
      <c r="AM314" s="1598"/>
      <c r="AN314" s="1598"/>
      <c r="AO314" s="1598"/>
      <c r="AP314" s="1598"/>
      <c r="AQ314" s="1598"/>
      <c r="AR314" s="1598"/>
      <c r="AS314" s="1598"/>
      <c r="AT314" s="1598"/>
      <c r="AU314" s="1598"/>
      <c r="AV314" s="1598"/>
      <c r="AW314" s="1598"/>
      <c r="AX314" s="1596"/>
      <c r="AY314" s="1599"/>
      <c r="AZ314" s="1599"/>
      <c r="BA314" s="1599"/>
      <c r="BB314" s="1599"/>
      <c r="BC314" s="1599"/>
      <c r="BD314" s="1599"/>
      <c r="BE314" s="1599"/>
      <c r="BF314" s="1599"/>
      <c r="BG314" s="1599"/>
      <c r="BH314" s="1599"/>
      <c r="BI314" s="1505"/>
      <c r="BJ314" s="1647"/>
      <c r="BK314" s="1125"/>
      <c r="BL314" s="1125"/>
      <c r="BN314" s="1647"/>
    </row>
    <row r="315" spans="2:66">
      <c r="B315" s="1504"/>
      <c r="C315" s="1597"/>
      <c r="D315" s="1597"/>
      <c r="E315" s="1596"/>
      <c r="F315" s="1598"/>
      <c r="G315" s="1598"/>
      <c r="H315" s="1598"/>
      <c r="I315" s="1598"/>
      <c r="J315" s="1598"/>
      <c r="K315" s="1598"/>
      <c r="L315" s="1598"/>
      <c r="M315" s="1598"/>
      <c r="N315" s="1598"/>
      <c r="O315" s="1598"/>
      <c r="P315" s="1598"/>
      <c r="Q315" s="1598"/>
      <c r="R315" s="1598"/>
      <c r="S315" s="1598"/>
      <c r="T315" s="1598"/>
      <c r="U315" s="1598"/>
      <c r="V315" s="1598"/>
      <c r="W315" s="1598"/>
      <c r="X315" s="1598"/>
      <c r="Y315" s="1598"/>
      <c r="Z315" s="1598"/>
      <c r="AA315" s="1598"/>
      <c r="AB315" s="1598"/>
      <c r="AC315" s="1598"/>
      <c r="AD315" s="1598"/>
      <c r="AE315" s="1598"/>
      <c r="AF315" s="1598"/>
      <c r="AG315" s="1598"/>
      <c r="AH315" s="1598"/>
      <c r="AI315" s="1598"/>
      <c r="AJ315" s="1598"/>
      <c r="AK315" s="1598"/>
      <c r="AL315" s="1598"/>
      <c r="AM315" s="1598"/>
      <c r="AN315" s="1598"/>
      <c r="AO315" s="1598"/>
      <c r="AP315" s="1598"/>
      <c r="AQ315" s="1598"/>
      <c r="AR315" s="1598"/>
      <c r="AS315" s="1598"/>
      <c r="AT315" s="1598"/>
      <c r="AU315" s="1598"/>
      <c r="AV315" s="1598"/>
      <c r="AW315" s="1598"/>
      <c r="AX315" s="1596"/>
      <c r="AY315" s="1599"/>
      <c r="AZ315" s="1599"/>
      <c r="BA315" s="1599"/>
      <c r="BB315" s="1599"/>
      <c r="BC315" s="1599"/>
      <c r="BD315" s="1599"/>
      <c r="BE315" s="1599"/>
      <c r="BF315" s="1599"/>
      <c r="BG315" s="1599"/>
      <c r="BH315" s="1599"/>
      <c r="BI315" s="1505"/>
      <c r="BJ315" s="1647"/>
      <c r="BK315" s="1125"/>
      <c r="BL315" s="1125"/>
      <c r="BN315" s="1647"/>
    </row>
    <row r="316" spans="2:66">
      <c r="B316" s="1504"/>
      <c r="C316" s="1597"/>
      <c r="D316" s="1597"/>
      <c r="E316" s="1596"/>
      <c r="F316" s="1598"/>
      <c r="G316" s="1598"/>
      <c r="H316" s="1598"/>
      <c r="I316" s="1598"/>
      <c r="J316" s="1598"/>
      <c r="K316" s="1598"/>
      <c r="L316" s="1598"/>
      <c r="M316" s="1598"/>
      <c r="N316" s="1598"/>
      <c r="O316" s="1598"/>
      <c r="P316" s="1598"/>
      <c r="Q316" s="1598"/>
      <c r="R316" s="1598"/>
      <c r="S316" s="1598"/>
      <c r="T316" s="1598"/>
      <c r="U316" s="1598"/>
      <c r="V316" s="1598"/>
      <c r="W316" s="1598"/>
      <c r="X316" s="1598"/>
      <c r="Y316" s="1598"/>
      <c r="Z316" s="1598"/>
      <c r="AA316" s="1598"/>
      <c r="AB316" s="1598"/>
      <c r="AC316" s="1598"/>
      <c r="AD316" s="1598"/>
      <c r="AE316" s="1598"/>
      <c r="AF316" s="1598"/>
      <c r="AG316" s="1598"/>
      <c r="AH316" s="1598"/>
      <c r="AI316" s="1598"/>
      <c r="AJ316" s="1598"/>
      <c r="AK316" s="1598"/>
      <c r="AL316" s="1598"/>
      <c r="AM316" s="1598"/>
      <c r="AN316" s="1598"/>
      <c r="AO316" s="1598"/>
      <c r="AP316" s="1598"/>
      <c r="AQ316" s="1598"/>
      <c r="AR316" s="1598"/>
      <c r="AS316" s="1598"/>
      <c r="AT316" s="1598"/>
      <c r="AU316" s="1598"/>
      <c r="AV316" s="1598"/>
      <c r="AW316" s="1598"/>
      <c r="AX316" s="1596"/>
      <c r="AY316" s="1599"/>
      <c r="AZ316" s="1599"/>
      <c r="BA316" s="1599"/>
      <c r="BB316" s="1599"/>
      <c r="BC316" s="1599"/>
      <c r="BD316" s="1599"/>
      <c r="BE316" s="1599"/>
      <c r="BF316" s="1599"/>
      <c r="BG316" s="1599"/>
      <c r="BH316" s="1599"/>
      <c r="BI316" s="1505"/>
      <c r="BJ316" s="1647"/>
      <c r="BK316" s="1125"/>
      <c r="BL316" s="1125"/>
      <c r="BN316" s="1647"/>
    </row>
    <row r="317" spans="2:66">
      <c r="B317" s="1504"/>
      <c r="C317" s="1597"/>
      <c r="D317" s="1597"/>
      <c r="E317" s="1596"/>
      <c r="F317" s="1598"/>
      <c r="G317" s="1598"/>
      <c r="H317" s="1598"/>
      <c r="I317" s="1598"/>
      <c r="J317" s="1598"/>
      <c r="K317" s="1598"/>
      <c r="L317" s="1598"/>
      <c r="M317" s="1598"/>
      <c r="N317" s="1598"/>
      <c r="O317" s="1598"/>
      <c r="P317" s="1598"/>
      <c r="Q317" s="1598"/>
      <c r="R317" s="1598"/>
      <c r="S317" s="1598"/>
      <c r="T317" s="1598"/>
      <c r="U317" s="1598"/>
      <c r="V317" s="1598"/>
      <c r="W317" s="1598"/>
      <c r="X317" s="1598"/>
      <c r="Y317" s="1598"/>
      <c r="Z317" s="1598"/>
      <c r="AA317" s="1598"/>
      <c r="AB317" s="1598"/>
      <c r="AC317" s="1598"/>
      <c r="AD317" s="1598"/>
      <c r="AE317" s="1598"/>
      <c r="AF317" s="1598"/>
      <c r="AG317" s="1598"/>
      <c r="AH317" s="1598"/>
      <c r="AI317" s="1598"/>
      <c r="AJ317" s="1598"/>
      <c r="AK317" s="1598"/>
      <c r="AL317" s="1598"/>
      <c r="AM317" s="1598"/>
      <c r="AN317" s="1598"/>
      <c r="AO317" s="1598"/>
      <c r="AP317" s="1598"/>
      <c r="AQ317" s="1598"/>
      <c r="AR317" s="1598"/>
      <c r="AS317" s="1598"/>
      <c r="AT317" s="1598"/>
      <c r="AU317" s="1598"/>
      <c r="AV317" s="1598"/>
      <c r="AW317" s="1598"/>
      <c r="AX317" s="1596"/>
      <c r="AY317" s="1599"/>
      <c r="AZ317" s="1599"/>
      <c r="BA317" s="1599"/>
      <c r="BB317" s="1599"/>
      <c r="BC317" s="1599"/>
      <c r="BD317" s="1599"/>
      <c r="BE317" s="1599"/>
      <c r="BF317" s="1599"/>
      <c r="BG317" s="1599"/>
      <c r="BH317" s="1599"/>
      <c r="BI317" s="1505"/>
      <c r="BJ317" s="1647"/>
      <c r="BK317" s="1125"/>
      <c r="BL317" s="1125"/>
      <c r="BN317" s="1647"/>
    </row>
    <row r="318" spans="2:66">
      <c r="B318" s="1504"/>
      <c r="C318" s="1597"/>
      <c r="D318" s="1597"/>
      <c r="E318" s="1596"/>
      <c r="F318" s="1598"/>
      <c r="G318" s="1598"/>
      <c r="H318" s="1598"/>
      <c r="I318" s="1598"/>
      <c r="J318" s="1598"/>
      <c r="K318" s="1598"/>
      <c r="L318" s="1598"/>
      <c r="M318" s="1598"/>
      <c r="N318" s="1598"/>
      <c r="O318" s="1598"/>
      <c r="P318" s="1598"/>
      <c r="Q318" s="1598"/>
      <c r="R318" s="1598"/>
      <c r="S318" s="1598"/>
      <c r="T318" s="1598"/>
      <c r="U318" s="1598"/>
      <c r="V318" s="1598"/>
      <c r="W318" s="1598"/>
      <c r="X318" s="1598"/>
      <c r="Y318" s="1598"/>
      <c r="Z318" s="1598"/>
      <c r="AA318" s="1598"/>
      <c r="AB318" s="1598"/>
      <c r="AC318" s="1598"/>
      <c r="AD318" s="1598"/>
      <c r="AE318" s="1598"/>
      <c r="AF318" s="1598"/>
      <c r="AG318" s="1598"/>
      <c r="AH318" s="1598"/>
      <c r="AI318" s="1598"/>
      <c r="AJ318" s="1598"/>
      <c r="AK318" s="1598"/>
      <c r="AL318" s="1598"/>
      <c r="AM318" s="1598"/>
      <c r="AN318" s="1598"/>
      <c r="AO318" s="1598"/>
      <c r="AP318" s="1598"/>
      <c r="AQ318" s="1598"/>
      <c r="AR318" s="1598"/>
      <c r="AS318" s="1598"/>
      <c r="AT318" s="1598"/>
      <c r="AU318" s="1598"/>
      <c r="AV318" s="1598"/>
      <c r="AW318" s="1598"/>
      <c r="AX318" s="1596"/>
      <c r="AY318" s="1599"/>
      <c r="AZ318" s="1599"/>
      <c r="BA318" s="1599"/>
      <c r="BB318" s="1599"/>
      <c r="BC318" s="1599"/>
      <c r="BD318" s="1599"/>
      <c r="BE318" s="1599"/>
      <c r="BF318" s="1599"/>
      <c r="BG318" s="1599"/>
      <c r="BH318" s="1599"/>
      <c r="BI318" s="1505"/>
      <c r="BJ318" s="1647"/>
      <c r="BK318" s="1576"/>
    </row>
    <row r="319" spans="2:66">
      <c r="B319" s="1504"/>
      <c r="C319" s="1597"/>
      <c r="D319" s="1597"/>
      <c r="E319" s="1596"/>
      <c r="F319" s="1598"/>
      <c r="G319" s="1598"/>
      <c r="H319" s="1598"/>
      <c r="I319" s="1598"/>
      <c r="J319" s="1598"/>
      <c r="K319" s="1598"/>
      <c r="L319" s="1598"/>
      <c r="M319" s="1598"/>
      <c r="N319" s="1598"/>
      <c r="O319" s="1598"/>
      <c r="P319" s="1598"/>
      <c r="Q319" s="1598"/>
      <c r="R319" s="1598"/>
      <c r="S319" s="1598"/>
      <c r="T319" s="1598"/>
      <c r="U319" s="1598"/>
      <c r="V319" s="1598"/>
      <c r="W319" s="1598"/>
      <c r="X319" s="1598"/>
      <c r="Y319" s="1598"/>
      <c r="Z319" s="1598"/>
      <c r="AA319" s="1598"/>
      <c r="AB319" s="1598"/>
      <c r="AC319" s="1598"/>
      <c r="AD319" s="1598"/>
      <c r="AE319" s="1598"/>
      <c r="AF319" s="1598"/>
      <c r="AG319" s="1598"/>
      <c r="AH319" s="1598"/>
      <c r="AI319" s="1598"/>
      <c r="AJ319" s="1598"/>
      <c r="AK319" s="1598"/>
      <c r="AL319" s="1598"/>
      <c r="AM319" s="1598"/>
      <c r="AN319" s="1598"/>
      <c r="AO319" s="1598"/>
      <c r="AP319" s="1598"/>
      <c r="AQ319" s="1598"/>
      <c r="AR319" s="1598"/>
      <c r="AS319" s="1598"/>
      <c r="AT319" s="1598"/>
      <c r="AU319" s="1598"/>
      <c r="AV319" s="1598"/>
      <c r="AW319" s="1598"/>
      <c r="AX319" s="1596"/>
      <c r="AY319" s="1599"/>
      <c r="AZ319" s="1599"/>
      <c r="BA319" s="1599"/>
      <c r="BB319" s="1599"/>
      <c r="BC319" s="1599"/>
      <c r="BD319" s="1599"/>
      <c r="BE319" s="1599"/>
      <c r="BF319" s="1599"/>
      <c r="BG319" s="1599"/>
      <c r="BH319" s="1599"/>
      <c r="BI319" s="1505"/>
    </row>
    <row r="320" spans="2:66" s="1593" customFormat="1">
      <c r="B320" s="1504"/>
      <c r="C320" s="1597"/>
      <c r="D320" s="1597"/>
      <c r="E320" s="1596"/>
      <c r="F320" s="1598"/>
      <c r="G320" s="1598"/>
      <c r="H320" s="1598"/>
      <c r="I320" s="1598"/>
      <c r="J320" s="1598"/>
      <c r="K320" s="1598"/>
      <c r="L320" s="1598"/>
      <c r="M320" s="1598"/>
      <c r="N320" s="1598"/>
      <c r="O320" s="1598"/>
      <c r="P320" s="1598"/>
      <c r="Q320" s="1598"/>
      <c r="R320" s="1598"/>
      <c r="S320" s="1598"/>
      <c r="T320" s="1598"/>
      <c r="U320" s="1598"/>
      <c r="V320" s="1598"/>
      <c r="W320" s="1598"/>
      <c r="X320" s="1598"/>
      <c r="Y320" s="1598"/>
      <c r="Z320" s="1598"/>
      <c r="AA320" s="1598"/>
      <c r="AB320" s="1598"/>
      <c r="AC320" s="1598"/>
      <c r="AD320" s="1598"/>
      <c r="AE320" s="1598"/>
      <c r="AF320" s="1598"/>
      <c r="AG320" s="1598"/>
      <c r="AH320" s="1598"/>
      <c r="AI320" s="1598"/>
      <c r="AJ320" s="1598"/>
      <c r="AK320" s="1598"/>
      <c r="AL320" s="1598"/>
      <c r="AM320" s="1598"/>
      <c r="AN320" s="1598"/>
      <c r="AO320" s="1598"/>
      <c r="AP320" s="1598"/>
      <c r="AQ320" s="1598"/>
      <c r="AR320" s="1598"/>
      <c r="AS320" s="1598"/>
      <c r="AT320" s="1598"/>
      <c r="AU320" s="1598"/>
      <c r="AV320" s="1598"/>
      <c r="AW320" s="1598"/>
      <c r="AX320" s="1596"/>
      <c r="AY320" s="1599"/>
      <c r="AZ320" s="1599"/>
      <c r="BA320" s="1599"/>
      <c r="BB320" s="1599"/>
      <c r="BC320" s="1599"/>
      <c r="BD320" s="1599"/>
      <c r="BE320" s="1599"/>
      <c r="BF320" s="1599"/>
      <c r="BG320" s="1599"/>
      <c r="BH320" s="1599"/>
      <c r="BI320" s="1505"/>
    </row>
    <row r="321" spans="2:61" s="1594" customFormat="1">
      <c r="B321" s="1504"/>
      <c r="C321" s="1597"/>
      <c r="D321" s="1597"/>
      <c r="E321" s="1596"/>
      <c r="F321" s="1598"/>
      <c r="G321" s="1598"/>
      <c r="H321" s="1598"/>
      <c r="I321" s="1598"/>
      <c r="J321" s="1598"/>
      <c r="K321" s="1598"/>
      <c r="L321" s="1598"/>
      <c r="M321" s="1598"/>
      <c r="N321" s="1598"/>
      <c r="O321" s="1598"/>
      <c r="P321" s="1598"/>
      <c r="Q321" s="1598"/>
      <c r="R321" s="1598"/>
      <c r="S321" s="1598"/>
      <c r="T321" s="1598"/>
      <c r="U321" s="1598"/>
      <c r="V321" s="1598"/>
      <c r="W321" s="1598"/>
      <c r="X321" s="1598"/>
      <c r="Y321" s="1598"/>
      <c r="Z321" s="1598"/>
      <c r="AA321" s="1598"/>
      <c r="AB321" s="1598"/>
      <c r="AC321" s="1598"/>
      <c r="AD321" s="1598"/>
      <c r="AE321" s="1598"/>
      <c r="AF321" s="1598"/>
      <c r="AG321" s="1598"/>
      <c r="AH321" s="1598"/>
      <c r="AI321" s="1598"/>
      <c r="AJ321" s="1598"/>
      <c r="AK321" s="1598"/>
      <c r="AL321" s="1598"/>
      <c r="AM321" s="1598"/>
      <c r="AN321" s="1598"/>
      <c r="AO321" s="1598"/>
      <c r="AP321" s="1598"/>
      <c r="AQ321" s="1598"/>
      <c r="AR321" s="1598"/>
      <c r="AS321" s="1598"/>
      <c r="AT321" s="1598"/>
      <c r="AU321" s="1598"/>
      <c r="AV321" s="1598"/>
      <c r="AW321" s="1598"/>
      <c r="AX321" s="1596"/>
      <c r="AY321" s="1599"/>
      <c r="AZ321" s="1599"/>
      <c r="BA321" s="1599"/>
      <c r="BB321" s="1599"/>
      <c r="BC321" s="1599"/>
      <c r="BD321" s="1599"/>
      <c r="BE321" s="1599"/>
      <c r="BF321" s="1599"/>
      <c r="BG321" s="1599"/>
      <c r="BH321" s="1599"/>
      <c r="BI321" s="1505"/>
    </row>
    <row r="322" spans="2:61" s="1594" customFormat="1">
      <c r="B322" s="1504"/>
      <c r="C322" s="1597"/>
      <c r="D322" s="1601"/>
      <c r="E322" s="1596"/>
      <c r="F322" s="1598"/>
      <c r="G322" s="1598"/>
      <c r="H322" s="1598"/>
      <c r="I322" s="1598"/>
      <c r="J322" s="1598"/>
      <c r="K322" s="1598"/>
      <c r="L322" s="1598"/>
      <c r="M322" s="1598"/>
      <c r="N322" s="1598"/>
      <c r="O322" s="1598"/>
      <c r="P322" s="1598"/>
      <c r="Q322" s="1598"/>
      <c r="R322" s="1598"/>
      <c r="S322" s="1598"/>
      <c r="T322" s="1598"/>
      <c r="U322" s="1598"/>
      <c r="V322" s="1598"/>
      <c r="W322" s="1598"/>
      <c r="X322" s="1598"/>
      <c r="Y322" s="1598"/>
      <c r="Z322" s="1598"/>
      <c r="AA322" s="1598"/>
      <c r="AB322" s="1598"/>
      <c r="AC322" s="1598"/>
      <c r="AD322" s="1598"/>
      <c r="AE322" s="1598"/>
      <c r="AF322" s="1598"/>
      <c r="AG322" s="1598"/>
      <c r="AH322" s="1598"/>
      <c r="AI322" s="1598"/>
      <c r="AJ322" s="1598"/>
      <c r="AK322" s="1598"/>
      <c r="AL322" s="1598"/>
      <c r="AM322" s="1598"/>
      <c r="AN322" s="1598"/>
      <c r="AO322" s="1598"/>
      <c r="AP322" s="1598"/>
      <c r="AQ322" s="1598"/>
      <c r="AR322" s="1598"/>
      <c r="AS322" s="1598"/>
      <c r="AT322" s="1598"/>
      <c r="AU322" s="1598"/>
      <c r="AV322" s="1598"/>
      <c r="AW322" s="1598"/>
      <c r="AX322" s="1596"/>
      <c r="AY322" s="1599"/>
      <c r="AZ322" s="1599"/>
      <c r="BA322" s="1599"/>
      <c r="BB322" s="1599"/>
      <c r="BC322" s="1599"/>
      <c r="BD322" s="1599"/>
      <c r="BE322" s="1599"/>
      <c r="BF322" s="1599"/>
      <c r="BG322" s="1599"/>
      <c r="BH322" s="1599"/>
      <c r="BI322" s="1505"/>
    </row>
    <row r="323" spans="2:61" s="1594" customFormat="1">
      <c r="B323" s="1504"/>
      <c r="C323" s="1597"/>
      <c r="D323" s="1601"/>
      <c r="E323" s="1596"/>
      <c r="F323" s="1598"/>
      <c r="G323" s="1598"/>
      <c r="H323" s="1598"/>
      <c r="I323" s="1598"/>
      <c r="J323" s="1598"/>
      <c r="K323" s="1598"/>
      <c r="L323" s="1598"/>
      <c r="M323" s="1598"/>
      <c r="N323" s="1598"/>
      <c r="O323" s="1598"/>
      <c r="P323" s="1598"/>
      <c r="Q323" s="1598"/>
      <c r="R323" s="1598"/>
      <c r="S323" s="1598"/>
      <c r="T323" s="1598"/>
      <c r="U323" s="1598"/>
      <c r="V323" s="1598"/>
      <c r="W323" s="1598"/>
      <c r="X323" s="1598"/>
      <c r="Y323" s="1598"/>
      <c r="Z323" s="1598"/>
      <c r="AA323" s="1598"/>
      <c r="AB323" s="1598"/>
      <c r="AC323" s="1598"/>
      <c r="AD323" s="1598"/>
      <c r="AE323" s="1598"/>
      <c r="AF323" s="1598"/>
      <c r="AG323" s="1598"/>
      <c r="AH323" s="1598"/>
      <c r="AI323" s="1598"/>
      <c r="AJ323" s="1598"/>
      <c r="AK323" s="1598"/>
      <c r="AL323" s="1598"/>
      <c r="AM323" s="1598"/>
      <c r="AN323" s="1598"/>
      <c r="AO323" s="1598"/>
      <c r="AP323" s="1598"/>
      <c r="AQ323" s="1598"/>
      <c r="AR323" s="1598"/>
      <c r="AS323" s="1598"/>
      <c r="AT323" s="1598"/>
      <c r="AU323" s="1598"/>
      <c r="AV323" s="1598"/>
      <c r="AW323" s="1598"/>
      <c r="AX323" s="1596"/>
      <c r="AY323" s="1599"/>
      <c r="AZ323" s="1599"/>
      <c r="BA323" s="1599"/>
      <c r="BB323" s="1599"/>
      <c r="BC323" s="1599"/>
      <c r="BD323" s="1599"/>
      <c r="BE323" s="1599"/>
      <c r="BF323" s="1599"/>
      <c r="BG323" s="1599"/>
      <c r="BH323" s="1599"/>
      <c r="BI323" s="1505"/>
    </row>
    <row r="324" spans="2:61" s="1594" customFormat="1">
      <c r="B324" s="1504"/>
      <c r="C324" s="1597"/>
      <c r="D324" s="1601"/>
      <c r="E324" s="1596"/>
      <c r="F324" s="1598"/>
      <c r="G324" s="1598"/>
      <c r="H324" s="1598"/>
      <c r="I324" s="1598"/>
      <c r="J324" s="1598"/>
      <c r="K324" s="1598"/>
      <c r="L324" s="1598"/>
      <c r="M324" s="1598"/>
      <c r="N324" s="1598"/>
      <c r="O324" s="1598"/>
      <c r="P324" s="1598"/>
      <c r="Q324" s="1598"/>
      <c r="R324" s="1598"/>
      <c r="S324" s="1598"/>
      <c r="T324" s="1598"/>
      <c r="U324" s="1598"/>
      <c r="V324" s="1598"/>
      <c r="W324" s="1598"/>
      <c r="X324" s="1598"/>
      <c r="Y324" s="1598"/>
      <c r="Z324" s="1598"/>
      <c r="AA324" s="1598"/>
      <c r="AB324" s="1598"/>
      <c r="AC324" s="1598"/>
      <c r="AD324" s="1598"/>
      <c r="AE324" s="1598"/>
      <c r="AF324" s="1598"/>
      <c r="AG324" s="1598"/>
      <c r="AH324" s="1598"/>
      <c r="AI324" s="1598"/>
      <c r="AJ324" s="1598"/>
      <c r="AK324" s="1598"/>
      <c r="AL324" s="1598"/>
      <c r="AM324" s="1598"/>
      <c r="AN324" s="1598"/>
      <c r="AO324" s="1598"/>
      <c r="AP324" s="1598"/>
      <c r="AQ324" s="1598"/>
      <c r="AR324" s="1598"/>
      <c r="AS324" s="1598"/>
      <c r="AT324" s="1598"/>
      <c r="AU324" s="1598"/>
      <c r="AV324" s="1598"/>
      <c r="AW324" s="1598"/>
      <c r="AX324" s="1596"/>
      <c r="AY324" s="1599"/>
      <c r="AZ324" s="1599"/>
      <c r="BA324" s="1599"/>
      <c r="BB324" s="1599"/>
      <c r="BC324" s="1599"/>
      <c r="BD324" s="1599"/>
      <c r="BE324" s="1599"/>
      <c r="BF324" s="1599"/>
      <c r="BG324" s="1599"/>
      <c r="BH324" s="1599"/>
      <c r="BI324" s="1505"/>
    </row>
    <row r="325" spans="2:61" s="1594" customFormat="1">
      <c r="B325" s="1504"/>
      <c r="C325" s="1597"/>
      <c r="D325" s="1601"/>
      <c r="E325" s="1596"/>
      <c r="F325" s="1598"/>
      <c r="G325" s="1598"/>
      <c r="H325" s="1598"/>
      <c r="I325" s="1598"/>
      <c r="J325" s="1598"/>
      <c r="K325" s="1598"/>
      <c r="L325" s="1598"/>
      <c r="M325" s="1598"/>
      <c r="N325" s="1598"/>
      <c r="O325" s="1598"/>
      <c r="P325" s="1598"/>
      <c r="Q325" s="1598"/>
      <c r="R325" s="1598"/>
      <c r="S325" s="1598"/>
      <c r="T325" s="1598"/>
      <c r="U325" s="1598"/>
      <c r="V325" s="1598"/>
      <c r="W325" s="1598"/>
      <c r="X325" s="1598"/>
      <c r="Y325" s="1598"/>
      <c r="Z325" s="1598"/>
      <c r="AA325" s="1598"/>
      <c r="AB325" s="1598"/>
      <c r="AC325" s="1598"/>
      <c r="AD325" s="1598"/>
      <c r="AE325" s="1598"/>
      <c r="AF325" s="1598"/>
      <c r="AG325" s="1598"/>
      <c r="AH325" s="1598"/>
      <c r="AI325" s="1598"/>
      <c r="AJ325" s="1598"/>
      <c r="AK325" s="1598"/>
      <c r="AL325" s="1598"/>
      <c r="AM325" s="1598"/>
      <c r="AN325" s="1598"/>
      <c r="AO325" s="1598"/>
      <c r="AP325" s="1598"/>
      <c r="AQ325" s="1598"/>
      <c r="AR325" s="1598"/>
      <c r="AS325" s="1598"/>
      <c r="AT325" s="1598"/>
      <c r="AU325" s="1598"/>
      <c r="AV325" s="1598"/>
      <c r="AW325" s="1598"/>
      <c r="AX325" s="1596"/>
      <c r="AY325" s="1599"/>
      <c r="AZ325" s="1599"/>
      <c r="BA325" s="1599"/>
      <c r="BB325" s="1599"/>
      <c r="BC325" s="1599"/>
      <c r="BD325" s="1599"/>
      <c r="BE325" s="1599"/>
      <c r="BF325" s="1599"/>
      <c r="BG325" s="1599"/>
      <c r="BH325" s="1599"/>
      <c r="BI325" s="1505"/>
    </row>
    <row r="326" spans="2:61" s="1594" customFormat="1">
      <c r="B326" s="1504"/>
      <c r="C326" s="1597"/>
      <c r="D326" s="1601"/>
      <c r="E326" s="1596"/>
      <c r="F326" s="1598"/>
      <c r="G326" s="1598"/>
      <c r="H326" s="1598"/>
      <c r="I326" s="1598"/>
      <c r="J326" s="1598"/>
      <c r="K326" s="1598"/>
      <c r="L326" s="1598"/>
      <c r="M326" s="1598"/>
      <c r="N326" s="1598"/>
      <c r="O326" s="1598"/>
      <c r="P326" s="1598"/>
      <c r="Q326" s="1598"/>
      <c r="R326" s="1598"/>
      <c r="S326" s="1598"/>
      <c r="T326" s="1598"/>
      <c r="U326" s="1598"/>
      <c r="V326" s="1598"/>
      <c r="W326" s="1598"/>
      <c r="X326" s="1598"/>
      <c r="Y326" s="1598"/>
      <c r="Z326" s="1598"/>
      <c r="AA326" s="1598"/>
      <c r="AB326" s="1598"/>
      <c r="AC326" s="1598"/>
      <c r="AD326" s="1598"/>
      <c r="AE326" s="1598"/>
      <c r="AF326" s="1598"/>
      <c r="AG326" s="1598"/>
      <c r="AH326" s="1598"/>
      <c r="AI326" s="1598"/>
      <c r="AJ326" s="1598"/>
      <c r="AK326" s="1598"/>
      <c r="AL326" s="1598"/>
      <c r="AM326" s="1598"/>
      <c r="AN326" s="1598"/>
      <c r="AO326" s="1598"/>
      <c r="AP326" s="1598"/>
      <c r="AQ326" s="1598"/>
      <c r="AR326" s="1598"/>
      <c r="AS326" s="1598"/>
      <c r="AT326" s="1598"/>
      <c r="AU326" s="1598"/>
      <c r="AV326" s="1598"/>
      <c r="AW326" s="1598"/>
      <c r="AX326" s="1596"/>
      <c r="AY326" s="1599"/>
      <c r="AZ326" s="1599"/>
      <c r="BA326" s="1599"/>
      <c r="BB326" s="1599"/>
      <c r="BC326" s="1599"/>
      <c r="BD326" s="1599"/>
      <c r="BE326" s="1599"/>
      <c r="BF326" s="1599"/>
      <c r="BG326" s="1599"/>
      <c r="BH326" s="1599"/>
      <c r="BI326" s="1505"/>
    </row>
    <row r="327" spans="2:61" s="1605" customFormat="1">
      <c r="B327" s="1504"/>
      <c r="C327" s="1597"/>
      <c r="D327" s="1601"/>
      <c r="E327" s="1596"/>
      <c r="F327" s="1598"/>
      <c r="G327" s="1598"/>
      <c r="H327" s="1598"/>
      <c r="I327" s="1598"/>
      <c r="J327" s="1598"/>
      <c r="K327" s="1598"/>
      <c r="L327" s="1598"/>
      <c r="M327" s="1598"/>
      <c r="N327" s="1598"/>
      <c r="O327" s="1598"/>
      <c r="P327" s="1598"/>
      <c r="Q327" s="1598"/>
      <c r="R327" s="1598"/>
      <c r="S327" s="1598"/>
      <c r="T327" s="1598"/>
      <c r="U327" s="1598"/>
      <c r="V327" s="1598"/>
      <c r="W327" s="1598"/>
      <c r="X327" s="1598"/>
      <c r="Y327" s="1598"/>
      <c r="Z327" s="1598"/>
      <c r="AA327" s="1598"/>
      <c r="AB327" s="1598"/>
      <c r="AC327" s="1598"/>
      <c r="AD327" s="1598"/>
      <c r="AE327" s="1598"/>
      <c r="AF327" s="1598"/>
      <c r="AG327" s="1598"/>
      <c r="AH327" s="1598"/>
      <c r="AI327" s="1598"/>
      <c r="AJ327" s="1598"/>
      <c r="AK327" s="1598"/>
      <c r="AL327" s="1598"/>
      <c r="AM327" s="1598"/>
      <c r="AN327" s="1598"/>
      <c r="AO327" s="1598"/>
      <c r="AP327" s="1598"/>
      <c r="AQ327" s="1598"/>
      <c r="AR327" s="1598"/>
      <c r="AS327" s="1598"/>
      <c r="AT327" s="1598"/>
      <c r="AU327" s="1598"/>
      <c r="AV327" s="1598"/>
      <c r="AW327" s="1598"/>
      <c r="AX327" s="1596"/>
      <c r="AY327" s="1599"/>
      <c r="AZ327" s="1599"/>
      <c r="BA327" s="1599"/>
      <c r="BB327" s="1599"/>
      <c r="BC327" s="1599"/>
      <c r="BD327" s="1599"/>
      <c r="BE327" s="1599"/>
      <c r="BF327" s="1599"/>
      <c r="BG327" s="1599"/>
      <c r="BH327" s="1599"/>
      <c r="BI327" s="1505"/>
    </row>
    <row r="329" spans="2:61" ht="15">
      <c r="B329" s="1497"/>
      <c r="C329" s="1498"/>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498"/>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98"/>
      <c r="AX329" s="1498"/>
      <c r="AY329" s="1499"/>
      <c r="AZ329" s="1499"/>
      <c r="BA329" s="1499"/>
      <c r="BB329" s="1499"/>
      <c r="BC329" s="1499"/>
      <c r="BD329" s="1499"/>
      <c r="BE329" s="1499"/>
      <c r="BF329" s="1499"/>
      <c r="BG329" s="1499"/>
      <c r="BH329" s="1499"/>
      <c r="BI329" s="1500"/>
    </row>
    <row r="330" spans="2:61" ht="15">
      <c r="B330" s="1506"/>
      <c r="C330" s="1502"/>
      <c r="D330" s="1502"/>
      <c r="E330" s="1502"/>
      <c r="F330" s="1502"/>
      <c r="G330" s="1502"/>
      <c r="H330" s="1502"/>
      <c r="I330" s="1502"/>
      <c r="J330" s="1502"/>
      <c r="K330" s="1502"/>
      <c r="L330" s="1502"/>
      <c r="M330" s="1502"/>
      <c r="N330" s="1502"/>
      <c r="O330" s="1502"/>
      <c r="P330" s="1502"/>
      <c r="Q330" s="1502"/>
      <c r="R330" s="1502"/>
      <c r="S330" s="1502"/>
      <c r="T330" s="1502"/>
      <c r="U330" s="1502"/>
      <c r="V330" s="1502"/>
      <c r="W330" s="1502"/>
      <c r="X330" s="1502"/>
      <c r="Y330" s="1502"/>
      <c r="Z330" s="1502"/>
      <c r="AA330" s="1502"/>
      <c r="AB330" s="1502"/>
      <c r="AC330" s="1502"/>
      <c r="AD330" s="1502"/>
      <c r="AE330" s="1502"/>
      <c r="AF330" s="1502"/>
      <c r="AG330" s="1502"/>
      <c r="AH330" s="1502"/>
      <c r="AI330" s="1502"/>
      <c r="AJ330" s="1502"/>
      <c r="AK330" s="1502"/>
      <c r="AL330" s="1502"/>
      <c r="AM330" s="1502"/>
      <c r="AN330" s="1502"/>
      <c r="AO330" s="1502"/>
      <c r="AP330" s="1502"/>
      <c r="AQ330" s="1502"/>
      <c r="AR330" s="1502"/>
      <c r="AS330" s="1502"/>
      <c r="AT330" s="1502"/>
      <c r="AU330" s="1502"/>
      <c r="AV330" s="1502"/>
      <c r="AW330" s="1502"/>
      <c r="AX330" s="1502"/>
      <c r="AY330" s="1503"/>
      <c r="AZ330" s="1503"/>
      <c r="BA330" s="1503"/>
      <c r="BB330" s="1503"/>
      <c r="BC330" s="1503"/>
      <c r="BD330" s="1503"/>
      <c r="BE330" s="1503"/>
      <c r="BF330" s="1503"/>
      <c r="BG330" s="1503"/>
      <c r="BH330" s="1503"/>
      <c r="BI330" s="1507"/>
    </row>
    <row r="331" spans="2:61" s="2173" customFormat="1" ht="15">
      <c r="B331" s="2075"/>
      <c r="C331" s="1501"/>
      <c r="D331" s="1603"/>
      <c r="E331" s="2184"/>
      <c r="F331" s="2184"/>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01"/>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501"/>
      <c r="AX331" s="1501"/>
      <c r="AY331" s="2076"/>
      <c r="AZ331" s="2076"/>
      <c r="BA331" s="2076"/>
      <c r="BB331" s="2076"/>
      <c r="BC331" s="2076"/>
      <c r="BD331" s="2076"/>
      <c r="BE331" s="2076"/>
      <c r="BF331" s="2076"/>
      <c r="BG331" s="2076"/>
      <c r="BH331" s="2076"/>
      <c r="BI331" s="2077"/>
    </row>
    <row r="332" spans="2:61" s="2173" customFormat="1" ht="15">
      <c r="B332" s="2075"/>
      <c r="C332" s="1501"/>
      <c r="D332" s="2078"/>
      <c r="E332" s="2185"/>
      <c r="F332" s="2185"/>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01"/>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501"/>
      <c r="AX332" s="1501"/>
      <c r="AY332" s="2076"/>
      <c r="AZ332" s="2076"/>
      <c r="BA332" s="2076"/>
      <c r="BB332" s="2076"/>
      <c r="BC332" s="2076"/>
      <c r="BD332" s="2076"/>
      <c r="BE332" s="2076"/>
      <c r="BF332" s="2076"/>
      <c r="BG332" s="2076"/>
      <c r="BH332" s="2076"/>
      <c r="BI332" s="2077"/>
    </row>
    <row r="333" spans="2:61" s="2173" customFormat="1" ht="15">
      <c r="B333" s="2075"/>
      <c r="C333" s="1501"/>
      <c r="D333" s="2078"/>
      <c r="E333" s="2185"/>
      <c r="F333" s="2185"/>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01"/>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501"/>
      <c r="AX333" s="1501"/>
      <c r="AY333" s="2076"/>
      <c r="AZ333" s="2076"/>
      <c r="BA333" s="2076"/>
      <c r="BB333" s="2076"/>
      <c r="BC333" s="2076"/>
      <c r="BD333" s="2076"/>
      <c r="BE333" s="2076"/>
      <c r="BF333" s="2076"/>
      <c r="BG333" s="2076"/>
      <c r="BH333" s="2076"/>
      <c r="BI333" s="2077"/>
    </row>
    <row r="334" spans="2:61" s="2173" customFormat="1" ht="15">
      <c r="B334" s="2075"/>
      <c r="C334" s="1501"/>
      <c r="D334" s="2078"/>
      <c r="E334" s="2185"/>
      <c r="F334" s="2185"/>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01"/>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501"/>
      <c r="AX334" s="1501"/>
      <c r="AY334" s="2076"/>
      <c r="AZ334" s="2076"/>
      <c r="BA334" s="2076"/>
      <c r="BB334" s="2076"/>
      <c r="BC334" s="2076"/>
      <c r="BD334" s="2076"/>
      <c r="BE334" s="2076"/>
      <c r="BF334" s="2076"/>
      <c r="BG334" s="2076"/>
      <c r="BH334" s="2076"/>
      <c r="BI334" s="2077"/>
    </row>
    <row r="335" spans="2:61" s="2173" customFormat="1" ht="15">
      <c r="B335" s="2075"/>
      <c r="C335" s="1501"/>
      <c r="D335" s="2078"/>
      <c r="E335" s="2185"/>
      <c r="F335" s="2185"/>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01"/>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501"/>
      <c r="AX335" s="1501"/>
      <c r="AY335" s="2076"/>
      <c r="AZ335" s="2076"/>
      <c r="BA335" s="2076"/>
      <c r="BB335" s="2076"/>
      <c r="BC335" s="2076"/>
      <c r="BD335" s="2076"/>
      <c r="BE335" s="2076"/>
      <c r="BF335" s="2076"/>
      <c r="BG335" s="2076"/>
      <c r="BH335" s="2076"/>
      <c r="BI335" s="2077"/>
    </row>
    <row r="336" spans="2:61" s="2173" customFormat="1" ht="15">
      <c r="B336" s="2075"/>
      <c r="C336" s="1501"/>
      <c r="D336" s="2078"/>
      <c r="E336" s="2185"/>
      <c r="F336" s="2185"/>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01"/>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501"/>
      <c r="AX336" s="1501"/>
      <c r="AY336" s="2076"/>
      <c r="AZ336" s="2076"/>
      <c r="BA336" s="2076"/>
      <c r="BB336" s="2076"/>
      <c r="BC336" s="2076"/>
      <c r="BD336" s="2076"/>
      <c r="BE336" s="2076"/>
      <c r="BF336" s="2076"/>
      <c r="BG336" s="2076"/>
      <c r="BH336" s="2076"/>
      <c r="BI336" s="2077"/>
    </row>
    <row r="337" spans="2:61" s="2173" customFormat="1" ht="15">
      <c r="B337" s="2075"/>
      <c r="C337" s="1501"/>
      <c r="D337" s="2078"/>
      <c r="E337" s="2185"/>
      <c r="F337" s="2185"/>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01"/>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501"/>
      <c r="AX337" s="1501"/>
      <c r="AY337" s="2076"/>
      <c r="AZ337" s="2076"/>
      <c r="BA337" s="2076"/>
      <c r="BB337" s="2076"/>
      <c r="BC337" s="2076"/>
      <c r="BD337" s="2076"/>
      <c r="BE337" s="2076"/>
      <c r="BF337" s="2076"/>
      <c r="BG337" s="2076"/>
      <c r="BH337" s="2076"/>
      <c r="BI337" s="2077"/>
    </row>
    <row r="338" spans="2:61" s="2173" customFormat="1" ht="15">
      <c r="B338" s="2075"/>
      <c r="C338" s="1501"/>
      <c r="D338" s="2078"/>
      <c r="E338" s="2185"/>
      <c r="F338" s="2185"/>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01"/>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501"/>
      <c r="AX338" s="1501"/>
      <c r="AY338" s="2076"/>
      <c r="AZ338" s="2076"/>
      <c r="BA338" s="2076"/>
      <c r="BB338" s="2076"/>
      <c r="BC338" s="2076"/>
      <c r="BD338" s="2076"/>
      <c r="BE338" s="2076"/>
      <c r="BF338" s="2076"/>
      <c r="BG338" s="2076"/>
      <c r="BH338" s="2076"/>
      <c r="BI338" s="2077"/>
    </row>
    <row r="339" spans="2:61" s="2173" customFormat="1" ht="15">
      <c r="B339" s="2075"/>
      <c r="C339" s="1501"/>
      <c r="D339" s="2078"/>
      <c r="E339" s="2185"/>
      <c r="F339" s="2185"/>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01"/>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501"/>
      <c r="AX339" s="1501"/>
      <c r="AY339" s="2076"/>
      <c r="AZ339" s="2076"/>
      <c r="BA339" s="2076"/>
      <c r="BB339" s="2076"/>
      <c r="BC339" s="2076"/>
      <c r="BD339" s="2076"/>
      <c r="BE339" s="2076"/>
      <c r="BF339" s="2076"/>
      <c r="BG339" s="2076"/>
      <c r="BH339" s="2076"/>
      <c r="BI339" s="2077"/>
    </row>
    <row r="340" spans="2:61" s="2173" customFormat="1" ht="15">
      <c r="B340" s="2075"/>
      <c r="C340" s="1501"/>
      <c r="D340" s="2078"/>
      <c r="E340" s="2185"/>
      <c r="F340" s="2185"/>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01"/>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501"/>
      <c r="AX340" s="1501"/>
      <c r="AY340" s="2076"/>
      <c r="AZ340" s="2076"/>
      <c r="BA340" s="2076"/>
      <c r="BB340" s="2076"/>
      <c r="BC340" s="2076"/>
      <c r="BD340" s="2076"/>
      <c r="BE340" s="2076"/>
      <c r="BF340" s="2076"/>
      <c r="BG340" s="2076"/>
      <c r="BH340" s="2076"/>
      <c r="BI340" s="2077"/>
    </row>
    <row r="341" spans="2:61" s="2173" customFormat="1" ht="15">
      <c r="B341" s="2075"/>
      <c r="C341" s="1501"/>
      <c r="D341" s="2078"/>
      <c r="E341" s="2185"/>
      <c r="F341" s="2185"/>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01"/>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501"/>
      <c r="AX341" s="1501"/>
      <c r="AY341" s="2076"/>
      <c r="AZ341" s="2076"/>
      <c r="BA341" s="2076"/>
      <c r="BB341" s="2076"/>
      <c r="BC341" s="2076"/>
      <c r="BD341" s="2076"/>
      <c r="BE341" s="2076"/>
      <c r="BF341" s="2076"/>
      <c r="BG341" s="2076"/>
      <c r="BH341" s="2076"/>
      <c r="BI341" s="2077"/>
    </row>
    <row r="342" spans="2:61" s="2173" customFormat="1" ht="15">
      <c r="B342" s="2075"/>
      <c r="C342" s="1501"/>
      <c r="D342" s="2078"/>
      <c r="E342" s="2185"/>
      <c r="F342" s="2185"/>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01"/>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501"/>
      <c r="AX342" s="1501"/>
      <c r="AY342" s="2076"/>
      <c r="AZ342" s="2076"/>
      <c r="BA342" s="2076"/>
      <c r="BB342" s="2076"/>
      <c r="BC342" s="2076"/>
      <c r="BD342" s="2076"/>
      <c r="BE342" s="2076"/>
      <c r="BF342" s="2076"/>
      <c r="BG342" s="2076"/>
      <c r="BH342" s="2076"/>
      <c r="BI342" s="2077"/>
    </row>
    <row r="343" spans="2:61">
      <c r="B343" s="1504"/>
      <c r="C343" s="1600"/>
      <c r="D343" s="2187"/>
      <c r="E343" s="2185"/>
      <c r="F343" s="2185"/>
      <c r="G343" s="1603"/>
      <c r="H343" s="1603"/>
      <c r="I343" s="1603"/>
      <c r="J343" s="1603"/>
      <c r="K343" s="1603"/>
      <c r="L343" s="1603"/>
      <c r="M343" s="1603"/>
      <c r="N343" s="1603"/>
      <c r="O343" s="1603"/>
      <c r="P343" s="1603"/>
      <c r="Q343" s="1603"/>
      <c r="R343" s="1603"/>
      <c r="S343" s="1603"/>
      <c r="T343" s="1603"/>
      <c r="U343" s="1603"/>
      <c r="V343" s="1603"/>
      <c r="W343" s="1603"/>
      <c r="X343" s="1603"/>
      <c r="Y343" s="1603"/>
      <c r="Z343" s="1603"/>
      <c r="AA343" s="1603"/>
      <c r="AB343" s="1603"/>
      <c r="AC343" s="1603"/>
      <c r="AD343" s="1603"/>
      <c r="AE343" s="1603"/>
      <c r="AF343" s="1603"/>
      <c r="AG343" s="1603"/>
      <c r="AH343" s="1603"/>
      <c r="AI343" s="1603"/>
      <c r="AJ343" s="1603"/>
      <c r="AK343" s="1603"/>
      <c r="AL343" s="1603"/>
      <c r="AM343" s="1603"/>
      <c r="AN343" s="1603"/>
      <c r="AO343" s="1603"/>
      <c r="AP343" s="1603"/>
      <c r="AQ343" s="1603"/>
      <c r="AR343" s="1603"/>
      <c r="AS343" s="1603"/>
      <c r="AT343" s="1603"/>
      <c r="AU343" s="1603"/>
      <c r="AV343" s="1603"/>
      <c r="AW343" s="1603"/>
      <c r="AX343" s="1603"/>
      <c r="AY343" s="1603"/>
      <c r="AZ343" s="1603"/>
      <c r="BA343" s="1603"/>
      <c r="BB343" s="1603"/>
      <c r="BC343" s="1603"/>
      <c r="BD343" s="1603"/>
      <c r="BE343" s="1603"/>
      <c r="BF343" s="1603"/>
      <c r="BG343" s="1603"/>
      <c r="BH343" s="1604"/>
      <c r="BI343" s="1505"/>
    </row>
    <row r="344" spans="2:61">
      <c r="B344" s="1504"/>
      <c r="C344" s="1509"/>
      <c r="D344" s="2078"/>
      <c r="E344" s="2185"/>
      <c r="F344" s="2188"/>
      <c r="G344" s="1508"/>
      <c r="H344" s="1508"/>
      <c r="I344" s="1508"/>
      <c r="J344" s="1508"/>
      <c r="K344" s="1508"/>
      <c r="L344" s="1508"/>
      <c r="M344" s="1508"/>
      <c r="N344" s="1508"/>
      <c r="O344" s="1508"/>
      <c r="P344" s="1508"/>
      <c r="Q344" s="1508"/>
      <c r="R344" s="1508"/>
      <c r="S344" s="1508"/>
      <c r="T344" s="1508"/>
      <c r="U344" s="1508"/>
      <c r="V344" s="1508"/>
      <c r="W344" s="1508"/>
      <c r="X344" s="1508"/>
      <c r="Y344" s="1508"/>
      <c r="Z344" s="1508"/>
      <c r="AA344" s="1508"/>
      <c r="AB344" s="1508"/>
      <c r="AC344" s="1508"/>
      <c r="AD344" s="1508"/>
      <c r="AE344" s="1508"/>
      <c r="AF344" s="1508"/>
      <c r="AG344" s="1508"/>
      <c r="AH344" s="1508"/>
      <c r="AI344" s="1508"/>
      <c r="AJ344" s="1508"/>
      <c r="AK344" s="1508"/>
      <c r="AL344" s="1508"/>
      <c r="AM344" s="1508"/>
      <c r="AN344" s="1508"/>
      <c r="AO344" s="1508"/>
      <c r="AP344" s="1508"/>
      <c r="AQ344" s="1508"/>
      <c r="AR344" s="1508"/>
      <c r="AS344" s="1508"/>
      <c r="AT344" s="1508"/>
      <c r="AU344" s="1508"/>
      <c r="AV344" s="1508"/>
      <c r="AW344" s="1508"/>
      <c r="AX344" s="1508"/>
      <c r="AY344" s="1508"/>
      <c r="AZ344" s="1508"/>
      <c r="BA344" s="1508"/>
      <c r="BB344" s="1508"/>
      <c r="BC344" s="1508"/>
      <c r="BD344" s="1508"/>
      <c r="BE344" s="1508"/>
      <c r="BF344" s="1508"/>
      <c r="BG344" s="1508"/>
      <c r="BH344" s="1508"/>
      <c r="BI344" s="1505"/>
    </row>
    <row r="345" spans="2:61">
      <c r="B345" s="1504"/>
      <c r="C345" s="1597"/>
      <c r="D345" s="2189"/>
      <c r="E345" s="2186"/>
      <c r="F345" s="2186"/>
      <c r="G345" s="1598"/>
      <c r="H345" s="1598"/>
      <c r="I345" s="1598"/>
      <c r="J345" s="1598"/>
      <c r="K345" s="1598"/>
      <c r="L345" s="1598"/>
      <c r="M345" s="1598"/>
      <c r="N345" s="1598"/>
      <c r="O345" s="1598"/>
      <c r="P345" s="1598"/>
      <c r="Q345" s="1598"/>
      <c r="R345" s="1598"/>
      <c r="S345" s="1598"/>
      <c r="T345" s="1598"/>
      <c r="U345" s="1598"/>
      <c r="V345" s="1598"/>
      <c r="W345" s="1598"/>
      <c r="X345" s="1598"/>
      <c r="Y345" s="1598"/>
      <c r="Z345" s="1598"/>
      <c r="AA345" s="1598"/>
      <c r="AB345" s="1598"/>
      <c r="AC345" s="1598"/>
      <c r="AD345" s="1598"/>
      <c r="AE345" s="1598"/>
      <c r="AF345" s="1598"/>
      <c r="AG345" s="1598"/>
      <c r="AH345" s="1598"/>
      <c r="AI345" s="1598"/>
      <c r="AJ345" s="1598"/>
      <c r="AK345" s="1598"/>
      <c r="AL345" s="1598"/>
      <c r="AM345" s="1598"/>
      <c r="AN345" s="1598"/>
      <c r="AO345" s="1598"/>
      <c r="AP345" s="1598"/>
      <c r="AQ345" s="1598"/>
      <c r="AR345" s="1598"/>
      <c r="AS345" s="1598"/>
      <c r="AT345" s="1598"/>
      <c r="AU345" s="1598"/>
      <c r="AV345" s="1598"/>
      <c r="AW345" s="1598"/>
      <c r="AX345" s="1596"/>
      <c r="AY345" s="1599"/>
      <c r="AZ345" s="1599"/>
      <c r="BA345" s="1599"/>
      <c r="BB345" s="1599"/>
      <c r="BC345" s="1599"/>
      <c r="BD345" s="1599"/>
      <c r="BE345" s="1599"/>
      <c r="BF345" s="1599"/>
      <c r="BG345" s="1599"/>
      <c r="BH345" s="1599"/>
      <c r="BI345" s="1505"/>
    </row>
    <row r="346" spans="2:61">
      <c r="B346" s="1504"/>
      <c r="C346" s="1597"/>
      <c r="D346" s="1597"/>
      <c r="E346" s="1596"/>
      <c r="F346" s="1598"/>
      <c r="G346" s="1598"/>
      <c r="H346" s="1598"/>
      <c r="I346" s="1598"/>
      <c r="J346" s="1598"/>
      <c r="K346" s="1598"/>
      <c r="L346" s="1598"/>
      <c r="M346" s="1598"/>
      <c r="N346" s="1598"/>
      <c r="O346" s="1598"/>
      <c r="P346" s="1598"/>
      <c r="Q346" s="1598"/>
      <c r="R346" s="1598"/>
      <c r="S346" s="1598"/>
      <c r="T346" s="1598"/>
      <c r="U346" s="1598"/>
      <c r="V346" s="1598"/>
      <c r="W346" s="1598"/>
      <c r="X346" s="1598"/>
      <c r="Y346" s="1598"/>
      <c r="Z346" s="1598"/>
      <c r="AA346" s="1598"/>
      <c r="AB346" s="1598"/>
      <c r="AC346" s="1598"/>
      <c r="AD346" s="1598"/>
      <c r="AE346" s="1598"/>
      <c r="AF346" s="1598"/>
      <c r="AG346" s="1598"/>
      <c r="AH346" s="1598"/>
      <c r="AI346" s="1598"/>
      <c r="AJ346" s="1598"/>
      <c r="AK346" s="1598"/>
      <c r="AL346" s="1598"/>
      <c r="AM346" s="1598"/>
      <c r="AN346" s="1598"/>
      <c r="AO346" s="1598"/>
      <c r="AP346" s="1598"/>
      <c r="AQ346" s="1598"/>
      <c r="AR346" s="1598"/>
      <c r="AS346" s="1598"/>
      <c r="AT346" s="1598"/>
      <c r="AU346" s="1598"/>
      <c r="AV346" s="1598"/>
      <c r="AW346" s="1598"/>
      <c r="AX346" s="1596"/>
      <c r="AY346" s="1599"/>
      <c r="AZ346" s="1599"/>
      <c r="BA346" s="1599"/>
      <c r="BB346" s="1599"/>
      <c r="BC346" s="1599"/>
      <c r="BD346" s="1599"/>
      <c r="BE346" s="1599"/>
      <c r="BF346" s="1599"/>
      <c r="BG346" s="1599"/>
      <c r="BH346" s="1599"/>
      <c r="BI346" s="1505"/>
    </row>
    <row r="347" spans="2:61">
      <c r="B347" s="1504"/>
      <c r="C347" s="1597"/>
      <c r="D347" s="1597"/>
      <c r="E347" s="1596"/>
      <c r="F347" s="1598"/>
      <c r="G347" s="1598"/>
      <c r="H347" s="1598"/>
      <c r="I347" s="1598"/>
      <c r="J347" s="1598"/>
      <c r="K347" s="1598"/>
      <c r="L347" s="1598"/>
      <c r="M347" s="1598"/>
      <c r="N347" s="1598"/>
      <c r="O347" s="1598"/>
      <c r="P347" s="1598"/>
      <c r="Q347" s="1598"/>
      <c r="R347" s="1598"/>
      <c r="S347" s="1598"/>
      <c r="T347" s="1598"/>
      <c r="U347" s="1598"/>
      <c r="V347" s="1598"/>
      <c r="W347" s="1598"/>
      <c r="X347" s="1598"/>
      <c r="Y347" s="1598"/>
      <c r="Z347" s="1598"/>
      <c r="AA347" s="1598"/>
      <c r="AB347" s="1598"/>
      <c r="AC347" s="1598"/>
      <c r="AD347" s="1598"/>
      <c r="AE347" s="1598"/>
      <c r="AF347" s="1598"/>
      <c r="AG347" s="1598"/>
      <c r="AH347" s="1598"/>
      <c r="AI347" s="1598"/>
      <c r="AJ347" s="1598"/>
      <c r="AK347" s="1598"/>
      <c r="AL347" s="1598"/>
      <c r="AM347" s="1598"/>
      <c r="AN347" s="1598"/>
      <c r="AO347" s="1598"/>
      <c r="AP347" s="1598"/>
      <c r="AQ347" s="1598"/>
      <c r="AR347" s="1598"/>
      <c r="AS347" s="1598"/>
      <c r="AT347" s="1598"/>
      <c r="AU347" s="1598"/>
      <c r="AV347" s="1598"/>
      <c r="AW347" s="1598"/>
      <c r="AX347" s="1596"/>
      <c r="AY347" s="1599"/>
      <c r="AZ347" s="1599"/>
      <c r="BA347" s="1599"/>
      <c r="BB347" s="1599"/>
      <c r="BC347" s="1599"/>
      <c r="BD347" s="1599"/>
      <c r="BE347" s="1599"/>
      <c r="BF347" s="1599"/>
      <c r="BG347" s="1599"/>
      <c r="BH347" s="1599"/>
      <c r="BI347" s="1505"/>
    </row>
    <row r="380" spans="7:53" s="1605" customFormat="1">
      <c r="G380" s="2118"/>
      <c r="H380" s="2118"/>
      <c r="I380" s="2118"/>
      <c r="J380" s="2118"/>
      <c r="K380" s="2118"/>
      <c r="L380" s="2118"/>
      <c r="M380" s="2118"/>
      <c r="N380" s="2118"/>
      <c r="O380" s="2118"/>
      <c r="P380" s="2118"/>
      <c r="Q380" s="2118"/>
      <c r="R380" s="2118"/>
      <c r="S380" s="2118"/>
      <c r="T380" s="2118"/>
      <c r="U380" s="2118"/>
      <c r="V380" s="2118"/>
      <c r="W380" s="2118"/>
      <c r="X380" s="2118"/>
      <c r="Y380" s="2118"/>
      <c r="Z380" s="2118"/>
      <c r="AA380" s="2118"/>
      <c r="AB380" s="2118"/>
      <c r="AC380" s="2118"/>
      <c r="AD380" s="2118"/>
      <c r="AE380" s="2118"/>
      <c r="AF380" s="2118"/>
      <c r="AG380" s="2118"/>
      <c r="AH380" s="2118"/>
      <c r="AI380" s="2118"/>
      <c r="AJ380" s="2118"/>
      <c r="AK380" s="2118"/>
      <c r="AL380" s="2118"/>
      <c r="AM380" s="2118"/>
      <c r="AN380" s="2118"/>
      <c r="AO380" s="2118"/>
      <c r="AP380" s="2118"/>
      <c r="AQ380" s="2118"/>
      <c r="AR380" s="2118"/>
      <c r="AS380" s="2118"/>
      <c r="AT380" s="2118"/>
      <c r="AU380" s="2118"/>
      <c r="AV380" s="2118"/>
      <c r="AW380" s="2118"/>
      <c r="AY380" s="1609"/>
      <c r="AZ380" s="1611"/>
      <c r="BA380" s="1612"/>
    </row>
    <row r="381" spans="7:53">
      <c r="AY381" s="1609"/>
    </row>
    <row r="382" spans="7:53">
      <c r="AY382" s="1609"/>
      <c r="AZ382" s="1611"/>
      <c r="BA382" s="1612"/>
    </row>
    <row r="383" spans="7:53">
      <c r="AY383" s="1609"/>
      <c r="AZ383" s="1611"/>
      <c r="BA383" s="1610"/>
    </row>
    <row r="384" spans="7:53" ht="14">
      <c r="AY384" s="1613"/>
      <c r="AZ384" s="1611"/>
      <c r="BA384" s="1612"/>
    </row>
    <row r="385" spans="51:53" ht="14">
      <c r="AY385" s="1613"/>
      <c r="AZ385" s="1611"/>
      <c r="BA385" s="1612"/>
    </row>
    <row r="386" spans="51:53">
      <c r="AY386" s="1609"/>
      <c r="AZ386" s="1611"/>
      <c r="BA386" s="1612"/>
    </row>
    <row r="387" spans="51:53">
      <c r="AY387" s="1609"/>
      <c r="AZ387" s="1611"/>
    </row>
    <row r="388" spans="51:53">
      <c r="AY388" s="1609"/>
      <c r="AZ388" s="1611"/>
      <c r="BA388" s="1612"/>
    </row>
    <row r="389" spans="51:53">
      <c r="AY389" s="1609"/>
      <c r="AZ389" s="1611"/>
    </row>
    <row r="390" spans="51:53">
      <c r="AY390" s="1609"/>
      <c r="AZ390" s="1611"/>
      <c r="BA390" s="1612"/>
    </row>
    <row r="391" spans="51:53">
      <c r="AY391" s="1609"/>
      <c r="AZ391" s="1611"/>
      <c r="BA391" s="1612"/>
    </row>
    <row r="392" spans="51:53">
      <c r="AY392" s="1609"/>
      <c r="AZ392" s="1611"/>
      <c r="BA392" s="1612"/>
    </row>
    <row r="393" spans="51:53">
      <c r="AY393" s="1609"/>
      <c r="AZ393" s="1611"/>
      <c r="BA393" s="1612"/>
    </row>
    <row r="394" spans="51:53">
      <c r="AY394" s="1609"/>
      <c r="AZ394" s="1611"/>
      <c r="BA394" s="1612"/>
    </row>
    <row r="395" spans="51:53">
      <c r="AY395" s="1609"/>
      <c r="AZ395" s="1611"/>
      <c r="BA395" s="1612"/>
    </row>
    <row r="396" spans="51:53">
      <c r="AY396" s="1609"/>
      <c r="AZ396" s="1611"/>
      <c r="BA396" s="1610"/>
    </row>
    <row r="397" spans="51:53">
      <c r="AY397" s="1609"/>
      <c r="AZ397" s="1611"/>
      <c r="BA397" s="1612"/>
    </row>
    <row r="398" spans="51:53">
      <c r="AY398" s="1609"/>
      <c r="AZ398" s="1611"/>
      <c r="BA398" s="1612"/>
    </row>
    <row r="399" spans="51:53">
      <c r="AY399" s="1609"/>
      <c r="AZ399" s="1611"/>
      <c r="BA399" s="1612"/>
    </row>
    <row r="400" spans="51:53">
      <c r="AY400" s="1609"/>
      <c r="AZ400" s="1611"/>
      <c r="BA400" s="1612"/>
    </row>
    <row r="401" spans="51:53">
      <c r="AY401" s="1609"/>
      <c r="AZ401" s="1611"/>
      <c r="BA401" s="1612"/>
    </row>
    <row r="402" spans="51:53">
      <c r="AY402" s="1609"/>
      <c r="AZ402" s="1611"/>
      <c r="BA402" s="1612"/>
    </row>
    <row r="403" spans="51:53">
      <c r="AY403" s="1609"/>
      <c r="AZ403" s="1611"/>
    </row>
    <row r="404" spans="51:53">
      <c r="AY404" s="1609"/>
      <c r="AZ404" s="1611"/>
      <c r="BA404" s="1612"/>
    </row>
    <row r="405" spans="51:53">
      <c r="AY405" s="1609"/>
      <c r="AZ405" s="1611"/>
      <c r="BA405" s="1612"/>
    </row>
    <row r="406" spans="51:53">
      <c r="AY406" s="1609"/>
      <c r="AZ406" s="1611"/>
      <c r="BA406" s="1612"/>
    </row>
    <row r="407" spans="51:53">
      <c r="AY407" s="1609"/>
      <c r="AZ407" s="1611"/>
      <c r="BA407" s="1612"/>
    </row>
    <row r="408" spans="51:53">
      <c r="AY408" s="1609"/>
      <c r="AZ408" s="1611"/>
      <c r="BA408" s="1612"/>
    </row>
    <row r="409" spans="51:53">
      <c r="AY409" s="1609"/>
      <c r="AZ409" s="1611"/>
      <c r="BA409" s="1610"/>
    </row>
    <row r="410" spans="51:53">
      <c r="AY410" s="1609"/>
      <c r="AZ410" s="1611"/>
      <c r="BA410" s="1612"/>
    </row>
    <row r="411" spans="51:53">
      <c r="AY411" s="1614"/>
      <c r="AZ411" s="1611"/>
      <c r="BA411" s="1612"/>
    </row>
    <row r="412" spans="51:53">
      <c r="AY412" s="1609"/>
      <c r="AZ412" s="1611"/>
      <c r="BA412" s="1612"/>
    </row>
    <row r="413" spans="51:53">
      <c r="AY413" s="1614"/>
      <c r="AZ413" s="1611"/>
      <c r="BA413" s="1612"/>
    </row>
    <row r="414" spans="51:53">
      <c r="AY414" s="1614"/>
      <c r="AZ414" s="1611"/>
      <c r="BA414" s="1612"/>
    </row>
    <row r="415" spans="51:53">
      <c r="AY415" s="1614"/>
      <c r="AZ415" s="1611"/>
      <c r="BA415" s="1612"/>
    </row>
    <row r="416" spans="51:53">
      <c r="AY416" s="1614"/>
      <c r="AZ416" s="1611"/>
      <c r="BA416" s="1612"/>
    </row>
    <row r="417" spans="51:51">
      <c r="AY417" s="1614"/>
    </row>
    <row r="418" spans="51:51">
      <c r="AY418" s="1614"/>
    </row>
    <row r="419" spans="51:51">
      <c r="AY419" s="1609"/>
    </row>
    <row r="420" spans="51:51">
      <c r="AY420" s="1609"/>
    </row>
    <row r="421" spans="51:51">
      <c r="AY421" s="1609"/>
    </row>
    <row r="422" spans="51:51">
      <c r="AY422" s="1609"/>
    </row>
    <row r="423" spans="51:51">
      <c r="AY423" s="1609"/>
    </row>
    <row r="424" spans="51:51">
      <c r="AY424" s="1609"/>
    </row>
    <row r="425" spans="51:51">
      <c r="AY425" s="1614"/>
    </row>
    <row r="426" spans="51:51">
      <c r="AY426" s="1614"/>
    </row>
    <row r="427" spans="51:51">
      <c r="AY427" s="1614"/>
    </row>
    <row r="428" spans="51:51">
      <c r="AY428" s="1614"/>
    </row>
    <row r="429" spans="51:51">
      <c r="AY429" s="1614"/>
    </row>
    <row r="430" spans="51:51">
      <c r="AY430" s="1614"/>
    </row>
    <row r="431" spans="51:51">
      <c r="AY431" s="1609"/>
    </row>
    <row r="432" spans="51:51">
      <c r="AY432" s="1609"/>
    </row>
    <row r="433" spans="51:51">
      <c r="AY433" s="1609"/>
    </row>
    <row r="434" spans="51:51">
      <c r="AY434" s="1609"/>
    </row>
    <row r="435" spans="51:51">
      <c r="AY435" s="1609"/>
    </row>
    <row r="436" spans="51:51">
      <c r="AY436" s="1609"/>
    </row>
    <row r="437" spans="51:51">
      <c r="AY437" s="1609"/>
    </row>
    <row r="438" spans="51:51">
      <c r="AY438" s="1609"/>
    </row>
    <row r="439" spans="51:51">
      <c r="AY439" s="1609"/>
    </row>
    <row r="440" spans="51:51">
      <c r="AY440" s="1609"/>
    </row>
    <row r="441" spans="51:51">
      <c r="AY441" s="1609"/>
    </row>
    <row r="442" spans="51:51">
      <c r="AY442" s="1609"/>
    </row>
    <row r="443" spans="51:51">
      <c r="AY443" s="1609"/>
    </row>
    <row r="444" spans="51:51">
      <c r="AY444" s="1609"/>
    </row>
    <row r="445" spans="51:51">
      <c r="AY445" s="1609"/>
    </row>
    <row r="446" spans="51:51">
      <c r="AY446" s="1609"/>
    </row>
    <row r="447" spans="51:51">
      <c r="AY447" s="1609"/>
    </row>
    <row r="448" spans="51:51">
      <c r="AY448" s="1609"/>
    </row>
    <row r="449" spans="51:51">
      <c r="AY449" s="1609"/>
    </row>
    <row r="450" spans="51:51">
      <c r="AY450" s="1609"/>
    </row>
    <row r="451" spans="51:51">
      <c r="AY451" s="1609"/>
    </row>
    <row r="452" spans="51:51">
      <c r="AY452" s="1609"/>
    </row>
    <row r="453" spans="51:51">
      <c r="AY453" s="1609"/>
    </row>
    <row r="454" spans="51:51">
      <c r="AY454" s="1609"/>
    </row>
    <row r="455" spans="51:51">
      <c r="AY455" s="1609"/>
    </row>
    <row r="456" spans="51:51">
      <c r="AY456" s="1609"/>
    </row>
    <row r="457" spans="51:51">
      <c r="AY457" s="1609"/>
    </row>
    <row r="458" spans="51:51">
      <c r="AY458" s="1609"/>
    </row>
    <row r="459" spans="51:51">
      <c r="AY459" s="1609"/>
    </row>
    <row r="460" spans="51:51">
      <c r="AY460" s="1609"/>
    </row>
    <row r="461" spans="51:51">
      <c r="AY461" s="1609"/>
    </row>
    <row r="462" spans="51:51">
      <c r="AY462" s="1609"/>
    </row>
    <row r="463" spans="51:51">
      <c r="AY463" s="1609"/>
    </row>
    <row r="464" spans="51:51">
      <c r="AY464" s="1609"/>
    </row>
    <row r="465" spans="51:51">
      <c r="AY465" s="1609"/>
    </row>
    <row r="466" spans="51:51">
      <c r="AY466" s="1609"/>
    </row>
    <row r="467" spans="51:51">
      <c r="AY467" s="1609"/>
    </row>
    <row r="468" spans="51:51">
      <c r="AY468" s="1609"/>
    </row>
    <row r="469" spans="51:51">
      <c r="AY469" s="1609"/>
    </row>
    <row r="470" spans="51:51">
      <c r="AY470" s="1609"/>
    </row>
  </sheetData>
  <sortState ref="BK363:BM453">
    <sortCondition ref="BK363"/>
  </sortState>
  <conditionalFormatting sqref="E345:F345">
    <cfRule type="cellIs" dxfId="1572" priority="1" operator="notEqual">
      <formula>1</formula>
    </cfRule>
  </conditionalFormatting>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7" tint="0.39997558519241921"/>
    <pageSetUpPr autoPageBreaks="0"/>
  </sheetPr>
  <dimension ref="A2:AP107"/>
  <sheetViews>
    <sheetView workbookViewId="0"/>
  </sheetViews>
  <sheetFormatPr baseColWidth="10" defaultColWidth="8.83203125" defaultRowHeight="13" x14ac:dyDescent="0"/>
  <cols>
    <col min="1" max="1" width="3.6640625" customWidth="1"/>
    <col min="2" max="2" width="12.6640625" customWidth="1"/>
    <col min="3" max="3" width="28.5" style="117" bestFit="1" customWidth="1"/>
    <col min="4" max="4" width="23.6640625" customWidth="1"/>
    <col min="5" max="5" width="10.1640625" customWidth="1"/>
    <col min="6" max="6" width="13.83203125" bestFit="1" customWidth="1"/>
    <col min="8" max="8" width="10.5" bestFit="1" customWidth="1"/>
    <col min="9" max="9" width="15.1640625" customWidth="1"/>
    <col min="10" max="10" width="13.33203125" bestFit="1" customWidth="1"/>
    <col min="11" max="11" width="17" customWidth="1"/>
    <col min="12" max="12" width="13.5" customWidth="1"/>
    <col min="13" max="13" width="53.6640625" customWidth="1"/>
    <col min="14" max="15" width="10.5" bestFit="1" customWidth="1"/>
    <col min="16" max="16" width="12.6640625" customWidth="1"/>
    <col min="17" max="22" width="8.83203125" customWidth="1"/>
    <col min="25" max="25" width="13.1640625" customWidth="1"/>
  </cols>
  <sheetData>
    <row r="2" spans="1:42" ht="18">
      <c r="B2" s="25" t="s">
        <v>583</v>
      </c>
      <c r="C2" s="25"/>
      <c r="H2" s="25" t="s">
        <v>105</v>
      </c>
    </row>
    <row r="3" spans="1:42" ht="4.5" customHeight="1"/>
    <row r="4" spans="1:42" s="14" customFormat="1" ht="20.25" customHeight="1">
      <c r="B4" s="30" t="s">
        <v>79</v>
      </c>
      <c r="C4" s="30" t="s">
        <v>399</v>
      </c>
      <c r="D4" s="30" t="s">
        <v>400</v>
      </c>
      <c r="E4" s="31" t="s">
        <v>78</v>
      </c>
      <c r="F4" s="31" t="str">
        <f>Preferences.EnergyUnits</f>
        <v>TWh</v>
      </c>
      <c r="H4" s="2005">
        <v>1</v>
      </c>
      <c r="I4" s="35" t="s">
        <v>80</v>
      </c>
      <c r="J4" s="14" t="s">
        <v>106</v>
      </c>
      <c r="K4" s="486">
        <f>H4*INDEX(Conversions.Energy.Joules, MATCH(I4, Conversions.Energy.Units, 0))/INDEX(Conversions.Energy.Joules, MATCH(L4, Conversions.Energy.Units, 0))</f>
        <v>3.1688810807659062E-2</v>
      </c>
      <c r="L4" s="35" t="s">
        <v>88</v>
      </c>
    </row>
    <row r="5" spans="1:42" s="14" customFormat="1" ht="15">
      <c r="A5" s="533"/>
      <c r="B5" s="26" t="s">
        <v>80</v>
      </c>
      <c r="C5" s="26" t="s">
        <v>401</v>
      </c>
      <c r="D5" s="32" t="s">
        <v>89</v>
      </c>
      <c r="E5" s="27">
        <f>10^15</f>
        <v>1000000000000000</v>
      </c>
      <c r="F5" s="27">
        <f t="shared" ref="F5:F23" si="0">$E5/INDEX(Conversions.Energy.Joules, MATCH(F$4, Conversions.Energy.Units, 0))</f>
        <v>0.27777777777777779</v>
      </c>
    </row>
    <row r="6" spans="1:42" s="14" customFormat="1" ht="15">
      <c r="A6" s="533"/>
      <c r="B6" s="26" t="s">
        <v>103</v>
      </c>
      <c r="C6" s="26" t="s">
        <v>402</v>
      </c>
      <c r="D6" s="32" t="s">
        <v>104</v>
      </c>
      <c r="E6" s="27">
        <f>10^12</f>
        <v>1000000000000</v>
      </c>
      <c r="F6" s="27">
        <f t="shared" si="0"/>
        <v>2.7777777777777778E-4</v>
      </c>
      <c r="H6" s="34"/>
      <c r="I6" s="34"/>
      <c r="J6" s="34"/>
      <c r="K6" s="1898"/>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row>
    <row r="7" spans="1:42" s="14" customFormat="1" ht="15">
      <c r="A7" s="533"/>
      <c r="B7" s="26" t="s">
        <v>359</v>
      </c>
      <c r="C7" s="26" t="s">
        <v>403</v>
      </c>
      <c r="D7" s="32" t="s">
        <v>360</v>
      </c>
      <c r="E7" s="27">
        <f>10^9</f>
        <v>1000000000</v>
      </c>
      <c r="F7" s="27">
        <f t="shared" si="0"/>
        <v>2.7777777777777776E-7</v>
      </c>
      <c r="H7" s="34"/>
      <c r="I7" s="34"/>
      <c r="J7" s="34"/>
      <c r="K7" s="34"/>
      <c r="L7" s="2098"/>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row>
    <row r="8" spans="1:42" s="528" customFormat="1" ht="15">
      <c r="A8" s="533"/>
      <c r="B8" s="26" t="s">
        <v>616</v>
      </c>
      <c r="C8" s="26" t="s">
        <v>78</v>
      </c>
      <c r="D8" s="32" t="s">
        <v>617</v>
      </c>
      <c r="E8" s="27">
        <v>1</v>
      </c>
      <c r="F8" s="27">
        <f t="shared" si="0"/>
        <v>2.777777777777778E-16</v>
      </c>
      <c r="H8" s="34"/>
      <c r="I8" s="2099"/>
      <c r="J8" s="34"/>
      <c r="K8" s="34"/>
      <c r="L8" s="2009"/>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row>
    <row r="9" spans="1:42" s="14" customFormat="1" ht="15">
      <c r="A9" s="533"/>
      <c r="B9" s="26" t="s">
        <v>367</v>
      </c>
      <c r="C9" s="26" t="s">
        <v>404</v>
      </c>
      <c r="D9" s="32" t="s">
        <v>368</v>
      </c>
      <c r="E9" s="27">
        <f>10^6</f>
        <v>1000000</v>
      </c>
      <c r="F9" s="27">
        <f t="shared" si="0"/>
        <v>2.7777777777777777E-10</v>
      </c>
      <c r="H9" s="34"/>
      <c r="I9" s="34"/>
      <c r="J9" s="34"/>
      <c r="K9" s="34"/>
      <c r="L9" s="1999"/>
      <c r="M9" s="1999"/>
      <c r="N9" s="1999"/>
      <c r="O9" s="1999"/>
      <c r="P9" s="1999"/>
      <c r="Q9" s="1999"/>
      <c r="R9" s="1999"/>
      <c r="S9" s="1999"/>
      <c r="T9" s="1999"/>
      <c r="U9" s="1999"/>
      <c r="V9" s="1999"/>
      <c r="W9" s="1999"/>
      <c r="X9" s="34"/>
      <c r="Y9" s="34"/>
      <c r="Z9" s="34"/>
      <c r="AA9" s="34"/>
      <c r="AB9" s="34"/>
      <c r="AC9" s="34"/>
      <c r="AD9" s="34"/>
      <c r="AE9" s="34"/>
      <c r="AF9" s="34"/>
      <c r="AG9" s="34"/>
      <c r="AH9" s="34"/>
      <c r="AI9" s="34"/>
      <c r="AJ9" s="34"/>
      <c r="AK9" s="34"/>
      <c r="AL9" s="34"/>
      <c r="AM9" s="34"/>
      <c r="AN9" s="34"/>
      <c r="AO9" s="34"/>
      <c r="AP9" s="34"/>
    </row>
    <row r="10" spans="1:42" s="14" customFormat="1" ht="15">
      <c r="A10" s="533"/>
      <c r="B10" s="26" t="s">
        <v>82</v>
      </c>
      <c r="C10" s="26" t="s">
        <v>405</v>
      </c>
      <c r="D10" s="32" t="s">
        <v>90</v>
      </c>
      <c r="E10" s="27">
        <f>10^3*60*60</f>
        <v>3600000</v>
      </c>
      <c r="F10" s="27">
        <f t="shared" si="0"/>
        <v>1.0000000000000001E-9</v>
      </c>
      <c r="H10" s="34"/>
      <c r="I10" s="34"/>
      <c r="J10" s="34"/>
      <c r="K10" s="2100"/>
      <c r="L10" s="1999"/>
      <c r="M10" s="2000"/>
      <c r="N10" s="2000"/>
      <c r="O10" s="2000"/>
      <c r="P10" s="2000"/>
      <c r="Q10" s="2000"/>
      <c r="R10" s="2000"/>
      <c r="S10" s="2000"/>
      <c r="T10" s="2000"/>
      <c r="U10" s="2000"/>
      <c r="V10" s="2000"/>
      <c r="W10" s="2000"/>
      <c r="X10" s="34"/>
      <c r="Y10" s="34"/>
      <c r="Z10" s="34"/>
      <c r="AA10" s="34"/>
      <c r="AB10" s="34"/>
      <c r="AC10" s="34"/>
      <c r="AD10" s="34"/>
      <c r="AE10" s="34"/>
      <c r="AF10" s="34"/>
      <c r="AG10" s="34"/>
      <c r="AH10" s="34"/>
      <c r="AI10" s="34"/>
      <c r="AJ10" s="34"/>
      <c r="AK10" s="34"/>
      <c r="AL10" s="34"/>
      <c r="AM10" s="34"/>
      <c r="AN10" s="34"/>
      <c r="AO10" s="34"/>
      <c r="AP10" s="34"/>
    </row>
    <row r="11" spans="1:42" s="14" customFormat="1" ht="15">
      <c r="A11" s="533"/>
      <c r="B11" s="26" t="s">
        <v>268</v>
      </c>
      <c r="C11" s="26" t="s">
        <v>406</v>
      </c>
      <c r="D11" s="32" t="s">
        <v>269</v>
      </c>
      <c r="E11" s="27">
        <f>1000*60*60*365.25*60000000</f>
        <v>7.8894E+16</v>
      </c>
      <c r="F11" s="27">
        <f t="shared" si="0"/>
        <v>21.914999999999999</v>
      </c>
      <c r="H11" s="34"/>
      <c r="I11" s="34"/>
      <c r="J11" s="34"/>
      <c r="K11" s="34"/>
      <c r="L11" s="1999"/>
      <c r="M11" s="2000"/>
      <c r="N11" s="2000"/>
      <c r="O11" s="2000"/>
      <c r="P11" s="2000"/>
      <c r="Q11" s="2000"/>
      <c r="R11" s="2000"/>
      <c r="S11" s="2000"/>
      <c r="T11" s="2000"/>
      <c r="U11" s="2000"/>
      <c r="V11" s="2000"/>
      <c r="W11" s="2000"/>
      <c r="X11" s="34"/>
      <c r="Y11" s="34"/>
      <c r="Z11" s="34"/>
      <c r="AA11" s="34"/>
      <c r="AB11" s="34"/>
      <c r="AC11" s="34"/>
      <c r="AD11" s="34"/>
      <c r="AE11" s="34"/>
      <c r="AF11" s="34"/>
      <c r="AG11" s="34"/>
      <c r="AH11" s="34"/>
      <c r="AI11" s="34"/>
      <c r="AJ11" s="34"/>
      <c r="AK11" s="34"/>
      <c r="AL11" s="34"/>
      <c r="AM11" s="34"/>
      <c r="AN11" s="34"/>
      <c r="AO11" s="34"/>
      <c r="AP11" s="34"/>
    </row>
    <row r="12" spans="1:42" s="14" customFormat="1" ht="15">
      <c r="A12" s="533"/>
      <c r="B12" s="26" t="s">
        <v>81</v>
      </c>
      <c r="C12" s="26" t="s">
        <v>407</v>
      </c>
      <c r="D12" s="32" t="s">
        <v>91</v>
      </c>
      <c r="E12" s="27">
        <f>10^12*60*60</f>
        <v>3600000000000000</v>
      </c>
      <c r="F12" s="27">
        <f t="shared" si="0"/>
        <v>1</v>
      </c>
      <c r="H12" s="34"/>
      <c r="I12" s="34"/>
      <c r="J12" s="34"/>
      <c r="K12" s="34"/>
      <c r="L12" s="1999"/>
      <c r="M12" s="2000"/>
      <c r="N12" s="2000"/>
      <c r="O12" s="2000"/>
      <c r="P12" s="2000"/>
      <c r="Q12" s="2000"/>
      <c r="R12" s="2000"/>
      <c r="S12" s="2000"/>
      <c r="T12" s="2000"/>
      <c r="U12" s="2000"/>
      <c r="V12" s="2000"/>
      <c r="W12" s="2000"/>
      <c r="X12" s="34"/>
      <c r="Y12" s="34"/>
      <c r="Z12" s="34"/>
      <c r="AA12" s="34"/>
      <c r="AB12" s="34"/>
      <c r="AC12" s="34"/>
      <c r="AD12" s="34"/>
      <c r="AE12" s="34"/>
      <c r="AF12" s="34"/>
      <c r="AG12" s="34"/>
      <c r="AH12" s="34"/>
      <c r="AI12" s="34"/>
      <c r="AJ12" s="34"/>
      <c r="AK12" s="34"/>
      <c r="AL12" s="34"/>
      <c r="AM12" s="34"/>
      <c r="AN12" s="34"/>
      <c r="AO12" s="34"/>
      <c r="AP12" s="34"/>
    </row>
    <row r="13" spans="1:42" s="14" customFormat="1" ht="15">
      <c r="A13" s="533"/>
      <c r="B13" s="26" t="s">
        <v>372</v>
      </c>
      <c r="C13" s="26" t="s">
        <v>408</v>
      </c>
      <c r="D13" s="32" t="s">
        <v>398</v>
      </c>
      <c r="E13" s="27">
        <f>10^9*60*60</f>
        <v>3600000000000</v>
      </c>
      <c r="F13" s="27">
        <f t="shared" si="0"/>
        <v>1E-3</v>
      </c>
      <c r="H13" s="34"/>
      <c r="I13" s="34"/>
      <c r="J13" s="34"/>
      <c r="K13" s="34"/>
      <c r="L13" s="34"/>
      <c r="M13" s="2000"/>
      <c r="N13" s="2099"/>
      <c r="O13" s="34"/>
      <c r="P13" s="2000"/>
      <c r="Q13" s="2000"/>
      <c r="R13" s="2000"/>
      <c r="S13" s="2000"/>
      <c r="T13" s="2000"/>
      <c r="U13" s="2000"/>
      <c r="V13" s="2000"/>
      <c r="W13" s="2000"/>
      <c r="X13" s="34"/>
      <c r="Y13" s="34"/>
      <c r="Z13" s="34"/>
      <c r="AA13" s="34"/>
      <c r="AB13" s="34"/>
      <c r="AC13" s="34"/>
      <c r="AD13" s="34"/>
      <c r="AE13" s="34"/>
      <c r="AF13" s="34"/>
      <c r="AG13" s="34"/>
      <c r="AH13" s="34"/>
      <c r="AI13" s="34"/>
      <c r="AJ13" s="34"/>
      <c r="AK13" s="34"/>
      <c r="AL13" s="34"/>
      <c r="AM13" s="34"/>
      <c r="AN13" s="34"/>
      <c r="AO13" s="34"/>
      <c r="AP13" s="34"/>
    </row>
    <row r="14" spans="1:42" s="528" customFormat="1" ht="15">
      <c r="A14" s="533"/>
      <c r="B14" s="26" t="s">
        <v>1629</v>
      </c>
      <c r="C14" s="26" t="s">
        <v>1630</v>
      </c>
      <c r="D14" s="32" t="s">
        <v>1631</v>
      </c>
      <c r="E14" s="27">
        <f>10^6*60*60</f>
        <v>3600000000</v>
      </c>
      <c r="F14" s="27">
        <f t="shared" si="0"/>
        <v>9.9999999999999995E-7</v>
      </c>
      <c r="H14" s="34"/>
      <c r="I14" s="34"/>
      <c r="J14" s="34"/>
      <c r="K14" s="34"/>
      <c r="L14" s="1999"/>
      <c r="M14" s="2000"/>
      <c r="N14" s="2004"/>
      <c r="O14" s="2000"/>
      <c r="P14" s="2000"/>
      <c r="Q14" s="2000"/>
      <c r="R14" s="2000"/>
      <c r="S14" s="2000"/>
      <c r="T14" s="2000"/>
      <c r="U14" s="2000"/>
      <c r="V14" s="2000"/>
      <c r="W14" s="2000"/>
      <c r="X14" s="34"/>
      <c r="Y14" s="2101"/>
      <c r="Z14" s="34"/>
      <c r="AA14" s="34"/>
      <c r="AB14" s="34"/>
      <c r="AC14" s="34"/>
      <c r="AD14" s="34"/>
      <c r="AE14" s="34"/>
      <c r="AF14" s="34"/>
      <c r="AG14" s="34"/>
      <c r="AH14" s="34"/>
      <c r="AI14" s="34"/>
      <c r="AJ14" s="34"/>
      <c r="AK14" s="34"/>
      <c r="AL14" s="34"/>
      <c r="AM14" s="34"/>
      <c r="AN14" s="34"/>
      <c r="AO14" s="34"/>
      <c r="AP14" s="34"/>
    </row>
    <row r="15" spans="1:42" s="528" customFormat="1" ht="15">
      <c r="A15" s="533"/>
      <c r="B15" s="26" t="s">
        <v>1579</v>
      </c>
      <c r="C15" s="26" t="s">
        <v>1580</v>
      </c>
      <c r="D15" s="32" t="s">
        <v>1581</v>
      </c>
      <c r="E15" s="27">
        <f>5861520000000000/1000000</f>
        <v>5861520000</v>
      </c>
      <c r="F15" s="27">
        <f t="shared" si="0"/>
        <v>1.6281999999999999E-6</v>
      </c>
      <c r="H15" s="34"/>
      <c r="I15" s="34"/>
      <c r="J15" s="34"/>
      <c r="K15" s="34"/>
      <c r="L15" s="34"/>
      <c r="M15" s="34"/>
      <c r="N15" s="37"/>
      <c r="O15" s="37"/>
      <c r="P15" s="37"/>
      <c r="Q15" s="37"/>
      <c r="R15" s="37"/>
      <c r="S15" s="37"/>
      <c r="T15" s="37"/>
      <c r="U15" s="37"/>
      <c r="V15" s="2000"/>
      <c r="W15" s="2000"/>
      <c r="X15" s="34"/>
      <c r="Y15" s="34"/>
      <c r="Z15" s="34"/>
      <c r="AA15" s="34"/>
      <c r="AB15" s="34"/>
      <c r="AC15" s="34"/>
      <c r="AD15" s="34"/>
      <c r="AE15" s="34"/>
      <c r="AF15" s="34"/>
      <c r="AG15" s="34"/>
      <c r="AH15" s="34"/>
      <c r="AI15" s="34"/>
      <c r="AJ15" s="34"/>
      <c r="AK15" s="34"/>
      <c r="AL15" s="34"/>
      <c r="AM15" s="34"/>
      <c r="AN15" s="34"/>
      <c r="AO15" s="34"/>
      <c r="AP15" s="34"/>
    </row>
    <row r="16" spans="1:42" s="528" customFormat="1" ht="15">
      <c r="A16" s="533"/>
      <c r="B16" s="26" t="s">
        <v>1574</v>
      </c>
      <c r="C16" s="26" t="s">
        <v>1575</v>
      </c>
      <c r="D16" s="32" t="s">
        <v>1576</v>
      </c>
      <c r="E16" s="27">
        <v>5861520000000000</v>
      </c>
      <c r="F16" s="27">
        <f>$E16/INDEX(Conversions.Energy.Joules, MATCH(F$4, Conversions.Energy.Units, 0))</f>
        <v>1.6282000000000001</v>
      </c>
      <c r="H16" s="34"/>
      <c r="I16" s="34"/>
      <c r="J16" s="34"/>
      <c r="K16" s="34"/>
      <c r="L16" s="2000"/>
      <c r="M16" s="2000"/>
      <c r="N16" s="2002"/>
      <c r="O16" s="2002"/>
      <c r="P16" s="2002"/>
      <c r="Q16" s="2002"/>
      <c r="R16" s="2002"/>
      <c r="S16" s="2002"/>
      <c r="T16" s="2002"/>
      <c r="U16" s="2002"/>
      <c r="V16" s="2000"/>
      <c r="W16" s="2000"/>
      <c r="X16" s="34"/>
      <c r="Y16" s="2101"/>
      <c r="Z16" s="34"/>
      <c r="AA16" s="34"/>
      <c r="AB16" s="34"/>
      <c r="AC16" s="34"/>
      <c r="AD16" s="34"/>
      <c r="AE16" s="34"/>
      <c r="AF16" s="34"/>
      <c r="AG16" s="34"/>
      <c r="AH16" s="34"/>
      <c r="AI16" s="34"/>
      <c r="AJ16" s="34"/>
      <c r="AK16" s="34"/>
      <c r="AL16" s="34"/>
      <c r="AM16" s="34"/>
      <c r="AN16" s="34"/>
      <c r="AO16" s="34"/>
      <c r="AP16" s="34"/>
    </row>
    <row r="17" spans="1:42" s="14" customFormat="1" ht="15">
      <c r="A17" s="533"/>
      <c r="B17" s="26" t="s">
        <v>84</v>
      </c>
      <c r="C17" s="26" t="s">
        <v>409</v>
      </c>
      <c r="D17" s="32" t="s">
        <v>92</v>
      </c>
      <c r="E17" s="27">
        <f>41.868*10^9</f>
        <v>41868000000</v>
      </c>
      <c r="F17" s="27">
        <f t="shared" si="0"/>
        <v>1.163E-5</v>
      </c>
      <c r="H17" s="34"/>
      <c r="I17" s="34"/>
      <c r="J17" s="34"/>
      <c r="K17" s="34"/>
      <c r="L17" s="2000"/>
      <c r="M17" s="2000"/>
      <c r="N17" s="2003"/>
      <c r="O17" s="2003"/>
      <c r="P17" s="2003"/>
      <c r="Q17" s="2003"/>
      <c r="R17" s="2003"/>
      <c r="S17" s="2003"/>
      <c r="T17" s="2003"/>
      <c r="U17" s="2003"/>
      <c r="V17" s="2000"/>
      <c r="W17" s="2000"/>
      <c r="X17" s="34"/>
      <c r="Y17" s="34"/>
      <c r="Z17" s="34"/>
      <c r="AA17" s="34"/>
      <c r="AB17" s="34"/>
      <c r="AC17" s="34"/>
      <c r="AD17" s="34"/>
      <c r="AE17" s="34"/>
      <c r="AF17" s="34"/>
      <c r="AG17" s="34"/>
      <c r="AH17" s="34"/>
      <c r="AI17" s="34"/>
      <c r="AJ17" s="34"/>
      <c r="AK17" s="34"/>
      <c r="AL17" s="34"/>
      <c r="AM17" s="34"/>
      <c r="AN17" s="34"/>
      <c r="AO17" s="34"/>
      <c r="AP17" s="34"/>
    </row>
    <row r="18" spans="1:42" s="14" customFormat="1" ht="15">
      <c r="A18" s="533"/>
      <c r="B18" s="26" t="s">
        <v>181</v>
      </c>
      <c r="C18" s="26" t="s">
        <v>410</v>
      </c>
      <c r="D18" s="32" t="s">
        <v>182</v>
      </c>
      <c r="E18" s="27">
        <f>E17*1000</f>
        <v>41868000000000</v>
      </c>
      <c r="F18" s="27">
        <f t="shared" si="0"/>
        <v>1.163E-2</v>
      </c>
      <c r="H18" s="34"/>
      <c r="I18" s="34"/>
      <c r="J18" s="34"/>
      <c r="K18" s="34"/>
      <c r="L18" s="2102"/>
      <c r="M18" s="2000"/>
      <c r="N18" s="2003"/>
      <c r="O18" s="2003"/>
      <c r="P18" s="2003"/>
      <c r="Q18" s="2003"/>
      <c r="R18" s="2003"/>
      <c r="S18" s="2003"/>
      <c r="T18" s="2003"/>
      <c r="U18" s="2003"/>
      <c r="V18" s="2000"/>
      <c r="W18" s="2000"/>
      <c r="X18" s="34"/>
      <c r="Y18" s="34"/>
      <c r="Z18" s="34"/>
      <c r="AA18" s="34"/>
      <c r="AB18" s="34"/>
      <c r="AC18" s="34"/>
      <c r="AD18" s="34"/>
      <c r="AE18" s="34"/>
      <c r="AF18" s="34"/>
      <c r="AG18" s="34"/>
      <c r="AH18" s="34"/>
      <c r="AI18" s="34"/>
      <c r="AJ18" s="34"/>
      <c r="AK18" s="34"/>
      <c r="AL18" s="34"/>
      <c r="AM18" s="34"/>
      <c r="AN18" s="34"/>
      <c r="AO18" s="34"/>
      <c r="AP18" s="34"/>
    </row>
    <row r="19" spans="1:42" s="14" customFormat="1" ht="15">
      <c r="A19" s="533"/>
      <c r="B19" s="26" t="s">
        <v>83</v>
      </c>
      <c r="C19" s="26" t="s">
        <v>411</v>
      </c>
      <c r="D19" s="32" t="s">
        <v>93</v>
      </c>
      <c r="E19" s="27">
        <f>E17*1000000</f>
        <v>4.1868E+16</v>
      </c>
      <c r="F19" s="27">
        <f t="shared" si="0"/>
        <v>11.63</v>
      </c>
      <c r="H19" s="34"/>
      <c r="I19" s="34"/>
      <c r="J19" s="34"/>
      <c r="K19" s="34"/>
      <c r="L19" s="2000"/>
      <c r="M19" s="2000"/>
      <c r="N19" s="34"/>
      <c r="O19" s="34"/>
      <c r="P19" s="34"/>
      <c r="Q19" s="34"/>
      <c r="R19" s="34"/>
      <c r="S19" s="34"/>
      <c r="T19" s="34"/>
      <c r="U19" s="34"/>
      <c r="V19" s="2000"/>
      <c r="W19" s="2000"/>
      <c r="X19" s="34"/>
      <c r="Y19" s="34"/>
      <c r="Z19" s="34"/>
      <c r="AA19" s="34"/>
      <c r="AB19" s="34"/>
      <c r="AC19" s="34"/>
      <c r="AD19" s="34"/>
      <c r="AE19" s="34"/>
      <c r="AF19" s="34"/>
      <c r="AG19" s="34"/>
      <c r="AH19" s="34"/>
      <c r="AI19" s="34"/>
      <c r="AJ19" s="34"/>
      <c r="AK19" s="34"/>
      <c r="AL19" s="34"/>
      <c r="AM19" s="34"/>
      <c r="AN19" s="34"/>
      <c r="AO19" s="34"/>
      <c r="AP19" s="34"/>
    </row>
    <row r="20" spans="1:42" s="14" customFormat="1" ht="15">
      <c r="A20" s="533"/>
      <c r="B20" s="26" t="s">
        <v>85</v>
      </c>
      <c r="C20" s="26" t="s">
        <v>412</v>
      </c>
      <c r="D20" s="32" t="s">
        <v>94</v>
      </c>
      <c r="E20" s="27">
        <f>41.868*10^9/396.83</f>
        <v>105506136.12882091</v>
      </c>
      <c r="F20" s="27">
        <f t="shared" si="0"/>
        <v>2.9307260035783588E-8</v>
      </c>
      <c r="H20" s="34"/>
      <c r="I20" s="34"/>
      <c r="J20" s="34"/>
      <c r="K20" s="34"/>
      <c r="L20" s="1999"/>
      <c r="M20" s="2000"/>
      <c r="N20" s="2003"/>
      <c r="O20" s="2003"/>
      <c r="P20" s="2003"/>
      <c r="Q20" s="2003"/>
      <c r="R20" s="2003"/>
      <c r="S20" s="2003"/>
      <c r="T20" s="2003"/>
      <c r="U20" s="2003"/>
      <c r="V20" s="2000"/>
      <c r="W20" s="34"/>
      <c r="X20" s="34"/>
      <c r="Y20" s="2103"/>
      <c r="Z20" s="34"/>
      <c r="AA20" s="34"/>
      <c r="AB20" s="34"/>
      <c r="AC20" s="34"/>
      <c r="AD20" s="34"/>
      <c r="AE20" s="34"/>
      <c r="AF20" s="34"/>
      <c r="AG20" s="34"/>
      <c r="AH20" s="34"/>
      <c r="AI20" s="34"/>
      <c r="AJ20" s="34"/>
      <c r="AK20" s="34"/>
      <c r="AL20" s="34"/>
      <c r="AM20" s="34"/>
      <c r="AN20" s="34"/>
      <c r="AO20" s="34"/>
      <c r="AP20" s="34"/>
    </row>
    <row r="21" spans="1:42" s="14" customFormat="1" ht="15">
      <c r="A21" s="533"/>
      <c r="B21" s="26" t="s">
        <v>86</v>
      </c>
      <c r="C21" s="26" t="s">
        <v>413</v>
      </c>
      <c r="D21" s="32" t="s">
        <v>95</v>
      </c>
      <c r="E21" s="27">
        <f>E20/100000</f>
        <v>1055.0613612882091</v>
      </c>
      <c r="F21" s="27">
        <f t="shared" si="0"/>
        <v>2.9307260035783586E-13</v>
      </c>
      <c r="H21" s="34"/>
      <c r="I21" s="34"/>
      <c r="J21" s="34"/>
      <c r="K21" s="34"/>
      <c r="L21" s="1999"/>
      <c r="M21" s="2000"/>
      <c r="N21" s="2219"/>
      <c r="O21" s="2219"/>
      <c r="P21" s="2219"/>
      <c r="Q21" s="2219"/>
      <c r="R21" s="2094"/>
      <c r="S21" s="1677"/>
      <c r="T21" s="1677"/>
      <c r="U21" s="1677"/>
      <c r="V21" s="2000"/>
      <c r="W21" s="2000"/>
      <c r="X21" s="34"/>
      <c r="Y21" s="34"/>
      <c r="Z21" s="34"/>
      <c r="AA21" s="34"/>
      <c r="AB21" s="34"/>
      <c r="AC21" s="34"/>
      <c r="AD21" s="34"/>
      <c r="AE21" s="34"/>
      <c r="AF21" s="34"/>
      <c r="AG21" s="34"/>
      <c r="AH21" s="34"/>
      <c r="AI21" s="34"/>
      <c r="AJ21" s="34"/>
      <c r="AK21" s="34"/>
      <c r="AL21" s="34"/>
      <c r="AM21" s="34"/>
      <c r="AN21" s="34"/>
      <c r="AO21" s="34"/>
      <c r="AP21" s="34"/>
    </row>
    <row r="22" spans="1:42" s="14" customFormat="1" ht="15">
      <c r="A22" s="533"/>
      <c r="B22" s="26" t="s">
        <v>87</v>
      </c>
      <c r="C22" s="26" t="s">
        <v>414</v>
      </c>
      <c r="D22" s="32" t="s">
        <v>96</v>
      </c>
      <c r="E22" s="27">
        <v>4.1840000000000002</v>
      </c>
      <c r="F22" s="27">
        <f t="shared" si="0"/>
        <v>1.1622222222222223E-15</v>
      </c>
      <c r="H22" s="34"/>
      <c r="I22" s="34"/>
      <c r="J22" s="34"/>
      <c r="K22" s="34"/>
      <c r="L22" s="1999"/>
      <c r="M22" s="2000"/>
      <c r="N22" s="2217"/>
      <c r="O22" s="2218"/>
      <c r="P22" s="2217"/>
      <c r="Q22" s="2218"/>
      <c r="R22" s="2217"/>
      <c r="S22" s="2218"/>
      <c r="T22" s="2217"/>
      <c r="U22" s="2218"/>
      <c r="V22" s="2000"/>
      <c r="W22" s="2000"/>
      <c r="X22" s="34"/>
      <c r="Y22" s="34"/>
      <c r="Z22" s="34"/>
      <c r="AA22" s="34"/>
      <c r="AB22" s="34"/>
      <c r="AC22" s="34"/>
      <c r="AD22" s="34"/>
      <c r="AE22" s="34"/>
      <c r="AF22" s="34"/>
      <c r="AG22" s="34"/>
      <c r="AH22" s="34"/>
      <c r="AI22" s="34"/>
      <c r="AJ22" s="34"/>
      <c r="AK22" s="34"/>
      <c r="AL22" s="34"/>
      <c r="AM22" s="34"/>
      <c r="AN22" s="34"/>
      <c r="AO22" s="34"/>
      <c r="AP22" s="34"/>
    </row>
    <row r="23" spans="1:42" s="14" customFormat="1" ht="15">
      <c r="A23" s="533"/>
      <c r="B23" s="26" t="s">
        <v>88</v>
      </c>
      <c r="C23" s="26" t="s">
        <v>415</v>
      </c>
      <c r="D23" s="32" t="s">
        <v>97</v>
      </c>
      <c r="E23" s="27">
        <f>10^9*60*60*8765.8</f>
        <v>3.1556879999999996E+16</v>
      </c>
      <c r="F23" s="27">
        <f t="shared" si="0"/>
        <v>8.7657999999999987</v>
      </c>
      <c r="H23" s="34"/>
      <c r="I23" s="34"/>
      <c r="J23" s="34"/>
      <c r="K23" s="1940"/>
      <c r="L23" s="497"/>
      <c r="M23" s="497"/>
      <c r="N23" s="2022"/>
      <c r="O23" s="2022"/>
      <c r="P23" s="2095"/>
      <c r="Q23" s="2095"/>
      <c r="R23" s="2022"/>
      <c r="S23" s="2022"/>
      <c r="T23" s="2022"/>
      <c r="U23" s="2022"/>
      <c r="V23" s="2000"/>
      <c r="W23" s="2000"/>
      <c r="X23" s="34"/>
      <c r="Y23" s="34"/>
      <c r="Z23" s="34"/>
      <c r="AA23" s="34"/>
      <c r="AB23" s="34"/>
      <c r="AC23" s="34"/>
      <c r="AD23" s="34"/>
      <c r="AE23" s="34"/>
      <c r="AF23" s="34"/>
      <c r="AG23" s="34"/>
      <c r="AH23" s="34"/>
      <c r="AI23" s="34"/>
      <c r="AJ23" s="34"/>
      <c r="AK23" s="34"/>
      <c r="AL23" s="34"/>
      <c r="AM23" s="34"/>
      <c r="AN23" s="34"/>
      <c r="AO23" s="34"/>
      <c r="AP23" s="34"/>
    </row>
    <row r="24" spans="1:42" s="528" customFormat="1" ht="15">
      <c r="A24" s="533"/>
      <c r="B24" s="28" t="s">
        <v>1510</v>
      </c>
      <c r="C24" s="28" t="s">
        <v>1532</v>
      </c>
      <c r="D24" s="33" t="s">
        <v>1511</v>
      </c>
      <c r="E24" s="29">
        <f>F24*Unit.J</f>
        <v>2.5252525252525255E-17</v>
      </c>
      <c r="F24" s="29">
        <f>1/11</f>
        <v>9.0909090909090912E-2</v>
      </c>
      <c r="H24" s="34"/>
      <c r="I24" s="34"/>
      <c r="J24" s="34"/>
      <c r="K24" s="1940"/>
      <c r="L24" s="497"/>
      <c r="M24" s="497"/>
      <c r="N24" s="2022"/>
      <c r="O24" s="2022"/>
      <c r="P24" s="2095"/>
      <c r="Q24" s="2095"/>
      <c r="R24" s="2022"/>
      <c r="S24" s="2022"/>
      <c r="T24" s="2022"/>
      <c r="U24" s="2022"/>
      <c r="V24" s="2000"/>
      <c r="W24" s="2000"/>
      <c r="X24" s="34"/>
      <c r="Y24" s="34"/>
      <c r="Z24" s="34"/>
      <c r="AA24" s="34"/>
      <c r="AB24" s="34"/>
      <c r="AC24" s="34"/>
      <c r="AD24" s="34"/>
      <c r="AE24" s="34"/>
      <c r="AF24" s="34"/>
      <c r="AG24" s="34"/>
      <c r="AH24" s="34"/>
      <c r="AI24" s="34"/>
      <c r="AJ24" s="34"/>
      <c r="AK24" s="34"/>
      <c r="AL24" s="34"/>
      <c r="AM24" s="34"/>
      <c r="AN24" s="34"/>
      <c r="AO24" s="34"/>
      <c r="AP24" s="34"/>
    </row>
    <row r="25" spans="1:42">
      <c r="H25" s="37"/>
      <c r="I25" s="37"/>
      <c r="J25" s="37"/>
      <c r="K25" s="37"/>
      <c r="L25" s="1999"/>
      <c r="M25" s="2000"/>
      <c r="N25" s="2000"/>
      <c r="O25" s="2000"/>
      <c r="P25" s="2000"/>
      <c r="Q25" s="2000"/>
      <c r="R25" s="2000"/>
      <c r="S25" s="2000"/>
      <c r="T25" s="2000"/>
      <c r="U25" s="2000"/>
      <c r="V25" s="2000"/>
      <c r="W25" s="2000"/>
      <c r="X25" s="37"/>
      <c r="Y25" s="2104"/>
      <c r="Z25" s="37"/>
      <c r="AA25" s="37"/>
      <c r="AB25" s="37"/>
      <c r="AC25" s="37"/>
      <c r="AD25" s="37"/>
      <c r="AE25" s="37"/>
      <c r="AF25" s="37"/>
      <c r="AG25" s="37"/>
      <c r="AH25" s="37"/>
      <c r="AI25" s="37"/>
      <c r="AJ25" s="37"/>
      <c r="AK25" s="37"/>
      <c r="AL25" s="37"/>
      <c r="AM25" s="37"/>
      <c r="AN25" s="37"/>
      <c r="AO25" s="37"/>
      <c r="AP25" s="37"/>
    </row>
    <row r="26" spans="1:42" ht="14">
      <c r="E26" s="24"/>
      <c r="F26" s="24"/>
      <c r="H26" s="37"/>
      <c r="I26" s="37"/>
      <c r="J26" s="37"/>
      <c r="K26" s="37"/>
      <c r="L26" s="1999"/>
      <c r="M26" s="2000"/>
      <c r="N26" s="2000"/>
      <c r="O26" s="37"/>
      <c r="P26" s="1935"/>
      <c r="Q26" s="1935"/>
      <c r="R26" s="1712"/>
      <c r="S26" s="1712"/>
      <c r="T26" s="1712"/>
      <c r="U26" s="1712"/>
      <c r="V26" s="1712"/>
      <c r="W26" s="1712"/>
      <c r="X26" s="1712"/>
      <c r="Y26" s="1712"/>
      <c r="Z26" s="1712"/>
      <c r="AA26" s="37"/>
      <c r="AB26" s="37"/>
      <c r="AC26" s="37"/>
      <c r="AD26" s="37"/>
      <c r="AE26" s="37"/>
      <c r="AF26" s="37"/>
      <c r="AG26" s="37"/>
      <c r="AH26" s="37"/>
      <c r="AI26" s="37"/>
      <c r="AJ26" s="37"/>
      <c r="AK26" s="37"/>
      <c r="AL26" s="37"/>
      <c r="AM26" s="37"/>
      <c r="AN26" s="37"/>
      <c r="AO26" s="37"/>
      <c r="AP26" s="37"/>
    </row>
    <row r="27" spans="1:42" ht="18">
      <c r="B27" s="25" t="s">
        <v>584</v>
      </c>
      <c r="C27" s="25"/>
      <c r="D27" s="1"/>
      <c r="E27" s="1"/>
      <c r="F27" s="1"/>
      <c r="H27" s="37"/>
      <c r="I27" s="37"/>
      <c r="J27" s="37"/>
      <c r="K27" s="37"/>
      <c r="L27" s="37"/>
      <c r="M27" s="37"/>
      <c r="N27" s="37"/>
      <c r="O27" s="37"/>
      <c r="P27" s="37"/>
      <c r="Q27" s="37"/>
      <c r="R27" s="1935"/>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row>
    <row r="28" spans="1:42" ht="18" customHeight="1">
      <c r="B28" s="1"/>
      <c r="C28" s="1"/>
      <c r="D28" s="1"/>
      <c r="E28" s="1"/>
      <c r="F28" s="1"/>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row>
    <row r="29" spans="1:42" ht="15">
      <c r="A29" s="3"/>
      <c r="B29" s="30" t="s">
        <v>79</v>
      </c>
      <c r="C29" s="30" t="s">
        <v>399</v>
      </c>
      <c r="D29" s="30" t="s">
        <v>400</v>
      </c>
      <c r="E29" s="523" t="s">
        <v>585</v>
      </c>
      <c r="F29" s="523" t="str">
        <f>Preferences.PowerUnits</f>
        <v>GW</v>
      </c>
      <c r="H29" s="37"/>
      <c r="I29" s="1941"/>
      <c r="J29" s="37"/>
      <c r="K29" s="37"/>
      <c r="L29" s="37"/>
      <c r="M29" s="37"/>
      <c r="N29" s="37"/>
      <c r="O29" s="37"/>
      <c r="P29" s="37"/>
      <c r="Q29" s="37"/>
      <c r="R29" s="1677"/>
      <c r="S29" s="1935"/>
      <c r="T29" s="37"/>
      <c r="U29" s="37"/>
      <c r="V29" s="37"/>
      <c r="W29" s="37"/>
      <c r="X29" s="37"/>
      <c r="Y29" s="37"/>
      <c r="Z29" s="37"/>
      <c r="AA29" s="37"/>
      <c r="AB29" s="37"/>
      <c r="AC29" s="37"/>
      <c r="AD29" s="37"/>
      <c r="AE29" s="37"/>
      <c r="AF29" s="37"/>
      <c r="AG29" s="37"/>
      <c r="AH29" s="37"/>
      <c r="AI29" s="37"/>
      <c r="AJ29" s="37"/>
      <c r="AK29" s="37"/>
      <c r="AL29" s="37"/>
      <c r="AM29" s="37"/>
      <c r="AN29" s="37"/>
      <c r="AO29" s="37"/>
      <c r="AP29" s="37"/>
    </row>
    <row r="30" spans="1:42" ht="15">
      <c r="A30" s="3"/>
      <c r="B30" s="26" t="s">
        <v>586</v>
      </c>
      <c r="C30" s="26" t="s">
        <v>588</v>
      </c>
      <c r="D30" s="32" t="s">
        <v>590</v>
      </c>
      <c r="E30" s="27">
        <v>1000000000</v>
      </c>
      <c r="F30" s="27">
        <f t="shared" ref="F30:F35" si="1">$E30/INDEX(Conversions.Power.Watts, MATCH(F$29, Conversions.Power.Units, 0))</f>
        <v>1</v>
      </c>
      <c r="H30" s="37"/>
      <c r="I30" s="37"/>
      <c r="J30" s="37"/>
      <c r="K30" s="37"/>
      <c r="L30" s="37"/>
      <c r="M30" s="37"/>
      <c r="N30" s="37"/>
      <c r="O30" s="37"/>
      <c r="P30" s="37"/>
      <c r="Q30" s="37"/>
      <c r="R30" s="37"/>
      <c r="S30" s="1677"/>
      <c r="T30" s="37"/>
      <c r="U30" s="37"/>
      <c r="V30" s="37"/>
      <c r="W30" s="37"/>
      <c r="X30" s="37"/>
      <c r="Y30" s="37"/>
      <c r="Z30" s="37"/>
      <c r="AA30" s="37"/>
      <c r="AB30" s="37"/>
      <c r="AC30" s="37"/>
      <c r="AD30" s="37"/>
      <c r="AE30" s="37"/>
      <c r="AF30" s="37"/>
      <c r="AG30" s="37"/>
      <c r="AH30" s="37"/>
      <c r="AI30" s="37"/>
      <c r="AJ30" s="37"/>
      <c r="AK30" s="37"/>
      <c r="AL30" s="37"/>
      <c r="AM30" s="37"/>
      <c r="AN30" s="37"/>
      <c r="AO30" s="37"/>
      <c r="AP30" s="37"/>
    </row>
    <row r="31" spans="1:42" s="1" customFormat="1" ht="15">
      <c r="A31" s="3"/>
      <c r="B31" s="26" t="s">
        <v>592</v>
      </c>
      <c r="C31" s="26" t="s">
        <v>593</v>
      </c>
      <c r="D31" s="32" t="s">
        <v>594</v>
      </c>
      <c r="E31" s="27">
        <v>1000000</v>
      </c>
      <c r="F31" s="27">
        <f t="shared" si="1"/>
        <v>1E-3</v>
      </c>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row>
    <row r="32" spans="1:42" ht="15">
      <c r="A32" s="3"/>
      <c r="B32" s="1" t="s">
        <v>587</v>
      </c>
      <c r="C32" s="1" t="s">
        <v>589</v>
      </c>
      <c r="D32" s="32" t="s">
        <v>591</v>
      </c>
      <c r="E32" s="27">
        <v>1000</v>
      </c>
      <c r="F32" s="27">
        <f t="shared" si="1"/>
        <v>9.9999999999999995E-7</v>
      </c>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row>
    <row r="33" spans="1:42" s="117" customFormat="1" ht="15">
      <c r="A33" s="3"/>
      <c r="B33" s="117" t="s">
        <v>618</v>
      </c>
      <c r="C33" s="117" t="s">
        <v>585</v>
      </c>
      <c r="D33" s="32" t="s">
        <v>619</v>
      </c>
      <c r="E33" s="27">
        <v>1</v>
      </c>
      <c r="F33" s="27">
        <f t="shared" si="1"/>
        <v>1.0000000000000001E-9</v>
      </c>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row>
    <row r="34" spans="1:42" ht="15">
      <c r="A34" s="3"/>
      <c r="B34" s="1584" t="s">
        <v>1323</v>
      </c>
      <c r="C34" s="1584" t="s">
        <v>1324</v>
      </c>
      <c r="D34" s="32" t="s">
        <v>1325</v>
      </c>
      <c r="E34" s="27">
        <f>29000000*1000000/(24*60*60)</f>
        <v>335648148.14814812</v>
      </c>
      <c r="F34" s="27">
        <f t="shared" si="1"/>
        <v>0.33564814814814814</v>
      </c>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row>
    <row r="35" spans="1:42">
      <c r="B35" s="538" t="s">
        <v>595</v>
      </c>
      <c r="C35" s="538" t="s">
        <v>596</v>
      </c>
      <c r="D35" s="539" t="s">
        <v>597</v>
      </c>
      <c r="E35" s="540">
        <f>$E$19/Unit.year</f>
        <v>1326716860.597764</v>
      </c>
      <c r="F35" s="540">
        <f t="shared" si="1"/>
        <v>1.3267168605977639</v>
      </c>
      <c r="H35" s="37"/>
      <c r="I35" s="37"/>
      <c r="J35" s="37"/>
      <c r="K35" s="37"/>
      <c r="L35" s="1999"/>
      <c r="M35" s="2000"/>
      <c r="N35" s="2000"/>
      <c r="O35" s="2000"/>
      <c r="P35" s="2000"/>
      <c r="Q35" s="2000"/>
      <c r="R35" s="2000"/>
      <c r="S35" s="2000"/>
      <c r="T35" s="2000"/>
      <c r="U35" s="2000"/>
      <c r="V35" s="2000"/>
      <c r="W35" s="2000"/>
      <c r="X35" s="37"/>
      <c r="Y35" s="37"/>
      <c r="Z35" s="37"/>
      <c r="AA35" s="37"/>
      <c r="AB35" s="37"/>
      <c r="AC35" s="37"/>
      <c r="AD35" s="37"/>
      <c r="AE35" s="37"/>
      <c r="AF35" s="37"/>
      <c r="AG35" s="37"/>
      <c r="AH35" s="37"/>
      <c r="AI35" s="37"/>
      <c r="AJ35" s="37"/>
      <c r="AK35" s="37"/>
      <c r="AL35" s="37"/>
      <c r="AM35" s="37"/>
      <c r="AN35" s="37"/>
      <c r="AO35" s="37"/>
      <c r="AP35" s="37"/>
    </row>
    <row r="36" spans="1:42">
      <c r="H36" s="37"/>
      <c r="I36" s="37"/>
      <c r="J36" s="37"/>
      <c r="K36" s="37"/>
      <c r="L36" s="1999"/>
      <c r="M36" s="2000"/>
      <c r="N36" s="2000"/>
      <c r="O36" s="2000"/>
      <c r="P36" s="2000"/>
      <c r="Q36" s="2000"/>
      <c r="R36" s="2000"/>
      <c r="S36" s="2000"/>
      <c r="T36" s="2000"/>
      <c r="U36" s="2000"/>
      <c r="V36" s="2000"/>
      <c r="W36" s="2000"/>
      <c r="X36" s="37"/>
      <c r="Y36" s="37"/>
      <c r="Z36" s="37"/>
      <c r="AA36" s="37"/>
      <c r="AB36" s="37"/>
      <c r="AC36" s="37"/>
      <c r="AD36" s="37"/>
      <c r="AE36" s="37"/>
      <c r="AF36" s="37"/>
      <c r="AG36" s="37"/>
      <c r="AH36" s="37"/>
      <c r="AI36" s="37"/>
      <c r="AJ36" s="37"/>
      <c r="AK36" s="37"/>
      <c r="AL36" s="37"/>
      <c r="AM36" s="37"/>
      <c r="AN36" s="37"/>
      <c r="AO36" s="37"/>
      <c r="AP36" s="37"/>
    </row>
    <row r="37" spans="1:42" ht="15" customHeight="1">
      <c r="B37" s="25" t="s">
        <v>598</v>
      </c>
      <c r="C37" s="25"/>
      <c r="D37" s="1"/>
      <c r="E37" s="1"/>
      <c r="F37" s="1"/>
      <c r="H37" s="37"/>
      <c r="I37" s="37"/>
      <c r="J37" s="37"/>
      <c r="K37" s="37"/>
      <c r="L37" s="1999"/>
      <c r="M37" s="2000"/>
      <c r="N37" s="2000"/>
      <c r="O37" s="2000"/>
      <c r="P37" s="2000"/>
      <c r="Q37" s="2000"/>
      <c r="R37" s="2000"/>
      <c r="S37" s="2000"/>
      <c r="T37" s="2000"/>
      <c r="U37" s="2000"/>
      <c r="V37" s="2000"/>
      <c r="W37" s="2000"/>
      <c r="X37" s="37"/>
      <c r="Y37" s="37"/>
      <c r="Z37" s="37"/>
      <c r="AA37" s="37"/>
      <c r="AB37" s="37"/>
      <c r="AC37" s="37"/>
      <c r="AD37" s="37"/>
      <c r="AE37" s="37"/>
      <c r="AF37" s="37"/>
      <c r="AG37" s="37"/>
      <c r="AH37" s="37"/>
      <c r="AI37" s="37"/>
      <c r="AJ37" s="37"/>
      <c r="AK37" s="37"/>
      <c r="AL37" s="37"/>
      <c r="AM37" s="37"/>
      <c r="AN37" s="37"/>
      <c r="AO37" s="37"/>
      <c r="AP37" s="37"/>
    </row>
    <row r="38" spans="1:42" ht="15">
      <c r="A38" s="3"/>
      <c r="B38" s="1"/>
      <c r="C38" s="1"/>
      <c r="D38" s="1"/>
      <c r="E38" s="1"/>
      <c r="F38" s="1"/>
      <c r="H38" s="37"/>
      <c r="I38" s="37"/>
      <c r="J38" s="37"/>
      <c r="K38" s="37"/>
      <c r="L38" s="37"/>
      <c r="M38" s="2000"/>
      <c r="N38" s="2000"/>
      <c r="O38" s="37"/>
      <c r="P38" s="1898"/>
      <c r="Q38" s="2000"/>
      <c r="R38" s="2000"/>
      <c r="S38" s="2012"/>
      <c r="T38" s="2000"/>
      <c r="U38" s="2000"/>
      <c r="V38" s="37"/>
      <c r="W38" s="2000"/>
      <c r="X38" s="37"/>
      <c r="Y38" s="37"/>
      <c r="Z38" s="37"/>
      <c r="AA38" s="37"/>
      <c r="AB38" s="37"/>
      <c r="AC38" s="37"/>
      <c r="AD38" s="37"/>
      <c r="AE38" s="37"/>
      <c r="AF38" s="37"/>
      <c r="AG38" s="37"/>
      <c r="AH38" s="37"/>
      <c r="AI38" s="37"/>
      <c r="AJ38" s="37"/>
      <c r="AK38" s="37"/>
      <c r="AL38" s="37"/>
      <c r="AM38" s="37"/>
      <c r="AN38" s="37"/>
      <c r="AO38" s="37"/>
      <c r="AP38" s="37"/>
    </row>
    <row r="39" spans="1:42" ht="15">
      <c r="A39" s="3"/>
      <c r="B39" s="30" t="s">
        <v>79</v>
      </c>
      <c r="C39" s="30" t="s">
        <v>399</v>
      </c>
      <c r="D39" s="30" t="s">
        <v>400</v>
      </c>
      <c r="E39" s="523"/>
      <c r="F39" s="523" t="s">
        <v>599</v>
      </c>
      <c r="H39" s="37"/>
      <c r="I39" s="37"/>
      <c r="J39" s="37"/>
      <c r="K39" s="37"/>
      <c r="L39" s="34"/>
      <c r="M39" s="2000"/>
      <c r="N39" s="2000"/>
      <c r="O39" s="2007"/>
      <c r="P39" s="2000"/>
      <c r="Q39" s="2000"/>
      <c r="R39" s="2000"/>
      <c r="S39" s="2000"/>
      <c r="T39" s="2000"/>
      <c r="U39" s="2000"/>
      <c r="V39" s="2000"/>
      <c r="W39" s="2000"/>
      <c r="X39" s="37"/>
      <c r="Y39" s="37"/>
      <c r="Z39" s="37"/>
      <c r="AA39" s="37"/>
      <c r="AB39" s="37"/>
      <c r="AC39" s="37"/>
      <c r="AD39" s="37"/>
      <c r="AE39" s="37"/>
      <c r="AF39" s="37"/>
      <c r="AG39" s="37"/>
      <c r="AH39" s="37"/>
      <c r="AI39" s="37"/>
      <c r="AJ39" s="37"/>
      <c r="AK39" s="37"/>
      <c r="AL39" s="37"/>
      <c r="AM39" s="37"/>
      <c r="AN39" s="37"/>
      <c r="AO39" s="37"/>
      <c r="AP39" s="37"/>
    </row>
    <row r="40" spans="1:42">
      <c r="B40" s="26" t="s">
        <v>600</v>
      </c>
      <c r="C40" s="26" t="s">
        <v>601</v>
      </c>
      <c r="D40" s="32" t="s">
        <v>602</v>
      </c>
      <c r="E40" s="27"/>
      <c r="F40" s="27">
        <f>365.25*Unit.day</f>
        <v>31557600</v>
      </c>
      <c r="H40" s="37"/>
      <c r="I40" s="37"/>
      <c r="J40" s="37"/>
      <c r="K40" s="37"/>
      <c r="L40" s="2008"/>
      <c r="M40" s="2000"/>
      <c r="N40" s="2000"/>
      <c r="O40" s="2000"/>
      <c r="P40" s="2000"/>
      <c r="Q40" s="2000"/>
      <c r="R40" s="2000"/>
      <c r="S40" s="2000"/>
      <c r="T40" s="2000"/>
      <c r="U40" s="2000"/>
      <c r="V40" s="2000"/>
      <c r="W40" s="2000"/>
      <c r="X40" s="37"/>
      <c r="Y40" s="37"/>
      <c r="Z40" s="37"/>
      <c r="AA40" s="37"/>
      <c r="AB40" s="37"/>
      <c r="AC40" s="37"/>
      <c r="AD40" s="37"/>
      <c r="AE40" s="37"/>
      <c r="AF40" s="37"/>
      <c r="AG40" s="37"/>
      <c r="AH40" s="37"/>
      <c r="AI40" s="37"/>
      <c r="AJ40" s="37"/>
      <c r="AK40" s="37"/>
      <c r="AL40" s="37"/>
      <c r="AM40" s="37"/>
      <c r="AN40" s="37"/>
      <c r="AO40" s="37"/>
      <c r="AP40" s="37"/>
    </row>
    <row r="41" spans="1:42">
      <c r="B41" s="26" t="s">
        <v>1152</v>
      </c>
      <c r="C41" s="26" t="s">
        <v>1150</v>
      </c>
      <c r="D41" s="32" t="s">
        <v>1151</v>
      </c>
      <c r="E41" s="36"/>
      <c r="F41" s="1436">
        <f>Unit.hour*24</f>
        <v>86400</v>
      </c>
      <c r="H41" s="37"/>
      <c r="I41" s="37"/>
      <c r="J41" s="37"/>
      <c r="K41" s="37"/>
      <c r="L41" s="1999"/>
      <c r="M41" s="2000"/>
      <c r="N41" s="2000"/>
      <c r="O41" s="2000"/>
      <c r="P41" s="2000"/>
      <c r="Q41" s="2000"/>
      <c r="R41" s="2000"/>
      <c r="S41" s="2000"/>
      <c r="T41" s="2000"/>
      <c r="U41" s="2000"/>
      <c r="V41" s="2000"/>
      <c r="W41" s="2000"/>
      <c r="X41" s="37"/>
      <c r="Y41" s="37"/>
      <c r="Z41" s="37"/>
      <c r="AA41" s="37"/>
      <c r="AB41" s="37"/>
      <c r="AC41" s="37"/>
      <c r="AD41" s="37"/>
      <c r="AE41" s="37"/>
      <c r="AF41" s="37"/>
      <c r="AG41" s="37"/>
      <c r="AH41" s="37"/>
      <c r="AI41" s="37"/>
      <c r="AJ41" s="37"/>
      <c r="AK41" s="37"/>
      <c r="AL41" s="37"/>
      <c r="AM41" s="37"/>
      <c r="AN41" s="37"/>
      <c r="AO41" s="37"/>
      <c r="AP41" s="37"/>
    </row>
    <row r="42" spans="1:42">
      <c r="B42" t="s">
        <v>1153</v>
      </c>
      <c r="C42" s="117" t="s">
        <v>1154</v>
      </c>
      <c r="D42" s="1380" t="s">
        <v>1155</v>
      </c>
      <c r="F42" s="1125">
        <f>Unit.minute*60</f>
        <v>3600</v>
      </c>
      <c r="H42" s="37"/>
      <c r="I42" s="37"/>
      <c r="J42" s="37"/>
      <c r="K42" s="37"/>
      <c r="L42" s="1999"/>
      <c r="M42" s="2000"/>
      <c r="N42" s="2000"/>
      <c r="O42" s="2000"/>
      <c r="P42" s="2000"/>
      <c r="Q42" s="2000"/>
      <c r="R42" s="2000"/>
      <c r="S42" s="2000"/>
      <c r="T42" s="2000"/>
      <c r="U42" s="2000"/>
      <c r="V42" s="2000"/>
      <c r="W42" s="2000"/>
      <c r="X42" s="37"/>
      <c r="Y42" s="37"/>
      <c r="Z42" s="37"/>
      <c r="AA42" s="37"/>
      <c r="AB42" s="37"/>
      <c r="AC42" s="37"/>
      <c r="AD42" s="37"/>
      <c r="AE42" s="37"/>
      <c r="AF42" s="37"/>
      <c r="AG42" s="37"/>
      <c r="AH42" s="37"/>
      <c r="AI42" s="37"/>
      <c r="AJ42" s="37"/>
      <c r="AK42" s="37"/>
      <c r="AL42" s="37"/>
      <c r="AM42" s="37"/>
      <c r="AN42" s="37"/>
      <c r="AO42" s="37"/>
      <c r="AP42" s="37"/>
    </row>
    <row r="43" spans="1:42" ht="15">
      <c r="A43" s="3"/>
      <c r="B43" s="1041" t="s">
        <v>1156</v>
      </c>
      <c r="C43" s="1041" t="s">
        <v>1157</v>
      </c>
      <c r="D43" s="1437" t="s">
        <v>1158</v>
      </c>
      <c r="E43" s="1041"/>
      <c r="F43" s="1438">
        <v>60</v>
      </c>
      <c r="H43" s="37"/>
      <c r="I43" s="1361"/>
      <c r="J43" s="37"/>
      <c r="K43" s="2096"/>
      <c r="L43" s="2096"/>
      <c r="M43" s="1949"/>
      <c r="N43" s="1949"/>
      <c r="O43" s="1949"/>
      <c r="P43" s="1759"/>
      <c r="Q43" s="2000"/>
      <c r="R43" s="2000"/>
      <c r="S43" s="2000"/>
      <c r="T43" s="2000"/>
      <c r="U43" s="2000"/>
      <c r="V43" s="2000"/>
      <c r="W43" s="2000"/>
      <c r="X43" s="37"/>
      <c r="Y43" s="37"/>
      <c r="Z43" s="37"/>
      <c r="AA43" s="37"/>
      <c r="AB43" s="37"/>
      <c r="AC43" s="37"/>
      <c r="AD43" s="37"/>
      <c r="AE43" s="37"/>
      <c r="AF43" s="37"/>
      <c r="AG43" s="37"/>
      <c r="AH43" s="37"/>
      <c r="AI43" s="37"/>
      <c r="AJ43" s="37"/>
      <c r="AK43" s="37"/>
      <c r="AL43" s="37"/>
      <c r="AM43" s="37"/>
      <c r="AN43" s="37"/>
      <c r="AO43" s="37"/>
      <c r="AP43" s="37"/>
    </row>
    <row r="44" spans="1:42">
      <c r="H44" s="37"/>
      <c r="I44" s="37"/>
      <c r="J44" s="37"/>
      <c r="K44" s="37"/>
      <c r="L44" s="1999"/>
      <c r="M44" s="2000"/>
      <c r="N44" s="2000"/>
      <c r="O44" s="2000"/>
      <c r="P44" s="2000"/>
      <c r="Q44" s="2000"/>
      <c r="R44" s="2000"/>
      <c r="S44" s="2000"/>
      <c r="T44" s="2000"/>
      <c r="U44" s="2000"/>
      <c r="V44" s="2000"/>
      <c r="W44" s="2000"/>
      <c r="X44" s="37"/>
      <c r="Y44" s="37"/>
      <c r="Z44" s="37"/>
      <c r="AA44" s="37"/>
      <c r="AB44" s="37"/>
      <c r="AC44" s="37"/>
      <c r="AD44" s="37"/>
      <c r="AE44" s="37"/>
      <c r="AF44" s="37"/>
      <c r="AG44" s="37"/>
      <c r="AH44" s="37"/>
      <c r="AI44" s="37"/>
      <c r="AJ44" s="37"/>
      <c r="AK44" s="37"/>
      <c r="AL44" s="37"/>
      <c r="AM44" s="37"/>
      <c r="AN44" s="37"/>
      <c r="AO44" s="37"/>
      <c r="AP44" s="37"/>
    </row>
    <row r="45" spans="1:42" ht="18">
      <c r="B45" s="25" t="s">
        <v>1100</v>
      </c>
      <c r="C45" s="25"/>
      <c r="D45" s="117"/>
      <c r="E45" s="117"/>
      <c r="F45" s="117"/>
      <c r="H45" s="37"/>
      <c r="I45" s="37"/>
      <c r="J45" s="37"/>
      <c r="K45" s="37"/>
      <c r="L45" s="1999"/>
      <c r="M45" s="2000"/>
      <c r="N45" s="2000"/>
      <c r="O45" s="2000"/>
      <c r="P45" s="2000"/>
      <c r="Q45" s="2000"/>
      <c r="R45" s="2000"/>
      <c r="S45" s="2000"/>
      <c r="T45" s="2000"/>
      <c r="U45" s="2000"/>
      <c r="V45" s="2000"/>
      <c r="W45" s="2000"/>
      <c r="X45" s="37"/>
      <c r="Y45" s="37"/>
      <c r="Z45" s="37"/>
      <c r="AA45" s="37"/>
      <c r="AB45" s="37"/>
      <c r="AC45" s="37"/>
      <c r="AD45" s="37"/>
      <c r="AE45" s="37"/>
      <c r="AF45" s="37"/>
      <c r="AG45" s="37"/>
      <c r="AH45" s="37"/>
      <c r="AI45" s="37"/>
      <c r="AJ45" s="37"/>
      <c r="AK45" s="37"/>
      <c r="AL45" s="37"/>
      <c r="AM45" s="37"/>
      <c r="AN45" s="37"/>
      <c r="AO45" s="37"/>
      <c r="AP45" s="37"/>
    </row>
    <row r="46" spans="1:42" ht="15">
      <c r="A46" s="3"/>
      <c r="B46" s="117"/>
      <c r="D46" s="117"/>
      <c r="E46" s="117"/>
      <c r="F46" s="117"/>
      <c r="H46" s="37"/>
      <c r="I46" s="37"/>
      <c r="J46" s="37"/>
      <c r="K46" s="37"/>
      <c r="L46" s="1999"/>
      <c r="M46" s="2000"/>
      <c r="N46" s="2000"/>
      <c r="O46" s="2000"/>
      <c r="P46" s="2000"/>
      <c r="Q46" s="2000"/>
      <c r="R46" s="2000"/>
      <c r="S46" s="2000"/>
      <c r="T46" s="2000"/>
      <c r="U46" s="2000"/>
      <c r="V46" s="2000"/>
      <c r="W46" s="2000"/>
      <c r="X46" s="37"/>
      <c r="Y46" s="37"/>
      <c r="Z46" s="37"/>
      <c r="AA46" s="37"/>
      <c r="AB46" s="37"/>
      <c r="AC46" s="37"/>
      <c r="AD46" s="37"/>
      <c r="AE46" s="37"/>
      <c r="AF46" s="37"/>
      <c r="AG46" s="37"/>
      <c r="AH46" s="37"/>
      <c r="AI46" s="37"/>
      <c r="AJ46" s="37"/>
      <c r="AK46" s="37"/>
      <c r="AL46" s="37"/>
      <c r="AM46" s="37"/>
      <c r="AN46" s="37"/>
      <c r="AO46" s="37"/>
      <c r="AP46" s="37"/>
    </row>
    <row r="47" spans="1:42" ht="15">
      <c r="A47" s="3"/>
      <c r="B47" s="30" t="s">
        <v>79</v>
      </c>
      <c r="C47" s="30" t="s">
        <v>399</v>
      </c>
      <c r="D47" s="30" t="s">
        <v>400</v>
      </c>
      <c r="E47" s="523" t="s">
        <v>1108</v>
      </c>
      <c r="F47" s="523" t="str">
        <f>Preferences.AreaUnits</f>
        <v>km^2</v>
      </c>
      <c r="H47" s="37"/>
      <c r="I47" s="37"/>
      <c r="J47" s="37"/>
      <c r="K47" s="37"/>
      <c r="L47" s="1999"/>
      <c r="M47" s="2000"/>
      <c r="N47" s="2000"/>
      <c r="O47" s="2000"/>
      <c r="P47" s="2000"/>
      <c r="Q47" s="2000"/>
      <c r="R47" s="2000"/>
      <c r="S47" s="2000"/>
      <c r="T47" s="2000"/>
      <c r="U47" s="2000"/>
      <c r="V47" s="2000"/>
      <c r="W47" s="2000"/>
      <c r="X47" s="37"/>
      <c r="Y47" s="37"/>
      <c r="Z47" s="37"/>
      <c r="AA47" s="37"/>
      <c r="AB47" s="37"/>
      <c r="AC47" s="37"/>
      <c r="AD47" s="37"/>
      <c r="AE47" s="37"/>
      <c r="AF47" s="37"/>
      <c r="AG47" s="37"/>
      <c r="AH47" s="37"/>
      <c r="AI47" s="37"/>
      <c r="AJ47" s="37"/>
      <c r="AK47" s="37"/>
      <c r="AL47" s="37"/>
      <c r="AM47" s="37"/>
      <c r="AN47" s="37"/>
      <c r="AO47" s="37"/>
      <c r="AP47" s="37"/>
    </row>
    <row r="48" spans="1:42" s="117" customFormat="1" ht="15">
      <c r="A48" s="3"/>
      <c r="B48" s="26" t="s">
        <v>1101</v>
      </c>
      <c r="C48" s="26" t="s">
        <v>1102</v>
      </c>
      <c r="D48" s="32" t="s">
        <v>1103</v>
      </c>
      <c r="E48" s="27">
        <f>100^2</f>
        <v>10000</v>
      </c>
      <c r="F48" s="27">
        <f t="shared" ref="F48:F53" si="2">$E48/INDEX(Conversions.Area.m2, MATCH(F$47, Conversions.Area.Units, 0))</f>
        <v>0.01</v>
      </c>
      <c r="H48" s="37"/>
      <c r="I48" s="37"/>
      <c r="J48" s="37"/>
      <c r="K48" s="37"/>
      <c r="L48" s="1999"/>
      <c r="M48" s="2000"/>
      <c r="N48" s="2000"/>
      <c r="O48" s="2000"/>
      <c r="P48" s="2000"/>
      <c r="Q48" s="2000"/>
      <c r="R48" s="2000"/>
      <c r="S48" s="2000"/>
      <c r="T48" s="2000"/>
      <c r="U48" s="2000"/>
      <c r="V48" s="2000"/>
      <c r="W48" s="2000"/>
      <c r="X48" s="37"/>
      <c r="Y48" s="37"/>
      <c r="Z48" s="37"/>
      <c r="AA48" s="37"/>
      <c r="AB48" s="37"/>
      <c r="AC48" s="37"/>
      <c r="AD48" s="37"/>
      <c r="AE48" s="37"/>
      <c r="AF48" s="37"/>
      <c r="AG48" s="37"/>
      <c r="AH48" s="37"/>
      <c r="AI48" s="37"/>
      <c r="AJ48" s="37"/>
      <c r="AK48" s="37"/>
      <c r="AL48" s="37"/>
      <c r="AM48" s="37"/>
      <c r="AN48" s="37"/>
      <c r="AO48" s="37"/>
      <c r="AP48" s="37"/>
    </row>
    <row r="49" spans="1:42" ht="15">
      <c r="A49" s="3"/>
      <c r="B49" s="26" t="s">
        <v>1175</v>
      </c>
      <c r="C49" s="26" t="s">
        <v>1176</v>
      </c>
      <c r="D49" s="32" t="s">
        <v>1177</v>
      </c>
      <c r="E49" s="27">
        <f>E48*1000000</f>
        <v>10000000000</v>
      </c>
      <c r="F49" s="27">
        <f t="shared" si="2"/>
        <v>10000</v>
      </c>
      <c r="H49" s="2097"/>
      <c r="I49" s="37"/>
      <c r="J49" s="37"/>
      <c r="K49" s="37"/>
      <c r="L49" s="1999"/>
      <c r="M49" s="2000"/>
      <c r="N49" s="2000"/>
      <c r="O49" s="2000"/>
      <c r="P49" s="2000"/>
      <c r="Q49" s="2000"/>
      <c r="R49" s="2000"/>
      <c r="S49" s="2000"/>
      <c r="T49" s="2000"/>
      <c r="U49" s="2000"/>
      <c r="V49" s="2000"/>
      <c r="W49" s="2000"/>
      <c r="X49" s="37"/>
      <c r="Y49" s="37"/>
      <c r="Z49" s="37"/>
      <c r="AA49" s="37"/>
      <c r="AB49" s="37"/>
      <c r="AC49" s="37"/>
      <c r="AD49" s="37"/>
      <c r="AE49" s="37"/>
      <c r="AF49" s="37"/>
      <c r="AG49" s="37"/>
      <c r="AH49" s="37"/>
      <c r="AI49" s="37"/>
      <c r="AJ49" s="37"/>
      <c r="AK49" s="37"/>
      <c r="AL49" s="37"/>
      <c r="AM49" s="37"/>
      <c r="AN49" s="37"/>
      <c r="AO49" s="37"/>
      <c r="AP49" s="37"/>
    </row>
    <row r="50" spans="1:42" ht="15">
      <c r="A50" s="3"/>
      <c r="B50" s="26" t="s">
        <v>1105</v>
      </c>
      <c r="C50" s="26" t="s">
        <v>1104</v>
      </c>
      <c r="D50" s="32" t="s">
        <v>1106</v>
      </c>
      <c r="E50" s="27">
        <v>4046.8564224000002</v>
      </c>
      <c r="F50" s="27">
        <f t="shared" si="2"/>
        <v>4.0468564224000001E-3</v>
      </c>
      <c r="H50" s="37"/>
      <c r="I50" s="37"/>
      <c r="J50" s="37"/>
      <c r="K50" s="37"/>
      <c r="L50" s="1999"/>
      <c r="M50" s="2000"/>
      <c r="N50" s="2000"/>
      <c r="O50" s="2000"/>
      <c r="P50" s="2000"/>
      <c r="Q50" s="2000"/>
      <c r="R50" s="2000"/>
      <c r="S50" s="2000"/>
      <c r="T50" s="2000"/>
      <c r="U50" s="2000"/>
      <c r="V50" s="2000"/>
      <c r="W50" s="2000"/>
      <c r="X50" s="37"/>
      <c r="Y50" s="37"/>
      <c r="Z50" s="37"/>
      <c r="AA50" s="37"/>
      <c r="AB50" s="37"/>
      <c r="AC50" s="37"/>
      <c r="AD50" s="37"/>
      <c r="AE50" s="37"/>
      <c r="AF50" s="37"/>
      <c r="AG50" s="37"/>
      <c r="AH50" s="37"/>
      <c r="AI50" s="37"/>
      <c r="AJ50" s="37"/>
      <c r="AK50" s="37"/>
      <c r="AL50" s="37"/>
      <c r="AM50" s="37"/>
      <c r="AN50" s="37"/>
      <c r="AO50" s="37"/>
      <c r="AP50" s="37"/>
    </row>
    <row r="51" spans="1:42" s="117" customFormat="1" ht="15">
      <c r="A51" s="3"/>
      <c r="B51" s="117" t="s">
        <v>1107</v>
      </c>
      <c r="C51" s="117" t="s">
        <v>1109</v>
      </c>
      <c r="D51" s="32" t="s">
        <v>1111</v>
      </c>
      <c r="E51" s="27">
        <f>1000^2</f>
        <v>1000000</v>
      </c>
      <c r="F51" s="27">
        <f t="shared" si="2"/>
        <v>1</v>
      </c>
      <c r="H51" s="37"/>
      <c r="I51" s="37"/>
      <c r="J51" s="37"/>
      <c r="K51" s="37"/>
      <c r="L51" s="1999"/>
      <c r="M51" s="2000"/>
      <c r="N51" s="2000"/>
      <c r="O51" s="2000"/>
      <c r="P51" s="2000"/>
      <c r="Q51" s="2000"/>
      <c r="R51" s="2000"/>
      <c r="S51" s="2000"/>
      <c r="T51" s="2000"/>
      <c r="U51" s="2000"/>
      <c r="V51" s="2000"/>
      <c r="W51" s="2000"/>
      <c r="X51" s="37"/>
      <c r="Y51" s="37"/>
      <c r="Z51" s="37"/>
      <c r="AA51" s="37"/>
      <c r="AB51" s="37"/>
      <c r="AC51" s="37"/>
      <c r="AD51" s="37"/>
      <c r="AE51" s="37"/>
      <c r="AF51" s="37"/>
      <c r="AG51" s="37"/>
      <c r="AH51" s="37"/>
      <c r="AI51" s="37"/>
      <c r="AJ51" s="37"/>
      <c r="AK51" s="37"/>
      <c r="AL51" s="37"/>
      <c r="AM51" s="37"/>
      <c r="AN51" s="37"/>
      <c r="AO51" s="37"/>
      <c r="AP51" s="37"/>
    </row>
    <row r="52" spans="1:42" ht="15">
      <c r="A52" s="3"/>
      <c r="B52" s="117" t="s">
        <v>1108</v>
      </c>
      <c r="C52" s="117" t="s">
        <v>1110</v>
      </c>
      <c r="D52" s="32" t="s">
        <v>1112</v>
      </c>
      <c r="E52" s="27">
        <v>1</v>
      </c>
      <c r="F52" s="27">
        <f t="shared" si="2"/>
        <v>9.9999999999999995E-7</v>
      </c>
      <c r="H52" s="37"/>
      <c r="I52" s="37"/>
      <c r="J52" s="37"/>
      <c r="K52" s="37"/>
      <c r="L52" s="1999"/>
      <c r="M52" s="2000"/>
      <c r="N52" s="2000"/>
      <c r="O52" s="2000"/>
      <c r="P52" s="2000"/>
      <c r="Q52" s="2000"/>
      <c r="R52" s="2000"/>
      <c r="S52" s="2000"/>
      <c r="T52" s="2000"/>
      <c r="U52" s="2000"/>
      <c r="V52" s="2000"/>
      <c r="W52" s="2000"/>
      <c r="X52" s="37"/>
      <c r="Y52" s="37"/>
      <c r="Z52" s="37"/>
      <c r="AA52" s="37"/>
      <c r="AB52" s="37"/>
      <c r="AC52" s="37"/>
      <c r="AD52" s="37"/>
      <c r="AE52" s="37"/>
      <c r="AF52" s="37"/>
      <c r="AG52" s="37"/>
      <c r="AH52" s="37"/>
      <c r="AI52" s="37"/>
      <c r="AJ52" s="37"/>
      <c r="AK52" s="37"/>
      <c r="AL52" s="37"/>
      <c r="AM52" s="37"/>
      <c r="AN52" s="37"/>
      <c r="AO52" s="37"/>
      <c r="AP52" s="37"/>
    </row>
    <row r="53" spans="1:42" s="117" customFormat="1" ht="15">
      <c r="A53" s="3"/>
      <c r="B53" s="538" t="s">
        <v>1113</v>
      </c>
      <c r="C53" s="538" t="s">
        <v>1113</v>
      </c>
      <c r="D53" s="539" t="s">
        <v>1114</v>
      </c>
      <c r="E53" s="540">
        <f>20700*E51</f>
        <v>20700000000</v>
      </c>
      <c r="F53" s="540">
        <f t="shared" si="2"/>
        <v>20700</v>
      </c>
      <c r="H53" s="37"/>
      <c r="I53" s="37"/>
      <c r="J53" s="37"/>
      <c r="K53" s="37"/>
      <c r="L53" s="1999"/>
      <c r="M53" s="2000"/>
      <c r="N53" s="2000"/>
      <c r="O53" s="2000"/>
      <c r="P53" s="2000"/>
      <c r="Q53" s="2000"/>
      <c r="R53" s="2000"/>
      <c r="S53" s="2000"/>
      <c r="T53" s="2000"/>
      <c r="U53" s="2000"/>
      <c r="V53" s="2000"/>
      <c r="W53" s="2000"/>
      <c r="X53" s="37"/>
      <c r="Y53" s="37"/>
      <c r="Z53" s="37"/>
      <c r="AA53" s="37"/>
      <c r="AB53" s="37"/>
      <c r="AC53" s="37"/>
      <c r="AD53" s="37"/>
      <c r="AE53" s="37"/>
      <c r="AF53" s="37"/>
      <c r="AG53" s="37"/>
      <c r="AH53" s="37"/>
      <c r="AI53" s="37"/>
      <c r="AJ53" s="37"/>
      <c r="AK53" s="37"/>
      <c r="AL53" s="37"/>
      <c r="AM53" s="37"/>
      <c r="AN53" s="37"/>
      <c r="AO53" s="37"/>
      <c r="AP53" s="37"/>
    </row>
    <row r="54" spans="1:42">
      <c r="B54" s="36"/>
      <c r="C54" s="36"/>
      <c r="D54" s="1380"/>
      <c r="E54" s="1381"/>
      <c r="F54" s="1381"/>
      <c r="H54" s="37"/>
      <c r="I54" s="37"/>
      <c r="J54" s="37"/>
      <c r="K54" s="37"/>
      <c r="L54" s="1999"/>
      <c r="M54" s="2000"/>
      <c r="N54" s="2000"/>
      <c r="O54" s="2000"/>
      <c r="P54" s="2000"/>
      <c r="Q54" s="2000"/>
      <c r="R54" s="2000"/>
      <c r="S54" s="2000"/>
      <c r="T54" s="2000"/>
      <c r="U54" s="2000"/>
      <c r="V54" s="2000"/>
      <c r="W54" s="2000"/>
      <c r="X54" s="37"/>
      <c r="Y54" s="37"/>
      <c r="Z54" s="37"/>
      <c r="AA54" s="37"/>
      <c r="AB54" s="37"/>
      <c r="AC54" s="37"/>
      <c r="AD54" s="37"/>
      <c r="AE54" s="37"/>
      <c r="AF54" s="37"/>
      <c r="AG54" s="37"/>
      <c r="AH54" s="37"/>
      <c r="AI54" s="37"/>
      <c r="AJ54" s="37"/>
      <c r="AK54" s="37"/>
      <c r="AL54" s="37"/>
      <c r="AM54" s="37"/>
      <c r="AN54" s="37"/>
      <c r="AO54" s="37"/>
      <c r="AP54" s="37"/>
    </row>
    <row r="55" spans="1:42" s="117" customFormat="1" ht="18">
      <c r="B55" s="25" t="s">
        <v>1159</v>
      </c>
      <c r="F55"/>
      <c r="H55" s="37"/>
      <c r="I55" s="37"/>
      <c r="J55" s="37"/>
      <c r="K55" s="37"/>
      <c r="L55" s="1999"/>
      <c r="M55" s="2000"/>
      <c r="N55" s="2000"/>
      <c r="O55" s="2000"/>
      <c r="P55" s="2000"/>
      <c r="Q55" s="2000"/>
      <c r="R55" s="2000"/>
      <c r="S55" s="2000"/>
      <c r="T55" s="2000"/>
      <c r="U55" s="2000"/>
      <c r="V55" s="2000"/>
      <c r="W55" s="2000"/>
      <c r="X55" s="37"/>
      <c r="Y55" s="37"/>
      <c r="Z55" s="37"/>
      <c r="AA55" s="37"/>
      <c r="AB55" s="37"/>
      <c r="AC55" s="37"/>
      <c r="AD55" s="37"/>
      <c r="AE55" s="37"/>
      <c r="AF55" s="37"/>
      <c r="AG55" s="37"/>
      <c r="AH55" s="37"/>
      <c r="AI55" s="37"/>
      <c r="AJ55" s="37"/>
      <c r="AK55" s="37"/>
      <c r="AL55" s="37"/>
      <c r="AM55" s="37"/>
      <c r="AN55" s="37"/>
      <c r="AO55" s="37"/>
      <c r="AP55" s="37"/>
    </row>
    <row r="56" spans="1:42" ht="4.5" customHeight="1">
      <c r="A56" s="3"/>
      <c r="B56" s="25"/>
      <c r="D56" s="117"/>
      <c r="E56" s="117"/>
      <c r="F56" s="117"/>
      <c r="H56" s="37"/>
      <c r="I56" s="37"/>
      <c r="J56" s="37"/>
      <c r="K56" s="37"/>
      <c r="L56" s="1999"/>
      <c r="M56" s="2000"/>
      <c r="N56" s="2000"/>
      <c r="O56" s="2000"/>
      <c r="P56" s="2000"/>
      <c r="Q56" s="2000"/>
      <c r="R56" s="2000"/>
      <c r="S56" s="2000"/>
      <c r="T56" s="2000"/>
      <c r="U56" s="2000"/>
      <c r="V56" s="2000"/>
      <c r="W56" s="2000"/>
      <c r="X56" s="37"/>
      <c r="Y56" s="37"/>
      <c r="Z56" s="37"/>
      <c r="AA56" s="37"/>
      <c r="AB56" s="37"/>
      <c r="AC56" s="37"/>
      <c r="AD56" s="37"/>
      <c r="AE56" s="37"/>
      <c r="AF56" s="37"/>
      <c r="AG56" s="37"/>
      <c r="AH56" s="37"/>
      <c r="AI56" s="37"/>
      <c r="AJ56" s="37"/>
      <c r="AK56" s="37"/>
      <c r="AL56" s="37"/>
      <c r="AM56" s="37"/>
      <c r="AN56" s="37"/>
      <c r="AO56" s="37"/>
      <c r="AP56" s="37"/>
    </row>
    <row r="57" spans="1:42" ht="15">
      <c r="A57" s="3"/>
      <c r="B57" s="30" t="s">
        <v>1162</v>
      </c>
      <c r="C57" s="30" t="s">
        <v>399</v>
      </c>
      <c r="D57" s="30" t="s">
        <v>400</v>
      </c>
      <c r="E57" s="523" t="s">
        <v>1164</v>
      </c>
      <c r="F57" s="30" t="s">
        <v>1163</v>
      </c>
      <c r="H57" s="37"/>
      <c r="I57" s="37"/>
      <c r="J57" s="37"/>
      <c r="K57" s="37"/>
      <c r="L57" s="1999"/>
      <c r="M57" s="2000"/>
      <c r="N57" s="2000"/>
      <c r="O57" s="2000"/>
      <c r="P57" s="2000"/>
      <c r="Q57" s="2000"/>
      <c r="R57" s="2000"/>
      <c r="S57" s="2000"/>
      <c r="T57" s="2000"/>
      <c r="U57" s="2000"/>
      <c r="V57" s="2000"/>
      <c r="W57" s="2000"/>
      <c r="X57" s="37"/>
      <c r="Y57" s="37"/>
      <c r="Z57" s="37"/>
      <c r="AA57" s="37"/>
      <c r="AB57" s="37"/>
      <c r="AC57" s="37"/>
      <c r="AD57" s="37"/>
      <c r="AE57" s="37"/>
      <c r="AF57" s="37"/>
      <c r="AG57" s="37"/>
      <c r="AH57" s="37"/>
      <c r="AI57" s="37"/>
      <c r="AJ57" s="37"/>
      <c r="AK57" s="37"/>
      <c r="AL57" s="37"/>
      <c r="AM57" s="37"/>
      <c r="AN57" s="37"/>
      <c r="AO57" s="37"/>
      <c r="AP57" s="37"/>
    </row>
    <row r="58" spans="1:42" ht="15">
      <c r="A58" s="3"/>
      <c r="B58" s="26" t="str">
        <f>Preferences.EnergyUnits</f>
        <v>TWh</v>
      </c>
      <c r="C58" s="26" t="s">
        <v>1160</v>
      </c>
      <c r="D58" s="32" t="s">
        <v>1161</v>
      </c>
      <c r="E58" s="1439">
        <f>(1/Unit.J)*(1/Unit.year)*Unit.W</f>
        <v>0.1140771161305042</v>
      </c>
      <c r="F58" s="1440" t="str">
        <f>Preferences.PowerUnits</f>
        <v>GW</v>
      </c>
      <c r="H58" s="37"/>
      <c r="I58" s="37"/>
      <c r="J58" s="37"/>
      <c r="K58" s="37"/>
      <c r="L58" s="1999"/>
      <c r="M58" s="2000"/>
      <c r="N58" s="2000"/>
      <c r="O58" s="2000"/>
      <c r="P58" s="2000"/>
      <c r="Q58" s="2000"/>
      <c r="R58" s="2000"/>
      <c r="S58" s="2000"/>
      <c r="T58" s="2000"/>
      <c r="U58" s="2000"/>
      <c r="V58" s="2000"/>
      <c r="W58" s="2000"/>
      <c r="X58" s="37"/>
      <c r="Y58" s="37"/>
      <c r="Z58" s="37"/>
      <c r="AA58" s="37"/>
      <c r="AB58" s="37"/>
      <c r="AC58" s="37"/>
      <c r="AD58" s="37"/>
      <c r="AE58" s="37"/>
      <c r="AF58" s="37"/>
      <c r="AG58" s="37"/>
      <c r="AH58" s="37"/>
      <c r="AI58" s="37"/>
      <c r="AJ58" s="37"/>
      <c r="AK58" s="37"/>
      <c r="AL58" s="37"/>
      <c r="AM58" s="37"/>
      <c r="AN58" s="37"/>
      <c r="AO58" s="37"/>
      <c r="AP58" s="37"/>
    </row>
    <row r="59" spans="1:42" ht="15">
      <c r="A59" s="3"/>
      <c r="B59" s="1440" t="str">
        <f>Preferences.PowerUnits</f>
        <v>GW</v>
      </c>
      <c r="C59" s="26" t="s">
        <v>1165</v>
      </c>
      <c r="D59" s="32" t="s">
        <v>1166</v>
      </c>
      <c r="E59">
        <f>(1/Unit.W)*Unit.year*Unit.J</f>
        <v>8.766</v>
      </c>
      <c r="F59" s="552" t="str">
        <f>Preferences.EnergyUnits</f>
        <v>TWh</v>
      </c>
      <c r="H59" s="37"/>
      <c r="I59" s="37"/>
      <c r="J59" s="37"/>
      <c r="K59" s="37"/>
      <c r="L59" s="1999"/>
      <c r="M59" s="2000"/>
      <c r="N59" s="2000"/>
      <c r="O59" s="2000"/>
      <c r="P59" s="2000"/>
      <c r="Q59" s="2000"/>
      <c r="R59" s="2000"/>
      <c r="S59" s="2000"/>
      <c r="T59" s="2000"/>
      <c r="U59" s="2000"/>
      <c r="V59" s="2000"/>
      <c r="W59" s="2000"/>
      <c r="X59" s="37"/>
      <c r="Y59" s="37"/>
      <c r="Z59" s="37"/>
      <c r="AA59" s="37"/>
      <c r="AB59" s="37"/>
      <c r="AC59" s="37"/>
      <c r="AD59" s="37"/>
      <c r="AE59" s="37"/>
      <c r="AF59" s="37"/>
      <c r="AG59" s="37"/>
      <c r="AH59" s="37"/>
      <c r="AI59" s="37"/>
      <c r="AJ59" s="37"/>
      <c r="AK59" s="37"/>
      <c r="AL59" s="37"/>
      <c r="AM59" s="37"/>
      <c r="AN59" s="37"/>
      <c r="AO59" s="37"/>
      <c r="AP59" s="37"/>
    </row>
    <row r="60" spans="1:42">
      <c r="B60" s="1448" t="str">
        <f>Preferences.PowerUnits</f>
        <v>GW</v>
      </c>
      <c r="C60" s="1041" t="s">
        <v>1167</v>
      </c>
      <c r="D60" s="33" t="s">
        <v>1168</v>
      </c>
      <c r="E60" s="1041">
        <f>Unit.J/Unit.W</f>
        <v>2.7777777777777776E-7</v>
      </c>
      <c r="F60" s="1449" t="str">
        <f>Preferences.EnergyUnits&amp;"/s"</f>
        <v>TWh/s</v>
      </c>
      <c r="L60" s="1999"/>
      <c r="M60" s="2000"/>
      <c r="N60" s="2000"/>
      <c r="O60" s="2000"/>
      <c r="P60" s="2000"/>
      <c r="Q60" s="2000"/>
      <c r="R60" s="2000"/>
      <c r="S60" s="2000"/>
      <c r="T60" s="2000"/>
      <c r="U60" s="2000"/>
      <c r="V60" s="2000"/>
      <c r="W60" s="2000"/>
      <c r="X60" s="37"/>
    </row>
    <row r="61" spans="1:42" s="1752" customFormat="1">
      <c r="L61" s="1999"/>
      <c r="M61" s="2000"/>
      <c r="N61" s="2000"/>
      <c r="O61" s="2000"/>
      <c r="P61" s="2000"/>
      <c r="Q61" s="2000"/>
      <c r="R61" s="2000"/>
      <c r="S61" s="2000"/>
      <c r="T61" s="2000"/>
      <c r="U61" s="2000"/>
      <c r="V61" s="2000"/>
      <c r="W61" s="2000"/>
      <c r="X61" s="37"/>
    </row>
    <row r="62" spans="1:42" s="1752" customFormat="1" ht="18">
      <c r="B62" s="25" t="s">
        <v>1608</v>
      </c>
      <c r="C62" s="25"/>
      <c r="L62" s="1999"/>
      <c r="M62" s="2000"/>
      <c r="N62" s="2000"/>
      <c r="O62" s="2000"/>
      <c r="P62" s="2000"/>
      <c r="Q62" s="2000"/>
      <c r="R62" s="2000"/>
      <c r="S62" s="2000"/>
      <c r="T62" s="2000"/>
      <c r="U62" s="2000"/>
      <c r="V62" s="2000"/>
      <c r="W62" s="2000"/>
      <c r="X62" s="37"/>
    </row>
    <row r="63" spans="1:42" s="1752" customFormat="1" ht="4.5" customHeight="1">
      <c r="L63" s="1999"/>
      <c r="M63" s="2000"/>
      <c r="N63" s="2000"/>
      <c r="O63" s="2000"/>
      <c r="P63" s="2000"/>
      <c r="Q63" s="2000"/>
      <c r="R63" s="2000"/>
      <c r="S63" s="2000"/>
      <c r="T63" s="2000"/>
      <c r="U63" s="2000"/>
      <c r="V63" s="2000"/>
      <c r="W63" s="2000"/>
      <c r="X63" s="37"/>
    </row>
    <row r="64" spans="1:42" s="1752" customFormat="1">
      <c r="B64" s="30" t="s">
        <v>1162</v>
      </c>
      <c r="C64" s="30" t="s">
        <v>399</v>
      </c>
      <c r="D64" s="30" t="s">
        <v>400</v>
      </c>
      <c r="E64" s="523" t="s">
        <v>1164</v>
      </c>
      <c r="F64" s="30" t="s">
        <v>1163</v>
      </c>
      <c r="L64" s="1999"/>
      <c r="M64" s="2000"/>
      <c r="N64" s="2000"/>
      <c r="O64" s="2000"/>
      <c r="P64" s="2000"/>
      <c r="Q64" s="2000"/>
      <c r="R64" s="2000"/>
      <c r="S64" s="2000"/>
      <c r="T64" s="2000"/>
      <c r="U64" s="2000"/>
      <c r="V64" s="2000"/>
      <c r="W64" s="2000"/>
      <c r="X64" s="37"/>
    </row>
    <row r="65" spans="2:24" s="1752" customFormat="1">
      <c r="B65" s="1752" t="s">
        <v>1609</v>
      </c>
      <c r="C65" s="1752" t="s">
        <v>1610</v>
      </c>
      <c r="D65" s="1752" t="s">
        <v>1611</v>
      </c>
      <c r="E65" s="1752">
        <v>4.5460900000000004</v>
      </c>
      <c r="F65" s="1752" t="s">
        <v>1612</v>
      </c>
      <c r="L65" s="1999"/>
      <c r="M65" s="2000"/>
      <c r="N65" s="2000"/>
      <c r="O65" s="2000"/>
      <c r="P65" s="2000"/>
      <c r="Q65" s="2000"/>
      <c r="R65" s="2000"/>
      <c r="S65" s="2000"/>
      <c r="T65" s="2000"/>
      <c r="U65" s="2000"/>
      <c r="V65" s="2000"/>
      <c r="W65" s="2000"/>
      <c r="X65" s="37"/>
    </row>
    <row r="66" spans="2:24" s="1752" customFormat="1">
      <c r="B66" s="1041" t="s">
        <v>1613</v>
      </c>
      <c r="C66" s="1041" t="s">
        <v>1614</v>
      </c>
      <c r="D66" s="1041" t="s">
        <v>1615</v>
      </c>
      <c r="E66" s="1041">
        <v>3.7854109999999999</v>
      </c>
      <c r="F66" s="1041" t="s">
        <v>1612</v>
      </c>
      <c r="L66" s="1999"/>
      <c r="M66" s="2000"/>
      <c r="N66" s="2000"/>
      <c r="O66" s="2000"/>
      <c r="P66" s="2000"/>
      <c r="Q66" s="2000"/>
      <c r="R66" s="2000"/>
      <c r="S66" s="2000"/>
      <c r="T66" s="2000"/>
      <c r="U66" s="2000"/>
      <c r="V66" s="2000"/>
      <c r="W66" s="2000"/>
      <c r="X66" s="37"/>
    </row>
    <row r="67" spans="2:24" s="1752" customFormat="1">
      <c r="L67" s="1999"/>
      <c r="M67" s="2000"/>
      <c r="N67" s="2000"/>
      <c r="O67" s="2000"/>
      <c r="P67" s="2000"/>
      <c r="Q67" s="2000"/>
      <c r="R67" s="2000"/>
      <c r="S67" s="2000"/>
      <c r="T67" s="2000"/>
      <c r="U67" s="2000"/>
      <c r="V67" s="2000"/>
      <c r="W67" s="2000"/>
      <c r="X67" s="37"/>
    </row>
    <row r="68" spans="2:24" ht="18">
      <c r="B68" s="25" t="s">
        <v>1549</v>
      </c>
      <c r="C68" s="25"/>
      <c r="D68" s="1682"/>
      <c r="E68" s="1682"/>
      <c r="F68" s="1682"/>
      <c r="L68" s="1999"/>
      <c r="M68" s="2000"/>
      <c r="N68" s="2000"/>
      <c r="O68" s="2000"/>
      <c r="P68" s="2000"/>
      <c r="Q68" s="2000"/>
      <c r="R68" s="2000"/>
      <c r="S68" s="2000"/>
      <c r="T68" s="2000"/>
      <c r="U68" s="2000"/>
      <c r="V68" s="2000"/>
      <c r="W68" s="2000"/>
      <c r="X68" s="37"/>
    </row>
    <row r="69" spans="2:24">
      <c r="B69" s="1682"/>
      <c r="C69" s="1682"/>
      <c r="D69" s="1682"/>
      <c r="E69" s="1682"/>
      <c r="F69" s="1682"/>
      <c r="L69" s="1999"/>
      <c r="M69" s="2000"/>
      <c r="N69" s="2000"/>
      <c r="O69" s="2000"/>
      <c r="P69" s="2000"/>
      <c r="Q69" s="2000"/>
      <c r="R69" s="2000"/>
      <c r="S69" s="2000"/>
      <c r="T69" s="2000"/>
      <c r="U69" s="2000"/>
      <c r="V69" s="2000"/>
      <c r="W69" s="2000"/>
      <c r="X69" s="37"/>
    </row>
    <row r="70" spans="2:24">
      <c r="B70" s="1688" t="s">
        <v>79</v>
      </c>
      <c r="C70" s="1689" t="s">
        <v>399</v>
      </c>
      <c r="D70" s="1689" t="s">
        <v>400</v>
      </c>
      <c r="E70" s="1690" t="str">
        <f>Preferences.moneyunits</f>
        <v>£m</v>
      </c>
      <c r="F70" s="1691" t="s">
        <v>1550</v>
      </c>
      <c r="L70" s="1999"/>
      <c r="M70" s="2000"/>
      <c r="N70" s="2000"/>
      <c r="O70" s="2000"/>
      <c r="P70" s="2000"/>
      <c r="Q70" s="2000"/>
      <c r="R70" s="2000"/>
      <c r="S70" s="2000"/>
      <c r="T70" s="2000"/>
      <c r="U70" s="2000"/>
      <c r="V70" s="2000"/>
      <c r="W70" s="2000"/>
      <c r="X70" s="37"/>
    </row>
    <row r="71" spans="2:24">
      <c r="B71" s="1644" t="s">
        <v>1551</v>
      </c>
      <c r="C71" s="26" t="s">
        <v>1552</v>
      </c>
      <c r="D71" s="32" t="s">
        <v>1553</v>
      </c>
      <c r="E71" s="1436">
        <f t="shared" ref="E71:E78" si="3">$F71/INDEX(Conversions.Money.GBP, MATCH(E$70, Conversions.Money.Units, 0))</f>
        <v>1000000</v>
      </c>
      <c r="F71" s="1692">
        <v>1000000000000</v>
      </c>
      <c r="L71" s="1999"/>
      <c r="M71" s="2000"/>
      <c r="N71" s="2000"/>
      <c r="O71" s="2000"/>
      <c r="P71" s="2000"/>
      <c r="Q71" s="2000"/>
      <c r="R71" s="2000"/>
      <c r="S71" s="2000"/>
      <c r="T71" s="2000"/>
      <c r="U71" s="2000"/>
      <c r="V71" s="2000"/>
      <c r="W71" s="2000"/>
      <c r="X71" s="37"/>
    </row>
    <row r="72" spans="2:24">
      <c r="B72" s="1644" t="s">
        <v>1554</v>
      </c>
      <c r="C72" s="26" t="s">
        <v>1555</v>
      </c>
      <c r="D72" s="32" t="s">
        <v>1556</v>
      </c>
      <c r="E72" s="1436">
        <f t="shared" si="3"/>
        <v>1000</v>
      </c>
      <c r="F72" s="1692">
        <v>1000000000</v>
      </c>
      <c r="L72" s="1999"/>
      <c r="M72" s="2000"/>
      <c r="N72" s="2000"/>
      <c r="O72" s="2000"/>
      <c r="P72" s="2000"/>
      <c r="Q72" s="2000"/>
      <c r="R72" s="2000"/>
      <c r="S72" s="2000"/>
      <c r="T72" s="2000"/>
      <c r="U72" s="2000"/>
      <c r="V72" s="2000"/>
      <c r="W72" s="2000"/>
      <c r="X72" s="37"/>
    </row>
    <row r="73" spans="2:24">
      <c r="B73" s="1644" t="s">
        <v>1557</v>
      </c>
      <c r="C73" s="26" t="s">
        <v>1558</v>
      </c>
      <c r="D73" s="32" t="s">
        <v>1559</v>
      </c>
      <c r="E73" s="1436">
        <f t="shared" si="3"/>
        <v>1</v>
      </c>
      <c r="F73" s="1692">
        <v>1000000</v>
      </c>
      <c r="L73" s="1999"/>
      <c r="M73" s="2000"/>
      <c r="N73" s="2000"/>
      <c r="O73" s="2000"/>
      <c r="P73" s="2000"/>
      <c r="Q73" s="2000"/>
      <c r="R73" s="2000"/>
      <c r="S73" s="2000"/>
      <c r="T73" s="2000"/>
      <c r="U73" s="2000"/>
      <c r="V73" s="2000"/>
      <c r="W73" s="2000"/>
      <c r="X73" s="37"/>
    </row>
    <row r="74" spans="2:24">
      <c r="B74" s="1644" t="s">
        <v>1560</v>
      </c>
      <c r="C74" s="26" t="s">
        <v>1561</v>
      </c>
      <c r="D74" s="32" t="s">
        <v>1562</v>
      </c>
      <c r="E74" s="1436">
        <f t="shared" si="3"/>
        <v>1E-3</v>
      </c>
      <c r="F74" s="1692">
        <v>1000</v>
      </c>
      <c r="L74" s="1999"/>
      <c r="M74" s="2000"/>
      <c r="N74" s="2000"/>
      <c r="O74" s="2000"/>
      <c r="P74" s="2000"/>
      <c r="Q74" s="2000"/>
      <c r="R74" s="2000"/>
      <c r="S74" s="2000"/>
      <c r="T74" s="2000"/>
      <c r="U74" s="2000"/>
      <c r="V74" s="2000"/>
      <c r="W74" s="2000"/>
      <c r="X74" s="37"/>
    </row>
    <row r="75" spans="2:24">
      <c r="B75" s="1644" t="s">
        <v>1605</v>
      </c>
      <c r="C75" s="26" t="s">
        <v>1606</v>
      </c>
      <c r="D75" s="32" t="s">
        <v>1607</v>
      </c>
      <c r="E75" s="1436">
        <f t="shared" si="3"/>
        <v>6.2893081761006289E-7</v>
      </c>
      <c r="F75" s="1692">
        <f>1/1.59</f>
        <v>0.62893081761006286</v>
      </c>
      <c r="L75" s="1999"/>
      <c r="M75" s="2000"/>
      <c r="N75" s="2000"/>
      <c r="O75" s="2000"/>
      <c r="P75" s="2000"/>
      <c r="Q75" s="2000"/>
      <c r="R75" s="2000"/>
      <c r="S75" s="2000"/>
      <c r="T75" s="2000"/>
      <c r="U75" s="2000"/>
      <c r="V75" s="2000"/>
      <c r="W75" s="2000"/>
      <c r="X75" s="37"/>
    </row>
    <row r="76" spans="2:24">
      <c r="B76" s="1644" t="s">
        <v>1773</v>
      </c>
      <c r="C76" s="26" t="s">
        <v>1577</v>
      </c>
      <c r="D76" s="32" t="s">
        <v>1578</v>
      </c>
      <c r="E76" s="1436">
        <f t="shared" si="3"/>
        <v>6.2500000000000005E-7</v>
      </c>
      <c r="F76" s="1692">
        <f>1/1.6</f>
        <v>0.625</v>
      </c>
      <c r="L76" s="1999"/>
      <c r="M76" s="2000"/>
      <c r="N76" s="2000"/>
      <c r="O76" s="2000"/>
      <c r="P76" s="2000"/>
      <c r="Q76" s="2000"/>
      <c r="R76" s="2000"/>
      <c r="S76" s="2000"/>
      <c r="T76" s="2000"/>
      <c r="U76" s="2000"/>
      <c r="V76" s="2000"/>
      <c r="W76" s="2000"/>
      <c r="X76" s="37"/>
    </row>
    <row r="77" spans="2:24" s="1906" customFormat="1">
      <c r="B77" s="1644" t="s">
        <v>1774</v>
      </c>
      <c r="C77" s="26" t="s">
        <v>1775</v>
      </c>
      <c r="D77" s="32" t="s">
        <v>1776</v>
      </c>
      <c r="E77" s="1436">
        <f t="shared" si="3"/>
        <v>6.4683053040103484E-7</v>
      </c>
      <c r="F77" s="1692">
        <f>1/1.546</f>
        <v>0.64683053040103489</v>
      </c>
      <c r="L77" s="1999"/>
      <c r="M77" s="2000"/>
      <c r="N77" s="2000"/>
      <c r="O77" s="2000"/>
      <c r="P77" s="2000"/>
      <c r="Q77" s="2000"/>
      <c r="R77" s="2000"/>
      <c r="S77" s="2000"/>
      <c r="T77" s="2000"/>
      <c r="U77" s="2000"/>
      <c r="V77" s="2000"/>
      <c r="W77" s="2000"/>
      <c r="X77" s="37"/>
    </row>
    <row r="78" spans="2:24">
      <c r="B78" s="1693" t="s">
        <v>1550</v>
      </c>
      <c r="C78" s="28" t="s">
        <v>1563</v>
      </c>
      <c r="D78" s="33" t="s">
        <v>1564</v>
      </c>
      <c r="E78" s="1438">
        <f t="shared" si="3"/>
        <v>9.9999999999999995E-7</v>
      </c>
      <c r="F78" s="1694">
        <v>1</v>
      </c>
      <c r="L78" s="1999"/>
      <c r="M78" s="2000"/>
      <c r="N78" s="2000"/>
      <c r="O78" s="2000"/>
      <c r="P78" s="2000"/>
      <c r="Q78" s="2000"/>
      <c r="R78" s="2000"/>
      <c r="S78" s="2000"/>
      <c r="T78" s="2000"/>
      <c r="U78" s="2000"/>
      <c r="V78" s="2000"/>
      <c r="W78" s="2000"/>
      <c r="X78" s="37"/>
    </row>
    <row r="79" spans="2:24">
      <c r="L79" s="1999"/>
      <c r="M79" s="2000"/>
      <c r="N79" s="2000"/>
      <c r="O79" s="2000"/>
      <c r="P79" s="2000"/>
      <c r="Q79" s="2000"/>
      <c r="R79" s="2000"/>
      <c r="S79" s="2000"/>
      <c r="T79" s="2000"/>
      <c r="U79" s="2000"/>
      <c r="V79" s="2000"/>
      <c r="W79" s="2000"/>
      <c r="X79" s="37"/>
    </row>
    <row r="80" spans="2:24" ht="18">
      <c r="B80" s="25" t="s">
        <v>1653</v>
      </c>
      <c r="C80" s="1682"/>
      <c r="D80" s="1682"/>
      <c r="E80" s="1682"/>
      <c r="F80" s="1682"/>
      <c r="L80" s="1999"/>
      <c r="M80" s="2000"/>
      <c r="N80" s="2000"/>
      <c r="O80" s="2000"/>
      <c r="P80" s="2000"/>
      <c r="Q80" s="2000"/>
      <c r="R80" s="2000"/>
      <c r="S80" s="2000"/>
      <c r="T80" s="2000"/>
      <c r="U80" s="2000"/>
      <c r="V80" s="2000"/>
      <c r="W80" s="2000"/>
      <c r="X80" s="37"/>
    </row>
    <row r="81" spans="2:24">
      <c r="B81" s="1682"/>
      <c r="C81" s="1682"/>
      <c r="D81" s="1682"/>
      <c r="E81" s="1682"/>
      <c r="F81" s="1682"/>
      <c r="L81" s="1999"/>
      <c r="M81" s="2000"/>
      <c r="N81" s="2000"/>
      <c r="O81" s="2000"/>
      <c r="P81" s="2000"/>
      <c r="Q81" s="2000"/>
      <c r="R81" s="2000"/>
      <c r="S81" s="2000"/>
      <c r="T81" s="2000"/>
      <c r="U81" s="2000"/>
      <c r="V81" s="2000"/>
      <c r="W81" s="2000"/>
      <c r="X81" s="37"/>
    </row>
    <row r="82" spans="2:24">
      <c r="B82" s="1764" t="s">
        <v>1654</v>
      </c>
      <c r="C82" s="1452"/>
      <c r="D82" s="1482"/>
      <c r="E82" s="1682"/>
      <c r="F82" s="1682"/>
      <c r="L82" s="1999"/>
      <c r="M82" s="2000"/>
      <c r="N82" s="2000"/>
      <c r="O82" s="2000"/>
      <c r="P82" s="2000"/>
      <c r="Q82" s="2000"/>
      <c r="R82" s="2000"/>
      <c r="S82" s="2000"/>
      <c r="T82" s="2000"/>
      <c r="U82" s="2000"/>
      <c r="V82" s="2000"/>
      <c r="W82" s="2000"/>
      <c r="X82" s="37"/>
    </row>
    <row r="83" spans="2:24">
      <c r="B83" s="1483"/>
      <c r="C83" s="1905"/>
      <c r="D83" s="1484"/>
      <c r="E83" s="1682"/>
      <c r="F83" s="1682"/>
      <c r="L83" s="1999"/>
      <c r="M83" s="2000"/>
      <c r="N83" s="2000"/>
      <c r="O83" s="2000"/>
      <c r="P83" s="2000"/>
      <c r="Q83" s="2000"/>
      <c r="R83" s="2000"/>
      <c r="S83" s="2000"/>
      <c r="T83" s="2000"/>
      <c r="U83" s="2000"/>
      <c r="V83" s="2000"/>
      <c r="W83" s="2000"/>
      <c r="X83" s="37"/>
    </row>
    <row r="84" spans="2:24">
      <c r="B84" s="1483" t="s">
        <v>1634</v>
      </c>
      <c r="C84" s="1905">
        <v>57.915999999999997</v>
      </c>
      <c r="D84" s="1484">
        <f t="shared" ref="D84:D105" si="4">1+(($C$104-C84)/C84)</f>
        <v>1.7266385800124318</v>
      </c>
      <c r="E84" s="1682"/>
      <c r="F84" s="1682"/>
      <c r="L84" s="1999"/>
      <c r="M84" s="2000"/>
      <c r="N84" s="2000"/>
      <c r="O84" s="2000"/>
      <c r="P84" s="2000"/>
      <c r="Q84" s="2000"/>
      <c r="R84" s="2000"/>
      <c r="S84" s="2000"/>
      <c r="T84" s="2000"/>
      <c r="U84" s="2000"/>
      <c r="V84" s="2000"/>
      <c r="W84" s="2000"/>
      <c r="X84" s="37"/>
    </row>
    <row r="85" spans="2:24">
      <c r="B85" s="1483" t="s">
        <v>1635</v>
      </c>
      <c r="C85" s="1905">
        <v>61.656999999999996</v>
      </c>
      <c r="D85" s="1484">
        <f t="shared" si="4"/>
        <v>1.6218758616215516</v>
      </c>
      <c r="E85" s="1682"/>
      <c r="F85" s="1682"/>
      <c r="L85" s="1999"/>
      <c r="M85" s="2000"/>
      <c r="N85" s="2000"/>
      <c r="O85" s="2000"/>
      <c r="P85" s="2000"/>
      <c r="Q85" s="2000"/>
      <c r="R85" s="2000"/>
      <c r="S85" s="2000"/>
      <c r="T85" s="2000"/>
      <c r="U85" s="2000"/>
      <c r="V85" s="2000"/>
      <c r="W85" s="2000"/>
      <c r="X85" s="37"/>
    </row>
    <row r="86" spans="2:24">
      <c r="B86" s="1483" t="s">
        <v>1636</v>
      </c>
      <c r="C86" s="1905">
        <v>63.975000000000001</v>
      </c>
      <c r="D86" s="1484">
        <f t="shared" si="4"/>
        <v>1.5631105900742477</v>
      </c>
      <c r="E86" s="1682"/>
      <c r="F86" s="1682"/>
      <c r="L86" s="1999"/>
      <c r="M86" s="2000"/>
      <c r="N86" s="2000"/>
      <c r="O86" s="2000"/>
      <c r="P86" s="2000"/>
      <c r="Q86" s="2000"/>
      <c r="R86" s="2000"/>
      <c r="S86" s="2000"/>
      <c r="T86" s="2000"/>
      <c r="U86" s="2000"/>
      <c r="V86" s="2000"/>
      <c r="W86" s="2000"/>
      <c r="X86" s="37"/>
    </row>
    <row r="87" spans="2:24">
      <c r="B87" s="1483" t="s">
        <v>1637</v>
      </c>
      <c r="C87" s="1905">
        <v>65.814999999999998</v>
      </c>
      <c r="D87" s="1484">
        <f t="shared" si="4"/>
        <v>1.5194104687381298</v>
      </c>
      <c r="E87" s="1682"/>
      <c r="F87" s="1682"/>
      <c r="L87" s="1999"/>
      <c r="M87" s="2000"/>
      <c r="N87" s="2000"/>
      <c r="O87" s="2000"/>
      <c r="P87" s="2000"/>
      <c r="Q87" s="2000"/>
      <c r="R87" s="2000"/>
      <c r="S87" s="2000"/>
      <c r="T87" s="2000"/>
      <c r="U87" s="2000"/>
      <c r="V87" s="2000"/>
      <c r="W87" s="2000"/>
      <c r="X87" s="37"/>
    </row>
    <row r="88" spans="2:24">
      <c r="B88" s="1483" t="s">
        <v>1638</v>
      </c>
      <c r="C88" s="1905">
        <v>66.855999999999995</v>
      </c>
      <c r="D88" s="1484">
        <f t="shared" si="4"/>
        <v>1.4957520641378486</v>
      </c>
      <c r="E88" s="1682"/>
      <c r="F88" s="1682"/>
      <c r="L88" s="1999"/>
      <c r="M88" s="2000"/>
      <c r="N88" s="2000"/>
      <c r="O88" s="2000"/>
      <c r="P88" s="2000"/>
      <c r="Q88" s="2000"/>
      <c r="R88" s="2000"/>
      <c r="S88" s="2000"/>
      <c r="T88" s="2000"/>
      <c r="U88" s="2000"/>
      <c r="V88" s="2000"/>
      <c r="W88" s="2000"/>
      <c r="X88" s="37"/>
    </row>
    <row r="89" spans="2:24">
      <c r="B89" s="1483" t="s">
        <v>1639</v>
      </c>
      <c r="C89" s="1905">
        <v>68.647000000000006</v>
      </c>
      <c r="D89" s="1484">
        <f t="shared" si="4"/>
        <v>1.4567278977959706</v>
      </c>
      <c r="E89" s="1682"/>
      <c r="F89" s="1682"/>
      <c r="L89" s="1999"/>
      <c r="M89" s="2000"/>
      <c r="N89" s="2000"/>
      <c r="O89" s="2000"/>
      <c r="P89" s="2000"/>
      <c r="Q89" s="2000"/>
      <c r="R89" s="2000"/>
      <c r="S89" s="2000"/>
      <c r="T89" s="2000"/>
      <c r="U89" s="2000"/>
      <c r="V89" s="2000"/>
      <c r="W89" s="2000"/>
      <c r="X89" s="37"/>
    </row>
    <row r="90" spans="2:24">
      <c r="B90" s="1483" t="s">
        <v>1640</v>
      </c>
      <c r="C90" s="1905">
        <v>71.131</v>
      </c>
      <c r="D90" s="1484">
        <f t="shared" si="4"/>
        <v>1.4058567994264104</v>
      </c>
      <c r="E90" s="1706"/>
      <c r="F90" s="1706"/>
      <c r="L90" s="1999"/>
      <c r="M90" s="2000"/>
      <c r="N90" s="2000"/>
      <c r="O90" s="2000"/>
      <c r="P90" s="2000"/>
      <c r="Q90" s="2000"/>
      <c r="R90" s="2000"/>
      <c r="S90" s="2000"/>
      <c r="T90" s="2000"/>
      <c r="U90" s="2000"/>
      <c r="V90" s="2000"/>
      <c r="W90" s="2000"/>
      <c r="X90" s="37"/>
    </row>
    <row r="91" spans="2:24">
      <c r="B91" s="1483" t="s">
        <v>1641</v>
      </c>
      <c r="C91" s="1905">
        <v>73.114000000000004</v>
      </c>
      <c r="D91" s="1484">
        <f t="shared" si="4"/>
        <v>1.3677271110867959</v>
      </c>
      <c r="E91" s="1752"/>
      <c r="F91" s="1752"/>
      <c r="L91" s="1999"/>
      <c r="M91" s="2000"/>
      <c r="N91" s="2000"/>
      <c r="O91" s="2000"/>
      <c r="P91" s="2000"/>
      <c r="Q91" s="2000"/>
      <c r="R91" s="2000"/>
      <c r="S91" s="2000"/>
      <c r="T91" s="2000"/>
      <c r="U91" s="2000"/>
      <c r="V91" s="2000"/>
      <c r="W91" s="2000"/>
      <c r="X91" s="37"/>
    </row>
    <row r="92" spans="2:24">
      <c r="B92" s="1483" t="s">
        <v>1642</v>
      </c>
      <c r="C92" s="1905">
        <v>74.734999999999999</v>
      </c>
      <c r="D92" s="1484">
        <f t="shared" si="4"/>
        <v>1.3380611493945274</v>
      </c>
      <c r="E92" s="1702"/>
      <c r="F92" s="1702"/>
      <c r="L92" s="1999"/>
      <c r="M92" s="2000"/>
      <c r="N92" s="2000"/>
      <c r="O92" s="2000"/>
      <c r="P92" s="2000"/>
      <c r="Q92" s="2000"/>
      <c r="R92" s="2000"/>
      <c r="S92" s="2000"/>
      <c r="T92" s="2000"/>
      <c r="U92" s="2000"/>
      <c r="V92" s="2000"/>
      <c r="W92" s="2000"/>
      <c r="X92" s="37"/>
    </row>
    <row r="93" spans="2:24">
      <c r="B93" s="1483" t="s">
        <v>1643</v>
      </c>
      <c r="C93" s="1905">
        <v>76.304000000000002</v>
      </c>
      <c r="D93" s="1484">
        <f t="shared" si="4"/>
        <v>1.3105472845460264</v>
      </c>
      <c r="E93" s="1682"/>
      <c r="F93" s="1682"/>
      <c r="L93" s="1999"/>
      <c r="M93" s="2000"/>
      <c r="N93" s="2000"/>
      <c r="O93" s="2000"/>
      <c r="P93" s="2000"/>
      <c r="Q93" s="2000"/>
      <c r="R93" s="2000"/>
      <c r="S93" s="2000"/>
      <c r="T93" s="2000"/>
      <c r="U93" s="2000"/>
      <c r="V93" s="2000"/>
      <c r="W93" s="2000"/>
      <c r="X93" s="37"/>
    </row>
    <row r="94" spans="2:24">
      <c r="B94" s="1483" t="s">
        <v>1644</v>
      </c>
      <c r="C94" s="1905">
        <v>77.207999999999998</v>
      </c>
      <c r="D94" s="1484">
        <f t="shared" si="4"/>
        <v>1.2952025696818983</v>
      </c>
      <c r="E94" s="1682"/>
      <c r="F94" s="1682"/>
      <c r="L94" s="1999"/>
      <c r="M94" s="2000"/>
      <c r="N94" s="2000"/>
      <c r="O94" s="2000"/>
      <c r="P94" s="2000"/>
      <c r="Q94" s="2000"/>
      <c r="R94" s="2000"/>
      <c r="S94" s="2000"/>
      <c r="T94" s="2000"/>
      <c r="U94" s="2000"/>
      <c r="V94" s="2000"/>
      <c r="W94" s="2000"/>
      <c r="X94" s="37"/>
    </row>
    <row r="95" spans="2:24">
      <c r="B95" s="1483" t="s">
        <v>1645</v>
      </c>
      <c r="C95" s="1905">
        <v>78.849000000000004</v>
      </c>
      <c r="D95" s="1484">
        <f t="shared" si="4"/>
        <v>1.2682469023069411</v>
      </c>
      <c r="E95" s="1682"/>
      <c r="F95" s="1682"/>
      <c r="L95" s="37"/>
      <c r="M95" s="37"/>
      <c r="N95" s="37"/>
      <c r="O95" s="37"/>
      <c r="P95" s="37"/>
      <c r="Q95" s="37"/>
      <c r="R95" s="37"/>
      <c r="S95" s="37"/>
      <c r="T95" s="37"/>
      <c r="U95" s="37"/>
      <c r="V95" s="37"/>
      <c r="W95" s="37"/>
      <c r="X95" s="37"/>
    </row>
    <row r="96" spans="2:24">
      <c r="B96" s="1483" t="s">
        <v>1646</v>
      </c>
      <c r="C96" s="1905">
        <v>81.290999999999997</v>
      </c>
      <c r="D96" s="1484">
        <f t="shared" si="4"/>
        <v>1.2301484789214059</v>
      </c>
      <c r="E96" s="1682"/>
      <c r="F96" s="1682"/>
      <c r="L96" s="37"/>
      <c r="M96" s="37"/>
      <c r="N96" s="37"/>
      <c r="O96" s="37"/>
      <c r="P96" s="37"/>
      <c r="Q96" s="37"/>
      <c r="R96" s="37"/>
      <c r="S96" s="37"/>
      <c r="T96" s="37"/>
      <c r="U96" s="37"/>
      <c r="V96" s="37"/>
      <c r="W96" s="37"/>
      <c r="X96" s="37"/>
    </row>
    <row r="97" spans="2:6">
      <c r="B97" s="1483" t="s">
        <v>1647</v>
      </c>
      <c r="C97" s="1905">
        <v>83.789000000000001</v>
      </c>
      <c r="D97" s="1484">
        <f t="shared" si="4"/>
        <v>1.1934740837102722</v>
      </c>
      <c r="E97" s="1682"/>
      <c r="F97" s="1682"/>
    </row>
    <row r="98" spans="2:6">
      <c r="B98" s="1483" t="s">
        <v>1648</v>
      </c>
      <c r="C98" s="1905">
        <v>85.9</v>
      </c>
      <c r="D98" s="1484">
        <f t="shared" si="4"/>
        <v>1.1641443538998835</v>
      </c>
      <c r="E98" s="1682"/>
      <c r="F98" s="1682"/>
    </row>
    <row r="99" spans="2:6">
      <c r="B99" s="1483" t="s">
        <v>1649</v>
      </c>
      <c r="C99" s="1905">
        <v>87.644999999999996</v>
      </c>
      <c r="D99" s="1484">
        <f t="shared" si="4"/>
        <v>1.1409663985395631</v>
      </c>
      <c r="E99" s="1761"/>
      <c r="F99" s="1761"/>
    </row>
    <row r="100" spans="2:6">
      <c r="B100" s="1483" t="s">
        <v>1650</v>
      </c>
      <c r="C100" s="1905">
        <v>90.32</v>
      </c>
      <c r="D100" s="1484">
        <f t="shared" si="4"/>
        <v>1.1071744906997343</v>
      </c>
      <c r="E100" s="1761"/>
      <c r="F100" s="1761"/>
    </row>
    <row r="101" spans="2:6">
      <c r="B101" s="1483" t="s">
        <v>579</v>
      </c>
      <c r="C101" s="1905">
        <v>93.022999999999996</v>
      </c>
      <c r="D101" s="1484">
        <f t="shared" si="4"/>
        <v>1.0750029562581298</v>
      </c>
      <c r="E101" s="1682"/>
      <c r="F101" s="1682"/>
    </row>
    <row r="102" spans="2:6">
      <c r="B102" s="1483" t="s">
        <v>1651</v>
      </c>
      <c r="C102" s="1905">
        <v>95.783000000000001</v>
      </c>
      <c r="D102" s="1484">
        <f t="shared" si="4"/>
        <v>1.0440266017978137</v>
      </c>
      <c r="E102" s="1682"/>
      <c r="F102" s="1682"/>
    </row>
    <row r="103" spans="2:6">
      <c r="B103" s="1483" t="s">
        <v>1652</v>
      </c>
      <c r="C103" s="1905">
        <v>97.167000000000002</v>
      </c>
      <c r="D103" s="1484">
        <f t="shared" si="4"/>
        <v>1.0291559891732789</v>
      </c>
      <c r="E103" s="1682"/>
      <c r="F103" s="1682"/>
    </row>
    <row r="104" spans="2:6">
      <c r="B104" s="1483" t="s">
        <v>580</v>
      </c>
      <c r="C104" s="1905">
        <v>100</v>
      </c>
      <c r="D104" s="1484">
        <f t="shared" si="4"/>
        <v>1</v>
      </c>
      <c r="E104" s="1682"/>
      <c r="F104" s="1682"/>
    </row>
    <row r="105" spans="2:6" s="1906" customFormat="1">
      <c r="B105" s="1907">
        <v>2011</v>
      </c>
      <c r="C105" s="1908">
        <v>103</v>
      </c>
      <c r="D105" s="1909">
        <f t="shared" si="4"/>
        <v>0.970873786407767</v>
      </c>
    </row>
    <row r="106" spans="2:6">
      <c r="B106" s="1682"/>
      <c r="C106" s="1682"/>
      <c r="D106" s="1682"/>
      <c r="E106" s="1682"/>
      <c r="F106" s="1682"/>
    </row>
    <row r="107" spans="2:6">
      <c r="B107" s="1762" t="s">
        <v>1655</v>
      </c>
      <c r="C107" s="1682"/>
      <c r="D107" s="1682"/>
      <c r="E107" s="1682"/>
      <c r="F107" s="1682"/>
    </row>
  </sheetData>
  <mergeCells count="6">
    <mergeCell ref="T22:U22"/>
    <mergeCell ref="N21:O21"/>
    <mergeCell ref="P21:Q21"/>
    <mergeCell ref="N22:O22"/>
    <mergeCell ref="P22:Q22"/>
    <mergeCell ref="R22:S22"/>
  </mergeCells>
  <dataValidations disablePrompts="1" count="1">
    <dataValidation type="list" allowBlank="1" showInputMessage="1" showErrorMessage="1" sqref="I4 L4">
      <formula1>Conversions.Energy.Units</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7" tint="0.39997558519241921"/>
    <pageSetUpPr autoPageBreaks="0"/>
  </sheetPr>
  <dimension ref="A1:R87"/>
  <sheetViews>
    <sheetView workbookViewId="0"/>
  </sheetViews>
  <sheetFormatPr baseColWidth="10" defaultColWidth="8.83203125" defaultRowHeight="13" x14ac:dyDescent="0"/>
  <cols>
    <col min="1" max="1" width="4.5" customWidth="1"/>
    <col min="2" max="2" width="27.33203125" customWidth="1"/>
    <col min="3" max="3" width="27.5" customWidth="1"/>
    <col min="4" max="4" width="13.83203125" customWidth="1"/>
    <col min="5" max="5" width="18.83203125" bestFit="1" customWidth="1"/>
    <col min="6" max="6" width="16.6640625" customWidth="1"/>
    <col min="7" max="7" width="11.5" style="1776" customWidth="1"/>
    <col min="8" max="8" width="10.33203125" customWidth="1"/>
    <col min="9" max="9" width="9.5" bestFit="1" customWidth="1"/>
  </cols>
  <sheetData>
    <row r="1" spans="1:18" s="117" customFormat="1">
      <c r="B1" s="1854" t="s">
        <v>1751</v>
      </c>
      <c r="G1" s="1776"/>
    </row>
    <row r="2" spans="1:18" s="1854" customFormat="1"/>
    <row r="3" spans="1:18" s="117" customFormat="1" ht="18">
      <c r="B3" s="25" t="s">
        <v>648</v>
      </c>
      <c r="G3" s="1776"/>
    </row>
    <row r="5" spans="1:18" ht="22.5" customHeight="1">
      <c r="B5" s="580" t="s">
        <v>601</v>
      </c>
      <c r="C5" s="580" t="s">
        <v>646</v>
      </c>
      <c r="D5" s="580" t="s">
        <v>647</v>
      </c>
      <c r="E5" s="580" t="s">
        <v>650</v>
      </c>
      <c r="F5" s="528" t="s">
        <v>1662</v>
      </c>
      <c r="G5" s="528" t="s">
        <v>1692</v>
      </c>
      <c r="I5" s="526" t="s">
        <v>654</v>
      </c>
    </row>
    <row r="6" spans="1:18" ht="15">
      <c r="A6" s="3"/>
      <c r="B6" s="528">
        <v>2007</v>
      </c>
      <c r="C6" s="581">
        <v>60973000</v>
      </c>
      <c r="D6" s="581">
        <v>26042600</v>
      </c>
      <c r="E6" s="581">
        <v>1322842</v>
      </c>
      <c r="F6" s="581">
        <f>Global.Assumptions[[#This Row],[GDP (2005 £m)]]*MGBP*Price2005</f>
        <v>1509318.2725768727</v>
      </c>
      <c r="G6" s="551">
        <f>Global.Assumptions[[#This Row],[GDP (£2010)]]/Global.Assumptions[[#This Row],[Population]]</f>
        <v>2.4753879136287744E-2</v>
      </c>
      <c r="I6" s="526"/>
      <c r="J6" s="117"/>
    </row>
    <row r="7" spans="1:18" ht="15">
      <c r="A7" s="3"/>
      <c r="B7" s="528">
        <v>2010</v>
      </c>
      <c r="C7" s="581">
        <v>62222403</v>
      </c>
      <c r="D7" s="581">
        <v>26917400</v>
      </c>
      <c r="E7" s="581">
        <f>E6*(1.02)^3</f>
        <v>1403810.5131359999</v>
      </c>
      <c r="F7" s="581">
        <f>Global.Assumptions[[#This Row],[GDP (2005 £m)]]*MGBP*Price2005</f>
        <v>1601700.6254047577</v>
      </c>
      <c r="G7" s="551">
        <f>Global.Assumptions[[#This Row],[GDP (£2010)]]/Global.Assumptions[[#This Row],[Population]]</f>
        <v>2.5741542405630938E-2</v>
      </c>
      <c r="I7" s="1732" t="s">
        <v>652</v>
      </c>
      <c r="J7" s="117" t="s">
        <v>653</v>
      </c>
      <c r="K7" s="1576"/>
      <c r="L7" s="1576"/>
      <c r="M7" s="1576"/>
      <c r="N7" s="1576"/>
      <c r="O7" s="1576"/>
      <c r="P7" s="1576"/>
      <c r="Q7" s="1576"/>
      <c r="R7" s="1576"/>
    </row>
    <row r="8" spans="1:18" ht="15">
      <c r="A8" s="3"/>
      <c r="B8" s="528">
        <v>2015</v>
      </c>
      <c r="C8" s="581">
        <v>64344156</v>
      </c>
      <c r="D8" s="581">
        <v>28469000</v>
      </c>
      <c r="E8" s="581">
        <f>E7*(1.02)^5</f>
        <v>1549920.2388837989</v>
      </c>
      <c r="F8" s="581">
        <f>Global.Assumptions[[#This Row],[GDP (2005 £m)]]*MGBP*Price2005</f>
        <v>1768406.9129828273</v>
      </c>
      <c r="G8" s="551">
        <f>Global.Assumptions[[#This Row],[GDP (£2010)]]/Global.Assumptions[[#This Row],[Population]]</f>
        <v>2.7483566852331193E-2</v>
      </c>
      <c r="I8" s="1732"/>
      <c r="J8" s="117"/>
      <c r="N8" s="1075"/>
    </row>
    <row r="9" spans="1:18" ht="15">
      <c r="A9" s="3"/>
      <c r="B9" s="528">
        <v>2020</v>
      </c>
      <c r="C9" s="581">
        <v>66521962</v>
      </c>
      <c r="D9" s="581">
        <v>30004800</v>
      </c>
      <c r="E9" s="581">
        <f t="shared" ref="E9:E14" si="0">E8*(1.02)^5</f>
        <v>1711237.1822427607</v>
      </c>
      <c r="F9" s="581">
        <f>Global.Assumptions[[#This Row],[GDP (2005 £m)]]*MGBP*Price2005</f>
        <v>1952464.1248705126</v>
      </c>
      <c r="G9" s="551">
        <f>Global.Assumptions[[#This Row],[GDP (£2010)]]/Global.Assumptions[[#This Row],[Population]]</f>
        <v>2.9350669555875588E-2</v>
      </c>
      <c r="I9" s="1732" t="s">
        <v>651</v>
      </c>
      <c r="J9" s="117" t="s">
        <v>658</v>
      </c>
      <c r="N9" s="1075"/>
    </row>
    <row r="10" spans="1:18" ht="15">
      <c r="A10" s="3"/>
      <c r="B10" s="528">
        <v>2025</v>
      </c>
      <c r="C10" s="581">
        <v>68647528</v>
      </c>
      <c r="D10" s="581">
        <v>31434800</v>
      </c>
      <c r="E10" s="581">
        <f t="shared" si="0"/>
        <v>1889344.1226362919</v>
      </c>
      <c r="F10" s="581">
        <f>Global.Assumptions[[#This Row],[GDP (2005 £m)]]*MGBP*Price2005</f>
        <v>2155678.1592062204</v>
      </c>
      <c r="G10" s="551">
        <f>Global.Assumptions[[#This Row],[GDP (£2010)]]/Global.Assumptions[[#This Row],[Population]]</f>
        <v>3.1402123601686288E-2</v>
      </c>
      <c r="I10" s="1732"/>
      <c r="J10" s="117" t="s">
        <v>753</v>
      </c>
      <c r="N10" s="1075"/>
    </row>
    <row r="11" spans="1:18" ht="15">
      <c r="A11" s="3"/>
      <c r="B11" s="528">
        <v>2030</v>
      </c>
      <c r="C11" s="581">
        <v>70575666</v>
      </c>
      <c r="D11" s="581">
        <v>32744800</v>
      </c>
      <c r="E11" s="581">
        <f t="shared" si="0"/>
        <v>2085988.5764414766</v>
      </c>
      <c r="F11" s="581">
        <f>Global.Assumptions[[#This Row],[GDP (2005 £m)]]*MGBP*Price2005</f>
        <v>2380042.8734571016</v>
      </c>
      <c r="G11" s="551">
        <f>Global.Assumptions[[#This Row],[GDP (£2010)]]/Global.Assumptions[[#This Row],[Population]]</f>
        <v>3.3723278976313192E-2</v>
      </c>
      <c r="I11" s="1732"/>
      <c r="J11" s="117" t="s">
        <v>659</v>
      </c>
      <c r="N11" s="1075"/>
    </row>
    <row r="12" spans="1:18" ht="15">
      <c r="A12" s="3"/>
      <c r="B12" s="528">
        <v>2035</v>
      </c>
      <c r="C12" s="581">
        <v>72278230.000000015</v>
      </c>
      <c r="D12" s="581">
        <f>D11*(1.01)^5</f>
        <v>34415113.888514474</v>
      </c>
      <c r="E12" s="581">
        <f t="shared" si="0"/>
        <v>2303099.9429435302</v>
      </c>
      <c r="F12" s="581">
        <f>Global.Assumptions[[#This Row],[GDP (2005 £m)]]*MGBP*Price2005</f>
        <v>2627759.6473769527</v>
      </c>
      <c r="G12" s="551">
        <f>Global.Assumptions[[#This Row],[GDP (£2010)]]/Global.Assumptions[[#This Row],[Population]]</f>
        <v>3.6356170417800107E-2</v>
      </c>
      <c r="I12" s="1732"/>
      <c r="J12" s="117"/>
      <c r="N12" s="1075"/>
    </row>
    <row r="13" spans="1:18" ht="15">
      <c r="A13" s="3"/>
      <c r="B13" s="528">
        <v>2040</v>
      </c>
      <c r="C13" s="581">
        <v>73853253</v>
      </c>
      <c r="D13" s="581">
        <f>D12*(1.01)^5</f>
        <v>36170630.572164804</v>
      </c>
      <c r="E13" s="581">
        <f t="shared" si="0"/>
        <v>2542808.4348549671</v>
      </c>
      <c r="F13" s="581">
        <f>Global.Assumptions[[#This Row],[GDP (2005 £m)]]*MGBP*Price2005</f>
        <v>2901258.9820924951</v>
      </c>
      <c r="G13" s="551">
        <f>Global.Assumptions[[#This Row],[GDP (£2010)]]/Global.Assumptions[[#This Row],[Population]]</f>
        <v>3.9284105496239889E-2</v>
      </c>
      <c r="I13" s="1732" t="s">
        <v>649</v>
      </c>
      <c r="J13" s="1013" t="s">
        <v>1874</v>
      </c>
      <c r="N13" s="1075"/>
    </row>
    <row r="14" spans="1:18" ht="15">
      <c r="A14" s="3"/>
      <c r="B14" s="528">
        <v>2045</v>
      </c>
      <c r="C14" s="581">
        <v>75356458</v>
      </c>
      <c r="D14" s="581">
        <f>D13*(1.01)^5</f>
        <v>38015696.24979952</v>
      </c>
      <c r="E14" s="581">
        <f t="shared" si="0"/>
        <v>2807465.9791384069</v>
      </c>
      <c r="F14" s="581">
        <f>Global.Assumptions[[#This Row],[GDP (2005 £m)]]*MGBP*Price2005</f>
        <v>3203224.3472398962</v>
      </c>
      <c r="G14" s="551">
        <f>Global.Assumptions[[#This Row],[GDP (£2010)]]/Global.Assumptions[[#This Row],[Population]]</f>
        <v>4.2507628838392271E-2</v>
      </c>
      <c r="I14" s="1732"/>
      <c r="N14" s="1075"/>
    </row>
    <row r="15" spans="1:18">
      <c r="B15" s="528">
        <v>2050</v>
      </c>
      <c r="C15" s="581">
        <v>76789483</v>
      </c>
      <c r="D15" s="581">
        <f>D14*(1.01)^5</f>
        <v>39954878.82008817</v>
      </c>
      <c r="E15" s="581">
        <f>E14*(1.02)^5</f>
        <v>3099669.293203807</v>
      </c>
      <c r="F15" s="581">
        <f>Global.Assumptions[[#This Row],[GDP (2005 £m)]]*MGBP*Price2005</f>
        <v>3536618.5101304203</v>
      </c>
      <c r="G15" s="551">
        <f>Global.Assumptions[[#This Row],[GDP (£2010)]]/Global.Assumptions[[#This Row],[Population]]</f>
        <v>4.6056027101138583E-2</v>
      </c>
      <c r="I15" s="1732" t="s">
        <v>888</v>
      </c>
      <c r="J15" s="117" t="s">
        <v>889</v>
      </c>
      <c r="N15" s="1075"/>
    </row>
    <row r="16" spans="1:18">
      <c r="B16" s="26"/>
      <c r="C16" s="1436">
        <f>SUBTOTAL(101,Global.Assumptions[Population])</f>
        <v>69156213.900000006</v>
      </c>
      <c r="D16" s="1436"/>
      <c r="E16" s="26"/>
      <c r="F16" s="1436"/>
      <c r="G16" s="553"/>
    </row>
    <row r="17" spans="1:14" ht="18">
      <c r="B17" s="25" t="s">
        <v>635</v>
      </c>
      <c r="C17" s="117"/>
      <c r="D17" s="117"/>
    </row>
    <row r="18" spans="1:14" ht="4.5" customHeight="1"/>
    <row r="19" spans="1:14">
      <c r="B19" s="1040" t="s">
        <v>884</v>
      </c>
      <c r="C19" s="1040" t="s">
        <v>885</v>
      </c>
      <c r="D19" s="1040" t="s">
        <v>886</v>
      </c>
    </row>
    <row r="20" spans="1:14" ht="15">
      <c r="B20" s="581" t="s">
        <v>883</v>
      </c>
      <c r="C20" s="759" t="s">
        <v>887</v>
      </c>
      <c r="D20">
        <v>100</v>
      </c>
      <c r="M20" s="2014"/>
      <c r="N20" s="2014"/>
    </row>
    <row r="21" spans="1:14" ht="15">
      <c r="B21" s="1438" t="s">
        <v>890</v>
      </c>
      <c r="C21" s="1910" t="s">
        <v>887</v>
      </c>
      <c r="D21" s="1041">
        <v>110</v>
      </c>
    </row>
    <row r="24" spans="1:14" ht="18">
      <c r="A24" s="1682"/>
      <c r="B24" s="25" t="s">
        <v>1547</v>
      </c>
      <c r="C24" s="1682"/>
      <c r="D24" s="1682"/>
      <c r="E24" s="1682"/>
      <c r="F24" s="1682"/>
      <c r="G24" s="1682"/>
      <c r="H24" s="1682"/>
      <c r="I24" s="1682"/>
      <c r="J24" s="1682"/>
      <c r="K24" s="1682"/>
      <c r="L24" s="1682"/>
    </row>
    <row r="25" spans="1:14" ht="6" customHeight="1">
      <c r="A25" s="1682"/>
      <c r="B25" s="1682"/>
      <c r="C25" s="1682"/>
      <c r="D25" s="1682"/>
      <c r="E25" s="1682"/>
      <c r="F25" s="1682"/>
      <c r="G25" s="1682"/>
      <c r="H25" s="1682"/>
      <c r="I25" s="1682"/>
      <c r="J25" s="1682"/>
      <c r="K25" s="1682"/>
      <c r="L25" s="1682"/>
    </row>
    <row r="26" spans="1:14">
      <c r="A26" s="1682"/>
      <c r="B26" s="1481" t="s">
        <v>601</v>
      </c>
      <c r="C26" s="1452">
        <v>2010</v>
      </c>
      <c r="D26" s="1452">
        <v>2015</v>
      </c>
      <c r="E26" s="1452">
        <v>2020</v>
      </c>
      <c r="F26" s="1452">
        <v>2025</v>
      </c>
      <c r="G26" s="1452">
        <v>2030</v>
      </c>
      <c r="H26" s="1452">
        <v>2035</v>
      </c>
      <c r="I26" s="1452">
        <v>2040</v>
      </c>
      <c r="J26" s="1452">
        <v>2045</v>
      </c>
      <c r="K26" s="1452">
        <v>2050</v>
      </c>
      <c r="L26" s="1483"/>
    </row>
    <row r="27" spans="1:14">
      <c r="A27" s="1765"/>
      <c r="B27" s="1911" t="s">
        <v>1657</v>
      </c>
      <c r="C27" s="1912">
        <v>3.5000000000000003E-2</v>
      </c>
      <c r="D27" s="1913">
        <f t="shared" ref="D27:I27" si="1">Discount_rate</f>
        <v>3.5000000000000003E-2</v>
      </c>
      <c r="E27" s="1913">
        <f t="shared" si="1"/>
        <v>3.5000000000000003E-2</v>
      </c>
      <c r="F27" s="1913">
        <f t="shared" si="1"/>
        <v>3.5000000000000003E-2</v>
      </c>
      <c r="G27" s="1913">
        <f t="shared" si="1"/>
        <v>3.5000000000000003E-2</v>
      </c>
      <c r="H27" s="1913">
        <f t="shared" si="1"/>
        <v>3.5000000000000003E-2</v>
      </c>
      <c r="I27" s="1913">
        <f t="shared" si="1"/>
        <v>3.5000000000000003E-2</v>
      </c>
      <c r="J27" s="1914">
        <v>0.03</v>
      </c>
      <c r="K27" s="1914">
        <v>0.03</v>
      </c>
      <c r="L27" s="1483"/>
    </row>
    <row r="28" spans="1:14">
      <c r="A28" s="1765"/>
      <c r="B28" s="1485" t="s">
        <v>1548</v>
      </c>
      <c r="C28" s="1763">
        <v>1</v>
      </c>
      <c r="D28" s="1763">
        <f t="shared" ref="D28:K28" si="2">C28/((1+D27)^5)</f>
        <v>0.84197316685852419</v>
      </c>
      <c r="E28" s="1763">
        <f t="shared" si="2"/>
        <v>0.70891881370977217</v>
      </c>
      <c r="F28" s="1763">
        <f t="shared" si="2"/>
        <v>0.59689061862480497</v>
      </c>
      <c r="G28" s="1763">
        <f t="shared" si="2"/>
        <v>0.50256588443167061</v>
      </c>
      <c r="H28" s="1763">
        <f t="shared" si="2"/>
        <v>0.42314698926998878</v>
      </c>
      <c r="I28" s="1763">
        <f t="shared" si="2"/>
        <v>0.35627841060230242</v>
      </c>
      <c r="J28" s="1763">
        <f t="shared" si="2"/>
        <v>0.30732888667197417</v>
      </c>
      <c r="K28" s="1763">
        <f t="shared" si="2"/>
        <v>0.26510459733825015</v>
      </c>
      <c r="L28" s="1483"/>
    </row>
    <row r="31" spans="1:14" ht="18">
      <c r="B31" s="25" t="s">
        <v>1656</v>
      </c>
      <c r="C31" s="1450"/>
      <c r="D31" s="2220" t="s">
        <v>1091</v>
      </c>
      <c r="E31" s="2220"/>
      <c r="F31" s="2220" t="s">
        <v>1823</v>
      </c>
      <c r="G31" s="2220"/>
      <c r="H31" s="2220" t="s">
        <v>1092</v>
      </c>
      <c r="I31" s="2220"/>
    </row>
    <row r="32" spans="1:14" ht="6" customHeight="1">
      <c r="B32" s="1682"/>
      <c r="C32" s="1450"/>
      <c r="D32" s="2220"/>
      <c r="E32" s="2220"/>
    </row>
    <row r="33" spans="2:11">
      <c r="B33" s="2109" t="s">
        <v>184</v>
      </c>
      <c r="C33" s="2110"/>
      <c r="D33" s="2111" t="s">
        <v>1632</v>
      </c>
      <c r="E33" s="2112" t="s">
        <v>1598</v>
      </c>
      <c r="F33" s="2111" t="s">
        <v>1632</v>
      </c>
      <c r="G33" s="2112" t="s">
        <v>1598</v>
      </c>
      <c r="H33" s="2111" t="s">
        <v>1632</v>
      </c>
      <c r="I33" s="2112" t="s">
        <v>1598</v>
      </c>
    </row>
    <row r="34" spans="2:11">
      <c r="B34" s="1483"/>
      <c r="C34" s="36"/>
      <c r="D34" s="1481"/>
      <c r="E34" s="1482"/>
      <c r="F34" s="1481"/>
      <c r="G34" s="1482"/>
      <c r="H34" s="1481"/>
      <c r="I34" s="1482"/>
      <c r="K34" s="2031" t="s">
        <v>553</v>
      </c>
    </row>
    <row r="35" spans="2:11">
      <c r="B35" s="1483"/>
      <c r="C35" s="565" t="s">
        <v>1724</v>
      </c>
      <c r="D35" s="2032">
        <v>0</v>
      </c>
      <c r="E35" s="1484">
        <v>5</v>
      </c>
      <c r="F35" s="2032">
        <v>7.0000000000000007E-2</v>
      </c>
      <c r="G35" s="1484">
        <v>15</v>
      </c>
      <c r="H35" s="2032">
        <v>0.1</v>
      </c>
      <c r="I35" s="1484">
        <v>15</v>
      </c>
      <c r="K35" s="2031" t="s">
        <v>1824</v>
      </c>
    </row>
    <row r="36" spans="2:11">
      <c r="B36" s="1483"/>
      <c r="C36" s="2033"/>
      <c r="D36" s="2032"/>
      <c r="E36" s="1484"/>
      <c r="F36" s="2032"/>
      <c r="G36" s="1484"/>
      <c r="H36" s="2032"/>
      <c r="I36" s="1484"/>
    </row>
    <row r="37" spans="2:11">
      <c r="B37" s="1911" t="s">
        <v>621</v>
      </c>
      <c r="C37" s="1775" t="s">
        <v>1292</v>
      </c>
      <c r="D37" s="2115">
        <v>0</v>
      </c>
      <c r="E37" s="2116">
        <v>20</v>
      </c>
      <c r="F37" s="2115">
        <v>7.0000000000000007E-2</v>
      </c>
      <c r="G37" s="2116">
        <v>20</v>
      </c>
      <c r="H37" s="2115">
        <v>0.1</v>
      </c>
      <c r="I37" s="2116">
        <v>20</v>
      </c>
    </row>
    <row r="38" spans="2:11">
      <c r="B38" s="1911" t="s">
        <v>665</v>
      </c>
      <c r="C38" s="1775" t="s">
        <v>999</v>
      </c>
      <c r="D38" s="2115">
        <v>0</v>
      </c>
      <c r="E38" s="2116">
        <v>30</v>
      </c>
      <c r="F38" s="2115">
        <v>7.0000000000000007E-2</v>
      </c>
      <c r="G38" s="2116">
        <v>30</v>
      </c>
      <c r="H38" s="2115">
        <v>0.1</v>
      </c>
      <c r="I38" s="2116">
        <v>30</v>
      </c>
    </row>
    <row r="39" spans="2:11">
      <c r="B39" s="1911" t="s">
        <v>630</v>
      </c>
      <c r="C39" s="1775" t="s">
        <v>995</v>
      </c>
      <c r="D39" s="2115">
        <v>0</v>
      </c>
      <c r="E39" s="2116">
        <v>30</v>
      </c>
      <c r="F39" s="2115">
        <v>7.0000000000000007E-2</v>
      </c>
      <c r="G39" s="2116">
        <v>30</v>
      </c>
      <c r="H39" s="2115">
        <v>0.1</v>
      </c>
      <c r="I39" s="2116">
        <v>30</v>
      </c>
    </row>
    <row r="40" spans="2:11">
      <c r="B40" s="1911" t="s">
        <v>1016</v>
      </c>
      <c r="C40" s="1775" t="s">
        <v>666</v>
      </c>
      <c r="D40" s="2115">
        <v>0</v>
      </c>
      <c r="E40" s="2116">
        <v>20</v>
      </c>
      <c r="F40" s="2115">
        <v>7.0000000000000007E-2</v>
      </c>
      <c r="G40" s="2116">
        <v>20</v>
      </c>
      <c r="H40" s="2115">
        <v>0.1</v>
      </c>
      <c r="I40" s="2116">
        <v>20</v>
      </c>
    </row>
    <row r="41" spans="2:11">
      <c r="B41" s="1911" t="s">
        <v>1017</v>
      </c>
      <c r="C41" s="1775" t="s">
        <v>667</v>
      </c>
      <c r="D41" s="2115">
        <v>0</v>
      </c>
      <c r="E41" s="2116">
        <v>20</v>
      </c>
      <c r="F41" s="2115">
        <v>7.0000000000000007E-2</v>
      </c>
      <c r="G41" s="2116">
        <v>20</v>
      </c>
      <c r="H41" s="2115">
        <v>0.1</v>
      </c>
      <c r="I41" s="2116">
        <v>20</v>
      </c>
    </row>
    <row r="42" spans="2:11">
      <c r="B42" s="1911" t="s">
        <v>640</v>
      </c>
      <c r="C42" s="1775" t="s">
        <v>63</v>
      </c>
      <c r="D42" s="2115">
        <v>0</v>
      </c>
      <c r="E42" s="2116">
        <v>30</v>
      </c>
      <c r="F42" s="2115">
        <v>7.0000000000000007E-2</v>
      </c>
      <c r="G42" s="2116">
        <v>30</v>
      </c>
      <c r="H42" s="2115">
        <v>0.1</v>
      </c>
      <c r="I42" s="2116">
        <v>30</v>
      </c>
    </row>
    <row r="43" spans="2:11">
      <c r="B43" s="1911" t="s">
        <v>642</v>
      </c>
      <c r="C43" s="1775" t="s">
        <v>1199</v>
      </c>
      <c r="D43" s="2115">
        <v>0</v>
      </c>
      <c r="E43" s="2116">
        <v>30</v>
      </c>
      <c r="F43" s="2115">
        <v>7.0000000000000007E-2</v>
      </c>
      <c r="G43" s="2116">
        <v>30</v>
      </c>
      <c r="H43" s="2115">
        <v>0.1</v>
      </c>
      <c r="I43" s="2116">
        <v>30</v>
      </c>
    </row>
    <row r="44" spans="2:11">
      <c r="B44" s="1911" t="s">
        <v>643</v>
      </c>
      <c r="C44" s="1775" t="s">
        <v>3</v>
      </c>
      <c r="D44" s="2115">
        <v>0</v>
      </c>
      <c r="E44" s="2116">
        <v>25</v>
      </c>
      <c r="F44" s="2115">
        <v>7.0000000000000007E-2</v>
      </c>
      <c r="G44" s="2116">
        <v>25</v>
      </c>
      <c r="H44" s="2115">
        <v>0.1</v>
      </c>
      <c r="I44" s="2116">
        <v>25</v>
      </c>
    </row>
    <row r="45" spans="2:11">
      <c r="B45" s="1911" t="s">
        <v>727</v>
      </c>
      <c r="C45" s="1775" t="s">
        <v>992</v>
      </c>
      <c r="D45" s="2115">
        <v>0</v>
      </c>
      <c r="E45" s="2116">
        <v>25</v>
      </c>
      <c r="F45" s="2115">
        <v>7.0000000000000007E-2</v>
      </c>
      <c r="G45" s="2116">
        <v>25</v>
      </c>
      <c r="H45" s="2115">
        <v>0.1</v>
      </c>
      <c r="I45" s="2116">
        <v>25</v>
      </c>
    </row>
    <row r="46" spans="2:11">
      <c r="B46" s="1911" t="s">
        <v>895</v>
      </c>
      <c r="C46" s="1775" t="s">
        <v>993</v>
      </c>
      <c r="D46" s="2115">
        <v>0</v>
      </c>
      <c r="E46" s="2116">
        <v>20</v>
      </c>
      <c r="F46" s="2115">
        <v>7.0000000000000007E-2</v>
      </c>
      <c r="G46" s="2116">
        <v>20</v>
      </c>
      <c r="H46" s="2115">
        <v>0.1</v>
      </c>
      <c r="I46" s="2116">
        <v>20</v>
      </c>
    </row>
    <row r="47" spans="2:11">
      <c r="B47" s="1911" t="s">
        <v>990</v>
      </c>
      <c r="C47" s="1775" t="s">
        <v>994</v>
      </c>
      <c r="D47" s="2115">
        <v>0</v>
      </c>
      <c r="E47" s="2116">
        <v>25</v>
      </c>
      <c r="F47" s="2115">
        <v>7.0000000000000007E-2</v>
      </c>
      <c r="G47" s="2116">
        <v>25</v>
      </c>
      <c r="H47" s="2115">
        <v>0.1</v>
      </c>
      <c r="I47" s="2116">
        <v>25</v>
      </c>
    </row>
    <row r="48" spans="2:11">
      <c r="B48" s="1911" t="s">
        <v>719</v>
      </c>
      <c r="C48" s="1775" t="s">
        <v>1539</v>
      </c>
      <c r="D48" s="2115">
        <v>0</v>
      </c>
      <c r="E48" s="2116">
        <v>30</v>
      </c>
      <c r="F48" s="2115">
        <v>7.0000000000000007E-2</v>
      </c>
      <c r="G48" s="2116">
        <v>30</v>
      </c>
      <c r="H48" s="2115">
        <v>0.1</v>
      </c>
      <c r="I48" s="2116">
        <v>30</v>
      </c>
    </row>
    <row r="49" spans="2:12">
      <c r="B49" s="1911"/>
      <c r="C49" s="1775"/>
      <c r="D49" s="2115"/>
      <c r="E49" s="2116"/>
      <c r="F49" s="2115"/>
      <c r="G49" s="2116"/>
      <c r="H49" s="2115"/>
      <c r="I49" s="2116"/>
    </row>
    <row r="50" spans="2:12">
      <c r="B50" s="1911"/>
      <c r="C50" s="1775"/>
      <c r="D50" s="2115"/>
      <c r="E50" s="2116"/>
      <c r="F50" s="2115"/>
      <c r="G50" s="2116"/>
      <c r="H50" s="2115"/>
      <c r="I50" s="2116"/>
    </row>
    <row r="51" spans="2:12">
      <c r="B51" s="1911"/>
      <c r="C51" s="1775"/>
      <c r="D51" s="2115"/>
      <c r="E51" s="2116"/>
      <c r="F51" s="2115"/>
      <c r="G51" s="2116"/>
      <c r="H51" s="2115"/>
      <c r="I51" s="2116"/>
      <c r="L51" s="2108"/>
    </row>
    <row r="52" spans="2:12">
      <c r="B52" s="1911" t="s">
        <v>1730</v>
      </c>
      <c r="C52" s="1775" t="s">
        <v>1732</v>
      </c>
      <c r="D52" s="2115">
        <v>0</v>
      </c>
      <c r="E52" s="2116">
        <v>15</v>
      </c>
      <c r="F52" s="2115">
        <v>7.0000000000000007E-2</v>
      </c>
      <c r="G52" s="2116">
        <v>15</v>
      </c>
      <c r="H52" s="2115">
        <v>0.1</v>
      </c>
      <c r="I52" s="2116">
        <v>15</v>
      </c>
    </row>
    <row r="53" spans="2:12">
      <c r="B53" s="1911" t="s">
        <v>1731</v>
      </c>
      <c r="C53" s="1775" t="s">
        <v>982</v>
      </c>
      <c r="D53" s="2115">
        <v>0</v>
      </c>
      <c r="E53" s="2116">
        <v>15</v>
      </c>
      <c r="F53" s="2115">
        <v>7.0000000000000007E-2</v>
      </c>
      <c r="G53" s="2116">
        <v>15</v>
      </c>
      <c r="H53" s="2115">
        <v>0.1</v>
      </c>
      <c r="I53" s="2116">
        <v>15</v>
      </c>
    </row>
    <row r="54" spans="2:12">
      <c r="B54" s="1911"/>
      <c r="C54" s="1775"/>
      <c r="D54" s="2115"/>
      <c r="E54" s="2116"/>
      <c r="F54" s="2115"/>
      <c r="G54" s="2116"/>
      <c r="H54" s="2115"/>
      <c r="I54" s="2116"/>
    </row>
    <row r="55" spans="2:12">
      <c r="B55" s="1911"/>
      <c r="C55" s="1775"/>
      <c r="D55" s="2115"/>
      <c r="E55" s="2116"/>
      <c r="F55" s="2115"/>
      <c r="G55" s="2116"/>
      <c r="H55" s="2115"/>
      <c r="I55" s="2116"/>
    </row>
    <row r="56" spans="2:12">
      <c r="B56" s="1911"/>
      <c r="C56" s="1775"/>
      <c r="D56" s="2115"/>
      <c r="E56" s="2116"/>
      <c r="F56" s="2115"/>
      <c r="G56" s="2116"/>
      <c r="H56" s="2115"/>
      <c r="I56" s="2116"/>
    </row>
    <row r="57" spans="2:12">
      <c r="B57" s="1911" t="s">
        <v>634</v>
      </c>
      <c r="C57" s="1775" t="s">
        <v>633</v>
      </c>
      <c r="D57" s="2115">
        <v>0</v>
      </c>
      <c r="E57" s="2116">
        <v>20</v>
      </c>
      <c r="F57" s="2115">
        <v>7.0000000000000007E-2</v>
      </c>
      <c r="G57" s="2116">
        <v>20</v>
      </c>
      <c r="H57" s="2115">
        <v>0.1</v>
      </c>
      <c r="I57" s="2116">
        <v>20</v>
      </c>
    </row>
    <row r="58" spans="2:12">
      <c r="B58" s="1911" t="s">
        <v>636</v>
      </c>
      <c r="C58" s="1775" t="s">
        <v>1147</v>
      </c>
      <c r="D58" s="2115">
        <v>0</v>
      </c>
      <c r="E58" s="2116">
        <v>15</v>
      </c>
      <c r="F58" s="2115">
        <v>7.0000000000000007E-2</v>
      </c>
      <c r="G58" s="2116">
        <v>15</v>
      </c>
      <c r="H58" s="2115">
        <v>0.1</v>
      </c>
      <c r="I58" s="2116">
        <v>15</v>
      </c>
    </row>
    <row r="59" spans="2:12">
      <c r="B59" s="1911" t="s">
        <v>728</v>
      </c>
      <c r="C59" s="1775" t="s">
        <v>574</v>
      </c>
      <c r="D59" s="2115">
        <v>0</v>
      </c>
      <c r="E59" s="2116">
        <v>25</v>
      </c>
      <c r="F59" s="2115">
        <v>7.0000000000000007E-2</v>
      </c>
      <c r="G59" s="2116">
        <v>25</v>
      </c>
      <c r="H59" s="2115">
        <v>0.1</v>
      </c>
      <c r="I59" s="2116">
        <v>25</v>
      </c>
    </row>
    <row r="60" spans="2:12">
      <c r="B60" s="1911" t="s">
        <v>1703</v>
      </c>
      <c r="C60" s="1775" t="s">
        <v>1602</v>
      </c>
      <c r="D60" s="2115">
        <v>0</v>
      </c>
      <c r="E60" s="2116">
        <v>15</v>
      </c>
      <c r="F60" s="2115">
        <v>7.0000000000000007E-2</v>
      </c>
      <c r="G60" s="2116">
        <v>15</v>
      </c>
      <c r="H60" s="2115">
        <v>0.1</v>
      </c>
      <c r="I60" s="2116">
        <v>15</v>
      </c>
    </row>
    <row r="61" spans="2:12">
      <c r="B61" s="1911" t="s">
        <v>1704</v>
      </c>
      <c r="C61" s="1775" t="s">
        <v>1705</v>
      </c>
      <c r="D61" s="2115">
        <v>0</v>
      </c>
      <c r="E61" s="2116">
        <v>30</v>
      </c>
      <c r="F61" s="2115">
        <v>7.0000000000000007E-2</v>
      </c>
      <c r="G61" s="2116">
        <v>30</v>
      </c>
      <c r="H61" s="2115">
        <v>0.1</v>
      </c>
      <c r="I61" s="2116">
        <v>30</v>
      </c>
    </row>
    <row r="62" spans="2:12">
      <c r="B62" s="1911" t="s">
        <v>701</v>
      </c>
      <c r="C62" s="1775" t="s">
        <v>894</v>
      </c>
      <c r="D62" s="2115">
        <v>0</v>
      </c>
      <c r="E62" s="2116">
        <v>15</v>
      </c>
      <c r="F62" s="2115">
        <v>7.0000000000000007E-2</v>
      </c>
      <c r="G62" s="2116">
        <v>15</v>
      </c>
      <c r="H62" s="2115">
        <v>0.1</v>
      </c>
      <c r="I62" s="2116">
        <v>15</v>
      </c>
    </row>
    <row r="63" spans="2:12">
      <c r="B63" s="1911" t="s">
        <v>706</v>
      </c>
      <c r="C63" s="1775" t="s">
        <v>708</v>
      </c>
      <c r="D63" s="2115">
        <v>0</v>
      </c>
      <c r="E63" s="2116">
        <v>15</v>
      </c>
      <c r="F63" s="2115">
        <v>7.0000000000000007E-2</v>
      </c>
      <c r="G63" s="2116">
        <v>15</v>
      </c>
      <c r="H63" s="2115">
        <v>0.1</v>
      </c>
      <c r="I63" s="2116">
        <v>15</v>
      </c>
    </row>
    <row r="64" spans="2:12">
      <c r="B64" s="1911"/>
      <c r="C64" s="1775"/>
      <c r="D64" s="2115"/>
      <c r="E64" s="2116"/>
      <c r="F64" s="2115"/>
      <c r="G64" s="2116"/>
      <c r="H64" s="2115"/>
      <c r="I64" s="2116"/>
    </row>
    <row r="65" spans="2:9">
      <c r="B65" s="1911"/>
      <c r="C65" s="1775"/>
      <c r="D65" s="2115"/>
      <c r="E65" s="2116"/>
      <c r="F65" s="2115"/>
      <c r="G65" s="2116"/>
      <c r="H65" s="2115"/>
      <c r="I65" s="2116"/>
    </row>
    <row r="66" spans="2:9">
      <c r="B66" s="1911" t="s">
        <v>1713</v>
      </c>
      <c r="C66" s="1775" t="s">
        <v>1719</v>
      </c>
      <c r="D66" s="2115">
        <v>0</v>
      </c>
      <c r="E66" s="2116">
        <v>15</v>
      </c>
      <c r="F66" s="2115">
        <v>7.0000000000000007E-2</v>
      </c>
      <c r="G66" s="2116">
        <v>15</v>
      </c>
      <c r="H66" s="2115">
        <v>0.1</v>
      </c>
      <c r="I66" s="2116">
        <v>15</v>
      </c>
    </row>
    <row r="67" spans="2:9">
      <c r="B67" s="1911" t="s">
        <v>1714</v>
      </c>
      <c r="C67" s="1775" t="s">
        <v>1720</v>
      </c>
      <c r="D67" s="2115">
        <v>0</v>
      </c>
      <c r="E67" s="2116">
        <v>15</v>
      </c>
      <c r="F67" s="2115">
        <v>7.0000000000000007E-2</v>
      </c>
      <c r="G67" s="2116">
        <v>15</v>
      </c>
      <c r="H67" s="2115">
        <v>0.1</v>
      </c>
      <c r="I67" s="2116">
        <v>15</v>
      </c>
    </row>
    <row r="68" spans="2:9">
      <c r="B68" s="1911" t="s">
        <v>1715</v>
      </c>
      <c r="C68" s="1775" t="s">
        <v>1721</v>
      </c>
      <c r="D68" s="2115">
        <v>0</v>
      </c>
      <c r="E68" s="2116">
        <v>15</v>
      </c>
      <c r="F68" s="2115">
        <v>7.0000000000000007E-2</v>
      </c>
      <c r="G68" s="2116">
        <v>15</v>
      </c>
      <c r="H68" s="2115">
        <v>0.1</v>
      </c>
      <c r="I68" s="2116">
        <v>15</v>
      </c>
    </row>
    <row r="69" spans="2:9">
      <c r="B69" s="1911" t="s">
        <v>1716</v>
      </c>
      <c r="C69" s="1775" t="s">
        <v>1722</v>
      </c>
      <c r="D69" s="2115">
        <v>0</v>
      </c>
      <c r="E69" s="2116">
        <v>15</v>
      </c>
      <c r="F69" s="2115">
        <v>7.0000000000000007E-2</v>
      </c>
      <c r="G69" s="2116">
        <v>15</v>
      </c>
      <c r="H69" s="2115">
        <v>0.1</v>
      </c>
      <c r="I69" s="2116">
        <v>15</v>
      </c>
    </row>
    <row r="70" spans="2:9">
      <c r="B70" s="1911" t="s">
        <v>1733</v>
      </c>
      <c r="C70" s="1775" t="s">
        <v>1723</v>
      </c>
      <c r="D70" s="2115">
        <v>0</v>
      </c>
      <c r="E70" s="2116">
        <v>5</v>
      </c>
      <c r="F70" s="2115">
        <v>7.0000000000000007E-2</v>
      </c>
      <c r="G70" s="2116">
        <v>5</v>
      </c>
      <c r="H70" s="2115">
        <v>0.1</v>
      </c>
      <c r="I70" s="2116">
        <v>5</v>
      </c>
    </row>
    <row r="71" spans="2:9">
      <c r="B71" s="1911" t="s">
        <v>1717</v>
      </c>
      <c r="C71" s="1775" t="s">
        <v>24</v>
      </c>
      <c r="D71" s="2115">
        <v>0</v>
      </c>
      <c r="E71" s="2116">
        <v>30</v>
      </c>
      <c r="F71" s="2115">
        <v>7.0000000000000007E-2</v>
      </c>
      <c r="G71" s="2116">
        <v>30</v>
      </c>
      <c r="H71" s="2115">
        <v>0.1</v>
      </c>
      <c r="I71" s="2116">
        <v>30</v>
      </c>
    </row>
    <row r="72" spans="2:9">
      <c r="B72" s="1911" t="s">
        <v>1718</v>
      </c>
      <c r="C72" s="1775" t="s">
        <v>712</v>
      </c>
      <c r="D72" s="2115">
        <v>0</v>
      </c>
      <c r="E72" s="2116">
        <v>30</v>
      </c>
      <c r="F72" s="2115">
        <v>7.0000000000000007E-2</v>
      </c>
      <c r="G72" s="2116">
        <v>30</v>
      </c>
      <c r="H72" s="2115">
        <v>0.1</v>
      </c>
      <c r="I72" s="2116">
        <v>30</v>
      </c>
    </row>
    <row r="73" spans="2:9">
      <c r="B73" s="1911" t="s">
        <v>684</v>
      </c>
      <c r="C73" s="1775" t="s">
        <v>917</v>
      </c>
      <c r="D73" s="2115">
        <v>0</v>
      </c>
      <c r="E73" s="2116">
        <v>10</v>
      </c>
      <c r="F73" s="2115">
        <v>7.0000000000000007E-2</v>
      </c>
      <c r="G73" s="2116">
        <v>10</v>
      </c>
      <c r="H73" s="2115">
        <v>0.1</v>
      </c>
      <c r="I73" s="2116">
        <v>10</v>
      </c>
    </row>
    <row r="74" spans="2:9">
      <c r="B74" s="1911" t="s">
        <v>687</v>
      </c>
      <c r="C74" s="1775" t="s">
        <v>711</v>
      </c>
      <c r="D74" s="2115">
        <v>0</v>
      </c>
      <c r="E74" s="2116">
        <v>15</v>
      </c>
      <c r="F74" s="2115">
        <v>7.0000000000000007E-2</v>
      </c>
      <c r="G74" s="2116">
        <v>15</v>
      </c>
      <c r="H74" s="2115">
        <v>0.1</v>
      </c>
      <c r="I74" s="2116">
        <v>15</v>
      </c>
    </row>
    <row r="75" spans="2:9">
      <c r="B75" s="1911" t="s">
        <v>713</v>
      </c>
      <c r="C75" s="1775" t="s">
        <v>714</v>
      </c>
      <c r="D75" s="2115">
        <v>0</v>
      </c>
      <c r="E75" s="2116">
        <v>15</v>
      </c>
      <c r="F75" s="2115">
        <v>7.0000000000000007E-2</v>
      </c>
      <c r="G75" s="2116">
        <v>15</v>
      </c>
      <c r="H75" s="2115">
        <v>0.1</v>
      </c>
      <c r="I75" s="2116">
        <v>15</v>
      </c>
    </row>
    <row r="76" spans="2:9">
      <c r="B76" s="1911"/>
      <c r="C76" s="1775"/>
      <c r="D76" s="2115"/>
      <c r="E76" s="2116"/>
      <c r="F76" s="2115"/>
      <c r="G76" s="2116"/>
      <c r="H76" s="2115"/>
      <c r="I76" s="2116"/>
    </row>
    <row r="77" spans="2:9">
      <c r="B77" s="1911" t="s">
        <v>726</v>
      </c>
      <c r="C77" s="1775" t="s">
        <v>146</v>
      </c>
      <c r="D77" s="2115">
        <v>0</v>
      </c>
      <c r="E77" s="2116">
        <v>15</v>
      </c>
      <c r="F77" s="2115">
        <v>7.0000000000000007E-2</v>
      </c>
      <c r="G77" s="2116">
        <v>15</v>
      </c>
      <c r="H77" s="2115">
        <v>0.1</v>
      </c>
      <c r="I77" s="2116">
        <v>15</v>
      </c>
    </row>
    <row r="78" spans="2:9">
      <c r="B78" s="1911"/>
      <c r="C78" s="1775"/>
      <c r="D78" s="2115"/>
      <c r="E78" s="2116"/>
      <c r="F78" s="2115"/>
      <c r="G78" s="2116"/>
      <c r="H78" s="2115"/>
      <c r="I78" s="2116"/>
    </row>
    <row r="79" spans="2:9">
      <c r="B79" s="1911"/>
      <c r="C79" s="1775"/>
      <c r="D79" s="2115"/>
      <c r="E79" s="2116"/>
      <c r="F79" s="2115"/>
      <c r="G79" s="2116"/>
      <c r="H79" s="2115"/>
      <c r="I79" s="2116"/>
    </row>
    <row r="80" spans="2:9">
      <c r="B80" s="1911"/>
      <c r="C80" s="1775"/>
      <c r="D80" s="2115"/>
      <c r="E80" s="2116"/>
      <c r="F80" s="2115"/>
      <c r="G80" s="2116"/>
      <c r="H80" s="2115"/>
      <c r="I80" s="2116"/>
    </row>
    <row r="81" spans="2:9">
      <c r="B81" s="1911" t="s">
        <v>743</v>
      </c>
      <c r="C81" s="1775" t="s">
        <v>745</v>
      </c>
      <c r="D81" s="2115">
        <v>0</v>
      </c>
      <c r="E81" s="2116">
        <v>15</v>
      </c>
      <c r="F81" s="2115">
        <v>7.0000000000000007E-2</v>
      </c>
      <c r="G81" s="2116">
        <v>15</v>
      </c>
      <c r="H81" s="2115">
        <v>0.1</v>
      </c>
      <c r="I81" s="2116">
        <v>15</v>
      </c>
    </row>
    <row r="82" spans="2:9">
      <c r="B82" s="1911"/>
      <c r="C82" s="1775"/>
      <c r="D82" s="2115"/>
      <c r="E82" s="2116"/>
      <c r="F82" s="2115"/>
      <c r="G82" s="2116"/>
      <c r="H82" s="2115"/>
      <c r="I82" s="2116"/>
    </row>
    <row r="83" spans="2:9">
      <c r="B83" s="1911"/>
      <c r="C83" s="1775"/>
      <c r="D83" s="2115"/>
      <c r="E83" s="2116"/>
      <c r="F83" s="2115"/>
      <c r="G83" s="2116"/>
      <c r="H83" s="2115"/>
      <c r="I83" s="2116"/>
    </row>
    <row r="84" spans="2:9">
      <c r="B84" s="1911"/>
      <c r="C84" s="1775"/>
      <c r="D84" s="2115"/>
      <c r="E84" s="2116"/>
      <c r="F84" s="2115"/>
      <c r="G84" s="2116"/>
      <c r="H84" s="2115"/>
      <c r="I84" s="2116"/>
    </row>
    <row r="85" spans="2:9">
      <c r="B85" s="1911" t="s">
        <v>903</v>
      </c>
      <c r="C85" s="1775" t="s">
        <v>902</v>
      </c>
      <c r="D85" s="2115">
        <v>0</v>
      </c>
      <c r="E85" s="2116">
        <v>15</v>
      </c>
      <c r="F85" s="2115">
        <v>7.0000000000000007E-2</v>
      </c>
      <c r="G85" s="2116">
        <v>15</v>
      </c>
      <c r="H85" s="2115">
        <v>0.1</v>
      </c>
      <c r="I85" s="2116">
        <v>15</v>
      </c>
    </row>
    <row r="86" spans="2:9">
      <c r="B86" s="2113" t="s">
        <v>1777</v>
      </c>
      <c r="C86" s="2114" t="s">
        <v>1778</v>
      </c>
      <c r="D86" s="2117">
        <v>0</v>
      </c>
      <c r="E86" s="1909">
        <v>15</v>
      </c>
      <c r="F86" s="2117">
        <v>7.0000000000000007E-2</v>
      </c>
      <c r="G86" s="1909">
        <v>15</v>
      </c>
      <c r="H86" s="2117">
        <v>0.1</v>
      </c>
      <c r="I86" s="1909">
        <v>15</v>
      </c>
    </row>
    <row r="87" spans="2:9">
      <c r="B87" s="242" t="s">
        <v>1725</v>
      </c>
      <c r="G87"/>
    </row>
  </sheetData>
  <mergeCells count="4">
    <mergeCell ref="D32:E32"/>
    <mergeCell ref="D31:E31"/>
    <mergeCell ref="F31:G31"/>
    <mergeCell ref="H31:I31"/>
  </mergeCells>
  <pageMargins left="0.7" right="0.7" top="0.75" bottom="0.75" header="0.3" footer="0.3"/>
  <pageSetup paperSize="9" orientation="portrait" horizontalDpi="4294967292" verticalDpi="4294967292"/>
  <ignoredErrors>
    <ignoredError sqref="D6:D11 D12:D15" calculatedColumn="1"/>
  </ignoredErrors>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7" tint="0.39997558519241921"/>
    <pageSetUpPr autoPageBreaks="0"/>
  </sheetPr>
  <dimension ref="A1:K91"/>
  <sheetViews>
    <sheetView workbookViewId="0"/>
  </sheetViews>
  <sheetFormatPr baseColWidth="10" defaultColWidth="8.83203125" defaultRowHeight="13" x14ac:dyDescent="0"/>
  <cols>
    <col min="1" max="1" width="2.83203125" customWidth="1"/>
    <col min="2" max="2" width="35" customWidth="1"/>
    <col min="3" max="3" width="26.33203125" customWidth="1"/>
    <col min="5" max="5" width="18.6640625" style="117" bestFit="1" customWidth="1"/>
    <col min="6" max="6" width="14.1640625" customWidth="1"/>
    <col min="7" max="8" width="14.1640625" style="117" customWidth="1"/>
    <col min="9" max="9" width="11.5" bestFit="1" customWidth="1"/>
    <col min="10" max="10" width="24.1640625" customWidth="1"/>
    <col min="11" max="11" width="12.33203125" bestFit="1" customWidth="1"/>
  </cols>
  <sheetData>
    <row r="1" spans="1:11">
      <c r="B1" s="1854" t="s">
        <v>1752</v>
      </c>
    </row>
    <row r="2" spans="1:11" s="1854" customFormat="1"/>
    <row r="3" spans="1:11" s="1854" customFormat="1"/>
    <row r="4" spans="1:11" ht="18" customHeight="1">
      <c r="B4" s="25" t="s">
        <v>366</v>
      </c>
      <c r="C4" s="117"/>
      <c r="E4" s="25" t="s">
        <v>531</v>
      </c>
      <c r="F4" s="117"/>
      <c r="H4" s="16" t="str">
        <f>"per " &amp; Preferences.EnergyUnits</f>
        <v>per TWh</v>
      </c>
      <c r="J4" s="25" t="s">
        <v>538</v>
      </c>
      <c r="K4" s="25"/>
    </row>
    <row r="5" spans="1:11" ht="6.75" customHeight="1">
      <c r="B5" s="242"/>
      <c r="C5" s="117"/>
      <c r="E5" s="242"/>
      <c r="F5" s="117"/>
      <c r="J5" s="242"/>
      <c r="K5" s="242"/>
    </row>
    <row r="6" spans="1:11" s="117" customFormat="1" ht="6.75" customHeight="1">
      <c r="B6" s="242"/>
      <c r="E6" s="242"/>
      <c r="J6" s="242"/>
      <c r="K6" s="242"/>
    </row>
    <row r="7" spans="1:11" ht="18.75" customHeight="1">
      <c r="B7" s="30" t="s">
        <v>362</v>
      </c>
      <c r="C7" s="616" t="str">
        <f>Preferences.EnergyUnits &amp; " / kg"</f>
        <v>TWh / kg</v>
      </c>
      <c r="E7" s="30" t="s">
        <v>534</v>
      </c>
      <c r="F7" s="31" t="s">
        <v>558</v>
      </c>
      <c r="G7" s="31" t="s">
        <v>559</v>
      </c>
      <c r="H7" s="31" t="s">
        <v>560</v>
      </c>
      <c r="J7" s="30" t="s">
        <v>14</v>
      </c>
      <c r="K7" s="30" t="s">
        <v>539</v>
      </c>
    </row>
    <row r="8" spans="1:11" ht="15">
      <c r="A8" s="3"/>
      <c r="B8" s="26" t="s">
        <v>358</v>
      </c>
      <c r="C8" s="243">
        <f>'DUKES 09 (A.1)'!$C$7*Unit.GJ/1000</f>
        <v>7.2500000000000004E-9</v>
      </c>
      <c r="E8" s="26" t="s">
        <v>532</v>
      </c>
      <c r="F8" s="243">
        <f>0.308/1000000000/Unit.kWh</f>
        <v>0.30799999999999994</v>
      </c>
      <c r="G8" s="243">
        <f>(13.56 / 96935) * EF.IndustrialCoal.CO2 * GWP.CH4</f>
        <v>9.0479269613658628E-4</v>
      </c>
      <c r="H8" s="243">
        <f>(2.77 / 96935) *EF.IndustrialCoal.CO2 * GWP.N2O</f>
        <v>2.7284221385464481E-3</v>
      </c>
      <c r="J8" s="26" t="s">
        <v>540</v>
      </c>
      <c r="K8" s="26">
        <v>1</v>
      </c>
    </row>
    <row r="9" spans="1:11" ht="15">
      <c r="A9" s="3"/>
      <c r="B9" s="26" t="s">
        <v>361</v>
      </c>
      <c r="C9" s="243">
        <f>'DUKES 09 (A.1)'!$C$38*Unit.GJ/1000</f>
        <v>8.277777777777778E-9</v>
      </c>
      <c r="E9" s="26" t="s">
        <v>533</v>
      </c>
      <c r="F9" s="243">
        <f>0.25/1000000000/Unit.kWh</f>
        <v>0.25</v>
      </c>
      <c r="G9" s="243">
        <f>(4.28 / 72193) * EF.Diesel.CO2 * GWP.CH4</f>
        <v>3.1124901306220826E-4</v>
      </c>
      <c r="H9" s="243">
        <f>(4.19 / 72193)*EF.Diesel.CO2 * GWP.N2O</f>
        <v>4.4980122726580142E-3</v>
      </c>
      <c r="J9" s="26" t="s">
        <v>541</v>
      </c>
      <c r="K9" s="26">
        <v>21</v>
      </c>
    </row>
    <row r="10" spans="1:11" ht="15">
      <c r="A10" s="3"/>
      <c r="B10" s="26" t="s">
        <v>331</v>
      </c>
      <c r="C10" s="243">
        <f>'DUKES 09 (A.1)'!$C$39*Unit.GJ/1000</f>
        <v>6.8888888888888888E-9</v>
      </c>
      <c r="E10" s="26" t="s">
        <v>259</v>
      </c>
      <c r="F10" s="243">
        <f>0.184/1000000000/Unit.kWh</f>
        <v>0.18399999999999997</v>
      </c>
      <c r="G10" s="243">
        <f>(5.49 / 57516) * EF.NaturalGas.CO2 * GWP.CH4</f>
        <v>3.6882537033173374E-4</v>
      </c>
      <c r="H10" s="243">
        <f>(0.4 / 57516) *EF.NaturalGas.CO2 * GWP.N2O</f>
        <v>3.9668961680228111E-4</v>
      </c>
      <c r="J10" s="26" t="s">
        <v>542</v>
      </c>
      <c r="K10" s="26">
        <v>310</v>
      </c>
    </row>
    <row r="11" spans="1:11" ht="15">
      <c r="A11" s="3"/>
      <c r="B11" s="28" t="s">
        <v>332</v>
      </c>
      <c r="C11" s="244">
        <f>'DUKES 09 (A.1)'!$C$40*Unit.GJ/1000</f>
        <v>9.0555555555555567E-9</v>
      </c>
      <c r="E11" s="28" t="s">
        <v>252</v>
      </c>
      <c r="F11" s="244">
        <f>(44/12)*6.273/1000/1000000/Unit.therm</f>
        <v>0.78482259931212373</v>
      </c>
      <c r="G11" s="244"/>
      <c r="H11" s="244"/>
      <c r="J11" s="26" t="s">
        <v>543</v>
      </c>
      <c r="K11" s="517" t="s">
        <v>546</v>
      </c>
    </row>
    <row r="12" spans="1:11" ht="15">
      <c r="A12" s="3"/>
      <c r="B12" s="26"/>
      <c r="C12" s="32"/>
      <c r="E12" s="26"/>
      <c r="F12" s="32"/>
      <c r="G12" s="32"/>
      <c r="H12" s="32"/>
      <c r="J12" s="26" t="s">
        <v>544</v>
      </c>
      <c r="K12" s="517" t="s">
        <v>547</v>
      </c>
    </row>
    <row r="13" spans="1:11" ht="17">
      <c r="A13" s="3"/>
      <c r="B13" s="519" t="s">
        <v>672</v>
      </c>
      <c r="C13" s="617" t="str">
        <f>Preferences.EnergyUnits &amp; " / kg"</f>
        <v>TWh / kg</v>
      </c>
      <c r="E13"/>
      <c r="J13" s="28" t="s">
        <v>545</v>
      </c>
      <c r="K13" s="518">
        <v>23900</v>
      </c>
    </row>
    <row r="14" spans="1:11" s="117" customFormat="1" ht="15">
      <c r="A14" s="3"/>
      <c r="B14" s="766" t="s">
        <v>755</v>
      </c>
      <c r="C14" s="243">
        <f>'DUKES 09 (A.1)'!$F$20*Unit.GJ/1000</f>
        <v>1.2681685784924602E-8</v>
      </c>
      <c r="J14" s="26"/>
      <c r="K14" s="764"/>
    </row>
    <row r="15" spans="1:11" ht="15">
      <c r="A15" s="3"/>
      <c r="B15" s="26" t="s">
        <v>673</v>
      </c>
      <c r="C15" s="243">
        <f>'DUKES 09 (A.1)'!$F$21*Unit.GJ/1000</f>
        <v>1.2793750995122346E-8</v>
      </c>
      <c r="E15" s="522"/>
      <c r="F15" s="521"/>
      <c r="G15" s="521"/>
    </row>
    <row r="16" spans="1:11" s="117" customFormat="1" ht="15">
      <c r="A16" s="3"/>
      <c r="B16" s="26" t="s">
        <v>676</v>
      </c>
      <c r="C16" s="243">
        <f>'DUKES 09 (A.1)'!$F$28*Unit.GJ/1000</f>
        <v>1.3081411266069852E-8</v>
      </c>
      <c r="E16" s="522"/>
      <c r="F16" s="521"/>
      <c r="G16" s="521"/>
    </row>
    <row r="17" spans="1:10" s="117" customFormat="1" ht="15">
      <c r="A17" s="3"/>
      <c r="B17" s="26" t="s">
        <v>677</v>
      </c>
      <c r="C17" s="243">
        <f>'DUKES 09 (A.1)'!$F$30*Unit.GJ/1000</f>
        <v>1.2651871239786547E-8</v>
      </c>
      <c r="E17" s="522"/>
      <c r="F17" s="521"/>
      <c r="G17" s="521"/>
    </row>
    <row r="18" spans="1:10" s="117" customFormat="1" ht="15">
      <c r="A18" s="3"/>
      <c r="B18" s="28" t="s">
        <v>691</v>
      </c>
      <c r="C18" s="244">
        <f>'DUKES 09 (A.1)'!$F$27*Unit.GJ/1000</f>
        <v>1.2827208886163561E-8</v>
      </c>
      <c r="E18" s="522"/>
      <c r="F18" s="521"/>
      <c r="G18" s="521"/>
    </row>
    <row r="19" spans="1:10" ht="15" customHeight="1">
      <c r="B19" s="26"/>
      <c r="C19" s="32"/>
    </row>
    <row r="20" spans="1:10" ht="15">
      <c r="A20" s="3"/>
      <c r="B20" s="519" t="s">
        <v>363</v>
      </c>
      <c r="C20" s="617" t="str">
        <f>Preferences.EnergyUnits &amp; " / cubic metre"</f>
        <v>TWh / cubic metre</v>
      </c>
      <c r="E20" s="20" t="s">
        <v>550</v>
      </c>
      <c r="J20" s="20" t="s">
        <v>551</v>
      </c>
    </row>
    <row r="21" spans="1:10" s="117" customFormat="1" ht="15">
      <c r="A21" s="3"/>
      <c r="B21" s="765" t="s">
        <v>756</v>
      </c>
      <c r="C21" s="243">
        <f>'DUKES 09 (A.1)'!$F$37*Unit.MJ</f>
        <v>1.1016960011247869E-8</v>
      </c>
      <c r="E21" s="20"/>
      <c r="J21" s="20"/>
    </row>
    <row r="22" spans="1:10" ht="15">
      <c r="A22" s="3"/>
      <c r="B22" s="26" t="s">
        <v>364</v>
      </c>
      <c r="C22" s="243">
        <f>'DUKES 09 (A.1)'!$F$38*Unit.MJ</f>
        <v>1.0944444444444444E-8</v>
      </c>
      <c r="E22" s="242" t="s">
        <v>549</v>
      </c>
      <c r="J22" s="242" t="s">
        <v>552</v>
      </c>
    </row>
    <row r="23" spans="1:10" ht="15">
      <c r="A23" s="3"/>
      <c r="B23" s="26" t="s">
        <v>257</v>
      </c>
      <c r="C23" s="243">
        <f>'DUKES 09 (A.1)'!$F$39*Unit.MJ</f>
        <v>5.0000000000000001E-9</v>
      </c>
      <c r="E23" s="242" t="s">
        <v>548</v>
      </c>
    </row>
    <row r="24" spans="1:10" ht="15">
      <c r="A24" s="3"/>
      <c r="B24" s="26" t="s">
        <v>252</v>
      </c>
      <c r="C24" s="243">
        <f>'DUKES 09 (A.1)'!$F$40*Unit.MJ</f>
        <v>8.3333333333333335E-10</v>
      </c>
      <c r="E24" s="242" t="s">
        <v>554</v>
      </c>
    </row>
    <row r="25" spans="1:10" ht="15">
      <c r="A25" s="3"/>
      <c r="B25" s="26" t="s">
        <v>211</v>
      </c>
      <c r="C25" s="243">
        <f>23*Unit.MJ</f>
        <v>6.3888888888888885E-9</v>
      </c>
      <c r="E25"/>
    </row>
    <row r="26" spans="1:10" ht="15">
      <c r="A26" s="3"/>
      <c r="B26" s="28" t="s">
        <v>365</v>
      </c>
      <c r="C26" s="244">
        <f>23*Unit.MJ</f>
        <v>6.3888888888888885E-9</v>
      </c>
      <c r="E26" s="20" t="s">
        <v>553</v>
      </c>
    </row>
    <row r="27" spans="1:10">
      <c r="E27" s="242" t="s">
        <v>555</v>
      </c>
    </row>
    <row r="28" spans="1:10">
      <c r="B28" s="20" t="s">
        <v>551</v>
      </c>
      <c r="E28" s="242" t="s">
        <v>556</v>
      </c>
    </row>
    <row r="29" spans="1:10">
      <c r="B29" s="242" t="s">
        <v>674</v>
      </c>
      <c r="E29" s="242" t="s">
        <v>557</v>
      </c>
    </row>
    <row r="32" spans="1:10" ht="18">
      <c r="B32" s="25" t="s">
        <v>678</v>
      </c>
      <c r="C32" s="117"/>
      <c r="E32" s="117" t="s">
        <v>1818</v>
      </c>
    </row>
    <row r="33" spans="1:9" ht="4.5" customHeight="1">
      <c r="B33" s="242"/>
      <c r="C33" s="117"/>
    </row>
    <row r="34" spans="1:9" ht="15">
      <c r="A34" s="3"/>
      <c r="B34" s="30" t="s">
        <v>679</v>
      </c>
      <c r="C34" s="616" t="s">
        <v>675</v>
      </c>
      <c r="E34" s="117" t="s">
        <v>1819</v>
      </c>
      <c r="F34" t="s">
        <v>1758</v>
      </c>
      <c r="G34" s="117" t="s">
        <v>1761</v>
      </c>
      <c r="H34" s="117" t="s">
        <v>1762</v>
      </c>
      <c r="I34" t="s">
        <v>1759</v>
      </c>
    </row>
    <row r="35" spans="1:9" ht="15">
      <c r="A35" s="3"/>
      <c r="B35" s="26" t="s">
        <v>681</v>
      </c>
      <c r="C35" s="243">
        <f>(1/1362)*1000</f>
        <v>0.73421439060205573</v>
      </c>
      <c r="E35" s="117" t="s">
        <v>983</v>
      </c>
      <c r="F35" s="1903">
        <v>4.1883435413393535</v>
      </c>
      <c r="G35" s="1903">
        <v>0.76884878586155336</v>
      </c>
      <c r="H35" s="1903">
        <v>1.1643824604548389E-2</v>
      </c>
      <c r="I35" s="1903">
        <v>15.32101270801348</v>
      </c>
    </row>
    <row r="36" spans="1:9" s="1760" customFormat="1" ht="15">
      <c r="A36" s="3"/>
      <c r="B36" s="26" t="s">
        <v>1625</v>
      </c>
      <c r="C36" s="243">
        <v>0.78900000000000003</v>
      </c>
      <c r="E36" s="1760" t="s">
        <v>214</v>
      </c>
      <c r="F36" s="1903">
        <v>4.6844827796160651</v>
      </c>
      <c r="G36" s="1903">
        <v>0.23047708742545636</v>
      </c>
      <c r="H36" s="1903">
        <v>1.3065148833871658E-2</v>
      </c>
      <c r="I36" s="1903">
        <v>8.5906552123944682</v>
      </c>
    </row>
    <row r="37" spans="1:9" s="1760" customFormat="1" ht="15">
      <c r="A37" s="3"/>
      <c r="B37" s="26" t="s">
        <v>1626</v>
      </c>
      <c r="C37" s="243">
        <f>AVERAGE(775,840)/1000</f>
        <v>0.8075</v>
      </c>
      <c r="E37" s="1760" t="s">
        <v>14</v>
      </c>
      <c r="F37" s="1903">
        <v>10.039877780604778</v>
      </c>
      <c r="G37" s="1903">
        <v>0.57381656809661186</v>
      </c>
      <c r="H37" s="1903">
        <v>0</v>
      </c>
      <c r="I37" s="1903">
        <v>1.6277314142584762</v>
      </c>
    </row>
    <row r="38" spans="1:9" ht="15">
      <c r="A38" s="3"/>
      <c r="B38" s="28" t="s">
        <v>682</v>
      </c>
      <c r="C38" s="244">
        <f>(1/1198)*1000</f>
        <v>0.8347245409015025</v>
      </c>
    </row>
    <row r="39" spans="1:9">
      <c r="B39" s="34" t="s">
        <v>551</v>
      </c>
    </row>
    <row r="40" spans="1:9">
      <c r="B40" s="566" t="s">
        <v>680</v>
      </c>
    </row>
    <row r="42" spans="1:9" s="117" customFormat="1" ht="18">
      <c r="B42" s="25" t="s">
        <v>782</v>
      </c>
      <c r="G42" s="1619"/>
    </row>
    <row r="43" spans="1:9" s="117" customFormat="1">
      <c r="B43" s="117" t="s">
        <v>1246</v>
      </c>
      <c r="G43" s="1619"/>
      <c r="H43" s="16" t="str">
        <f>"Mt CO2e per " &amp; Preferences.EnergyUnits</f>
        <v>Mt CO2e per TWh</v>
      </c>
    </row>
    <row r="44" spans="1:9" ht="6" customHeight="1">
      <c r="C44" s="117"/>
      <c r="E44"/>
      <c r="G44" s="1619"/>
      <c r="H44"/>
    </row>
    <row r="45" spans="1:9" ht="17">
      <c r="A45" s="543"/>
      <c r="B45" s="528" t="s">
        <v>72</v>
      </c>
      <c r="C45" s="528" t="s">
        <v>73</v>
      </c>
      <c r="D45" s="528" t="s">
        <v>769</v>
      </c>
      <c r="E45" s="528" t="s">
        <v>770</v>
      </c>
      <c r="F45" s="528" t="s">
        <v>771</v>
      </c>
      <c r="G45" s="528" t="s">
        <v>1414</v>
      </c>
      <c r="H45" s="528" t="s">
        <v>563</v>
      </c>
    </row>
    <row r="46" spans="1:9" ht="15">
      <c r="A46" s="3"/>
      <c r="B46" s="528" t="s">
        <v>31</v>
      </c>
      <c r="C46" s="528" t="str">
        <f>INDEX(Vectors[Description], MATCH(EF[Vector], Vectors[Code], 0))</f>
        <v>Conversion losses</v>
      </c>
      <c r="D46" s="574">
        <v>0</v>
      </c>
      <c r="E46" s="574">
        <v>0</v>
      </c>
      <c r="F46" s="574">
        <v>0</v>
      </c>
      <c r="G46" s="574">
        <f>SUM(EF[[#This Row],[CO2]:[N2O]])</f>
        <v>0</v>
      </c>
      <c r="H46" s="528"/>
    </row>
    <row r="47" spans="1:9" ht="15">
      <c r="A47" s="3"/>
      <c r="B47" s="528" t="s">
        <v>32</v>
      </c>
      <c r="C47" s="528" t="str">
        <f>INDEX(Vectors[Description], MATCH(EF[Vector], Vectors[Code], 0))</f>
        <v>Distribution losses and own use</v>
      </c>
      <c r="D47" s="574">
        <v>0</v>
      </c>
      <c r="E47" s="574">
        <v>0</v>
      </c>
      <c r="F47" s="574">
        <v>0</v>
      </c>
      <c r="G47" s="574">
        <f>SUM(EF[[#This Row],[CO2]:[N2O]])</f>
        <v>0</v>
      </c>
      <c r="H47" s="528"/>
    </row>
    <row r="48" spans="1:9" ht="15">
      <c r="A48" s="3"/>
      <c r="B48" s="528" t="s">
        <v>55</v>
      </c>
      <c r="C48" s="528" t="str">
        <f>INDEX(Vectors[Description], MATCH(EF[Vector], Vectors[Code], 0))</f>
        <v>Unallocated</v>
      </c>
      <c r="D48" s="574">
        <v>0</v>
      </c>
      <c r="E48" s="574">
        <v>0</v>
      </c>
      <c r="F48" s="574">
        <v>0</v>
      </c>
      <c r="G48" s="574">
        <f>SUM(EF[[#This Row],[CO2]:[N2O]])</f>
        <v>0</v>
      </c>
      <c r="H48" s="528"/>
    </row>
    <row r="49" spans="1:8" ht="15">
      <c r="A49" s="3"/>
      <c r="B49" s="528" t="s">
        <v>33</v>
      </c>
      <c r="C49" s="528" t="str">
        <f>INDEX(Vectors[Description], MATCH(EF[Vector], Vectors[Code], 0))</f>
        <v>Road transport</v>
      </c>
      <c r="D49" s="574">
        <v>0</v>
      </c>
      <c r="E49" s="574">
        <v>0</v>
      </c>
      <c r="F49" s="574">
        <v>0</v>
      </c>
      <c r="G49" s="574">
        <f>SUM(EF[[#This Row],[CO2]:[N2O]])</f>
        <v>0</v>
      </c>
      <c r="H49" s="528"/>
    </row>
    <row r="50" spans="1:8" ht="15">
      <c r="A50" s="3"/>
      <c r="B50" s="528" t="s">
        <v>34</v>
      </c>
      <c r="C50" s="528" t="str">
        <f>INDEX(Vectors[Description], MATCH(EF[Vector], Vectors[Code], 0))</f>
        <v>Rail transport</v>
      </c>
      <c r="D50" s="574">
        <v>0</v>
      </c>
      <c r="E50" s="574">
        <v>0</v>
      </c>
      <c r="F50" s="574">
        <v>0</v>
      </c>
      <c r="G50" s="574">
        <f>SUM(EF[[#This Row],[CO2]:[N2O]])</f>
        <v>0</v>
      </c>
      <c r="H50" s="528"/>
    </row>
    <row r="51" spans="1:8" ht="15">
      <c r="A51" s="3"/>
      <c r="B51" s="528" t="s">
        <v>35</v>
      </c>
      <c r="C51" s="528" t="str">
        <f>INDEX(Vectors[Description], MATCH(EF[Vector], Vectors[Code], 0))</f>
        <v>Domestic aviation</v>
      </c>
      <c r="D51" s="574">
        <v>0</v>
      </c>
      <c r="E51" s="574">
        <v>0</v>
      </c>
      <c r="F51" s="574">
        <v>0</v>
      </c>
      <c r="G51" s="574">
        <f>SUM(EF[[#This Row],[CO2]:[N2O]])</f>
        <v>0</v>
      </c>
      <c r="H51" s="528"/>
    </row>
    <row r="52" spans="1:8" ht="15">
      <c r="A52" s="3"/>
      <c r="B52" s="528" t="s">
        <v>36</v>
      </c>
      <c r="C52" s="528" t="str">
        <f>INDEX(Vectors[Description], MATCH(EF[Vector], Vectors[Code], 0))</f>
        <v>National navigation</v>
      </c>
      <c r="D52" s="574">
        <v>0</v>
      </c>
      <c r="E52" s="574">
        <v>0</v>
      </c>
      <c r="F52" s="574">
        <v>0</v>
      </c>
      <c r="G52" s="574">
        <f>SUM(EF[[#This Row],[CO2]:[N2O]])</f>
        <v>0</v>
      </c>
      <c r="H52" s="528"/>
    </row>
    <row r="53" spans="1:8" ht="15">
      <c r="A53" s="3"/>
      <c r="B53" s="528" t="s">
        <v>721</v>
      </c>
      <c r="C53" s="528" t="str">
        <f>INDEX(Vectors[Description], MATCH(EF[Vector], Vectors[Code], 0))</f>
        <v>International aviation</v>
      </c>
      <c r="D53" s="574">
        <v>0</v>
      </c>
      <c r="E53" s="574">
        <v>0</v>
      </c>
      <c r="F53" s="574">
        <v>0</v>
      </c>
      <c r="G53" s="574">
        <f>SUM(EF[[#This Row],[CO2]:[N2O]])</f>
        <v>0</v>
      </c>
      <c r="H53" s="528"/>
    </row>
    <row r="54" spans="1:8" ht="15">
      <c r="A54" s="3"/>
      <c r="B54" s="528" t="s">
        <v>722</v>
      </c>
      <c r="C54" s="528" t="str">
        <f>INDEX(Vectors[Description], MATCH(EF[Vector], Vectors[Code], 0))</f>
        <v>International shipping</v>
      </c>
      <c r="D54" s="574">
        <v>0</v>
      </c>
      <c r="E54" s="574">
        <v>0</v>
      </c>
      <c r="F54" s="574">
        <v>0</v>
      </c>
      <c r="G54" s="574">
        <f>SUM(EF[[#This Row],[CO2]:[N2O]])</f>
        <v>0</v>
      </c>
      <c r="H54" s="528"/>
    </row>
    <row r="55" spans="1:8" ht="15">
      <c r="A55" s="3"/>
      <c r="B55" s="528" t="s">
        <v>13</v>
      </c>
      <c r="C55" s="528" t="str">
        <f>INDEX(Vectors[Description], MATCH(EF[Vector], Vectors[Code], 0))</f>
        <v>Industry</v>
      </c>
      <c r="D55" s="574">
        <v>0</v>
      </c>
      <c r="E55" s="574">
        <v>0</v>
      </c>
      <c r="F55" s="574">
        <v>0</v>
      </c>
      <c r="G55" s="574">
        <f>SUM(EF[[#This Row],[CO2]:[N2O]])</f>
        <v>0</v>
      </c>
      <c r="H55" s="528"/>
    </row>
    <row r="56" spans="1:8" ht="15">
      <c r="A56" s="3"/>
      <c r="B56" s="528" t="s">
        <v>6</v>
      </c>
      <c r="C56" s="528" t="str">
        <f>INDEX(Vectors[Description], MATCH(EF[Vector], Vectors[Code], 0))</f>
        <v>Heating &amp; cooling</v>
      </c>
      <c r="D56" s="574">
        <v>0</v>
      </c>
      <c r="E56" s="574">
        <v>0</v>
      </c>
      <c r="F56" s="574">
        <v>0</v>
      </c>
      <c r="G56" s="574">
        <f>SUM(EF[[#This Row],[CO2]:[N2O]])</f>
        <v>0</v>
      </c>
      <c r="H56" s="528"/>
    </row>
    <row r="57" spans="1:8" ht="15">
      <c r="A57" s="3"/>
      <c r="B57" s="528" t="s">
        <v>51</v>
      </c>
      <c r="C57" s="528" t="str">
        <f>INDEX(Vectors[Description], MATCH(EF[Vector], Vectors[Code], 0))</f>
        <v>Lighting &amp; appliances</v>
      </c>
      <c r="D57" s="574">
        <v>0</v>
      </c>
      <c r="E57" s="574">
        <v>0</v>
      </c>
      <c r="F57" s="574">
        <v>0</v>
      </c>
      <c r="G57" s="574">
        <f>SUM(EF[[#This Row],[CO2]:[N2O]])</f>
        <v>0</v>
      </c>
      <c r="H57" s="528"/>
    </row>
    <row r="58" spans="1:8" ht="15">
      <c r="A58" s="3"/>
      <c r="B58" s="528" t="s">
        <v>37</v>
      </c>
      <c r="C58" s="528" t="str">
        <f>INDEX(Vectors[Description], MATCH(EF[Vector], Vectors[Code], 0))</f>
        <v>Food consumption [UNUSED]</v>
      </c>
      <c r="D58" s="574">
        <v>0</v>
      </c>
      <c r="E58" s="574">
        <v>0</v>
      </c>
      <c r="F58" s="574">
        <v>0</v>
      </c>
      <c r="G58" s="574">
        <f>SUM(EF[[#This Row],[CO2]:[N2O]])</f>
        <v>0</v>
      </c>
      <c r="H58" s="528"/>
    </row>
    <row r="59" spans="1:8" ht="15">
      <c r="A59" s="3"/>
      <c r="B59" s="528" t="s">
        <v>7</v>
      </c>
      <c r="C59" s="528" t="str">
        <f>INDEX(Vectors[Description], MATCH(EF[Vector], Vectors[Code], 0))</f>
        <v>Nuclear fission</v>
      </c>
      <c r="D59" s="574">
        <v>0</v>
      </c>
      <c r="E59" s="574">
        <v>0</v>
      </c>
      <c r="F59" s="574">
        <v>0</v>
      </c>
      <c r="G59" s="574">
        <f>SUM(EF[[#This Row],[CO2]:[N2O]])</f>
        <v>0</v>
      </c>
      <c r="H59" s="528"/>
    </row>
    <row r="60" spans="1:8" ht="15">
      <c r="A60" s="3"/>
      <c r="B60" s="528" t="s">
        <v>30</v>
      </c>
      <c r="C60" s="528" t="str">
        <f>INDEX(Vectors[Description], MATCH(EF[Vector], Vectors[Code], 0))</f>
        <v>Solar</v>
      </c>
      <c r="D60" s="574">
        <v>0</v>
      </c>
      <c r="E60" s="574">
        <v>0</v>
      </c>
      <c r="F60" s="574">
        <v>0</v>
      </c>
      <c r="G60" s="574">
        <f>SUM(EF[[#This Row],[CO2]:[N2O]])</f>
        <v>0</v>
      </c>
      <c r="H60" s="528"/>
    </row>
    <row r="61" spans="1:8" ht="15">
      <c r="A61" s="3"/>
      <c r="B61" s="528" t="s">
        <v>8</v>
      </c>
      <c r="C61" s="528" t="str">
        <f>INDEX(Vectors[Description], MATCH(EF[Vector], Vectors[Code], 0))</f>
        <v>Wind</v>
      </c>
      <c r="D61" s="574">
        <v>0</v>
      </c>
      <c r="E61" s="574">
        <v>0</v>
      </c>
      <c r="F61" s="574">
        <v>0</v>
      </c>
      <c r="G61" s="574">
        <f>SUM(EF[[#This Row],[CO2]:[N2O]])</f>
        <v>0</v>
      </c>
      <c r="H61" s="528"/>
    </row>
    <row r="62" spans="1:8" ht="15">
      <c r="A62" s="3"/>
      <c r="B62" s="528" t="s">
        <v>9</v>
      </c>
      <c r="C62" s="528" t="str">
        <f>INDEX(Vectors[Description], MATCH(EF[Vector], Vectors[Code], 0))</f>
        <v>Tidal</v>
      </c>
      <c r="D62" s="574">
        <v>0</v>
      </c>
      <c r="E62" s="574">
        <v>0</v>
      </c>
      <c r="F62" s="574">
        <v>0</v>
      </c>
      <c r="G62" s="574">
        <f>SUM(EF[[#This Row],[CO2]:[N2O]])</f>
        <v>0</v>
      </c>
      <c r="H62" s="528"/>
    </row>
    <row r="63" spans="1:8" ht="15">
      <c r="A63" s="3"/>
      <c r="B63" s="528" t="s">
        <v>10</v>
      </c>
      <c r="C63" s="528" t="str">
        <f>INDEX(Vectors[Description], MATCH(EF[Vector], Vectors[Code], 0))</f>
        <v>Wave</v>
      </c>
      <c r="D63" s="574">
        <v>0</v>
      </c>
      <c r="E63" s="574">
        <v>0</v>
      </c>
      <c r="F63" s="574">
        <v>0</v>
      </c>
      <c r="G63" s="574">
        <f>SUM(EF[[#This Row],[CO2]:[N2O]])</f>
        <v>0</v>
      </c>
      <c r="H63" s="528"/>
    </row>
    <row r="64" spans="1:8" ht="15">
      <c r="A64" s="3"/>
      <c r="B64" s="528" t="s">
        <v>11</v>
      </c>
      <c r="C64" s="528" t="str">
        <f>INDEX(Vectors[Description], MATCH(EF[Vector], Vectors[Code], 0))</f>
        <v>Geothermal</v>
      </c>
      <c r="D64" s="574">
        <v>0</v>
      </c>
      <c r="E64" s="574">
        <v>0</v>
      </c>
      <c r="F64" s="574">
        <v>0</v>
      </c>
      <c r="G64" s="574">
        <f>SUM(EF[[#This Row],[CO2]:[N2O]])</f>
        <v>0</v>
      </c>
      <c r="H64" s="528"/>
    </row>
    <row r="65" spans="1:8" ht="15">
      <c r="A65" s="3"/>
      <c r="B65" s="528" t="s">
        <v>12</v>
      </c>
      <c r="C65" s="528" t="str">
        <f>INDEX(Vectors[Description], MATCH(EF[Vector], Vectors[Code], 0))</f>
        <v>Hydro</v>
      </c>
      <c r="D65" s="574">
        <v>0</v>
      </c>
      <c r="E65" s="574">
        <v>0</v>
      </c>
      <c r="F65" s="574">
        <v>0</v>
      </c>
      <c r="G65" s="574">
        <f>SUM(EF[[#This Row],[CO2]:[N2O]])</f>
        <v>0</v>
      </c>
      <c r="H65" s="528"/>
    </row>
    <row r="66" spans="1:8" ht="15">
      <c r="A66" s="3"/>
      <c r="B66" s="528" t="s">
        <v>98</v>
      </c>
      <c r="C66" s="528" t="str">
        <f>INDEX(Vectors[Description], MATCH(EF[Vector], Vectors[Code], 0))</f>
        <v>Environmental heat</v>
      </c>
      <c r="D66" s="574">
        <v>0</v>
      </c>
      <c r="E66" s="574">
        <v>0</v>
      </c>
      <c r="F66" s="574">
        <v>0</v>
      </c>
      <c r="G66" s="574">
        <f>SUM(EF[[#This Row],[CO2]:[N2O]])</f>
        <v>0</v>
      </c>
      <c r="H66" s="528"/>
    </row>
    <row r="67" spans="1:8" ht="15">
      <c r="A67" s="3"/>
      <c r="B67" s="528" t="s">
        <v>751</v>
      </c>
      <c r="C67" s="528" t="str">
        <f>INDEX(Vectors[Description], MATCH(EF[Vector], Vectors[Code], 0))</f>
        <v>Agriculture</v>
      </c>
      <c r="D67" s="574">
        <v>0</v>
      </c>
      <c r="E67" s="574">
        <v>0</v>
      </c>
      <c r="F67" s="574">
        <v>0</v>
      </c>
      <c r="G67" s="574">
        <f>SUM(EF[[#This Row],[CO2]:[N2O]])</f>
        <v>0</v>
      </c>
      <c r="H67" s="528"/>
    </row>
    <row r="68" spans="1:8" ht="15">
      <c r="A68" s="3"/>
      <c r="B68" s="528" t="s">
        <v>49</v>
      </c>
      <c r="C68" s="528" t="str">
        <f>INDEX(Vectors[Description], MATCH(EF[Vector], Vectors[Code], 0))</f>
        <v>Waste</v>
      </c>
      <c r="D68" s="574">
        <v>0</v>
      </c>
      <c r="E68" s="574">
        <v>0</v>
      </c>
      <c r="F68" s="574">
        <v>0</v>
      </c>
      <c r="G68" s="574">
        <f>SUM(EF[[#This Row],[CO2]:[N2O]])</f>
        <v>0</v>
      </c>
      <c r="H68" s="528"/>
    </row>
    <row r="69" spans="1:8" ht="15">
      <c r="A69" s="3"/>
      <c r="B69" s="528" t="s">
        <v>53</v>
      </c>
      <c r="C69" s="528" t="str">
        <f>INDEX(Vectors[Description], MATCH(EF[Vector], Vectors[Code], 0))</f>
        <v>Biomass oversupply (imports)</v>
      </c>
      <c r="D69" s="574">
        <v>0</v>
      </c>
      <c r="E69" s="574">
        <v>0</v>
      </c>
      <c r="F69" s="574">
        <v>0</v>
      </c>
      <c r="G69" s="574">
        <f>SUM(EF[[#This Row],[CO2]:[N2O]])</f>
        <v>0</v>
      </c>
      <c r="H69" s="528"/>
    </row>
    <row r="70" spans="1:8" ht="15">
      <c r="A70" s="3"/>
      <c r="B70" s="528" t="s">
        <v>54</v>
      </c>
      <c r="C70" s="528" t="str">
        <f>INDEX(Vectors[Description], MATCH(EF[Vector], Vectors[Code], 0))</f>
        <v>Electricity oversupply (imports)</v>
      </c>
      <c r="D70" s="574">
        <v>0</v>
      </c>
      <c r="E70" s="574">
        <v>0</v>
      </c>
      <c r="F70" s="574">
        <v>0</v>
      </c>
      <c r="G70" s="574">
        <f>SUM(EF[[#This Row],[CO2]:[N2O]])</f>
        <v>0</v>
      </c>
      <c r="H70" s="528"/>
    </row>
    <row r="71" spans="1:8" ht="15">
      <c r="A71" s="3"/>
      <c r="B71" s="528" t="s">
        <v>638</v>
      </c>
      <c r="C71" s="528" t="str">
        <f>INDEX(Vectors[Description], MATCH(EF[Vector], Vectors[Code], 0))</f>
        <v>Petroleum products oversupply</v>
      </c>
      <c r="D71" s="574">
        <v>0</v>
      </c>
      <c r="E71" s="574">
        <v>0</v>
      </c>
      <c r="F71" s="574">
        <v>0</v>
      </c>
      <c r="G71" s="574">
        <f>SUM(EF[[#This Row],[CO2]:[N2O]])</f>
        <v>0</v>
      </c>
      <c r="H71" s="528"/>
    </row>
    <row r="72" spans="1:8" ht="15">
      <c r="A72" s="3"/>
      <c r="B72" s="528" t="s">
        <v>732</v>
      </c>
      <c r="C72" s="528" t="str">
        <f>INDEX(Vectors[Description], MATCH(EF[Vector], Vectors[Code], 0))</f>
        <v>Coal oversupply (imports)</v>
      </c>
      <c r="D72" s="574">
        <v>0</v>
      </c>
      <c r="E72" s="574">
        <v>0</v>
      </c>
      <c r="F72" s="574">
        <v>0</v>
      </c>
      <c r="G72" s="574">
        <f>SUM(EF[[#This Row],[CO2]:[N2O]])</f>
        <v>0</v>
      </c>
      <c r="H72" s="528"/>
    </row>
    <row r="73" spans="1:8" ht="15">
      <c r="A73" s="3"/>
      <c r="B73" s="528" t="s">
        <v>733</v>
      </c>
      <c r="C73" s="528" t="str">
        <f>INDEX(Vectors[Description], MATCH(EF[Vector], Vectors[Code], 0))</f>
        <v>Oil and petroleum products oversupply (imports)</v>
      </c>
      <c r="D73" s="574">
        <v>0</v>
      </c>
      <c r="E73" s="574">
        <v>0</v>
      </c>
      <c r="F73" s="574">
        <v>0</v>
      </c>
      <c r="G73" s="574">
        <f>SUM(EF[[#This Row],[CO2]:[N2O]])</f>
        <v>0</v>
      </c>
      <c r="H73" s="528"/>
    </row>
    <row r="74" spans="1:8" ht="15">
      <c r="A74" s="3"/>
      <c r="B74" s="528" t="s">
        <v>734</v>
      </c>
      <c r="C74" s="528" t="str">
        <f>INDEX(Vectors[Description], MATCH(EF[Vector], Vectors[Code], 0))</f>
        <v>Gas oversupply (imports)</v>
      </c>
      <c r="D74" s="574">
        <v>0</v>
      </c>
      <c r="E74" s="574">
        <v>0</v>
      </c>
      <c r="F74" s="574">
        <v>0</v>
      </c>
      <c r="G74" s="574">
        <f>SUM(EF[[#This Row],[CO2]:[N2O]])</f>
        <v>0</v>
      </c>
      <c r="H74" s="528"/>
    </row>
    <row r="75" spans="1:8" ht="15">
      <c r="A75" s="3"/>
      <c r="B75" s="528" t="s">
        <v>736</v>
      </c>
      <c r="C75" s="528" t="str">
        <f>INDEX(Vectors[Description], MATCH(EF[Vector], Vectors[Code], 0))</f>
        <v>Coal reserves</v>
      </c>
      <c r="D75" s="243">
        <f>EF.IndustrialCoal.CO2</f>
        <v>0.30799999999999994</v>
      </c>
      <c r="E75" s="243">
        <f>EF.IndustrialCoal.CH4</f>
        <v>9.0479269613658628E-4</v>
      </c>
      <c r="F75" s="243">
        <f>EF.IndustrialCoal.N2O</f>
        <v>2.7284221385464481E-3</v>
      </c>
      <c r="G75" s="243">
        <f>SUM(EF[[#This Row],[CO2]:[N2O]])</f>
        <v>0.31163321483468298</v>
      </c>
      <c r="H75" s="528" t="s">
        <v>783</v>
      </c>
    </row>
    <row r="76" spans="1:8" ht="15">
      <c r="A76" s="3"/>
      <c r="B76" s="528" t="s">
        <v>737</v>
      </c>
      <c r="C76" s="528" t="str">
        <f>INDEX(Vectors[Description], MATCH(EF[Vector], Vectors[Code], 0))</f>
        <v>Oil reserves</v>
      </c>
      <c r="D76" s="243">
        <f>EF.Diesel.CO2</f>
        <v>0.25</v>
      </c>
      <c r="E76" s="243">
        <f>EF.Diesel.CH4</f>
        <v>3.1124901306220826E-4</v>
      </c>
      <c r="F76" s="243">
        <f>EF.Diesel.N2O</f>
        <v>4.4980122726580142E-3</v>
      </c>
      <c r="G76" s="243">
        <f>SUM(EF[[#This Row],[CO2]:[N2O]])</f>
        <v>0.25480926128572023</v>
      </c>
      <c r="H76" s="528" t="s">
        <v>784</v>
      </c>
    </row>
    <row r="77" spans="1:8" ht="15">
      <c r="A77" s="3"/>
      <c r="B77" s="528" t="s">
        <v>738</v>
      </c>
      <c r="C77" s="528" t="str">
        <f>INDEX(Vectors[Description], MATCH(EF[Vector], Vectors[Code], 0))</f>
        <v>Gas reserves</v>
      </c>
      <c r="D77" s="243">
        <f>EF.NaturalGas.CO2</f>
        <v>0.18399999999999997</v>
      </c>
      <c r="E77" s="243">
        <f>EF.NaturalGas.CH4</f>
        <v>3.6882537033173374E-4</v>
      </c>
      <c r="F77" s="243">
        <f>EF.NaturalGas.N2O</f>
        <v>3.9668961680228111E-4</v>
      </c>
      <c r="G77" s="243">
        <f>SUM(EF[[#This Row],[CO2]:[N2O]])</f>
        <v>0.18476551498713398</v>
      </c>
      <c r="H77" s="528" t="s">
        <v>785</v>
      </c>
    </row>
    <row r="78" spans="1:8" ht="15">
      <c r="A78" s="3"/>
      <c r="B78" s="528" t="s">
        <v>58</v>
      </c>
      <c r="C78" s="528" t="str">
        <f>INDEX(Vectors[Description], MATCH(EF[Vector], Vectors[Code], 0))</f>
        <v>Coal and fossil waste</v>
      </c>
      <c r="D78" s="243">
        <f>EF.IndustrialCoal.CO2</f>
        <v>0.30799999999999994</v>
      </c>
      <c r="E78" s="243">
        <f>EF.IndustrialCoal.CH4</f>
        <v>9.0479269613658628E-4</v>
      </c>
      <c r="F78" s="243">
        <f>EF.IndustrialCoal.N2O</f>
        <v>2.7284221385464481E-3</v>
      </c>
      <c r="G78" s="243">
        <f>SUM(EF[[#This Row],[CO2]:[N2O]])</f>
        <v>0.31163321483468298</v>
      </c>
      <c r="H78" s="528" t="s">
        <v>783</v>
      </c>
    </row>
    <row r="79" spans="1:8" ht="15">
      <c r="A79" s="3"/>
      <c r="B79" s="528" t="s">
        <v>59</v>
      </c>
      <c r="C79" s="528" t="str">
        <f>INDEX(Vectors[Description], MATCH(EF[Vector], Vectors[Code], 0))</f>
        <v>Oil and petroleum products</v>
      </c>
      <c r="D79" s="243">
        <f>EF.Diesel.CO2</f>
        <v>0.25</v>
      </c>
      <c r="E79" s="243">
        <f>EF.Diesel.CH4</f>
        <v>3.1124901306220826E-4</v>
      </c>
      <c r="F79" s="243">
        <f>EF.Diesel.N2O</f>
        <v>4.4980122726580142E-3</v>
      </c>
      <c r="G79" s="243">
        <f>SUM(EF[[#This Row],[CO2]:[N2O]])</f>
        <v>0.25480926128572023</v>
      </c>
      <c r="H79" s="528" t="s">
        <v>784</v>
      </c>
    </row>
    <row r="80" spans="1:8" ht="15">
      <c r="A80" s="3"/>
      <c r="B80" s="528" t="s">
        <v>60</v>
      </c>
      <c r="C80" s="528" t="str">
        <f>INDEX(Vectors[Description], MATCH(EF[Vector], Vectors[Code], 0))</f>
        <v>Natural gas</v>
      </c>
      <c r="D80" s="243">
        <f>EF.NaturalGas.CO2</f>
        <v>0.18399999999999997</v>
      </c>
      <c r="E80" s="243">
        <f>EF.NaturalGas.CH4</f>
        <v>3.6882537033173374E-4</v>
      </c>
      <c r="F80" s="243">
        <f>EF.NaturalGas.N2O</f>
        <v>3.9668961680228111E-4</v>
      </c>
      <c r="G80" s="243">
        <f>SUM(EF[[#This Row],[CO2]:[N2O]])</f>
        <v>0.18476551498713398</v>
      </c>
      <c r="H80" s="528" t="s">
        <v>785</v>
      </c>
    </row>
    <row r="81" spans="1:11" ht="15">
      <c r="A81" s="3"/>
      <c r="B81" s="528" t="s">
        <v>40</v>
      </c>
      <c r="C81" s="528" t="str">
        <f>INDEX(Vectors[Description], MATCH(EF[Vector], Vectors[Code], 0))</f>
        <v>Electricity (delivered to end user)</v>
      </c>
      <c r="D81" s="574">
        <v>0</v>
      </c>
      <c r="E81" s="574">
        <v>0</v>
      </c>
      <c r="F81" s="574">
        <v>0</v>
      </c>
      <c r="G81" s="574">
        <f>SUM(EF[[#This Row],[CO2]:[N2O]])</f>
        <v>0</v>
      </c>
      <c r="H81" s="528"/>
      <c r="K81" s="24"/>
    </row>
    <row r="82" spans="1:11" ht="15">
      <c r="A82" s="3"/>
      <c r="B82" s="528" t="s">
        <v>41</v>
      </c>
      <c r="C82" s="528" t="str">
        <f>INDEX(Vectors[Description], MATCH(EF[Vector], Vectors[Code], 0))</f>
        <v>Electricity (supplied to grid)</v>
      </c>
      <c r="D82" s="574">
        <v>0</v>
      </c>
      <c r="E82" s="574">
        <v>0</v>
      </c>
      <c r="F82" s="574">
        <v>0</v>
      </c>
      <c r="G82" s="574">
        <f>SUM(EF[[#This Row],[CO2]:[N2O]])</f>
        <v>0</v>
      </c>
      <c r="H82" s="528"/>
      <c r="K82" s="24"/>
    </row>
    <row r="83" spans="1:11" ht="15">
      <c r="A83" s="3"/>
      <c r="B83" s="528" t="s">
        <v>42</v>
      </c>
      <c r="C83" s="528" t="str">
        <f>INDEX(Vectors[Description], MATCH(EF[Vector], Vectors[Code], 0))</f>
        <v>Solid hydrocarbons</v>
      </c>
      <c r="D83" s="243">
        <f>EF.IndustrialCoal.CO2</f>
        <v>0.30799999999999994</v>
      </c>
      <c r="E83" s="243">
        <f>EF.IndustrialCoal.CH4</f>
        <v>9.0479269613658628E-4</v>
      </c>
      <c r="F83" s="243">
        <f>EF.IndustrialCoal.N2O</f>
        <v>2.7284221385464481E-3</v>
      </c>
      <c r="G83" s="243">
        <f>SUM(EF[[#This Row],[CO2]:[N2O]])</f>
        <v>0.31163321483468298</v>
      </c>
      <c r="H83" s="528" t="s">
        <v>783</v>
      </c>
    </row>
    <row r="84" spans="1:11" ht="15">
      <c r="A84" s="3"/>
      <c r="B84" s="528" t="s">
        <v>44</v>
      </c>
      <c r="C84" s="528" t="str">
        <f>INDEX(Vectors[Description], MATCH(EF[Vector], Vectors[Code], 0))</f>
        <v>Liquid hydrocarbons</v>
      </c>
      <c r="D84" s="243">
        <f>EF.Diesel.CO2</f>
        <v>0.25</v>
      </c>
      <c r="E84" s="243">
        <f>EF.Diesel.CH4</f>
        <v>3.1124901306220826E-4</v>
      </c>
      <c r="F84" s="243">
        <f>EF.Diesel.N2O</f>
        <v>4.4980122726580142E-3</v>
      </c>
      <c r="G84" s="243">
        <f>SUM(EF[[#This Row],[CO2]:[N2O]])</f>
        <v>0.25480926128572023</v>
      </c>
      <c r="H84" s="528" t="s">
        <v>784</v>
      </c>
    </row>
    <row r="85" spans="1:11" ht="15">
      <c r="A85" s="3"/>
      <c r="B85" s="528" t="s">
        <v>45</v>
      </c>
      <c r="C85" s="528" t="str">
        <f>INDEX(Vectors[Description], MATCH(EF[Vector], Vectors[Code], 0))</f>
        <v>Gaseous hydrocarbons</v>
      </c>
      <c r="D85" s="243">
        <f>EF.NaturalGas.CO2</f>
        <v>0.18399999999999997</v>
      </c>
      <c r="E85" s="243">
        <f>EF.NaturalGas.CH4</f>
        <v>3.6882537033173374E-4</v>
      </c>
      <c r="F85" s="243">
        <f>EF.NaturalGas.N2O</f>
        <v>3.9668961680228111E-4</v>
      </c>
      <c r="G85" s="243">
        <f>SUM(EF[[#This Row],[CO2]:[N2O]])</f>
        <v>0.18476551498713398</v>
      </c>
      <c r="H85" s="528" t="s">
        <v>785</v>
      </c>
    </row>
    <row r="86" spans="1:11" ht="15">
      <c r="A86" s="3"/>
      <c r="B86" s="528" t="s">
        <v>101</v>
      </c>
      <c r="C86" s="528" t="str">
        <f>INDEX(Vectors[Description], MATCH(EF[Vector], Vectors[Code], 0))</f>
        <v>Blast furnace gas</v>
      </c>
      <c r="D86" s="243">
        <f>EF.BlastFurnaceGas.CO2</f>
        <v>0.78482259931212373</v>
      </c>
      <c r="E86" s="574">
        <v>0</v>
      </c>
      <c r="F86" s="574">
        <v>0</v>
      </c>
      <c r="G86" s="574">
        <f>SUM(EF[[#This Row],[CO2]:[N2O]])</f>
        <v>0.78482259931212373</v>
      </c>
      <c r="H86" s="528"/>
    </row>
    <row r="87" spans="1:11" ht="15">
      <c r="A87" s="3"/>
      <c r="B87" s="528" t="s">
        <v>627</v>
      </c>
      <c r="C87" s="528" t="str">
        <f>INDEX(Vectors[Description], MATCH(EF[Vector], Vectors[Code], 0))</f>
        <v>Heat transport</v>
      </c>
      <c r="D87" s="574">
        <v>0</v>
      </c>
      <c r="E87" s="574">
        <v>0</v>
      </c>
      <c r="F87" s="574">
        <v>0</v>
      </c>
      <c r="G87" s="574">
        <f>SUM(EF[[#This Row],[CO2]:[N2O]])</f>
        <v>0</v>
      </c>
      <c r="H87" s="528"/>
    </row>
    <row r="88" spans="1:11" ht="15">
      <c r="A88" s="3"/>
      <c r="B88" s="528" t="s">
        <v>628</v>
      </c>
      <c r="C88" s="528" t="str">
        <f>INDEX(Vectors[Description], MATCH(EF[Vector], Vectors[Code], 0))</f>
        <v>Edible biomass</v>
      </c>
      <c r="D88" s="574">
        <v>0</v>
      </c>
      <c r="E88" s="574">
        <v>0</v>
      </c>
      <c r="F88" s="574">
        <v>0</v>
      </c>
      <c r="G88" s="574">
        <f>SUM(EF[[#This Row],[CO2]:[N2O]])</f>
        <v>0</v>
      </c>
      <c r="H88" s="528"/>
    </row>
    <row r="89" spans="1:11" ht="15">
      <c r="A89" s="3"/>
      <c r="B89" s="528" t="s">
        <v>629</v>
      </c>
      <c r="C89" s="528" t="str">
        <f>INDEX(Vectors[Description], MATCH(EF[Vector], Vectors[Code], 0))</f>
        <v>Dry biomass and waste</v>
      </c>
      <c r="D89" s="574">
        <v>0</v>
      </c>
      <c r="E89" s="574">
        <v>0</v>
      </c>
      <c r="F89" s="574">
        <v>0</v>
      </c>
      <c r="G89" s="574">
        <f>SUM(EF[[#This Row],[CO2]:[N2O]])</f>
        <v>0</v>
      </c>
      <c r="H89" s="528"/>
    </row>
    <row r="90" spans="1:11" ht="15">
      <c r="A90" s="3"/>
      <c r="B90" s="528" t="s">
        <v>696</v>
      </c>
      <c r="C90" s="528" t="str">
        <f>INDEX(Vectors[Description], MATCH(EF[Vector], Vectors[Code], 0))</f>
        <v>Wet biomass and waste</v>
      </c>
      <c r="D90" s="574">
        <v>0</v>
      </c>
      <c r="E90" s="574">
        <v>0</v>
      </c>
      <c r="F90" s="574">
        <v>0</v>
      </c>
      <c r="G90" s="574">
        <f>SUM(EF[[#This Row],[CO2]:[N2O]])</f>
        <v>0</v>
      </c>
      <c r="H90" s="528"/>
    </row>
    <row r="91" spans="1:11" ht="15">
      <c r="A91" s="3"/>
      <c r="B91" s="26" t="s">
        <v>897</v>
      </c>
      <c r="C91" s="26" t="str">
        <f>INDEX(Vectors[Description], MATCH(EF[Vector], Vectors[Code], 0))</f>
        <v>Domestic solar thermal</v>
      </c>
      <c r="D91" s="1054">
        <v>0</v>
      </c>
      <c r="E91" s="1054">
        <v>0</v>
      </c>
      <c r="F91" s="1054">
        <v>0</v>
      </c>
      <c r="G91" s="1054">
        <f>SUM(EF[[#This Row],[CO2]:[N2O]])</f>
        <v>0</v>
      </c>
      <c r="H91" s="26"/>
    </row>
  </sheetData>
  <pageMargins left="0.7" right="0.7" top="0.75" bottom="0.75" header="0.3" footer="0.3"/>
  <pageSetup paperSize="9" orientation="portrait"/>
  <tableParts count="2">
    <tablePart r:id="rId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autoPageBreaks="0"/>
  </sheetPr>
  <dimension ref="A1:Z80"/>
  <sheetViews>
    <sheetView workbookViewId="0"/>
  </sheetViews>
  <sheetFormatPr baseColWidth="10" defaultColWidth="8.83203125" defaultRowHeight="15" x14ac:dyDescent="0"/>
  <cols>
    <col min="1" max="1" width="1" customWidth="1"/>
    <col min="2" max="2" width="8.5" customWidth="1"/>
    <col min="3" max="3" width="41.6640625" customWidth="1"/>
    <col min="4" max="4" width="5.6640625" customWidth="1"/>
    <col min="5" max="5" width="1" style="117" customWidth="1"/>
    <col min="6" max="6" width="8.5" style="117" customWidth="1"/>
    <col min="7" max="7" width="32" style="117" bestFit="1" customWidth="1"/>
    <col min="8" max="8" width="10.5" style="117" bestFit="1" customWidth="1"/>
    <col min="9" max="9" width="32" style="117" customWidth="1"/>
    <col min="10" max="10" width="43.5" style="117" customWidth="1"/>
    <col min="11" max="11" width="5.6640625" customWidth="1"/>
    <col min="12" max="12" width="1" style="3" customWidth="1"/>
    <col min="13" max="13" width="16.1640625" style="3" bestFit="1" customWidth="1"/>
    <col min="14" max="14" width="21" style="8" bestFit="1" customWidth="1"/>
    <col min="15" max="15" width="9.5" style="2" bestFit="1" customWidth="1"/>
    <col min="16" max="16" width="29.5" style="3" bestFit="1" customWidth="1"/>
    <col min="17" max="17" width="38.1640625" style="13" customWidth="1"/>
    <col min="19" max="19" width="1" customWidth="1"/>
    <col min="20" max="20" width="14.5" customWidth="1"/>
    <col min="21" max="21" width="35.6640625" bestFit="1" customWidth="1"/>
    <col min="22" max="22" width="61" bestFit="1" customWidth="1"/>
    <col min="24" max="24" width="9" customWidth="1"/>
    <col min="25" max="25" width="26.83203125" bestFit="1" customWidth="1"/>
    <col min="26" max="26" width="13.5" customWidth="1"/>
  </cols>
  <sheetData>
    <row r="1" spans="1:26" s="1854" customFormat="1">
      <c r="B1" s="1854" t="s">
        <v>1749</v>
      </c>
      <c r="L1" s="3"/>
      <c r="M1" s="3"/>
      <c r="N1" s="8"/>
      <c r="O1" s="2"/>
      <c r="P1" s="3"/>
      <c r="Q1" s="1853"/>
      <c r="S1" s="3"/>
      <c r="T1"/>
      <c r="U1"/>
      <c r="V1"/>
      <c r="W1"/>
    </row>
    <row r="2" spans="1:26" s="1854" customFormat="1">
      <c r="B2" s="1854" t="s">
        <v>1750</v>
      </c>
      <c r="L2" s="3"/>
      <c r="M2" s="3"/>
      <c r="N2" s="8"/>
      <c r="O2" s="2"/>
      <c r="P2" s="3"/>
      <c r="Q2" s="1853"/>
      <c r="S2" s="3"/>
    </row>
    <row r="3" spans="1:26" s="117" customFormat="1">
      <c r="A3" s="3"/>
      <c r="E3" s="3"/>
      <c r="L3" s="3"/>
      <c r="M3" s="3"/>
      <c r="N3" s="8"/>
      <c r="O3" s="2"/>
      <c r="P3" s="3"/>
      <c r="Q3" s="13"/>
      <c r="S3" s="3"/>
    </row>
    <row r="4" spans="1:26" ht="17">
      <c r="A4" s="3"/>
      <c r="B4" s="4" t="s">
        <v>561</v>
      </c>
      <c r="E4" s="3"/>
      <c r="F4" s="4" t="s">
        <v>620</v>
      </c>
      <c r="G4" s="4"/>
      <c r="H4" s="4"/>
      <c r="I4" s="4"/>
      <c r="L4" s="533"/>
      <c r="M4" s="4" t="s">
        <v>17</v>
      </c>
      <c r="N4" s="9"/>
      <c r="O4" s="5"/>
      <c r="P4" s="5"/>
      <c r="Q4" s="12"/>
      <c r="S4" s="544"/>
      <c r="T4" s="561" t="s">
        <v>763</v>
      </c>
      <c r="X4" s="561" t="s">
        <v>1546</v>
      </c>
      <c r="Y4" s="1682"/>
      <c r="Z4" s="1682"/>
    </row>
    <row r="5" spans="1:26">
      <c r="A5" s="3"/>
      <c r="E5" s="3"/>
      <c r="L5" s="533"/>
      <c r="M5" s="6"/>
      <c r="N5" s="9"/>
      <c r="O5" s="5"/>
      <c r="P5" s="5"/>
      <c r="Q5" s="12"/>
      <c r="S5" s="533"/>
      <c r="X5" s="1682"/>
      <c r="Y5" s="1682"/>
      <c r="Z5" s="1682"/>
    </row>
    <row r="6" spans="1:26" ht="18" thickBot="1">
      <c r="A6" s="543"/>
      <c r="B6" s="22" t="s">
        <v>77</v>
      </c>
      <c r="C6" s="22" t="s">
        <v>562</v>
      </c>
      <c r="E6" s="543"/>
      <c r="F6" s="605" t="s">
        <v>77</v>
      </c>
      <c r="G6" s="605" t="s">
        <v>622</v>
      </c>
      <c r="H6" s="605" t="s">
        <v>623</v>
      </c>
      <c r="I6" s="605" t="s">
        <v>562</v>
      </c>
      <c r="J6" s="605" t="s">
        <v>563</v>
      </c>
      <c r="L6" s="544"/>
      <c r="M6" s="10" t="s">
        <v>75</v>
      </c>
      <c r="N6" s="10" t="s">
        <v>76</v>
      </c>
      <c r="O6" s="10" t="s">
        <v>77</v>
      </c>
      <c r="P6" s="10" t="s">
        <v>73</v>
      </c>
      <c r="Q6" s="21" t="s">
        <v>74</v>
      </c>
      <c r="S6" s="533"/>
      <c r="T6" s="528" t="s">
        <v>761</v>
      </c>
      <c r="U6" s="528" t="s">
        <v>762</v>
      </c>
      <c r="V6" s="528" t="s">
        <v>74</v>
      </c>
      <c r="X6" s="1683" t="s">
        <v>77</v>
      </c>
      <c r="Y6" s="1683" t="s">
        <v>73</v>
      </c>
      <c r="Z6" s="1684" t="s">
        <v>74</v>
      </c>
    </row>
    <row r="7" spans="1:26" s="532" customFormat="1" ht="16" thickTop="1">
      <c r="A7" s="719"/>
      <c r="B7" s="532" t="s">
        <v>68</v>
      </c>
      <c r="C7" s="532" t="s">
        <v>429</v>
      </c>
      <c r="E7" s="11"/>
      <c r="F7" s="532" t="s">
        <v>621</v>
      </c>
      <c r="G7" s="528" t="s">
        <v>1515</v>
      </c>
      <c r="H7" s="551" t="str">
        <f>LEFT(Modules[Code], FIND(".", Modules[Code])-1)</f>
        <v>I</v>
      </c>
      <c r="I7" s="551" t="str">
        <f>INDEX(Workstreams[Workstream], MATCH(Modules[WS Code], Workstreams[Code], 0))</f>
        <v>Hydrocarbon fuel power generation</v>
      </c>
      <c r="J7" s="528" t="s">
        <v>1291</v>
      </c>
      <c r="L7" s="11"/>
      <c r="M7" s="18" t="s">
        <v>25</v>
      </c>
      <c r="N7" s="18" t="s">
        <v>52</v>
      </c>
      <c r="O7" s="20" t="s">
        <v>31</v>
      </c>
      <c r="P7" s="18" t="s">
        <v>20</v>
      </c>
      <c r="Q7" s="19"/>
      <c r="S7" s="533"/>
      <c r="T7" s="776" t="s">
        <v>779</v>
      </c>
      <c r="U7" s="528" t="s">
        <v>758</v>
      </c>
      <c r="V7" s="528" t="s">
        <v>927</v>
      </c>
      <c r="W7"/>
      <c r="X7" s="1766"/>
      <c r="Y7" s="1766"/>
      <c r="Z7" s="1767"/>
    </row>
    <row r="8" spans="1:26" s="532" customFormat="1">
      <c r="A8" s="719"/>
      <c r="B8" s="532" t="s">
        <v>69</v>
      </c>
      <c r="C8" s="532" t="s">
        <v>430</v>
      </c>
      <c r="E8" s="11"/>
      <c r="F8" s="532" t="s">
        <v>665</v>
      </c>
      <c r="G8" s="528" t="s">
        <v>1921</v>
      </c>
      <c r="H8" s="551" t="str">
        <f>LEFT(Modules[Code], FIND(".", Modules[Code])-1)</f>
        <v>I</v>
      </c>
      <c r="I8" s="553" t="str">
        <f>INDEX(Workstreams[Workstream], MATCH(Modules[WS Code], Workstreams[Code], 0))</f>
        <v>Hydrocarbon fuel power generation</v>
      </c>
      <c r="J8" s="528"/>
      <c r="L8" s="11"/>
      <c r="M8" s="18" t="s">
        <v>25</v>
      </c>
      <c r="N8" s="18" t="s">
        <v>52</v>
      </c>
      <c r="O8" s="20" t="s">
        <v>32</v>
      </c>
      <c r="P8" s="18" t="s">
        <v>21</v>
      </c>
      <c r="Q8" s="19"/>
      <c r="S8" s="533"/>
      <c r="T8" s="776" t="s">
        <v>778</v>
      </c>
      <c r="U8" s="528" t="s">
        <v>780</v>
      </c>
      <c r="V8" s="528"/>
      <c r="W8" s="117"/>
      <c r="X8" s="1766"/>
      <c r="Y8" s="1766"/>
      <c r="Z8" s="1767"/>
    </row>
    <row r="9" spans="1:26" s="532" customFormat="1">
      <c r="A9" s="719"/>
      <c r="B9" s="532" t="s">
        <v>70</v>
      </c>
      <c r="C9" s="532" t="s">
        <v>431</v>
      </c>
      <c r="E9" s="11"/>
      <c r="F9" s="552" t="s">
        <v>630</v>
      </c>
      <c r="G9" s="26" t="s">
        <v>995</v>
      </c>
      <c r="H9" s="553" t="str">
        <f>LEFT(Modules[Code], FIND(".", Modules[Code])-1)</f>
        <v>II</v>
      </c>
      <c r="I9" s="553" t="str">
        <f>INDEX(Workstreams[Workstream], MATCH(Modules[WS Code], Workstreams[Code], 0))</f>
        <v>Nuclear power generation</v>
      </c>
      <c r="J9" s="26"/>
      <c r="L9" s="11"/>
      <c r="M9" s="18" t="s">
        <v>25</v>
      </c>
      <c r="N9" s="20" t="s">
        <v>28</v>
      </c>
      <c r="O9" s="20" t="s">
        <v>55</v>
      </c>
      <c r="P9" s="18" t="s">
        <v>28</v>
      </c>
      <c r="Q9" s="19"/>
      <c r="S9" s="533"/>
      <c r="T9" s="528">
        <v>2</v>
      </c>
      <c r="U9" s="528" t="s">
        <v>759</v>
      </c>
      <c r="V9" s="528"/>
      <c r="W9"/>
      <c r="X9" s="1685" t="s">
        <v>1540</v>
      </c>
      <c r="Y9" s="1686" t="s">
        <v>1541</v>
      </c>
      <c r="Z9" s="1687"/>
    </row>
    <row r="10" spans="1:26" s="532" customFormat="1">
      <c r="A10" s="719"/>
      <c r="B10" s="532" t="s">
        <v>71</v>
      </c>
      <c r="C10" s="532" t="s">
        <v>991</v>
      </c>
      <c r="E10" s="11"/>
      <c r="F10" s="552" t="s">
        <v>1016</v>
      </c>
      <c r="G10" s="26" t="s">
        <v>666</v>
      </c>
      <c r="H10" s="553" t="str">
        <f>LEFT(Modules[Code], FIND(".", Modules[Code])-1)</f>
        <v>III</v>
      </c>
      <c r="I10" s="553" t="str">
        <f>INDEX(Workstreams[Workstream], MATCH(Modules[WS Code], Workstreams[Code], 0))</f>
        <v>National renewable power generation</v>
      </c>
      <c r="J10" s="26"/>
      <c r="L10" s="11"/>
      <c r="M10" s="14" t="s">
        <v>67</v>
      </c>
      <c r="N10" s="20" t="s">
        <v>22</v>
      </c>
      <c r="O10" s="20" t="s">
        <v>33</v>
      </c>
      <c r="P10" s="528" t="s">
        <v>748</v>
      </c>
      <c r="Q10" s="19"/>
      <c r="S10" s="533"/>
      <c r="T10" s="528">
        <v>3</v>
      </c>
      <c r="U10" s="528" t="s">
        <v>760</v>
      </c>
      <c r="V10" s="528" t="s">
        <v>858</v>
      </c>
      <c r="W10"/>
      <c r="X10" s="1685" t="s">
        <v>1794</v>
      </c>
      <c r="Y10" s="1686" t="s">
        <v>1795</v>
      </c>
      <c r="Z10" s="1687"/>
    </row>
    <row r="11" spans="1:26" s="532" customFormat="1">
      <c r="A11" s="719"/>
      <c r="B11" s="532" t="s">
        <v>564</v>
      </c>
      <c r="C11" s="532" t="s">
        <v>1214</v>
      </c>
      <c r="E11" s="11"/>
      <c r="F11" s="552" t="s">
        <v>1017</v>
      </c>
      <c r="G11" s="26" t="s">
        <v>667</v>
      </c>
      <c r="H11" s="553" t="str">
        <f>LEFT(Modules[Code], FIND(".", Modules[Code])-1)</f>
        <v>III</v>
      </c>
      <c r="I11" s="553" t="str">
        <f>INDEX(Workstreams[Workstream], MATCH(Modules[WS Code], Workstreams[Code], 0))</f>
        <v>National renewable power generation</v>
      </c>
      <c r="J11" s="26"/>
      <c r="L11" s="11"/>
      <c r="M11" s="14" t="s">
        <v>67</v>
      </c>
      <c r="N11" s="20" t="s">
        <v>22</v>
      </c>
      <c r="O11" s="20" t="s">
        <v>34</v>
      </c>
      <c r="P11" s="528" t="s">
        <v>749</v>
      </c>
      <c r="Q11" s="19"/>
      <c r="S11" s="533"/>
      <c r="T11" s="528">
        <v>4</v>
      </c>
      <c r="U11" s="528" t="s">
        <v>172</v>
      </c>
      <c r="V11" s="528" t="s">
        <v>928</v>
      </c>
      <c r="W11"/>
      <c r="X11" s="1685" t="s">
        <v>1533</v>
      </c>
      <c r="Y11" s="1686" t="s">
        <v>1534</v>
      </c>
      <c r="Z11" s="1687"/>
    </row>
    <row r="12" spans="1:26" s="532" customFormat="1">
      <c r="A12" s="719"/>
      <c r="B12" s="532" t="s">
        <v>565</v>
      </c>
      <c r="C12" s="532" t="s">
        <v>1912</v>
      </c>
      <c r="E12" s="11"/>
      <c r="F12" s="552" t="s">
        <v>640</v>
      </c>
      <c r="G12" s="26" t="s">
        <v>1507</v>
      </c>
      <c r="H12" s="553" t="str">
        <f>LEFT(Modules[Code], FIND(".", Modules[Code])-1)</f>
        <v>III</v>
      </c>
      <c r="I12" s="553" t="str">
        <f>INDEX(Workstreams[Workstream], MATCH(Modules[WS Code], Workstreams[Code], 0))</f>
        <v>National renewable power generation</v>
      </c>
      <c r="J12" s="26" t="s">
        <v>641</v>
      </c>
      <c r="L12" s="11"/>
      <c r="M12" s="14" t="s">
        <v>67</v>
      </c>
      <c r="N12" s="20" t="s">
        <v>22</v>
      </c>
      <c r="O12" s="20" t="s">
        <v>35</v>
      </c>
      <c r="P12" s="528" t="s">
        <v>712</v>
      </c>
      <c r="Q12" s="19"/>
      <c r="S12" s="533"/>
      <c r="T12" s="528">
        <v>5</v>
      </c>
      <c r="U12" s="528" t="s">
        <v>978</v>
      </c>
      <c r="V12" s="528"/>
      <c r="W12"/>
      <c r="X12" s="1685" t="s">
        <v>1542</v>
      </c>
      <c r="Y12" s="1686" t="s">
        <v>1543</v>
      </c>
      <c r="Z12" s="1687"/>
    </row>
    <row r="13" spans="1:26" s="532" customFormat="1">
      <c r="A13" s="719"/>
      <c r="B13" s="532" t="s">
        <v>566</v>
      </c>
      <c r="C13" s="532" t="s">
        <v>1913</v>
      </c>
      <c r="E13" s="11"/>
      <c r="F13" s="552" t="s">
        <v>642</v>
      </c>
      <c r="G13" s="26" t="s">
        <v>1914</v>
      </c>
      <c r="H13" s="553" t="str">
        <f>LEFT(Modules[Code], FIND(".", Modules[Code])-1)</f>
        <v>III</v>
      </c>
      <c r="I13" s="553" t="str">
        <f>INDEX(Workstreams[Workstream], MATCH(Modules[WS Code], Workstreams[Code], 0))</f>
        <v>National renewable power generation</v>
      </c>
      <c r="J13" s="26"/>
      <c r="L13" s="11"/>
      <c r="M13" s="14" t="s">
        <v>67</v>
      </c>
      <c r="N13" s="20" t="s">
        <v>22</v>
      </c>
      <c r="O13" s="20" t="s">
        <v>36</v>
      </c>
      <c r="P13" s="528" t="s">
        <v>169</v>
      </c>
      <c r="Q13" s="19"/>
      <c r="S13" s="3"/>
      <c r="T13" s="528">
        <v>6</v>
      </c>
      <c r="U13" s="528" t="s">
        <v>48</v>
      </c>
      <c r="V13" s="528"/>
      <c r="W13"/>
      <c r="X13" s="1685" t="s">
        <v>1796</v>
      </c>
      <c r="Y13" s="1686" t="s">
        <v>1800</v>
      </c>
      <c r="Z13" s="1687"/>
    </row>
    <row r="14" spans="1:26" s="532" customFormat="1">
      <c r="A14" s="719"/>
      <c r="B14" s="532" t="s">
        <v>567</v>
      </c>
      <c r="C14" s="532" t="s">
        <v>574</v>
      </c>
      <c r="E14" s="11"/>
      <c r="F14" s="552" t="s">
        <v>1293</v>
      </c>
      <c r="G14" s="26" t="s">
        <v>2</v>
      </c>
      <c r="H14" s="553" t="str">
        <f>LEFT(Modules[Code], FIND(".", Modules[Code])-1)</f>
        <v>III</v>
      </c>
      <c r="I14" s="553" t="str">
        <f>INDEX(Workstreams[Workstream], MATCH(Modules[WS Code], Workstreams[Code], 0))</f>
        <v>National renewable power generation</v>
      </c>
      <c r="J14" s="26"/>
      <c r="L14" s="11"/>
      <c r="M14" s="14" t="s">
        <v>67</v>
      </c>
      <c r="N14" s="117" t="s">
        <v>22</v>
      </c>
      <c r="O14" s="117" t="s">
        <v>721</v>
      </c>
      <c r="P14" s="528" t="s">
        <v>711</v>
      </c>
      <c r="Q14" s="19"/>
      <c r="S14" s="3"/>
      <c r="T14" s="528">
        <v>7</v>
      </c>
      <c r="U14" s="528" t="s">
        <v>113</v>
      </c>
      <c r="V14" s="528"/>
      <c r="W14"/>
      <c r="X14" s="1685" t="s">
        <v>1535</v>
      </c>
      <c r="Y14" s="1686" t="s">
        <v>1536</v>
      </c>
      <c r="Z14" s="1687"/>
    </row>
    <row r="15" spans="1:26" s="532" customFormat="1">
      <c r="A15" s="719"/>
      <c r="B15" s="532" t="s">
        <v>569</v>
      </c>
      <c r="C15" s="532" t="s">
        <v>26</v>
      </c>
      <c r="E15" s="11"/>
      <c r="F15" s="552" t="s">
        <v>1294</v>
      </c>
      <c r="G15" s="26" t="s">
        <v>1379</v>
      </c>
      <c r="H15" s="553" t="str">
        <f>LEFT(Modules[Code], FIND(".", Modules[Code])-1)</f>
        <v>III</v>
      </c>
      <c r="I15" s="553" t="str">
        <f>INDEX(Workstreams[Workstream], MATCH(Modules[WS Code], Workstreams[Code], 0))</f>
        <v>National renewable power generation</v>
      </c>
      <c r="J15" s="26"/>
      <c r="L15" s="11"/>
      <c r="M15" s="14" t="s">
        <v>67</v>
      </c>
      <c r="N15" s="117" t="s">
        <v>22</v>
      </c>
      <c r="O15" s="117" t="s">
        <v>722</v>
      </c>
      <c r="P15" s="528" t="s">
        <v>723</v>
      </c>
      <c r="Q15" s="19"/>
      <c r="S15" s="3"/>
      <c r="T15" s="517" t="s">
        <v>764</v>
      </c>
      <c r="U15" s="26" t="s">
        <v>1915</v>
      </c>
      <c r="V15" s="26" t="s">
        <v>929</v>
      </c>
      <c r="W15"/>
      <c r="X15" s="1685" t="s">
        <v>1544</v>
      </c>
      <c r="Y15" s="1686" t="s">
        <v>1545</v>
      </c>
      <c r="Z15" s="1687"/>
    </row>
    <row r="16" spans="1:26" s="532" customFormat="1">
      <c r="A16" s="719"/>
      <c r="B16" s="532" t="s">
        <v>570</v>
      </c>
      <c r="C16" s="532" t="s">
        <v>27</v>
      </c>
      <c r="E16" s="11"/>
      <c r="F16" s="552" t="s">
        <v>1295</v>
      </c>
      <c r="G16" s="26" t="s">
        <v>1380</v>
      </c>
      <c r="H16" s="553" t="str">
        <f>LEFT(Modules[Code], FIND(".", Modules[Code])-1)</f>
        <v>III</v>
      </c>
      <c r="I16" s="553" t="str">
        <f>INDEX(Workstreams[Workstream], MATCH(Modules[WS Code], Workstreams[Code], 0))</f>
        <v>National renewable power generation</v>
      </c>
      <c r="J16" s="26"/>
      <c r="L16" s="11"/>
      <c r="M16" s="14" t="s">
        <v>67</v>
      </c>
      <c r="N16" s="20" t="s">
        <v>39</v>
      </c>
      <c r="O16" s="20" t="s">
        <v>13</v>
      </c>
      <c r="P16" s="528" t="s">
        <v>39</v>
      </c>
      <c r="Q16" s="22" t="s">
        <v>1178</v>
      </c>
      <c r="S16" s="117"/>
      <c r="T16" s="517" t="s">
        <v>765</v>
      </c>
      <c r="U16" s="26" t="s">
        <v>1095</v>
      </c>
      <c r="V16" s="26" t="s">
        <v>989</v>
      </c>
      <c r="W16"/>
      <c r="X16" s="1685" t="s">
        <v>1797</v>
      </c>
      <c r="Y16" s="1686" t="s">
        <v>1798</v>
      </c>
      <c r="Z16" s="1687"/>
    </row>
    <row r="17" spans="1:26" s="532" customFormat="1" ht="26">
      <c r="A17" s="719"/>
      <c r="B17" s="532" t="s">
        <v>571</v>
      </c>
      <c r="C17" s="532" t="s">
        <v>39</v>
      </c>
      <c r="E17" s="11"/>
      <c r="F17" s="552" t="s">
        <v>643</v>
      </c>
      <c r="G17" s="26" t="s">
        <v>1364</v>
      </c>
      <c r="H17" s="553" t="str">
        <f>LEFT(Modules[Code], FIND(".", Modules[Code])-1)</f>
        <v>III</v>
      </c>
      <c r="I17" s="553" t="str">
        <f>INDEX(Workstreams[Workstream], MATCH(Modules[WS Code], Workstreams[Code], 0))</f>
        <v>National renewable power generation</v>
      </c>
      <c r="J17" s="26"/>
      <c r="L17" s="11"/>
      <c r="M17" s="14" t="s">
        <v>67</v>
      </c>
      <c r="N17" s="117" t="s">
        <v>996</v>
      </c>
      <c r="O17" s="20" t="s">
        <v>6</v>
      </c>
      <c r="P17" s="528" t="s">
        <v>1916</v>
      </c>
      <c r="Q17" s="22" t="s">
        <v>997</v>
      </c>
      <c r="S17"/>
      <c r="T17" s="517" t="s">
        <v>790</v>
      </c>
      <c r="U17" s="26" t="s">
        <v>1094</v>
      </c>
      <c r="V17" s="26" t="s">
        <v>1093</v>
      </c>
      <c r="W17"/>
      <c r="X17" s="1685" t="s">
        <v>1537</v>
      </c>
      <c r="Y17" s="1686" t="s">
        <v>1538</v>
      </c>
      <c r="Z17" s="1687"/>
    </row>
    <row r="18" spans="1:26" s="532" customFormat="1" ht="26">
      <c r="A18" s="719"/>
      <c r="B18" s="532" t="s">
        <v>572</v>
      </c>
      <c r="C18" s="532" t="s">
        <v>244</v>
      </c>
      <c r="E18" s="11"/>
      <c r="F18" s="552" t="s">
        <v>644</v>
      </c>
      <c r="G18" s="26" t="s">
        <v>1254</v>
      </c>
      <c r="H18" s="553" t="str">
        <f>LEFT(Modules[Code], FIND(".", Modules[Code])-1)</f>
        <v>III</v>
      </c>
      <c r="I18" s="553" t="str">
        <f>INDEX(Workstreams[Workstream], MATCH(Modules[WS Code], Workstreams[Code], 0))</f>
        <v>National renewable power generation</v>
      </c>
      <c r="J18" s="26"/>
      <c r="L18" s="11"/>
      <c r="M18" s="528" t="s">
        <v>67</v>
      </c>
      <c r="N18" s="20" t="s">
        <v>65</v>
      </c>
      <c r="O18" s="20" t="s">
        <v>51</v>
      </c>
      <c r="P18" s="18" t="s">
        <v>27</v>
      </c>
      <c r="Q18" s="22" t="s">
        <v>695</v>
      </c>
      <c r="S18"/>
      <c r="T18" s="117"/>
      <c r="U18" s="117"/>
      <c r="V18" s="117"/>
      <c r="W18" s="117"/>
    </row>
    <row r="19" spans="1:26" s="532" customFormat="1">
      <c r="A19" s="719"/>
      <c r="B19" s="532" t="s">
        <v>573</v>
      </c>
      <c r="C19" s="532" t="s">
        <v>1251</v>
      </c>
      <c r="E19" s="11"/>
      <c r="F19" s="552" t="s">
        <v>727</v>
      </c>
      <c r="G19" s="26" t="s">
        <v>62</v>
      </c>
      <c r="H19" s="553" t="str">
        <f>LEFT(Modules[Code], FIND(".", Modules[Code])-1)</f>
        <v>IV</v>
      </c>
      <c r="I19" s="553" t="str">
        <f>INDEX(Workstreams[Workstream], MATCH(Modules[WS Code], Workstreams[Code], 0))</f>
        <v>Distributed renewable power generation</v>
      </c>
      <c r="J19" s="26"/>
      <c r="L19" s="11"/>
      <c r="M19" s="14" t="s">
        <v>67</v>
      </c>
      <c r="N19" s="20" t="s">
        <v>29</v>
      </c>
      <c r="O19" s="20" t="s">
        <v>37</v>
      </c>
      <c r="P19" s="528" t="s">
        <v>1251</v>
      </c>
      <c r="Q19" s="22" t="s">
        <v>1257</v>
      </c>
      <c r="S19"/>
      <c r="T19"/>
      <c r="U19"/>
      <c r="V19"/>
      <c r="W19"/>
      <c r="X19" s="1934" t="s">
        <v>1793</v>
      </c>
    </row>
    <row r="20" spans="1:26" s="532" customFormat="1" ht="26">
      <c r="A20" s="719"/>
      <c r="B20" s="532" t="s">
        <v>568</v>
      </c>
      <c r="C20" s="532" t="s">
        <v>424</v>
      </c>
      <c r="E20" s="11"/>
      <c r="F20" s="552" t="s">
        <v>895</v>
      </c>
      <c r="G20" s="26" t="s">
        <v>1516</v>
      </c>
      <c r="H20" s="553" t="str">
        <f>LEFT(Modules[Code], FIND(".", Modules[Code])-1)</f>
        <v>IV</v>
      </c>
      <c r="I20" s="553" t="str">
        <f>INDEX(Workstreams[Workstream], MATCH(Modules[WS Code], Workstreams[Code], 0))</f>
        <v>Distributed renewable power generation</v>
      </c>
      <c r="J20" s="26"/>
      <c r="L20" s="11"/>
      <c r="M20" s="14" t="s">
        <v>624</v>
      </c>
      <c r="N20" s="18" t="s">
        <v>0</v>
      </c>
      <c r="O20" s="18" t="s">
        <v>7</v>
      </c>
      <c r="P20" s="528" t="s">
        <v>882</v>
      </c>
      <c r="Q20" s="22" t="s">
        <v>423</v>
      </c>
      <c r="S20" s="533"/>
      <c r="T20" s="561" t="s">
        <v>766</v>
      </c>
      <c r="U20"/>
      <c r="V20"/>
      <c r="W20"/>
    </row>
    <row r="21" spans="1:26">
      <c r="A21" s="3"/>
      <c r="B21" s="552" t="s">
        <v>724</v>
      </c>
      <c r="C21" s="552" t="s">
        <v>725</v>
      </c>
      <c r="E21" s="11"/>
      <c r="F21" s="552" t="s">
        <v>990</v>
      </c>
      <c r="G21" s="26" t="s">
        <v>1517</v>
      </c>
      <c r="H21" s="553" t="str">
        <f>LEFT(Modules[Code], FIND(".", Modules[Code])-1)</f>
        <v>IV</v>
      </c>
      <c r="I21" s="553" t="str">
        <f>INDEX(Workstreams[Workstream], MATCH(Modules[WS Code], Workstreams[Code], 0))</f>
        <v>Distributed renewable power generation</v>
      </c>
      <c r="J21" s="26"/>
      <c r="L21" s="11"/>
      <c r="M21" s="14" t="s">
        <v>624</v>
      </c>
      <c r="N21" s="528" t="s">
        <v>46</v>
      </c>
      <c r="O21" s="18" t="s">
        <v>30</v>
      </c>
      <c r="P21" s="18" t="s">
        <v>15</v>
      </c>
      <c r="Q21" s="19"/>
      <c r="S21" s="533"/>
      <c r="X21" s="532" t="s">
        <v>77</v>
      </c>
      <c r="Y21" s="532" t="s">
        <v>73</v>
      </c>
      <c r="Z21" s="532" t="s">
        <v>563</v>
      </c>
    </row>
    <row r="22" spans="1:26">
      <c r="B22" s="552" t="s">
        <v>742</v>
      </c>
      <c r="C22" s="552" t="s">
        <v>141</v>
      </c>
      <c r="E22" s="11"/>
      <c r="F22" s="552" t="s">
        <v>719</v>
      </c>
      <c r="G22" s="26" t="s">
        <v>1519</v>
      </c>
      <c r="H22" s="553" t="str">
        <f>LEFT(Modules[Code], FIND(".", Modules[Code])-1)</f>
        <v>V</v>
      </c>
      <c r="I22" s="553" t="str">
        <f>INDEX(Workstreams[Workstream], MATCH(Modules[WS Code], Workstreams[Code], 0))</f>
        <v>Bioenergy</v>
      </c>
      <c r="J22" s="26"/>
      <c r="L22" s="11"/>
      <c r="M22" s="14" t="s">
        <v>624</v>
      </c>
      <c r="N22" s="14" t="s">
        <v>46</v>
      </c>
      <c r="O22" s="18" t="s">
        <v>8</v>
      </c>
      <c r="P22" s="18" t="s">
        <v>1</v>
      </c>
      <c r="Q22" s="19"/>
      <c r="S22" s="533"/>
      <c r="T22" s="528" t="s">
        <v>767</v>
      </c>
      <c r="U22" s="528" t="s">
        <v>768</v>
      </c>
      <c r="V22" s="528" t="s">
        <v>74</v>
      </c>
      <c r="X22" s="532" t="s">
        <v>1754</v>
      </c>
      <c r="Y22" s="532" t="s">
        <v>1758</v>
      </c>
      <c r="Z22" s="532"/>
    </row>
    <row r="23" spans="1:26">
      <c r="B23" s="552" t="s">
        <v>901</v>
      </c>
      <c r="C23" s="552" t="s">
        <v>663</v>
      </c>
      <c r="E23" s="11"/>
      <c r="F23" s="552" t="s">
        <v>1004</v>
      </c>
      <c r="G23" s="26" t="s">
        <v>1005</v>
      </c>
      <c r="H23" s="553" t="str">
        <f>LEFT(Modules[Code], FIND(".", Modules[Code])-1)</f>
        <v>V</v>
      </c>
      <c r="I23" s="553" t="str">
        <f>INDEX(Workstreams[Workstream], MATCH(Modules[WS Code], Workstreams[Code], 0))</f>
        <v>Bioenergy</v>
      </c>
      <c r="J23" s="26"/>
      <c r="L23" s="11"/>
      <c r="M23" s="14" t="s">
        <v>624</v>
      </c>
      <c r="N23" s="14" t="s">
        <v>46</v>
      </c>
      <c r="O23" s="18" t="s">
        <v>9</v>
      </c>
      <c r="P23" s="18" t="s">
        <v>64</v>
      </c>
      <c r="Q23" s="19"/>
      <c r="S23" s="533"/>
      <c r="T23" s="528" t="s">
        <v>769</v>
      </c>
      <c r="U23" s="528" t="s">
        <v>773</v>
      </c>
      <c r="V23" s="528"/>
      <c r="X23" s="532" t="s">
        <v>1755</v>
      </c>
      <c r="Y23" s="532" t="s">
        <v>1761</v>
      </c>
      <c r="Z23" s="532"/>
    </row>
    <row r="24" spans="1:26">
      <c r="B24" s="552" t="s">
        <v>1658</v>
      </c>
      <c r="C24" s="553" t="s">
        <v>1778</v>
      </c>
      <c r="E24" s="11"/>
      <c r="F24" s="552" t="s">
        <v>692</v>
      </c>
      <c r="G24" s="26" t="s">
        <v>1215</v>
      </c>
      <c r="H24" s="553" t="str">
        <f>LEFT(Modules[Code], FIND(".", Modules[Code])-1)</f>
        <v>VI</v>
      </c>
      <c r="I24" s="553" t="str">
        <f>INDEX(Workstreams[Workstream], MATCH(Modules[WS Code], Workstreams[Code], 0))</f>
        <v>Agriculture &amp; waste</v>
      </c>
      <c r="J24" s="26"/>
      <c r="L24" s="11"/>
      <c r="M24" s="528" t="s">
        <v>624</v>
      </c>
      <c r="N24" s="528" t="s">
        <v>46</v>
      </c>
      <c r="O24" s="18" t="s">
        <v>10</v>
      </c>
      <c r="P24" s="18" t="s">
        <v>2</v>
      </c>
      <c r="Q24" s="19"/>
      <c r="S24" s="533"/>
      <c r="T24" s="528" t="s">
        <v>770</v>
      </c>
      <c r="U24" s="528" t="s">
        <v>774</v>
      </c>
      <c r="V24" s="528"/>
      <c r="X24" s="532" t="s">
        <v>1756</v>
      </c>
      <c r="Y24" s="532" t="s">
        <v>1762</v>
      </c>
      <c r="Z24" s="532"/>
    </row>
    <row r="25" spans="1:26" ht="13">
      <c r="B25" s="117"/>
      <c r="C25" s="117"/>
      <c r="E25" s="11"/>
      <c r="F25" s="552" t="s">
        <v>720</v>
      </c>
      <c r="G25" s="26" t="s">
        <v>1518</v>
      </c>
      <c r="H25" s="553" t="str">
        <f>LEFT(Modules[Code], FIND(".", Modules[Code])-1)</f>
        <v>VI</v>
      </c>
      <c r="I25" s="553" t="str">
        <f>INDEX(Workstreams[Workstream], MATCH(Modules[WS Code], Workstreams[Code], 0))</f>
        <v>Agriculture &amp; waste</v>
      </c>
      <c r="J25" s="26"/>
      <c r="L25" s="11"/>
      <c r="M25" s="528" t="s">
        <v>624</v>
      </c>
      <c r="N25" s="528" t="s">
        <v>46</v>
      </c>
      <c r="O25" s="528" t="s">
        <v>11</v>
      </c>
      <c r="P25" s="18" t="s">
        <v>3</v>
      </c>
      <c r="Q25" s="19"/>
      <c r="T25" s="528" t="s">
        <v>771</v>
      </c>
      <c r="U25" s="528" t="s">
        <v>775</v>
      </c>
      <c r="V25" s="528"/>
      <c r="X25" s="532" t="s">
        <v>1757</v>
      </c>
      <c r="Y25" s="532" t="s">
        <v>1759</v>
      </c>
    </row>
    <row r="26" spans="1:26" ht="13">
      <c r="E26" s="11"/>
      <c r="F26" s="552" t="s">
        <v>1185</v>
      </c>
      <c r="G26" s="26" t="s">
        <v>1184</v>
      </c>
      <c r="H26" s="553" t="s">
        <v>565</v>
      </c>
      <c r="I26" s="553" t="str">
        <f>INDEX(Workstreams[Workstream], MATCH(Modules[WS Code], Workstreams[Code], 0))</f>
        <v>Agriculture &amp; waste</v>
      </c>
      <c r="J26" s="26"/>
      <c r="L26" s="11"/>
      <c r="M26" s="528" t="s">
        <v>624</v>
      </c>
      <c r="N26" s="528" t="s">
        <v>46</v>
      </c>
      <c r="O26" s="528" t="s">
        <v>12</v>
      </c>
      <c r="P26" s="18" t="s">
        <v>19</v>
      </c>
      <c r="Q26" s="19"/>
      <c r="T26" s="528" t="s">
        <v>772</v>
      </c>
      <c r="U26" s="528" t="s">
        <v>776</v>
      </c>
      <c r="V26" s="528"/>
      <c r="X26" s="532"/>
      <c r="Y26" s="532"/>
    </row>
    <row r="27" spans="1:26" ht="13">
      <c r="E27" s="11"/>
      <c r="F27" s="552" t="s">
        <v>632</v>
      </c>
      <c r="G27" s="26" t="s">
        <v>50</v>
      </c>
      <c r="H27" s="553" t="str">
        <f>LEFT(Modules[Code], FIND(".", Modules[Code])-1)</f>
        <v>VII</v>
      </c>
      <c r="I27" s="553" t="str">
        <f>INDEX(Workstreams[Workstream], MATCH(Modules[WS Code], Workstreams[Code], 0))</f>
        <v>Electricity distribution, storage &amp; balancing</v>
      </c>
      <c r="J27" s="26"/>
      <c r="L27" s="11"/>
      <c r="M27" s="528" t="s">
        <v>624</v>
      </c>
      <c r="N27" s="528" t="s">
        <v>46</v>
      </c>
      <c r="O27" s="528" t="s">
        <v>98</v>
      </c>
      <c r="P27" s="528" t="s">
        <v>1186</v>
      </c>
      <c r="Q27" s="22" t="s">
        <v>419</v>
      </c>
    </row>
    <row r="28" spans="1:26" ht="13">
      <c r="E28" s="11"/>
      <c r="F28" s="552" t="s">
        <v>634</v>
      </c>
      <c r="G28" s="26" t="s">
        <v>633</v>
      </c>
      <c r="H28" s="553" t="str">
        <f>LEFT(Modules[Code], FIND(".", Modules[Code])-1)</f>
        <v>VII</v>
      </c>
      <c r="I28" s="553" t="str">
        <f>INDEX(Workstreams[Workstream], MATCH(Modules[WS Code], Workstreams[Code], 0))</f>
        <v>Electricity distribution, storage &amp; balancing</v>
      </c>
      <c r="J28" s="26"/>
      <c r="L28" s="11"/>
      <c r="M28" s="14" t="s">
        <v>624</v>
      </c>
      <c r="N28" s="14" t="s">
        <v>46</v>
      </c>
      <c r="O28" s="528" t="s">
        <v>751</v>
      </c>
      <c r="P28" s="528" t="s">
        <v>172</v>
      </c>
      <c r="Q28" s="22" t="s">
        <v>752</v>
      </c>
      <c r="T28" s="117" t="s">
        <v>859</v>
      </c>
    </row>
    <row r="29" spans="1:26" ht="13">
      <c r="E29" s="11"/>
      <c r="F29" s="552" t="s">
        <v>636</v>
      </c>
      <c r="G29" s="26" t="s">
        <v>1520</v>
      </c>
      <c r="H29" s="553" t="str">
        <f>LEFT(Modules[Code], FIND(".", Modules[Code])-1)</f>
        <v>VII</v>
      </c>
      <c r="I29" s="553" t="str">
        <f>INDEX(Workstreams[Workstream], MATCH(Modules[WS Code], Workstreams[Code], 0))</f>
        <v>Electricity distribution, storage &amp; balancing</v>
      </c>
      <c r="J29" s="26" t="s">
        <v>639</v>
      </c>
      <c r="L29" s="11"/>
      <c r="M29" s="14" t="s">
        <v>624</v>
      </c>
      <c r="N29" s="18" t="s">
        <v>48</v>
      </c>
      <c r="O29" s="18" t="s">
        <v>49</v>
      </c>
      <c r="P29" s="528" t="s">
        <v>48</v>
      </c>
      <c r="Q29" s="22" t="s">
        <v>984</v>
      </c>
    </row>
    <row r="30" spans="1:26" ht="39">
      <c r="E30" s="11"/>
      <c r="F30" s="552" t="s">
        <v>728</v>
      </c>
      <c r="G30" s="26" t="s">
        <v>1306</v>
      </c>
      <c r="H30" s="553" t="str">
        <f>LEFT(Modules[Code], FIND(".", Modules[Code])-1)</f>
        <v>VIII</v>
      </c>
      <c r="I30" s="553" t="str">
        <f>INDEX(Workstreams[Workstream], MATCH(Modules[WS Code], Workstreams[Code], 0))</f>
        <v>H2 Production</v>
      </c>
      <c r="J30" s="26"/>
      <c r="L30" s="11"/>
      <c r="M30" s="14" t="s">
        <v>624</v>
      </c>
      <c r="N30" s="117" t="s">
        <v>43</v>
      </c>
      <c r="O30" s="20" t="s">
        <v>53</v>
      </c>
      <c r="P30" s="528" t="s">
        <v>1336</v>
      </c>
      <c r="Q30" s="22" t="s">
        <v>536</v>
      </c>
      <c r="S30" s="117"/>
      <c r="T30" s="117" t="s">
        <v>860</v>
      </c>
    </row>
    <row r="31" spans="1:26" ht="13">
      <c r="E31" s="11"/>
      <c r="F31" s="552" t="s">
        <v>655</v>
      </c>
      <c r="G31" s="26" t="s">
        <v>892</v>
      </c>
      <c r="H31" s="553" t="str">
        <f>LEFT(Modules[Code], FIND(".", Modules[Code])-1)</f>
        <v>IX</v>
      </c>
      <c r="I31" s="553" t="str">
        <f>INDEX(Workstreams[Workstream], MATCH(Modules[WS Code], Workstreams[Code], 0))</f>
        <v>Heating</v>
      </c>
      <c r="J31" s="26"/>
      <c r="L31" s="11"/>
      <c r="M31" s="14" t="s">
        <v>624</v>
      </c>
      <c r="N31" s="20" t="s">
        <v>43</v>
      </c>
      <c r="O31" s="20" t="s">
        <v>54</v>
      </c>
      <c r="P31" s="528" t="s">
        <v>1337</v>
      </c>
      <c r="Q31" s="19"/>
      <c r="S31" s="117"/>
    </row>
    <row r="32" spans="1:26" ht="13">
      <c r="E32" s="11"/>
      <c r="F32" s="552" t="s">
        <v>1361</v>
      </c>
      <c r="G32" s="26" t="s">
        <v>1389</v>
      </c>
      <c r="H32" s="553" t="str">
        <f>LEFT(Modules[Code], FIND(".", Modules[Code])-1)</f>
        <v>IX</v>
      </c>
      <c r="I32" s="553" t="str">
        <f>INDEX(Workstreams[Workstream], MATCH(Modules[WS Code], Workstreams[Code], 0))</f>
        <v>Heating</v>
      </c>
      <c r="J32" s="26"/>
      <c r="L32" s="11"/>
      <c r="M32" s="14" t="s">
        <v>624</v>
      </c>
      <c r="N32" s="117" t="s">
        <v>43</v>
      </c>
      <c r="O32" s="117" t="s">
        <v>638</v>
      </c>
      <c r="P32" s="528" t="s">
        <v>1338</v>
      </c>
      <c r="Q32" s="22" t="s">
        <v>1180</v>
      </c>
      <c r="S32" s="117"/>
      <c r="T32" s="117" t="s">
        <v>864</v>
      </c>
      <c r="U32" s="117" t="s">
        <v>865</v>
      </c>
      <c r="V32" s="117" t="s">
        <v>872</v>
      </c>
      <c r="W32" s="117" t="s">
        <v>876</v>
      </c>
    </row>
    <row r="33" spans="5:23" ht="13">
      <c r="E33" s="11"/>
      <c r="F33" s="552" t="s">
        <v>1362</v>
      </c>
      <c r="G33" s="26" t="s">
        <v>1390</v>
      </c>
      <c r="H33" s="553" t="str">
        <f>LEFT(Modules[Code], FIND(".", Modules[Code])-1)</f>
        <v>IX</v>
      </c>
      <c r="I33" s="553" t="str">
        <f>INDEX(Workstreams[Workstream], MATCH(Modules[WS Code], Workstreams[Code], 0))</f>
        <v>Heating</v>
      </c>
      <c r="J33" s="26"/>
      <c r="L33" s="11"/>
      <c r="M33" s="14" t="s">
        <v>624</v>
      </c>
      <c r="N33" s="117" t="s">
        <v>43</v>
      </c>
      <c r="O33" s="117" t="s">
        <v>732</v>
      </c>
      <c r="P33" s="528" t="s">
        <v>1339</v>
      </c>
      <c r="Q33" s="19"/>
      <c r="T33" s="117" t="s">
        <v>866</v>
      </c>
      <c r="U33" s="117" t="s">
        <v>867</v>
      </c>
      <c r="V33" s="117" t="s">
        <v>873</v>
      </c>
      <c r="W33" s="117"/>
    </row>
    <row r="34" spans="5:23" ht="13">
      <c r="E34" s="11"/>
      <c r="F34" s="552" t="s">
        <v>1599</v>
      </c>
      <c r="G34" s="26" t="s">
        <v>1600</v>
      </c>
      <c r="H34" s="553" t="s">
        <v>569</v>
      </c>
      <c r="I34" s="553" t="s">
        <v>26</v>
      </c>
      <c r="J34" s="26"/>
      <c r="L34" s="11"/>
      <c r="M34" s="528" t="s">
        <v>624</v>
      </c>
      <c r="N34" s="117" t="s">
        <v>43</v>
      </c>
      <c r="O34" s="117" t="s">
        <v>733</v>
      </c>
      <c r="P34" s="528" t="s">
        <v>1340</v>
      </c>
      <c r="Q34" s="22" t="s">
        <v>1001</v>
      </c>
      <c r="T34" s="117" t="s">
        <v>868</v>
      </c>
      <c r="U34" s="117" t="s">
        <v>113</v>
      </c>
      <c r="V34" s="117" t="s">
        <v>698</v>
      </c>
      <c r="W34" s="117"/>
    </row>
    <row r="35" spans="5:23" ht="13">
      <c r="E35" s="11"/>
      <c r="F35" s="552" t="s">
        <v>668</v>
      </c>
      <c r="G35" s="26" t="s">
        <v>1255</v>
      </c>
      <c r="H35" s="553" t="str">
        <f>LEFT(Modules[Code], FIND(".", Modules[Code])-1)</f>
        <v>IX</v>
      </c>
      <c r="I35" s="553" t="str">
        <f>INDEX(Workstreams[Workstream], MATCH(Modules[WS Code], Workstreams[Code], 0))</f>
        <v>Heating</v>
      </c>
      <c r="J35" s="26"/>
      <c r="L35" s="11"/>
      <c r="M35" s="528" t="s">
        <v>624</v>
      </c>
      <c r="N35" s="117" t="s">
        <v>43</v>
      </c>
      <c r="O35" s="117" t="s">
        <v>734</v>
      </c>
      <c r="P35" s="528" t="s">
        <v>1335</v>
      </c>
      <c r="Q35" s="19"/>
      <c r="T35" s="117" t="s">
        <v>861</v>
      </c>
      <c r="U35" s="117" t="s">
        <v>186</v>
      </c>
      <c r="V35" s="117" t="s">
        <v>874</v>
      </c>
    </row>
    <row r="36" spans="5:23" ht="13">
      <c r="E36" s="11"/>
      <c r="F36" s="552" t="s">
        <v>701</v>
      </c>
      <c r="G36" s="26" t="s">
        <v>894</v>
      </c>
      <c r="H36" s="553" t="str">
        <f>LEFT(Modules[Code], FIND(".", Modules[Code])-1)</f>
        <v>IX</v>
      </c>
      <c r="I36" s="553" t="str">
        <f>INDEX(Workstreams[Workstream], MATCH(Modules[WS Code], Workstreams[Code], 0))</f>
        <v>Heating</v>
      </c>
      <c r="J36" s="26"/>
      <c r="L36" s="11"/>
      <c r="M36" s="14" t="s">
        <v>624</v>
      </c>
      <c r="N36" s="117" t="s">
        <v>735</v>
      </c>
      <c r="O36" s="117" t="s">
        <v>736</v>
      </c>
      <c r="P36" s="528" t="s">
        <v>739</v>
      </c>
      <c r="Q36" s="22"/>
      <c r="T36" s="117" t="s">
        <v>862</v>
      </c>
      <c r="U36" s="117" t="s">
        <v>863</v>
      </c>
      <c r="V36" s="117" t="s">
        <v>878</v>
      </c>
      <c r="W36" s="117" t="s">
        <v>879</v>
      </c>
    </row>
    <row r="37" spans="5:23" ht="13">
      <c r="E37" s="11"/>
      <c r="F37" s="552" t="s">
        <v>702</v>
      </c>
      <c r="G37" s="26" t="s">
        <v>1256</v>
      </c>
      <c r="H37" s="553" t="str">
        <f>LEFT(Modules[Code], FIND(".", Modules[Code])-1)</f>
        <v>IX</v>
      </c>
      <c r="I37" s="553" t="str">
        <f>INDEX(Workstreams[Workstream], MATCH(Modules[WS Code], Workstreams[Code], 0))</f>
        <v>Heating</v>
      </c>
      <c r="J37" s="26"/>
      <c r="L37" s="11"/>
      <c r="M37" s="14" t="s">
        <v>624</v>
      </c>
      <c r="N37" s="117" t="s">
        <v>735</v>
      </c>
      <c r="O37" s="117" t="s">
        <v>737</v>
      </c>
      <c r="P37" s="528" t="s">
        <v>740</v>
      </c>
      <c r="Q37" s="22"/>
      <c r="T37" s="117" t="s">
        <v>869</v>
      </c>
      <c r="U37" s="117" t="s">
        <v>871</v>
      </c>
      <c r="V37" s="117" t="s">
        <v>875</v>
      </c>
      <c r="W37" s="117" t="s">
        <v>877</v>
      </c>
    </row>
    <row r="38" spans="5:23" ht="13">
      <c r="E38" s="7"/>
      <c r="F38" s="552" t="s">
        <v>706</v>
      </c>
      <c r="G38" s="26" t="s">
        <v>708</v>
      </c>
      <c r="H38" s="553" t="str">
        <f>LEFT(Modules[Code], FIND(".", Modules[Code])-1)</f>
        <v>X</v>
      </c>
      <c r="I38" s="553" t="str">
        <f>INDEX(Workstreams[Workstream], MATCH(Modules[WS Code], Workstreams[Code], 0))</f>
        <v>Lighting &amp; appliances</v>
      </c>
      <c r="J38" s="26"/>
      <c r="L38" s="7"/>
      <c r="M38" s="14" t="s">
        <v>624</v>
      </c>
      <c r="N38" s="117" t="s">
        <v>735</v>
      </c>
      <c r="O38" s="117" t="s">
        <v>738</v>
      </c>
      <c r="P38" s="528" t="s">
        <v>750</v>
      </c>
      <c r="Q38" s="22"/>
      <c r="T38" s="117" t="s">
        <v>870</v>
      </c>
      <c r="U38" s="117" t="s">
        <v>113</v>
      </c>
      <c r="V38" s="117" t="s">
        <v>698</v>
      </c>
    </row>
    <row r="39" spans="5:23" ht="26">
      <c r="E39" s="7"/>
      <c r="F39" s="552" t="s">
        <v>707</v>
      </c>
      <c r="G39" s="26" t="s">
        <v>709</v>
      </c>
      <c r="H39" s="553" t="str">
        <f>LEFT(Modules[Code], FIND(".", Modules[Code])-1)</f>
        <v>X</v>
      </c>
      <c r="I39" s="553" t="str">
        <f>INDEX(Workstreams[Workstream], MATCH(Modules[WS Code], Workstreams[Code], 0))</f>
        <v>Lighting &amp; appliances</v>
      </c>
      <c r="J39" s="26"/>
      <c r="L39" s="7"/>
      <c r="M39" s="14" t="s">
        <v>72</v>
      </c>
      <c r="N39" s="528" t="s">
        <v>625</v>
      </c>
      <c r="O39" s="18" t="s">
        <v>58</v>
      </c>
      <c r="P39" s="528" t="s">
        <v>1181</v>
      </c>
      <c r="Q39" s="22" t="s">
        <v>1000</v>
      </c>
    </row>
    <row r="40" spans="5:23" ht="26">
      <c r="E40" s="7"/>
      <c r="F40" s="552" t="s">
        <v>669</v>
      </c>
      <c r="G40" s="26" t="s">
        <v>426</v>
      </c>
      <c r="H40" s="553" t="str">
        <f>LEFT(Modules[Code], FIND(".", Modules[Code])-1)</f>
        <v>XI</v>
      </c>
      <c r="I40" s="553" t="str">
        <f>INDEX(Workstreams[Workstream], MATCH(Modules[WS Code], Workstreams[Code], 0))</f>
        <v>Industry</v>
      </c>
      <c r="J40" s="26"/>
      <c r="L40" s="7"/>
      <c r="M40" s="528" t="s">
        <v>72</v>
      </c>
      <c r="N40" s="528" t="s">
        <v>625</v>
      </c>
      <c r="O40" s="18" t="s">
        <v>59</v>
      </c>
      <c r="P40" s="528" t="s">
        <v>977</v>
      </c>
      <c r="Q40" s="22" t="s">
        <v>1000</v>
      </c>
    </row>
    <row r="41" spans="5:23" ht="26">
      <c r="E41" s="7"/>
      <c r="F41" s="552" t="s">
        <v>671</v>
      </c>
      <c r="G41" s="26" t="s">
        <v>916</v>
      </c>
      <c r="H41" s="553" t="str">
        <f>LEFT(Modules[Code], FIND(".", Modules[Code])-1)</f>
        <v>XII</v>
      </c>
      <c r="I41" s="553" t="str">
        <f>INDEX(Workstreams[Workstream], MATCH(Modules[WS Code], Workstreams[Code], 0))</f>
        <v>Transport</v>
      </c>
      <c r="J41" s="26"/>
      <c r="L41" s="7"/>
      <c r="M41" s="528" t="s">
        <v>72</v>
      </c>
      <c r="N41" s="528" t="s">
        <v>625</v>
      </c>
      <c r="O41" s="18" t="s">
        <v>60</v>
      </c>
      <c r="P41" s="528" t="s">
        <v>259</v>
      </c>
      <c r="Q41" s="22" t="s">
        <v>1000</v>
      </c>
    </row>
    <row r="42" spans="5:23" ht="13">
      <c r="E42" s="7"/>
      <c r="F42" s="552" t="s">
        <v>684</v>
      </c>
      <c r="G42" s="26" t="s">
        <v>917</v>
      </c>
      <c r="H42" s="553" t="str">
        <f>LEFT(Modules[Code], FIND(".", Modules[Code])-1)</f>
        <v>XII</v>
      </c>
      <c r="I42" s="553" t="str">
        <f>INDEX(Workstreams[Workstream], MATCH(Modules[WS Code], Workstreams[Code], 0))</f>
        <v>Transport</v>
      </c>
      <c r="J42" s="26"/>
      <c r="L42" s="7"/>
      <c r="M42" s="528" t="s">
        <v>72</v>
      </c>
      <c r="N42" s="528" t="s">
        <v>5</v>
      </c>
      <c r="O42" s="18" t="s">
        <v>40</v>
      </c>
      <c r="P42" s="18" t="s">
        <v>61</v>
      </c>
      <c r="Q42" s="528"/>
    </row>
    <row r="43" spans="5:23" ht="13">
      <c r="E43" s="7"/>
      <c r="F43" s="552" t="s">
        <v>687</v>
      </c>
      <c r="G43" s="26" t="s">
        <v>711</v>
      </c>
      <c r="H43" s="553" t="str">
        <f>LEFT(Modules[Code], FIND(".", Modules[Code])-1)</f>
        <v>XII</v>
      </c>
      <c r="I43" s="553" t="str">
        <f>INDEX(Workstreams[Workstream], MATCH(Modules[WS Code], Workstreams[Code], 0))</f>
        <v>Transport</v>
      </c>
      <c r="J43" s="26"/>
      <c r="L43" s="7"/>
      <c r="M43" s="528" t="s">
        <v>72</v>
      </c>
      <c r="N43" s="528" t="s">
        <v>5</v>
      </c>
      <c r="O43" s="18" t="s">
        <v>41</v>
      </c>
      <c r="P43" s="528" t="s">
        <v>416</v>
      </c>
      <c r="Q43" s="19"/>
    </row>
    <row r="44" spans="5:23" ht="13">
      <c r="E44" s="7"/>
      <c r="F44" s="552" t="s">
        <v>710</v>
      </c>
      <c r="G44" s="26" t="s">
        <v>1252</v>
      </c>
      <c r="H44" s="553" t="str">
        <f>LEFT(Modules[Code], FIND(".", Modules[Code])-1)</f>
        <v>XII</v>
      </c>
      <c r="I44" s="553" t="str">
        <f>INDEX(Workstreams[Workstream], MATCH(Modules[WS Code], Workstreams[Code], 0))</f>
        <v>Transport</v>
      </c>
      <c r="J44" s="26"/>
      <c r="L44" s="7"/>
      <c r="M44" s="528" t="s">
        <v>72</v>
      </c>
      <c r="N44" s="528" t="s">
        <v>251</v>
      </c>
      <c r="O44" s="528" t="s">
        <v>42</v>
      </c>
      <c r="P44" s="18" t="s">
        <v>56</v>
      </c>
      <c r="Q44" s="22" t="s">
        <v>417</v>
      </c>
    </row>
    <row r="45" spans="5:23" ht="13">
      <c r="E45" s="7"/>
      <c r="F45" s="552" t="s">
        <v>713</v>
      </c>
      <c r="G45" s="26" t="s">
        <v>723</v>
      </c>
      <c r="H45" s="553" t="str">
        <f>LEFT(Modules[Code], FIND(".", Modules[Code])-1)</f>
        <v>XII</v>
      </c>
      <c r="I45" s="553" t="str">
        <f>INDEX(Workstreams[Workstream], MATCH(Modules[WS Code], Workstreams[Code], 0))</f>
        <v>Transport</v>
      </c>
      <c r="J45" s="26"/>
      <c r="L45" s="7"/>
      <c r="M45" s="528" t="s">
        <v>72</v>
      </c>
      <c r="N45" s="528" t="s">
        <v>251</v>
      </c>
      <c r="O45" s="528" t="s">
        <v>44</v>
      </c>
      <c r="P45" s="18" t="s">
        <v>57</v>
      </c>
      <c r="Q45" s="22" t="s">
        <v>418</v>
      </c>
    </row>
    <row r="46" spans="5:23" ht="13">
      <c r="E46" s="7"/>
      <c r="F46" s="552" t="s">
        <v>715</v>
      </c>
      <c r="G46" s="26" t="s">
        <v>1253</v>
      </c>
      <c r="H46" s="553" t="str">
        <f>LEFT(Modules[Code], FIND(".", Modules[Code])-1)</f>
        <v>XII</v>
      </c>
      <c r="I46" s="553" t="str">
        <f>INDEX(Workstreams[Workstream], MATCH(Modules[WS Code], Workstreams[Code], 0))</f>
        <v>Transport</v>
      </c>
      <c r="J46" s="26"/>
      <c r="L46" s="7"/>
      <c r="M46" s="528" t="s">
        <v>72</v>
      </c>
      <c r="N46" s="528" t="s">
        <v>251</v>
      </c>
      <c r="O46" s="528" t="s">
        <v>45</v>
      </c>
      <c r="P46" s="528" t="s">
        <v>537</v>
      </c>
      <c r="Q46" s="22" t="s">
        <v>250</v>
      </c>
    </row>
    <row r="47" spans="5:23" ht="13">
      <c r="E47" s="7"/>
      <c r="F47" s="552" t="s">
        <v>697</v>
      </c>
      <c r="G47" s="26" t="s">
        <v>1251</v>
      </c>
      <c r="H47" s="553" t="str">
        <f>LEFT(Modules[Code], FIND(".", Modules[Code])-1)</f>
        <v>XIII</v>
      </c>
      <c r="I47" s="553" t="str">
        <f>INDEX(Workstreams[Workstream], MATCH(Modules[WS Code], Workstreams[Code], 0))</f>
        <v>Food consumption [UNUSED]</v>
      </c>
      <c r="J47" s="26"/>
      <c r="L47" s="7"/>
      <c r="M47" s="528" t="s">
        <v>72</v>
      </c>
      <c r="N47" s="528" t="s">
        <v>251</v>
      </c>
      <c r="O47" s="528" t="s">
        <v>101</v>
      </c>
      <c r="P47" s="528" t="s">
        <v>252</v>
      </c>
      <c r="Q47" s="22"/>
    </row>
    <row r="48" spans="5:23" ht="26">
      <c r="E48" s="7"/>
      <c r="F48" s="552" t="s">
        <v>718</v>
      </c>
      <c r="G48" s="26" t="s">
        <v>424</v>
      </c>
      <c r="H48" s="553" t="str">
        <f>LEFT(Modules[Code], FIND(".", Modules[Code])-1)</f>
        <v>XIV</v>
      </c>
      <c r="I48" s="553" t="str">
        <f>INDEX(Workstreams[Workstream], MATCH(Modules[WS Code], Workstreams[Code], 0))</f>
        <v>Geosequestration</v>
      </c>
      <c r="J48" s="26"/>
      <c r="L48" s="7"/>
      <c r="M48" s="528" t="s">
        <v>72</v>
      </c>
      <c r="N48" s="528" t="s">
        <v>16</v>
      </c>
      <c r="O48" s="528" t="s">
        <v>627</v>
      </c>
      <c r="P48" s="528" t="s">
        <v>664</v>
      </c>
      <c r="Q48" s="22" t="s">
        <v>535</v>
      </c>
    </row>
    <row r="49" spans="5:17" ht="13">
      <c r="E49" s="7"/>
      <c r="F49" s="552" t="s">
        <v>726</v>
      </c>
      <c r="G49" s="26" t="s">
        <v>146</v>
      </c>
      <c r="H49" s="553" t="str">
        <f>LEFT(Modules[Code], FIND(".", Modules[Code])-1)</f>
        <v>XV</v>
      </c>
      <c r="I49" s="553" t="str">
        <f>INDEX(Workstreams[Workstream], MATCH(Modules[WS Code], Workstreams[Code], 0))</f>
        <v>Fossil fuel production</v>
      </c>
      <c r="J49" s="26"/>
      <c r="L49" s="7"/>
      <c r="M49" s="528" t="s">
        <v>72</v>
      </c>
      <c r="N49" s="528" t="s">
        <v>99</v>
      </c>
      <c r="O49" s="528" t="s">
        <v>628</v>
      </c>
      <c r="P49" s="528" t="s">
        <v>1332</v>
      </c>
      <c r="Q49" s="22" t="s">
        <v>693</v>
      </c>
    </row>
    <row r="50" spans="5:17" ht="39">
      <c r="E50" s="7"/>
      <c r="F50" s="552" t="s">
        <v>730</v>
      </c>
      <c r="G50" s="26" t="s">
        <v>731</v>
      </c>
      <c r="H50" s="553" t="str">
        <f>LEFT(Modules[Code], FIND(".", Modules[Code])-1)</f>
        <v>XV</v>
      </c>
      <c r="I50" s="553" t="str">
        <f>INDEX(Workstreams[Workstream], MATCH(Modules[WS Code], Workstreams[Code], 0))</f>
        <v>Fossil fuel production</v>
      </c>
      <c r="J50" s="26"/>
      <c r="L50" s="7"/>
      <c r="M50" s="528" t="s">
        <v>72</v>
      </c>
      <c r="N50" s="528" t="s">
        <v>99</v>
      </c>
      <c r="O50" s="528" t="s">
        <v>629</v>
      </c>
      <c r="P50" s="528" t="s">
        <v>1333</v>
      </c>
      <c r="Q50" s="22" t="s">
        <v>1077</v>
      </c>
    </row>
    <row r="51" spans="5:17" ht="26">
      <c r="E51" s="7"/>
      <c r="F51" s="552" t="s">
        <v>743</v>
      </c>
      <c r="G51" s="26" t="s">
        <v>745</v>
      </c>
      <c r="H51" s="553" t="str">
        <f>LEFT(Modules[Code], FIND(".", Modules[Code])-1)</f>
        <v>XVI</v>
      </c>
      <c r="I51" s="553" t="str">
        <f>INDEX(Workstreams[Workstream], MATCH(Modules[WS Code], Workstreams[Code], 0))</f>
        <v>Transfers</v>
      </c>
      <c r="J51" s="26" t="s">
        <v>880</v>
      </c>
      <c r="L51" s="7"/>
      <c r="M51" s="528" t="s">
        <v>72</v>
      </c>
      <c r="N51" s="528" t="s">
        <v>100</v>
      </c>
      <c r="O51" s="528" t="s">
        <v>696</v>
      </c>
      <c r="P51" s="528" t="s">
        <v>1334</v>
      </c>
      <c r="Q51" s="22" t="s">
        <v>694</v>
      </c>
    </row>
    <row r="52" spans="5:17" ht="13">
      <c r="E52" s="7"/>
      <c r="F52" s="552" t="s">
        <v>744</v>
      </c>
      <c r="G52" s="26" t="s">
        <v>1179</v>
      </c>
      <c r="H52" s="553" t="str">
        <f>LEFT(Modules[Code], FIND(".", Modules[Code])-1)</f>
        <v>XVI</v>
      </c>
      <c r="I52" s="553" t="str">
        <f>INDEX(Workstreams[Workstream], MATCH(Modules[WS Code], Workstreams[Code], 0))</f>
        <v>Transfers</v>
      </c>
      <c r="J52" s="26"/>
      <c r="L52" s="7"/>
      <c r="M52" s="1471" t="s">
        <v>72</v>
      </c>
      <c r="N52" s="36" t="s">
        <v>1290</v>
      </c>
      <c r="O52" s="1471" t="s">
        <v>1191</v>
      </c>
      <c r="P52" s="1472" t="s">
        <v>122</v>
      </c>
      <c r="Q52" s="1473" t="s">
        <v>1192</v>
      </c>
    </row>
    <row r="53" spans="5:17" ht="13">
      <c r="E53" s="7"/>
      <c r="F53" s="552" t="s">
        <v>903</v>
      </c>
      <c r="G53" s="26" t="s">
        <v>902</v>
      </c>
      <c r="H53" s="553" t="str">
        <f>LEFT(Modules[Code], FIND(".", Modules[Code])-1)</f>
        <v>XVII</v>
      </c>
      <c r="I53" s="553" t="str">
        <f>INDEX(Workstreams[Workstream], MATCH(Modules[WS Code], Workstreams[Code], 0))</f>
        <v>District heating</v>
      </c>
      <c r="J53" s="26" t="s">
        <v>904</v>
      </c>
      <c r="L53" s="7"/>
      <c r="M53" s="1045" t="s">
        <v>72</v>
      </c>
      <c r="N53" s="2033" t="s">
        <v>996</v>
      </c>
      <c r="O53" s="36" t="s">
        <v>897</v>
      </c>
      <c r="P53" s="26" t="s">
        <v>896</v>
      </c>
      <c r="Q53" s="1046" t="s">
        <v>898</v>
      </c>
    </row>
    <row r="54" spans="5:17" ht="17">
      <c r="E54" s="7"/>
      <c r="F54" s="552" t="s">
        <v>1777</v>
      </c>
      <c r="G54" s="26" t="s">
        <v>1778</v>
      </c>
      <c r="H54" s="553" t="s">
        <v>1658</v>
      </c>
      <c r="I54" s="553" t="s">
        <v>1778</v>
      </c>
      <c r="J54" s="26"/>
      <c r="L54" s="7"/>
      <c r="M54" s="1045" t="s">
        <v>72</v>
      </c>
      <c r="N54" s="528" t="s">
        <v>100</v>
      </c>
      <c r="O54" s="528" t="s">
        <v>985</v>
      </c>
      <c r="P54" s="18" t="s">
        <v>18</v>
      </c>
      <c r="Q54" s="1126"/>
    </row>
    <row r="55" spans="5:17" ht="13">
      <c r="E55" s="7"/>
      <c r="F55" s="552"/>
      <c r="G55" s="26"/>
      <c r="H55" s="553"/>
      <c r="I55" s="553"/>
      <c r="J55" s="26"/>
      <c r="L55" s="7"/>
      <c r="M55" s="1045" t="s">
        <v>72</v>
      </c>
      <c r="N55" s="36" t="s">
        <v>1290</v>
      </c>
      <c r="O55" s="36" t="s">
        <v>1076</v>
      </c>
      <c r="P55" s="26" t="s">
        <v>1187</v>
      </c>
      <c r="Q55" s="1046" t="s">
        <v>1189</v>
      </c>
    </row>
    <row r="56" spans="5:17" ht="13">
      <c r="E56" s="7"/>
      <c r="F56" s="552"/>
      <c r="G56" s="26"/>
      <c r="H56" s="553"/>
      <c r="I56" s="553"/>
      <c r="J56" s="26"/>
      <c r="L56" s="7"/>
      <c r="M56" s="1471" t="s">
        <v>72</v>
      </c>
      <c r="N56" s="36" t="s">
        <v>1290</v>
      </c>
      <c r="O56" s="1471" t="s">
        <v>1188</v>
      </c>
      <c r="P56" s="26" t="s">
        <v>1193</v>
      </c>
      <c r="Q56" s="1046" t="s">
        <v>1190</v>
      </c>
    </row>
    <row r="57" spans="5:17" ht="13">
      <c r="E57" s="7"/>
      <c r="L57" s="11"/>
      <c r="M57" s="1565" t="s">
        <v>1297</v>
      </c>
      <c r="N57" s="36" t="s">
        <v>1381</v>
      </c>
      <c r="O57" s="1565" t="s">
        <v>1299</v>
      </c>
      <c r="P57" s="26" t="s">
        <v>1382</v>
      </c>
      <c r="Q57" s="1567"/>
    </row>
    <row r="58" spans="5:17" ht="13">
      <c r="E58" s="7"/>
      <c r="L58" s="11"/>
      <c r="M58" s="1565" t="s">
        <v>1297</v>
      </c>
      <c r="N58" s="36" t="s">
        <v>1381</v>
      </c>
      <c r="O58" s="1606" t="s">
        <v>1322</v>
      </c>
      <c r="P58" s="1607" t="s">
        <v>1383</v>
      </c>
      <c r="Q58" s="1608"/>
    </row>
    <row r="59" spans="5:17" ht="13">
      <c r="L59" s="11"/>
      <c r="M59" s="1606" t="s">
        <v>1297</v>
      </c>
      <c r="N59" s="1606" t="s">
        <v>1381</v>
      </c>
      <c r="O59" s="1606" t="s">
        <v>1384</v>
      </c>
      <c r="P59" s="1607" t="s">
        <v>1385</v>
      </c>
      <c r="Q59" s="1608"/>
    </row>
    <row r="60" spans="5:17" ht="13">
      <c r="L60" s="11"/>
      <c r="M60" s="1606" t="s">
        <v>1297</v>
      </c>
      <c r="N60" s="36" t="s">
        <v>1387</v>
      </c>
      <c r="O60" s="36" t="s">
        <v>1386</v>
      </c>
      <c r="P60" s="26" t="s">
        <v>1388</v>
      </c>
      <c r="Q60" s="1126"/>
    </row>
    <row r="61" spans="5:17" ht="13">
      <c r="L61" s="11"/>
      <c r="M61" s="1565" t="s">
        <v>1297</v>
      </c>
      <c r="N61" s="1565" t="s">
        <v>1300</v>
      </c>
      <c r="O61" s="1565" t="s">
        <v>1304</v>
      </c>
      <c r="P61" s="1566" t="s">
        <v>1303</v>
      </c>
      <c r="Q61" s="1567"/>
    </row>
    <row r="62" spans="5:17" ht="13">
      <c r="L62" s="11"/>
      <c r="M62" s="36" t="s">
        <v>1297</v>
      </c>
      <c r="N62" s="36" t="s">
        <v>1300</v>
      </c>
      <c r="O62" s="36" t="s">
        <v>1617</v>
      </c>
      <c r="P62" s="26" t="s">
        <v>631</v>
      </c>
      <c r="Q62" s="1126"/>
    </row>
    <row r="63" spans="5:17" ht="13">
      <c r="L63" s="11"/>
      <c r="M63" s="1565" t="s">
        <v>1297</v>
      </c>
      <c r="N63" s="36" t="s">
        <v>1300</v>
      </c>
      <c r="O63" s="1565" t="s">
        <v>1305</v>
      </c>
      <c r="P63" s="1566" t="s">
        <v>1301</v>
      </c>
      <c r="Q63" s="1567"/>
    </row>
    <row r="64" spans="5:17" ht="13">
      <c r="L64" s="11"/>
      <c r="M64" s="1819" t="s">
        <v>1297</v>
      </c>
      <c r="N64" s="1819" t="s">
        <v>25</v>
      </c>
      <c r="O64" s="1819" t="s">
        <v>1700</v>
      </c>
      <c r="P64" s="1820" t="s">
        <v>1701</v>
      </c>
      <c r="Q64" s="1821" t="s">
        <v>1702</v>
      </c>
    </row>
    <row r="65" spans="12:17" ht="13">
      <c r="L65" s="11"/>
      <c r="M65" s="36" t="s">
        <v>1297</v>
      </c>
      <c r="N65" s="36" t="s">
        <v>25</v>
      </c>
      <c r="O65" s="36" t="s">
        <v>1618</v>
      </c>
      <c r="P65" s="26" t="s">
        <v>1619</v>
      </c>
      <c r="Q65" s="1046" t="s">
        <v>1622</v>
      </c>
    </row>
    <row r="66" spans="12:17" ht="13">
      <c r="L66" s="11"/>
      <c r="M66" s="36" t="s">
        <v>1297</v>
      </c>
      <c r="N66" s="36" t="s">
        <v>25</v>
      </c>
      <c r="O66" s="36" t="s">
        <v>1620</v>
      </c>
      <c r="P66" s="26" t="s">
        <v>1621</v>
      </c>
      <c r="Q66" s="1046" t="s">
        <v>1622</v>
      </c>
    </row>
    <row r="67" spans="12:17" ht="13">
      <c r="L67" s="11"/>
      <c r="M67" s="36" t="s">
        <v>1297</v>
      </c>
      <c r="N67" s="36" t="s">
        <v>25</v>
      </c>
      <c r="O67" s="36" t="s">
        <v>1623</v>
      </c>
      <c r="P67" s="26" t="s">
        <v>1624</v>
      </c>
      <c r="Q67" s="1046" t="s">
        <v>1622</v>
      </c>
    </row>
    <row r="68" spans="12:17" ht="13">
      <c r="L68" s="11"/>
      <c r="M68" s="36" t="s">
        <v>1297</v>
      </c>
      <c r="N68" s="36" t="s">
        <v>25</v>
      </c>
      <c r="O68" s="36" t="s">
        <v>1627</v>
      </c>
      <c r="P68" s="26" t="s">
        <v>1628</v>
      </c>
      <c r="Q68" s="1046" t="s">
        <v>1622</v>
      </c>
    </row>
    <row r="69" spans="12:17" ht="13">
      <c r="L69" s="11"/>
      <c r="M69" s="2"/>
      <c r="P69" s="2"/>
      <c r="Q69" s="12"/>
    </row>
    <row r="70" spans="12:17" ht="13">
      <c r="L70" s="11"/>
      <c r="M70" s="2"/>
      <c r="P70" s="2"/>
      <c r="Q70" s="12"/>
    </row>
    <row r="71" spans="12:17" ht="13">
      <c r="L71" s="2"/>
      <c r="M71" s="2"/>
      <c r="P71" s="2"/>
      <c r="Q71" s="12"/>
    </row>
    <row r="72" spans="12:17" ht="13">
      <c r="L72" s="2"/>
      <c r="M72" s="2"/>
      <c r="P72" s="2"/>
      <c r="Q72" s="12"/>
    </row>
    <row r="73" spans="12:17" ht="13">
      <c r="L73" s="2"/>
      <c r="M73" s="2"/>
      <c r="P73" s="2"/>
      <c r="Q73" s="12"/>
    </row>
    <row r="74" spans="12:17" ht="13">
      <c r="L74" s="2"/>
      <c r="M74" s="2"/>
      <c r="P74" s="2"/>
      <c r="Q74" s="12"/>
    </row>
    <row r="75" spans="12:17" ht="13">
      <c r="L75" s="2"/>
      <c r="M75" s="2"/>
      <c r="P75" s="2"/>
      <c r="Q75" s="12"/>
    </row>
    <row r="76" spans="12:17" ht="13">
      <c r="L76" s="2"/>
      <c r="M76" s="2"/>
      <c r="P76" s="2"/>
      <c r="Q76" s="12"/>
    </row>
    <row r="77" spans="12:17" ht="13">
      <c r="L77" s="2"/>
      <c r="M77" s="2"/>
      <c r="P77" s="2"/>
      <c r="Q77" s="12"/>
    </row>
    <row r="78" spans="12:17" ht="13">
      <c r="L78" s="2"/>
      <c r="M78" s="2"/>
      <c r="P78" s="2"/>
      <c r="Q78" s="12"/>
    </row>
    <row r="79" spans="12:17" ht="13">
      <c r="L79" s="2"/>
      <c r="M79" s="2"/>
      <c r="P79" s="2"/>
      <c r="Q79" s="12"/>
    </row>
    <row r="80" spans="12:17" ht="13">
      <c r="L80" s="2"/>
      <c r="M80" s="2"/>
      <c r="P80" s="2"/>
      <c r="Q80" s="12"/>
    </row>
  </sheetData>
  <pageMargins left="0.7" right="0.7" top="0.75" bottom="0.75" header="0.3" footer="0.3"/>
  <pageSetup paperSize="9" orientation="landscape" horizontalDpi="300" verticalDpi="300"/>
  <tableParts count="7">
    <tablePart r:id="rId1"/>
    <tablePart r:id="rId2"/>
    <tablePart r:id="rId3"/>
    <tablePart r:id="rId4"/>
    <tablePart r:id="rId5"/>
    <tablePart r:id="rId6"/>
    <tablePart r:id="rId7"/>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enableFormatConditionsCalculation="0">
    <tabColor theme="9"/>
    <outlinePr summaryBelow="0"/>
    <pageSetUpPr autoPageBreaks="0"/>
  </sheetPr>
  <dimension ref="A1:CW1046"/>
  <sheetViews>
    <sheetView topLeftCell="A424" workbookViewId="0">
      <selection activeCell="G435" sqref="G435"/>
    </sheetView>
  </sheetViews>
  <sheetFormatPr baseColWidth="10" defaultColWidth="8.83203125" defaultRowHeight="13" x14ac:dyDescent="0"/>
  <cols>
    <col min="1" max="1" width="7.6640625" style="117" customWidth="1"/>
    <col min="2" max="2" width="5.83203125" style="117" customWidth="1"/>
    <col min="3" max="3" width="20.5" style="117" customWidth="1"/>
    <col min="4" max="4" width="30.6640625" style="117" customWidth="1"/>
    <col min="5" max="5" width="20.6640625" style="117" customWidth="1"/>
    <col min="6" max="15" width="17.6640625" style="117" customWidth="1"/>
    <col min="16" max="16" width="2" style="117" customWidth="1"/>
    <col min="17" max="17" width="10.83203125" style="117" customWidth="1"/>
    <col min="18" max="18" width="21.5" style="117" customWidth="1"/>
    <col min="19" max="19" width="15.5" style="117" customWidth="1"/>
    <col min="20" max="20" width="32.6640625" style="117" customWidth="1"/>
    <col min="21" max="21" width="28.6640625" style="117" customWidth="1"/>
    <col min="22" max="22" width="21.33203125" style="117" customWidth="1"/>
    <col min="23" max="23" width="19.5" style="117" customWidth="1"/>
    <col min="24" max="24" width="18.83203125" style="117" customWidth="1"/>
    <col min="25" max="25" width="16.5" style="117" customWidth="1"/>
    <col min="26" max="26" width="13.33203125" style="117" customWidth="1"/>
    <col min="27" max="27" width="11" style="117" customWidth="1"/>
    <col min="28" max="16384" width="8.83203125" style="117"/>
  </cols>
  <sheetData>
    <row r="1" spans="1:19" ht="20">
      <c r="A1" s="554" t="s">
        <v>572</v>
      </c>
      <c r="B1" s="554" t="str">
        <f>INDEX(Workstreams[Workstream], MATCH($A1, Workstreams[Code], 0))</f>
        <v>Transport</v>
      </c>
      <c r="C1" s="554"/>
    </row>
    <row r="2" spans="1:19" s="528" customFormat="1" ht="19.5" customHeight="1">
      <c r="A2" s="6" t="s">
        <v>671</v>
      </c>
      <c r="B2" s="6" t="str">
        <f>INDEX(Modules[Module], MATCH($A2, Modules[Code], 0))</f>
        <v>Domestic passenger transport</v>
      </c>
      <c r="C2" s="6"/>
      <c r="E2" s="1705" t="s">
        <v>1890</v>
      </c>
    </row>
    <row r="4" spans="1:19" ht="22" collapsed="1">
      <c r="A4" s="799"/>
      <c r="B4" s="843" t="s">
        <v>909</v>
      </c>
      <c r="C4" s="810"/>
      <c r="D4" s="810"/>
      <c r="E4" s="810"/>
      <c r="F4" s="810"/>
      <c r="G4" s="810"/>
      <c r="H4" s="810"/>
      <c r="I4" s="810"/>
      <c r="J4" s="810"/>
      <c r="K4" s="810"/>
      <c r="L4" s="810"/>
      <c r="M4" s="810"/>
      <c r="N4" s="810"/>
      <c r="O4" s="810"/>
      <c r="P4" s="811"/>
      <c r="R4" s="526"/>
      <c r="S4" s="526"/>
    </row>
    <row r="5" spans="1:19">
      <c r="B5" s="800"/>
      <c r="C5" s="802"/>
      <c r="D5" s="802"/>
      <c r="E5" s="802"/>
      <c r="F5" s="802"/>
      <c r="G5" s="802"/>
      <c r="H5" s="802"/>
      <c r="I5" s="802"/>
      <c r="J5" s="802"/>
      <c r="K5" s="802"/>
      <c r="L5" s="802"/>
      <c r="M5" s="802"/>
      <c r="N5" s="802"/>
      <c r="O5" s="802"/>
      <c r="P5" s="804"/>
    </row>
    <row r="6" spans="1:19" ht="5.25" customHeight="1">
      <c r="B6" s="800"/>
      <c r="C6" s="801"/>
      <c r="D6" s="802"/>
      <c r="E6" s="803"/>
      <c r="F6" s="802"/>
      <c r="G6" s="802"/>
      <c r="H6" s="802"/>
      <c r="I6" s="802"/>
      <c r="J6" s="802"/>
      <c r="K6" s="802"/>
      <c r="L6" s="802"/>
      <c r="M6" s="802"/>
      <c r="N6" s="802"/>
      <c r="O6" s="802"/>
      <c r="P6" s="804"/>
    </row>
    <row r="7" spans="1:19" ht="15">
      <c r="B7" s="805"/>
      <c r="C7" s="802"/>
      <c r="D7" s="606" t="s">
        <v>656</v>
      </c>
      <c r="E7" s="606" t="s">
        <v>908</v>
      </c>
      <c r="F7" s="802"/>
      <c r="G7" s="802"/>
      <c r="H7" s="802"/>
      <c r="I7" s="802"/>
      <c r="J7" s="802"/>
      <c r="K7" s="802"/>
      <c r="L7" s="802"/>
      <c r="M7" s="802"/>
      <c r="N7" s="802"/>
      <c r="O7" s="802"/>
      <c r="P7" s="804"/>
    </row>
    <row r="8" spans="1:19" ht="15">
      <c r="B8" s="805"/>
      <c r="C8" s="802"/>
      <c r="D8" s="861" t="s">
        <v>1130</v>
      </c>
      <c r="E8" s="861">
        <f>XII.a.Scenario.Demand</f>
        <v>4</v>
      </c>
      <c r="F8" s="802"/>
      <c r="G8" s="802"/>
      <c r="H8" s="802"/>
      <c r="I8" s="802"/>
      <c r="J8" s="802"/>
      <c r="K8" s="802"/>
      <c r="L8" s="802"/>
      <c r="M8" s="802"/>
      <c r="N8" s="802"/>
      <c r="O8" s="802"/>
      <c r="P8" s="804"/>
      <c r="S8" s="1068"/>
    </row>
    <row r="9" spans="1:19" ht="15">
      <c r="B9" s="805"/>
      <c r="C9" s="802"/>
      <c r="D9" s="541" t="s">
        <v>1136</v>
      </c>
      <c r="E9" s="541">
        <f>XII.a.Scenario.Technology</f>
        <v>3</v>
      </c>
      <c r="F9" s="802"/>
      <c r="G9" s="802"/>
      <c r="H9" s="802"/>
      <c r="I9" s="802"/>
      <c r="J9" s="802"/>
      <c r="K9" s="802"/>
      <c r="L9" s="802"/>
      <c r="M9" s="802"/>
      <c r="N9" s="802"/>
      <c r="O9" s="802"/>
      <c r="P9" s="804"/>
    </row>
    <row r="10" spans="1:19" s="1825" customFormat="1" ht="15">
      <c r="B10" s="805"/>
      <c r="C10" s="802"/>
      <c r="D10" s="862" t="s">
        <v>1726</v>
      </c>
      <c r="E10" s="862">
        <f>XII.a.Scenario.ElecHydrogen</f>
        <v>1</v>
      </c>
      <c r="F10" s="802"/>
      <c r="G10" s="802"/>
      <c r="H10" s="802"/>
      <c r="I10" s="802"/>
      <c r="J10" s="802"/>
      <c r="K10" s="802"/>
      <c r="L10" s="802"/>
      <c r="M10" s="802"/>
      <c r="N10" s="802"/>
      <c r="O10" s="802"/>
      <c r="P10" s="804"/>
    </row>
    <row r="11" spans="1:19" ht="15">
      <c r="B11" s="805"/>
      <c r="C11" s="802"/>
      <c r="D11" s="541"/>
      <c r="E11" s="541"/>
      <c r="F11" s="802"/>
      <c r="G11" s="802"/>
      <c r="H11" s="802"/>
      <c r="I11" s="802"/>
      <c r="J11" s="802"/>
      <c r="K11" s="802"/>
      <c r="L11" s="802"/>
      <c r="M11" s="802"/>
      <c r="N11" s="802"/>
      <c r="O11" s="802"/>
      <c r="P11" s="804"/>
    </row>
    <row r="13" spans="1:19" s="528" customFormat="1" ht="22" collapsed="1">
      <c r="A13" s="798"/>
      <c r="B13" s="845" t="s">
        <v>910</v>
      </c>
      <c r="C13" s="796"/>
      <c r="D13" s="796"/>
      <c r="E13" s="796"/>
      <c r="F13" s="796"/>
      <c r="G13" s="796"/>
      <c r="H13" s="796"/>
      <c r="I13" s="796"/>
      <c r="J13" s="796"/>
      <c r="K13" s="796"/>
      <c r="L13" s="796"/>
      <c r="M13" s="796"/>
      <c r="N13" s="796"/>
      <c r="O13" s="796"/>
      <c r="P13" s="797"/>
      <c r="S13" s="570"/>
    </row>
    <row r="14" spans="1:19">
      <c r="B14" s="788"/>
      <c r="C14" s="588"/>
      <c r="D14" s="588"/>
      <c r="E14" s="588"/>
      <c r="F14" s="588"/>
      <c r="G14" s="588"/>
      <c r="H14" s="588"/>
      <c r="I14" s="588"/>
      <c r="J14" s="588"/>
      <c r="K14" s="588"/>
      <c r="L14" s="588"/>
      <c r="M14" s="588"/>
      <c r="N14" s="588"/>
      <c r="O14" s="588"/>
      <c r="P14" s="789"/>
    </row>
    <row r="15" spans="1:19">
      <c r="B15" s="788"/>
      <c r="C15" s="590" t="s">
        <v>931</v>
      </c>
      <c r="D15" s="588"/>
      <c r="E15" s="591"/>
      <c r="F15" s="588"/>
      <c r="G15" s="588"/>
      <c r="H15" s="588"/>
      <c r="I15" s="588"/>
      <c r="J15" s="588"/>
      <c r="K15" s="588"/>
      <c r="L15" s="588"/>
      <c r="M15" s="588"/>
      <c r="N15" s="588"/>
      <c r="O15" s="591" t="s">
        <v>952</v>
      </c>
      <c r="P15" s="789"/>
      <c r="R15" s="24"/>
    </row>
    <row r="16" spans="1:19" ht="5.25" customHeight="1">
      <c r="B16" s="788"/>
      <c r="C16" s="588"/>
      <c r="D16" s="588"/>
      <c r="E16" s="588"/>
      <c r="F16" s="588"/>
      <c r="G16" s="588"/>
      <c r="H16" s="588"/>
      <c r="I16" s="588"/>
      <c r="J16" s="588"/>
      <c r="K16" s="588"/>
      <c r="L16" s="588"/>
      <c r="M16" s="588"/>
      <c r="N16" s="588"/>
      <c r="O16" s="588"/>
      <c r="P16" s="789"/>
    </row>
    <row r="17" spans="2:37" ht="15">
      <c r="B17" s="790"/>
      <c r="C17" s="542" t="s">
        <v>908</v>
      </c>
      <c r="D17" s="542" t="s">
        <v>74</v>
      </c>
      <c r="E17" s="542" t="s">
        <v>422</v>
      </c>
      <c r="F17" s="607">
        <v>2007</v>
      </c>
      <c r="G17" s="608">
        <v>2010</v>
      </c>
      <c r="H17" s="607">
        <v>2015</v>
      </c>
      <c r="I17" s="607">
        <v>2020</v>
      </c>
      <c r="J17" s="607">
        <v>2025</v>
      </c>
      <c r="K17" s="607">
        <v>2030</v>
      </c>
      <c r="L17" s="607">
        <v>2035</v>
      </c>
      <c r="M17" s="607">
        <v>2040</v>
      </c>
      <c r="N17" s="607">
        <v>2045</v>
      </c>
      <c r="O17" s="607">
        <v>2050</v>
      </c>
      <c r="P17" s="789"/>
      <c r="Z17" s="1373"/>
      <c r="AA17" s="1373"/>
      <c r="AB17" s="1373"/>
      <c r="AC17" s="1373"/>
      <c r="AD17" s="1373"/>
      <c r="AE17" s="1373"/>
      <c r="AF17" s="1373"/>
      <c r="AG17" s="1373"/>
      <c r="AH17" s="1373"/>
      <c r="AI17" s="1373"/>
      <c r="AJ17" s="1373"/>
      <c r="AK17" s="1373"/>
    </row>
    <row r="18" spans="2:37" ht="15">
      <c r="B18" s="790"/>
      <c r="C18" s="567">
        <v>1</v>
      </c>
      <c r="D18" s="568"/>
      <c r="E18" s="848" t="s">
        <v>102</v>
      </c>
      <c r="F18" s="1069">
        <v>14104.004213212675</v>
      </c>
      <c r="G18" s="1096">
        <v>14247</v>
      </c>
      <c r="H18" s="1097">
        <v>14113</v>
      </c>
      <c r="I18" s="1097">
        <v>14427</v>
      </c>
      <c r="J18" s="1097">
        <v>14683</v>
      </c>
      <c r="K18" s="1097">
        <v>14862</v>
      </c>
      <c r="L18" s="1097">
        <v>15056</v>
      </c>
      <c r="M18" s="1097">
        <v>15152</v>
      </c>
      <c r="N18" s="1097">
        <v>15254</v>
      </c>
      <c r="O18" s="1097">
        <v>15363</v>
      </c>
      <c r="P18" s="789"/>
      <c r="R18" s="1551"/>
      <c r="S18" s="1551"/>
      <c r="T18" s="1551"/>
      <c r="U18" s="1551"/>
      <c r="V18" s="1551"/>
      <c r="W18" s="1551"/>
      <c r="X18" s="1551"/>
      <c r="Y18" s="1551"/>
      <c r="Z18" s="1373"/>
      <c r="AA18" s="1373"/>
      <c r="AB18" s="1373"/>
      <c r="AC18" s="1373"/>
      <c r="AD18" s="1373"/>
      <c r="AE18" s="762"/>
      <c r="AF18" s="762"/>
      <c r="AG18" s="762"/>
      <c r="AH18" s="1374"/>
      <c r="AI18" s="1374"/>
      <c r="AJ18" s="1374"/>
      <c r="AK18" s="1374"/>
    </row>
    <row r="19" spans="2:37" ht="15">
      <c r="B19" s="790"/>
      <c r="C19" s="567">
        <v>2</v>
      </c>
      <c r="D19" s="568"/>
      <c r="E19" s="848"/>
      <c r="F19" s="1069">
        <v>14104.004213212675</v>
      </c>
      <c r="G19" s="1375">
        <v>14079</v>
      </c>
      <c r="H19" s="1376">
        <v>14018</v>
      </c>
      <c r="I19" s="1097">
        <v>14373</v>
      </c>
      <c r="J19" s="1376">
        <v>14667</v>
      </c>
      <c r="K19" s="1097">
        <v>14792</v>
      </c>
      <c r="L19" s="1376">
        <v>14934</v>
      </c>
      <c r="M19" s="1097">
        <v>14956</v>
      </c>
      <c r="N19" s="1097">
        <v>14984</v>
      </c>
      <c r="O19" s="1097">
        <v>15023</v>
      </c>
      <c r="P19" s="789"/>
      <c r="R19" s="1551"/>
      <c r="S19" s="1551"/>
      <c r="T19" s="1551"/>
      <c r="U19" s="1551"/>
      <c r="V19" s="1551"/>
      <c r="W19" s="1551"/>
      <c r="X19" s="1551"/>
      <c r="Y19" s="1551"/>
      <c r="Z19" s="1373"/>
      <c r="AA19" s="1373"/>
      <c r="AB19" s="1373"/>
      <c r="AC19" s="1373"/>
      <c r="AD19" s="1373"/>
      <c r="AE19" s="1374"/>
      <c r="AF19" s="1374"/>
      <c r="AG19" s="1374"/>
      <c r="AH19" s="1374"/>
      <c r="AI19" s="1374"/>
      <c r="AJ19" s="1374"/>
      <c r="AK19" s="1374"/>
    </row>
    <row r="20" spans="2:37" ht="15">
      <c r="B20" s="790"/>
      <c r="C20" s="567">
        <v>3</v>
      </c>
      <c r="D20" s="568"/>
      <c r="E20" s="848"/>
      <c r="F20" s="1069">
        <v>14104.004213212675</v>
      </c>
      <c r="G20" s="1375">
        <f>G19</f>
        <v>14079</v>
      </c>
      <c r="H20" s="1376">
        <f t="shared" ref="H20:O20" si="0">H19</f>
        <v>14018</v>
      </c>
      <c r="I20" s="1376">
        <f t="shared" si="0"/>
        <v>14373</v>
      </c>
      <c r="J20" s="1376">
        <f t="shared" si="0"/>
        <v>14667</v>
      </c>
      <c r="K20" s="1376">
        <f t="shared" si="0"/>
        <v>14792</v>
      </c>
      <c r="L20" s="1376">
        <f t="shared" si="0"/>
        <v>14934</v>
      </c>
      <c r="M20" s="1376">
        <f t="shared" si="0"/>
        <v>14956</v>
      </c>
      <c r="N20" s="1376">
        <f t="shared" si="0"/>
        <v>14984</v>
      </c>
      <c r="O20" s="1376">
        <f t="shared" si="0"/>
        <v>15023</v>
      </c>
      <c r="P20" s="789"/>
      <c r="R20" s="1551"/>
      <c r="S20" s="1551"/>
      <c r="T20" s="1551"/>
      <c r="U20" s="1551"/>
      <c r="V20" s="1551"/>
      <c r="W20" s="1551"/>
      <c r="X20" s="1551"/>
      <c r="Y20" s="1551"/>
      <c r="Z20" s="1373"/>
      <c r="AA20" s="1373"/>
      <c r="AB20" s="1373"/>
      <c r="AC20" s="1373"/>
      <c r="AD20" s="1373"/>
    </row>
    <row r="21" spans="2:37" ht="15">
      <c r="B21" s="790"/>
      <c r="C21" s="545">
        <v>4</v>
      </c>
      <c r="D21" s="546"/>
      <c r="E21" s="546"/>
      <c r="F21" s="1070">
        <v>14104.004213212675</v>
      </c>
      <c r="G21" s="1570">
        <v>14077</v>
      </c>
      <c r="H21" s="1571">
        <v>13946</v>
      </c>
      <c r="I21" s="1571">
        <v>14150</v>
      </c>
      <c r="J21" s="1571">
        <v>14300</v>
      </c>
      <c r="K21" s="1571">
        <v>14300</v>
      </c>
      <c r="L21" s="1571">
        <v>14323</v>
      </c>
      <c r="M21" s="1571">
        <v>14231</v>
      </c>
      <c r="N21" s="1571">
        <v>14147</v>
      </c>
      <c r="O21" s="1571">
        <v>14076</v>
      </c>
      <c r="P21" s="789"/>
      <c r="S21"/>
      <c r="T21"/>
      <c r="U21"/>
      <c r="V21"/>
      <c r="W21"/>
      <c r="X21"/>
      <c r="Y21"/>
      <c r="Z21"/>
      <c r="AA21"/>
    </row>
    <row r="22" spans="2:37" ht="15">
      <c r="B22" s="790"/>
      <c r="C22" s="567"/>
      <c r="D22" s="568"/>
      <c r="E22" s="568"/>
      <c r="F22" s="575"/>
      <c r="G22" s="576"/>
      <c r="H22" s="576"/>
      <c r="I22" s="576"/>
      <c r="J22" s="576"/>
      <c r="K22" s="576"/>
      <c r="L22" s="576"/>
      <c r="M22" s="576"/>
      <c r="N22" s="576"/>
      <c r="O22" s="576"/>
      <c r="P22" s="789"/>
      <c r="S22"/>
      <c r="T22"/>
      <c r="U22"/>
      <c r="V22"/>
      <c r="W22"/>
      <c r="X22"/>
      <c r="Y22"/>
      <c r="Z22"/>
      <c r="AA22"/>
    </row>
    <row r="23" spans="2:37" ht="15">
      <c r="B23" s="790"/>
      <c r="C23" s="590" t="s">
        <v>1128</v>
      </c>
      <c r="D23" s="588"/>
      <c r="E23" s="591"/>
      <c r="F23" s="588"/>
      <c r="G23" s="1089" t="s">
        <v>908</v>
      </c>
      <c r="H23" s="588"/>
      <c r="I23" s="588"/>
      <c r="J23" s="591" t="s">
        <v>961</v>
      </c>
      <c r="K23" s="588"/>
      <c r="L23" s="588"/>
      <c r="M23" s="588"/>
      <c r="N23" s="588"/>
      <c r="O23" s="591"/>
      <c r="P23" s="789"/>
      <c r="S23"/>
      <c r="T23"/>
      <c r="U23"/>
      <c r="V23"/>
      <c r="W23"/>
      <c r="X23"/>
      <c r="Y23"/>
      <c r="Z23"/>
      <c r="AA23"/>
    </row>
    <row r="24" spans="2:37" ht="5.25" customHeight="1">
      <c r="B24" s="790"/>
      <c r="C24" s="588"/>
      <c r="D24" s="588"/>
      <c r="E24" s="588"/>
      <c r="F24" s="588"/>
      <c r="G24" s="588"/>
      <c r="H24" s="588"/>
      <c r="I24" s="588"/>
      <c r="J24" s="588"/>
      <c r="K24" s="588"/>
      <c r="L24" s="588"/>
      <c r="M24" s="588"/>
      <c r="N24" s="588"/>
      <c r="O24" s="588"/>
      <c r="P24" s="789"/>
      <c r="S24"/>
      <c r="T24"/>
      <c r="U24"/>
      <c r="V24"/>
      <c r="W24"/>
      <c r="X24"/>
      <c r="Y24"/>
      <c r="Z24"/>
      <c r="AA24"/>
    </row>
    <row r="25" spans="2:37" ht="15">
      <c r="B25" s="790"/>
      <c r="C25" s="547" t="s">
        <v>77</v>
      </c>
      <c r="D25" s="542" t="s">
        <v>906</v>
      </c>
      <c r="E25" s="542" t="s">
        <v>422</v>
      </c>
      <c r="F25" s="607">
        <v>2007</v>
      </c>
      <c r="G25" s="608">
        <v>1</v>
      </c>
      <c r="H25" s="607">
        <v>2</v>
      </c>
      <c r="I25" s="607">
        <v>3</v>
      </c>
      <c r="J25" s="607">
        <v>4</v>
      </c>
      <c r="K25" s="863"/>
      <c r="L25" s="863"/>
      <c r="M25" s="863"/>
      <c r="N25" s="863"/>
      <c r="O25" s="863"/>
      <c r="P25" s="789"/>
    </row>
    <row r="26" spans="2:37" ht="15">
      <c r="B26" s="790"/>
      <c r="C26" s="626" t="s">
        <v>955</v>
      </c>
      <c r="D26" s="568" t="s">
        <v>956</v>
      </c>
      <c r="E26" s="848" t="s">
        <v>108</v>
      </c>
      <c r="F26" s="1065">
        <v>2.1680038900835603E-2</v>
      </c>
      <c r="G26" s="1092">
        <v>2.1999999999999999E-2</v>
      </c>
      <c r="H26" s="1093">
        <v>2.1999999999999999E-2</v>
      </c>
      <c r="I26" s="1093">
        <v>2.1999999999999999E-2</v>
      </c>
      <c r="J26" s="1093">
        <v>2.1999999999999999E-2</v>
      </c>
      <c r="K26" s="589"/>
      <c r="L26" s="589"/>
      <c r="M26" s="589"/>
      <c r="N26" s="589"/>
      <c r="O26" s="589"/>
      <c r="P26" s="789"/>
      <c r="S26" s="564"/>
    </row>
    <row r="27" spans="2:37" ht="15">
      <c r="B27" s="790"/>
      <c r="C27" s="626" t="s">
        <v>920</v>
      </c>
      <c r="D27" s="568" t="s">
        <v>913</v>
      </c>
      <c r="E27" s="848"/>
      <c r="F27" s="1065">
        <v>5.084268859379436E-3</v>
      </c>
      <c r="G27" s="1110">
        <v>7.0000000000000001E-3</v>
      </c>
      <c r="H27" s="1111">
        <v>8.9999999999999993E-3</v>
      </c>
      <c r="I27" s="1093">
        <v>0.01</v>
      </c>
      <c r="J27" s="1111">
        <v>4.7E-2</v>
      </c>
      <c r="K27" s="589"/>
      <c r="L27" s="2198"/>
      <c r="M27" s="589"/>
      <c r="N27" s="589"/>
      <c r="O27" s="589"/>
      <c r="P27" s="789"/>
      <c r="R27" s="1008"/>
      <c r="S27" s="1008"/>
      <c r="T27" s="1008"/>
      <c r="U27" s="1008"/>
    </row>
    <row r="28" spans="2:37" ht="15">
      <c r="B28" s="790"/>
      <c r="C28" s="626" t="s">
        <v>918</v>
      </c>
      <c r="D28" s="568" t="s">
        <v>957</v>
      </c>
      <c r="E28" s="848"/>
      <c r="F28" s="1090">
        <v>0.83210317944207202</v>
      </c>
      <c r="G28" s="1377">
        <v>0.82299999999999995</v>
      </c>
      <c r="H28" s="1378">
        <v>0.80300000000000005</v>
      </c>
      <c r="I28" s="1378">
        <v>0.73599999999999999</v>
      </c>
      <c r="J28" s="1378">
        <v>0.624</v>
      </c>
      <c r="K28" s="594"/>
      <c r="L28" s="594"/>
      <c r="M28" s="594"/>
      <c r="N28" s="594"/>
      <c r="O28" s="594"/>
      <c r="P28" s="789"/>
      <c r="R28" s="1008"/>
      <c r="S28" s="1008"/>
      <c r="T28" s="1008"/>
      <c r="U28" s="1008"/>
    </row>
    <row r="29" spans="2:37" ht="15">
      <c r="B29" s="790"/>
      <c r="C29" s="626" t="s">
        <v>919</v>
      </c>
      <c r="D29" s="568" t="s">
        <v>958</v>
      </c>
      <c r="E29" s="848"/>
      <c r="F29" s="1065">
        <v>5.9627670922358024E-2</v>
      </c>
      <c r="G29" s="1110">
        <v>7.1999999999999995E-2</v>
      </c>
      <c r="H29" s="1111">
        <v>8.7999999999999995E-2</v>
      </c>
      <c r="I29" s="1111">
        <v>0.13200000000000001</v>
      </c>
      <c r="J29" s="1111">
        <v>0.187</v>
      </c>
      <c r="K29" s="594"/>
      <c r="L29" s="594"/>
      <c r="M29" s="594"/>
      <c r="N29" s="594"/>
      <c r="O29" s="594"/>
      <c r="P29" s="789"/>
      <c r="R29" s="1008"/>
      <c r="S29" s="1008"/>
      <c r="T29" s="1008"/>
      <c r="U29" s="1008"/>
    </row>
    <row r="30" spans="2:37" ht="15">
      <c r="B30" s="790"/>
      <c r="C30" s="626" t="s">
        <v>921</v>
      </c>
      <c r="D30" s="568" t="s">
        <v>959</v>
      </c>
      <c r="E30" s="848"/>
      <c r="F30" s="1065">
        <v>7.0097236274669239E-2</v>
      </c>
      <c r="G30" s="1110">
        <v>5.5E-2</v>
      </c>
      <c r="H30" s="1111">
        <v>5.7000000000000002E-2</v>
      </c>
      <c r="I30" s="1111">
        <v>7.9000000000000001E-2</v>
      </c>
      <c r="J30" s="1111">
        <v>9.8000000000000004E-2</v>
      </c>
      <c r="K30" s="594"/>
      <c r="L30" s="594"/>
      <c r="M30" s="594"/>
      <c r="N30" s="594"/>
      <c r="O30" s="594"/>
      <c r="P30" s="789"/>
      <c r="R30" s="1008"/>
      <c r="S30" s="1008"/>
      <c r="T30" s="1008"/>
      <c r="U30" s="1008"/>
    </row>
    <row r="31" spans="2:37" ht="15">
      <c r="B31" s="790"/>
      <c r="C31" s="1057" t="s">
        <v>922</v>
      </c>
      <c r="D31" s="546" t="s">
        <v>960</v>
      </c>
      <c r="E31" s="546"/>
      <c r="F31" s="1071">
        <v>1.1407605600685865E-2</v>
      </c>
      <c r="G31" s="1112">
        <v>2.1000000000000001E-2</v>
      </c>
      <c r="H31" s="1113">
        <v>2.1000000000000001E-2</v>
      </c>
      <c r="I31" s="1113">
        <v>2.1000000000000001E-2</v>
      </c>
      <c r="J31" s="1113">
        <v>2.1000000000000001E-2</v>
      </c>
      <c r="K31" s="594"/>
      <c r="L31" s="594"/>
      <c r="M31" s="594"/>
      <c r="N31" s="594"/>
      <c r="O31" s="594"/>
      <c r="P31" s="789"/>
    </row>
    <row r="32" spans="2:37">
      <c r="B32" s="792"/>
      <c r="C32" s="567"/>
      <c r="D32" s="744" t="s">
        <v>132</v>
      </c>
      <c r="E32" s="568"/>
      <c r="F32" s="1055">
        <f>SUM(F26:F31)</f>
        <v>1</v>
      </c>
      <c r="G32" s="1056">
        <f>SUM(G26:G31)</f>
        <v>1</v>
      </c>
      <c r="H32" s="1056">
        <f>SUM(H26:H31)</f>
        <v>1</v>
      </c>
      <c r="I32" s="1056">
        <f>SUM(I26:I31)</f>
        <v>1</v>
      </c>
      <c r="J32" s="1056">
        <f>SUM(J26:J31)</f>
        <v>0.99900000000000011</v>
      </c>
      <c r="K32" s="615"/>
      <c r="L32" s="615"/>
      <c r="M32" s="615"/>
      <c r="N32" s="615"/>
      <c r="O32" s="615"/>
      <c r="P32" s="789"/>
    </row>
    <row r="33" spans="2:26" s="2196" customFormat="1" ht="15">
      <c r="B33" s="790"/>
      <c r="C33" s="1720"/>
      <c r="D33" s="1721"/>
      <c r="E33" s="1721"/>
      <c r="F33" s="575"/>
      <c r="G33" s="576"/>
      <c r="H33" s="576"/>
      <c r="I33" s="576"/>
      <c r="J33" s="576"/>
      <c r="K33" s="576"/>
      <c r="L33" s="576"/>
      <c r="M33" s="576"/>
      <c r="N33" s="576"/>
      <c r="O33" s="576"/>
      <c r="P33" s="1726"/>
    </row>
    <row r="34" spans="2:26" s="2196" customFormat="1" ht="15">
      <c r="B34" s="790"/>
      <c r="C34" s="1723" t="s">
        <v>1922</v>
      </c>
      <c r="D34" s="1722"/>
      <c r="E34" s="591"/>
      <c r="F34" s="1722"/>
      <c r="G34" s="1089" t="s">
        <v>908</v>
      </c>
      <c r="H34" s="1722"/>
      <c r="I34" s="1722"/>
      <c r="J34" s="591" t="s">
        <v>1923</v>
      </c>
      <c r="K34" s="1722"/>
      <c r="L34" s="1722"/>
      <c r="M34" s="1722"/>
      <c r="N34" s="1722"/>
      <c r="O34" s="591"/>
      <c r="P34" s="1726"/>
    </row>
    <row r="35" spans="2:26" s="2196" customFormat="1" ht="5.25" customHeight="1">
      <c r="B35" s="790"/>
      <c r="C35" s="1722"/>
      <c r="D35" s="1722"/>
      <c r="E35" s="1722"/>
      <c r="F35" s="1722"/>
      <c r="G35" s="1722"/>
      <c r="H35" s="1722"/>
      <c r="I35" s="1722"/>
      <c r="J35" s="1722"/>
      <c r="K35" s="1722"/>
      <c r="L35" s="1722"/>
      <c r="M35" s="1722"/>
      <c r="N35" s="1722"/>
      <c r="O35" s="1722"/>
      <c r="P35" s="1726"/>
    </row>
    <row r="36" spans="2:26" s="2196" customFormat="1" ht="15">
      <c r="B36" s="790"/>
      <c r="C36" s="547" t="s">
        <v>77</v>
      </c>
      <c r="D36" s="542" t="s">
        <v>906</v>
      </c>
      <c r="E36" s="542" t="s">
        <v>422</v>
      </c>
      <c r="F36" s="607">
        <v>2007</v>
      </c>
      <c r="G36" s="608">
        <v>1</v>
      </c>
      <c r="H36" s="607">
        <v>2</v>
      </c>
      <c r="I36" s="607">
        <v>3</v>
      </c>
      <c r="J36" s="607">
        <v>4</v>
      </c>
      <c r="K36" s="863"/>
      <c r="L36" s="863"/>
      <c r="M36" s="863"/>
      <c r="N36" s="863"/>
      <c r="O36" s="863"/>
      <c r="P36" s="1726"/>
    </row>
    <row r="37" spans="2:26" s="2196" customFormat="1" ht="15">
      <c r="B37" s="790"/>
      <c r="C37" s="2199" t="s">
        <v>920</v>
      </c>
      <c r="D37" s="556" t="s">
        <v>913</v>
      </c>
      <c r="E37" s="618"/>
      <c r="F37" s="2200">
        <v>0.4</v>
      </c>
      <c r="G37" s="2202">
        <f>$F$37+((($J$37-$F$37)/($J$27-$F$27))*(G27-$F$27))</f>
        <v>0.42742260848358238</v>
      </c>
      <c r="H37" s="2203">
        <f t="shared" ref="H37:I37" si="1">$F$37+((($J$37-$F$37)/($J$27-$F$27))*(H27-$F$27))</f>
        <v>0.45605147805940327</v>
      </c>
      <c r="I37" s="2204">
        <f t="shared" si="1"/>
        <v>0.47036591284731372</v>
      </c>
      <c r="J37" s="2201">
        <v>1</v>
      </c>
      <c r="K37" s="589"/>
      <c r="L37" s="2198"/>
      <c r="M37" s="589"/>
      <c r="N37" s="589"/>
      <c r="O37" s="589"/>
      <c r="P37" s="1726"/>
      <c r="R37" s="1008"/>
      <c r="S37" s="1008"/>
      <c r="T37" s="1008"/>
      <c r="U37" s="1008"/>
    </row>
    <row r="38" spans="2:26" s="2196" customFormat="1" ht="6" customHeight="1">
      <c r="B38" s="790"/>
      <c r="C38" s="626"/>
      <c r="D38" s="1721"/>
      <c r="E38" s="848"/>
      <c r="F38" s="1090"/>
      <c r="G38" s="2205"/>
      <c r="H38" s="2205"/>
      <c r="I38" s="2206"/>
      <c r="J38" s="1378"/>
      <c r="K38" s="589"/>
      <c r="L38" s="2198"/>
      <c r="M38" s="589"/>
      <c r="N38" s="589"/>
      <c r="O38" s="589"/>
      <c r="P38" s="1726"/>
      <c r="R38" s="1008"/>
      <c r="S38" s="1008"/>
      <c r="T38" s="1008"/>
      <c r="U38" s="1008"/>
    </row>
    <row r="39" spans="2:26" s="2196" customFormat="1" ht="15">
      <c r="B39" s="790"/>
      <c r="C39" s="626" t="s">
        <v>604</v>
      </c>
      <c r="D39" s="1721" t="s">
        <v>1924</v>
      </c>
      <c r="E39" s="848"/>
      <c r="F39" s="1090"/>
      <c r="G39" s="2205"/>
      <c r="H39" s="2205"/>
      <c r="I39" s="2206"/>
      <c r="J39" s="1378"/>
      <c r="K39" s="589"/>
      <c r="L39" s="2198"/>
      <c r="M39" s="589"/>
      <c r="N39" s="589"/>
      <c r="O39" s="589"/>
      <c r="P39" s="1726"/>
      <c r="R39" s="1008"/>
      <c r="S39" s="1008"/>
      <c r="T39" s="1008"/>
      <c r="U39" s="1008"/>
    </row>
    <row r="40" spans="2:26" s="2196" customFormat="1">
      <c r="B40" s="792"/>
      <c r="C40" s="1720"/>
      <c r="D40" s="1724"/>
      <c r="E40" s="1721"/>
      <c r="F40" s="1055"/>
      <c r="G40" s="1056"/>
      <c r="H40" s="1056"/>
      <c r="I40" s="1056"/>
      <c r="J40" s="1056"/>
      <c r="K40" s="615"/>
      <c r="L40" s="615"/>
      <c r="M40" s="615"/>
      <c r="N40" s="615"/>
      <c r="O40" s="615"/>
      <c r="P40" s="1726"/>
    </row>
    <row r="41" spans="2:26">
      <c r="B41" s="792"/>
      <c r="C41" s="567"/>
      <c r="D41" s="568"/>
      <c r="E41" s="568"/>
      <c r="F41" s="614"/>
      <c r="G41" s="615"/>
      <c r="H41" s="615"/>
      <c r="I41" s="615"/>
      <c r="J41" s="615"/>
      <c r="K41" s="615"/>
      <c r="L41" s="615"/>
      <c r="M41" s="615"/>
      <c r="N41" s="615"/>
      <c r="O41" s="615"/>
      <c r="P41" s="789"/>
    </row>
    <row r="42" spans="2:26" s="525" customFormat="1" ht="15">
      <c r="B42" s="1058"/>
      <c r="C42" s="590" t="s">
        <v>1129</v>
      </c>
      <c r="D42" s="588"/>
      <c r="E42" s="591"/>
      <c r="F42" s="588"/>
      <c r="G42" s="1095" t="s">
        <v>908</v>
      </c>
      <c r="H42" s="1056"/>
      <c r="I42" s="1056"/>
      <c r="J42" s="594" t="s">
        <v>1124</v>
      </c>
      <c r="K42" s="615"/>
      <c r="L42" s="615"/>
      <c r="M42" s="615"/>
      <c r="N42" s="615"/>
      <c r="O42" s="615"/>
      <c r="P42" s="842"/>
    </row>
    <row r="43" spans="2:26" s="525" customFormat="1" ht="5.25" customHeight="1">
      <c r="B43" s="1058"/>
      <c r="C43" s="588"/>
      <c r="D43" s="588"/>
      <c r="E43" s="588"/>
      <c r="F43" s="588"/>
      <c r="G43" s="1056"/>
      <c r="H43" s="1056"/>
      <c r="I43" s="1056"/>
      <c r="J43" s="1056"/>
      <c r="K43" s="615"/>
      <c r="L43" s="615"/>
      <c r="M43" s="615"/>
      <c r="N43" s="615"/>
      <c r="O43" s="615"/>
      <c r="P43" s="842"/>
    </row>
    <row r="44" spans="2:26" s="525" customFormat="1" ht="15">
      <c r="B44" s="1058"/>
      <c r="C44" s="547" t="s">
        <v>77</v>
      </c>
      <c r="D44" s="542" t="s">
        <v>906</v>
      </c>
      <c r="E44" s="542" t="s">
        <v>422</v>
      </c>
      <c r="F44" s="607">
        <v>2007</v>
      </c>
      <c r="G44" s="608">
        <v>1</v>
      </c>
      <c r="H44" s="607">
        <v>2</v>
      </c>
      <c r="I44" s="607">
        <v>3</v>
      </c>
      <c r="J44" s="607">
        <v>4</v>
      </c>
      <c r="K44" s="615"/>
      <c r="L44" s="615"/>
      <c r="M44" s="615"/>
      <c r="N44" s="615"/>
      <c r="O44" s="615"/>
      <c r="P44" s="842"/>
      <c r="R44"/>
      <c r="S44"/>
      <c r="T44"/>
      <c r="U44"/>
      <c r="V44"/>
      <c r="W44"/>
      <c r="X44"/>
      <c r="Y44"/>
      <c r="Z44"/>
    </row>
    <row r="45" spans="2:26" s="525" customFormat="1" ht="15">
      <c r="B45" s="1058"/>
      <c r="C45" s="626" t="s">
        <v>918</v>
      </c>
      <c r="D45" s="568" t="s">
        <v>957</v>
      </c>
      <c r="E45" s="848"/>
      <c r="F45" s="1386">
        <v>1.4535833325868115</v>
      </c>
      <c r="G45" s="1118">
        <f>$F45</f>
        <v>1.4535833325868115</v>
      </c>
      <c r="H45" s="1115">
        <f>$F45</f>
        <v>1.4535833325868115</v>
      </c>
      <c r="I45" s="1115">
        <f>$F45*1.04</f>
        <v>1.5117266658902839</v>
      </c>
      <c r="J45" s="1115">
        <f>$F45*1.06</f>
        <v>1.5407983325420203</v>
      </c>
      <c r="K45" s="615"/>
      <c r="L45" s="615"/>
      <c r="M45" s="615"/>
      <c r="N45" s="615"/>
      <c r="O45" s="615"/>
      <c r="P45" s="842"/>
      <c r="R45"/>
      <c r="S45"/>
      <c r="T45"/>
      <c r="U45"/>
      <c r="V45"/>
      <c r="W45"/>
      <c r="X45"/>
      <c r="Y45"/>
      <c r="Z45"/>
    </row>
    <row r="46" spans="2:26" s="525" customFormat="1" ht="15">
      <c r="B46" s="1058"/>
      <c r="C46" s="626" t="s">
        <v>919</v>
      </c>
      <c r="D46" s="568" t="s">
        <v>958</v>
      </c>
      <c r="E46" s="848"/>
      <c r="F46" s="1386">
        <v>9.0545454545454547</v>
      </c>
      <c r="G46" s="1390">
        <f>$F46</f>
        <v>9.0545454545454547</v>
      </c>
      <c r="H46" s="1143">
        <v>12</v>
      </c>
      <c r="I46" s="510">
        <v>18</v>
      </c>
      <c r="J46" s="1143">
        <v>18</v>
      </c>
      <c r="K46" s="615"/>
      <c r="L46" s="615"/>
      <c r="M46" s="615"/>
      <c r="N46" s="615"/>
      <c r="O46" s="615"/>
      <c r="P46" s="842"/>
      <c r="R46"/>
      <c r="S46"/>
      <c r="T46"/>
      <c r="U46"/>
      <c r="V46"/>
      <c r="W46"/>
      <c r="X46"/>
      <c r="Y46"/>
      <c r="Z46"/>
    </row>
    <row r="47" spans="2:26" s="525" customFormat="1" ht="15">
      <c r="B47" s="1058"/>
      <c r="C47" s="626" t="s">
        <v>921</v>
      </c>
      <c r="D47" s="568" t="s">
        <v>959</v>
      </c>
      <c r="E47" s="848" t="s">
        <v>1122</v>
      </c>
      <c r="F47" s="1389">
        <v>0.32418351096303916</v>
      </c>
      <c r="G47" s="1392">
        <v>0.36811506356713858</v>
      </c>
      <c r="H47" s="1393">
        <v>0.36811506356713858</v>
      </c>
      <c r="I47" s="1393">
        <v>0.40588480110308967</v>
      </c>
      <c r="J47" s="1393">
        <v>0.42190146532760275</v>
      </c>
      <c r="K47" s="615"/>
      <c r="L47" s="615"/>
      <c r="M47" s="615"/>
      <c r="N47" s="615"/>
      <c r="O47" s="615"/>
      <c r="P47" s="842"/>
      <c r="R47"/>
      <c r="S47"/>
      <c r="T47"/>
      <c r="U47"/>
      <c r="V47"/>
      <c r="W47"/>
      <c r="X47"/>
      <c r="Y47"/>
      <c r="Z47"/>
    </row>
    <row r="48" spans="2:26" s="525" customFormat="1" ht="15">
      <c r="B48" s="1058"/>
      <c r="C48" s="1057" t="s">
        <v>922</v>
      </c>
      <c r="D48" s="546" t="s">
        <v>960</v>
      </c>
      <c r="E48" s="546" t="s">
        <v>1122</v>
      </c>
      <c r="F48" s="1428">
        <f>0.651</f>
        <v>0.65100000000000002</v>
      </c>
      <c r="G48" s="1429">
        <f>$F48</f>
        <v>0.65100000000000002</v>
      </c>
      <c r="H48" s="1430">
        <f>G48</f>
        <v>0.65100000000000002</v>
      </c>
      <c r="I48" s="1430">
        <f>H48</f>
        <v>0.65100000000000002</v>
      </c>
      <c r="J48" s="1430">
        <f>I48</f>
        <v>0.65100000000000002</v>
      </c>
      <c r="K48" s="615"/>
      <c r="L48" s="615"/>
      <c r="M48" s="615"/>
      <c r="N48" s="615"/>
      <c r="O48" s="615"/>
      <c r="P48" s="842"/>
      <c r="R48"/>
      <c r="S48"/>
      <c r="T48"/>
      <c r="U48"/>
    </row>
    <row r="49" spans="2:21" s="525" customFormat="1" ht="16" thickBot="1">
      <c r="B49" s="1058"/>
      <c r="C49" s="567"/>
      <c r="D49" s="744"/>
      <c r="E49" s="568"/>
      <c r="F49" s="1055"/>
      <c r="G49" s="1056"/>
      <c r="H49" s="1056"/>
      <c r="I49" s="1056"/>
      <c r="J49" s="1056"/>
      <c r="K49" s="615"/>
      <c r="L49" s="615"/>
      <c r="M49" s="615"/>
      <c r="N49" s="615"/>
      <c r="O49" s="615"/>
      <c r="P49" s="842"/>
      <c r="R49"/>
      <c r="S49"/>
      <c r="T49"/>
      <c r="U49"/>
    </row>
    <row r="50" spans="2:21" s="525" customFormat="1" ht="15">
      <c r="B50" s="1399"/>
      <c r="C50" s="1400"/>
      <c r="D50" s="1401"/>
      <c r="E50" s="1402"/>
      <c r="F50" s="1403"/>
      <c r="G50" s="1404"/>
      <c r="H50" s="1404"/>
      <c r="I50" s="1404"/>
      <c r="J50" s="1404"/>
      <c r="K50" s="1405"/>
      <c r="L50" s="1405"/>
      <c r="M50" s="1405"/>
      <c r="N50" s="1405"/>
      <c r="O50" s="1405"/>
      <c r="P50" s="1406"/>
      <c r="R50"/>
      <c r="S50"/>
      <c r="T50"/>
      <c r="U50"/>
    </row>
    <row r="51" spans="2:21" s="525" customFormat="1" ht="15">
      <c r="B51" s="1058"/>
      <c r="C51" s="593" t="s">
        <v>1131</v>
      </c>
      <c r="D51" s="744"/>
      <c r="E51" s="568"/>
      <c r="F51" s="1055"/>
      <c r="G51" s="1056"/>
      <c r="H51" s="1056"/>
      <c r="I51" s="1056"/>
      <c r="J51" s="1056"/>
      <c r="K51" s="615"/>
      <c r="L51" s="615"/>
      <c r="M51" s="615"/>
      <c r="N51" s="615"/>
      <c r="O51" s="615"/>
      <c r="P51" s="842"/>
      <c r="R51" s="1455"/>
      <c r="S51"/>
      <c r="T51"/>
      <c r="U51"/>
    </row>
    <row r="52" spans="2:21" s="525" customFormat="1" ht="15">
      <c r="B52" s="1058"/>
      <c r="C52" s="567"/>
      <c r="D52" s="744"/>
      <c r="E52" s="568"/>
      <c r="F52" s="1055"/>
      <c r="G52" s="1056"/>
      <c r="H52" s="1056"/>
      <c r="I52" s="1056"/>
      <c r="J52" s="1056"/>
      <c r="K52" s="615"/>
      <c r="L52" s="615"/>
      <c r="M52" s="615"/>
      <c r="N52" s="615"/>
      <c r="O52" s="615"/>
      <c r="P52" s="842"/>
    </row>
    <row r="53" spans="2:21" s="525" customFormat="1" ht="15">
      <c r="B53" s="1058"/>
      <c r="C53" s="593" t="s">
        <v>1132</v>
      </c>
      <c r="D53" s="744"/>
      <c r="E53" s="568"/>
      <c r="F53" s="1055"/>
      <c r="G53" s="1056"/>
      <c r="H53" s="1056"/>
      <c r="I53" s="1056"/>
      <c r="J53" s="1056"/>
      <c r="K53" s="615"/>
      <c r="L53" s="615"/>
      <c r="M53" s="615"/>
      <c r="N53" s="615"/>
      <c r="O53" s="615" t="s">
        <v>971</v>
      </c>
      <c r="P53" s="842"/>
    </row>
    <row r="54" spans="2:21" s="525" customFormat="1" ht="5.25" customHeight="1">
      <c r="B54" s="1058"/>
      <c r="C54" s="1060"/>
      <c r="D54" s="568"/>
      <c r="E54" s="848"/>
      <c r="F54" s="1055"/>
      <c r="G54" s="1056"/>
      <c r="H54" s="1056"/>
      <c r="I54" s="1056"/>
      <c r="J54" s="1056"/>
      <c r="K54" s="615"/>
      <c r="L54" s="615"/>
      <c r="M54" s="615"/>
      <c r="N54" s="615"/>
      <c r="O54" s="615"/>
      <c r="P54" s="842"/>
    </row>
    <row r="55" spans="2:21" s="525" customFormat="1" ht="15">
      <c r="B55" s="1058"/>
      <c r="C55" s="542" t="s">
        <v>906</v>
      </c>
      <c r="D55" s="542" t="s">
        <v>657</v>
      </c>
      <c r="E55" s="542" t="s">
        <v>422</v>
      </c>
      <c r="F55" s="607">
        <v>2007</v>
      </c>
      <c r="G55" s="608">
        <v>2010</v>
      </c>
      <c r="H55" s="607">
        <v>2015</v>
      </c>
      <c r="I55" s="607">
        <v>2020</v>
      </c>
      <c r="J55" s="607">
        <v>2025</v>
      </c>
      <c r="K55" s="607">
        <v>2030</v>
      </c>
      <c r="L55" s="607">
        <v>2035</v>
      </c>
      <c r="M55" s="607">
        <v>2040</v>
      </c>
      <c r="N55" s="607">
        <v>2045</v>
      </c>
      <c r="O55" s="607">
        <v>2050</v>
      </c>
      <c r="P55" s="842"/>
    </row>
    <row r="56" spans="2:21" s="1717" customFormat="1" ht="15">
      <c r="B56" s="1058"/>
      <c r="C56" s="549" t="s">
        <v>920</v>
      </c>
      <c r="D56" s="549" t="s">
        <v>920</v>
      </c>
      <c r="E56" s="1719"/>
      <c r="F56" s="1098">
        <v>1</v>
      </c>
      <c r="G56" s="1102">
        <v>1</v>
      </c>
      <c r="H56" s="1098">
        <v>0.996</v>
      </c>
      <c r="I56" s="1098">
        <v>0.996</v>
      </c>
      <c r="J56" s="1098">
        <v>0.996</v>
      </c>
      <c r="K56" s="1098">
        <v>0.996</v>
      </c>
      <c r="L56" s="1098">
        <v>0.996</v>
      </c>
      <c r="M56" s="1098">
        <v>0.996</v>
      </c>
      <c r="N56" s="1098">
        <v>0.996</v>
      </c>
      <c r="O56" s="1098">
        <v>0.996</v>
      </c>
      <c r="P56" s="842"/>
    </row>
    <row r="57" spans="2:21" s="525" customFormat="1" ht="15">
      <c r="B57" s="1058"/>
      <c r="C57" s="569" t="s">
        <v>918</v>
      </c>
      <c r="D57" s="569" t="s">
        <v>923</v>
      </c>
      <c r="E57" s="1086"/>
      <c r="F57" s="1098">
        <v>1</v>
      </c>
      <c r="G57" s="1102">
        <v>1</v>
      </c>
      <c r="H57" s="1098">
        <v>0.996</v>
      </c>
      <c r="I57" s="1098">
        <v>0.99199999999999999</v>
      </c>
      <c r="J57" s="1098">
        <v>0.95599999999999996</v>
      </c>
      <c r="K57" s="1098">
        <v>0.92</v>
      </c>
      <c r="L57" s="1098">
        <v>0.88</v>
      </c>
      <c r="M57" s="1098">
        <v>0.84</v>
      </c>
      <c r="N57" s="1098">
        <v>0.8075</v>
      </c>
      <c r="O57" s="1098">
        <v>0.77500000000000002</v>
      </c>
      <c r="P57" s="842"/>
    </row>
    <row r="58" spans="2:21" s="525" customFormat="1" ht="15">
      <c r="B58" s="1058"/>
      <c r="C58" s="568" t="s">
        <v>918</v>
      </c>
      <c r="D58" s="568" t="s">
        <v>1116</v>
      </c>
      <c r="E58" s="848"/>
      <c r="F58" s="1099">
        <v>0</v>
      </c>
      <c r="G58" s="1103">
        <v>0</v>
      </c>
      <c r="H58" s="1099">
        <v>3.5000000000000001E-3</v>
      </c>
      <c r="I58" s="1099">
        <v>7.0000000000000001E-3</v>
      </c>
      <c r="J58" s="1099">
        <v>3.8500000000000006E-2</v>
      </c>
      <c r="K58" s="1099">
        <v>7.0000000000000007E-2</v>
      </c>
      <c r="L58" s="1099">
        <v>0.10500000000000001</v>
      </c>
      <c r="M58" s="1099">
        <v>0.14000000000000001</v>
      </c>
      <c r="N58" s="1099">
        <v>0.17</v>
      </c>
      <c r="O58" s="1099">
        <v>0.2</v>
      </c>
      <c r="P58" s="842"/>
    </row>
    <row r="59" spans="2:21" s="525" customFormat="1" ht="15">
      <c r="B59" s="1058"/>
      <c r="C59" s="568" t="s">
        <v>918</v>
      </c>
      <c r="D59" s="568" t="s">
        <v>924</v>
      </c>
      <c r="E59" s="848"/>
      <c r="F59" s="1099">
        <v>0</v>
      </c>
      <c r="G59" s="1103">
        <v>0</v>
      </c>
      <c r="H59" s="1099">
        <v>5.0000000000000001E-4</v>
      </c>
      <c r="I59" s="1099">
        <v>1E-3</v>
      </c>
      <c r="J59" s="1099">
        <v>5.4999999999999997E-3</v>
      </c>
      <c r="K59" s="1099">
        <v>0.01</v>
      </c>
      <c r="L59" s="1099">
        <v>1.4999999999999999E-2</v>
      </c>
      <c r="M59" s="1099">
        <v>0.02</v>
      </c>
      <c r="N59" s="1099">
        <v>2.2499999999999999E-2</v>
      </c>
      <c r="O59" s="1099">
        <v>2.5000000000000001E-2</v>
      </c>
      <c r="P59" s="842"/>
    </row>
    <row r="60" spans="2:21" s="525" customFormat="1" ht="15">
      <c r="B60" s="1058"/>
      <c r="C60" s="1087" t="s">
        <v>918</v>
      </c>
      <c r="D60" s="1087" t="s">
        <v>925</v>
      </c>
      <c r="E60" s="1088"/>
      <c r="F60" s="1100">
        <v>0</v>
      </c>
      <c r="G60" s="1104">
        <v>0</v>
      </c>
      <c r="H60" s="1100">
        <v>0</v>
      </c>
      <c r="I60" s="1100">
        <v>0</v>
      </c>
      <c r="J60" s="1100">
        <v>0</v>
      </c>
      <c r="K60" s="1100">
        <v>0</v>
      </c>
      <c r="L60" s="1100">
        <v>0</v>
      </c>
      <c r="M60" s="1100">
        <v>0</v>
      </c>
      <c r="N60" s="1100">
        <v>0</v>
      </c>
      <c r="O60" s="1100">
        <v>0</v>
      </c>
      <c r="P60" s="842"/>
    </row>
    <row r="61" spans="2:21" s="525" customFormat="1" ht="15">
      <c r="B61" s="1058"/>
      <c r="C61" s="569" t="s">
        <v>919</v>
      </c>
      <c r="D61" s="569" t="s">
        <v>923</v>
      </c>
      <c r="E61" s="1086"/>
      <c r="F61" s="1098">
        <v>1</v>
      </c>
      <c r="G61" s="1102">
        <v>0.98699999999999999</v>
      </c>
      <c r="H61" s="1098">
        <v>0.93900000000000006</v>
      </c>
      <c r="I61" s="1098">
        <v>0.89100000000000001</v>
      </c>
      <c r="J61" s="1099">
        <v>0.84250000000000003</v>
      </c>
      <c r="K61" s="1099">
        <v>0.79400000000000004</v>
      </c>
      <c r="L61" s="1098">
        <v>0.746</v>
      </c>
      <c r="M61" s="1098">
        <v>0.69799999999999995</v>
      </c>
      <c r="N61" s="1098">
        <v>0.64949999999999997</v>
      </c>
      <c r="O61" s="1098">
        <v>0.60099999999999998</v>
      </c>
      <c r="P61" s="842"/>
    </row>
    <row r="62" spans="2:21" s="525" customFormat="1" ht="15">
      <c r="B62" s="1058"/>
      <c r="C62" s="568" t="s">
        <v>919</v>
      </c>
      <c r="D62" s="568" t="s">
        <v>1117</v>
      </c>
      <c r="E62" s="848"/>
      <c r="F62" s="1099">
        <v>0</v>
      </c>
      <c r="G62" s="1103">
        <v>1.0999999999999999E-2</v>
      </c>
      <c r="H62" s="1099">
        <v>5.9499999999999997E-2</v>
      </c>
      <c r="I62" s="1099">
        <v>0.108</v>
      </c>
      <c r="J62" s="1099">
        <v>0.156</v>
      </c>
      <c r="K62" s="1099">
        <v>0.20399999999999999</v>
      </c>
      <c r="L62" s="1099">
        <v>0.2525</v>
      </c>
      <c r="M62" s="1099">
        <v>0.30099999999999999</v>
      </c>
      <c r="N62" s="1099">
        <v>0.34899999999999998</v>
      </c>
      <c r="O62" s="1099">
        <v>0.39700000000000002</v>
      </c>
      <c r="P62" s="842"/>
    </row>
    <row r="63" spans="2:21" s="525" customFormat="1" ht="15">
      <c r="B63" s="1536"/>
      <c r="C63" s="819" t="s">
        <v>919</v>
      </c>
      <c r="D63" s="819" t="s">
        <v>924</v>
      </c>
      <c r="E63" s="1537"/>
      <c r="F63" s="1538">
        <v>0</v>
      </c>
      <c r="G63" s="1539">
        <v>0</v>
      </c>
      <c r="H63" s="1538">
        <v>1E-3</v>
      </c>
      <c r="I63" s="1538">
        <v>2E-3</v>
      </c>
      <c r="J63" s="1538">
        <v>2E-3</v>
      </c>
      <c r="K63" s="1538">
        <v>2E-3</v>
      </c>
      <c r="L63" s="1538">
        <v>2E-3</v>
      </c>
      <c r="M63" s="1538">
        <v>2E-3</v>
      </c>
      <c r="N63" s="1538">
        <v>2E-3</v>
      </c>
      <c r="O63" s="1538">
        <v>2E-3</v>
      </c>
      <c r="P63" s="842"/>
    </row>
    <row r="64" spans="2:21" s="525" customFormat="1" ht="15">
      <c r="B64" s="1540"/>
      <c r="C64" s="1541" t="s">
        <v>919</v>
      </c>
      <c r="D64" s="1541" t="s">
        <v>925</v>
      </c>
      <c r="E64" s="1542"/>
      <c r="F64" s="1543">
        <v>0</v>
      </c>
      <c r="G64" s="1544">
        <v>0</v>
      </c>
      <c r="H64" s="1543">
        <v>1E-3</v>
      </c>
      <c r="I64" s="1543">
        <v>2E-3</v>
      </c>
      <c r="J64" s="1545">
        <v>2E-3</v>
      </c>
      <c r="K64" s="1545">
        <v>2E-3</v>
      </c>
      <c r="L64" s="1545">
        <v>2E-3</v>
      </c>
      <c r="M64" s="1543">
        <v>2E-3</v>
      </c>
      <c r="N64" s="1543">
        <v>2E-3</v>
      </c>
      <c r="O64" s="1543">
        <v>2E-3</v>
      </c>
      <c r="P64" s="842"/>
    </row>
    <row r="65" spans="2:25" s="525" customFormat="1" ht="15">
      <c r="B65" s="1058"/>
      <c r="C65" s="569" t="s">
        <v>921</v>
      </c>
      <c r="D65" s="569" t="s">
        <v>962</v>
      </c>
      <c r="E65" s="1086"/>
      <c r="F65" s="1098">
        <f>1-F66</f>
        <v>0.35</v>
      </c>
      <c r="G65" s="1102">
        <f>1-G66</f>
        <v>0.363354413782636</v>
      </c>
      <c r="H65" s="1098">
        <f t="shared" ref="H65:O65" si="2">1-H66</f>
        <v>0.363354413782636</v>
      </c>
      <c r="I65" s="1098">
        <f t="shared" si="2"/>
        <v>0.363354413782636</v>
      </c>
      <c r="J65" s="1098">
        <f t="shared" si="2"/>
        <v>0.363354413782636</v>
      </c>
      <c r="K65" s="1098">
        <f t="shared" si="2"/>
        <v>0.363354413782636</v>
      </c>
      <c r="L65" s="1098">
        <f t="shared" si="2"/>
        <v>0.363354413782636</v>
      </c>
      <c r="M65" s="1098">
        <f t="shared" si="2"/>
        <v>0.363354413782636</v>
      </c>
      <c r="N65" s="1098">
        <f t="shared" si="2"/>
        <v>0.363354413782636</v>
      </c>
      <c r="O65" s="1098">
        <f t="shared" si="2"/>
        <v>0.363354413782636</v>
      </c>
      <c r="P65" s="842"/>
    </row>
    <row r="66" spans="2:25" s="525" customFormat="1" ht="15">
      <c r="B66" s="1058"/>
      <c r="C66" s="1087" t="s">
        <v>921</v>
      </c>
      <c r="D66" s="1087" t="s">
        <v>963</v>
      </c>
      <c r="E66" s="1088"/>
      <c r="F66" s="1100">
        <v>0.65</v>
      </c>
      <c r="G66" s="1104">
        <v>0.636645586217364</v>
      </c>
      <c r="H66" s="1100">
        <v>0.636645586217364</v>
      </c>
      <c r="I66" s="1100">
        <v>0.636645586217364</v>
      </c>
      <c r="J66" s="1100">
        <v>0.636645586217364</v>
      </c>
      <c r="K66" s="1100">
        <v>0.636645586217364</v>
      </c>
      <c r="L66" s="1100">
        <v>0.636645586217364</v>
      </c>
      <c r="M66" s="1100">
        <v>0.636645586217364</v>
      </c>
      <c r="N66" s="1100">
        <v>0.636645586217364</v>
      </c>
      <c r="O66" s="1100">
        <v>0.636645586217364</v>
      </c>
      <c r="P66" s="842"/>
    </row>
    <row r="67" spans="2:25" s="525" customFormat="1" ht="15">
      <c r="B67" s="1058"/>
      <c r="C67" s="556" t="s">
        <v>922</v>
      </c>
      <c r="D67" s="556" t="s">
        <v>922</v>
      </c>
      <c r="E67" s="618"/>
      <c r="F67" s="1101">
        <v>1</v>
      </c>
      <c r="G67" s="1105">
        <f>$F67</f>
        <v>1</v>
      </c>
      <c r="H67" s="1101">
        <f t="shared" ref="H67:O67" si="3">$F67</f>
        <v>1</v>
      </c>
      <c r="I67" s="1101">
        <f t="shared" si="3"/>
        <v>1</v>
      </c>
      <c r="J67" s="1101">
        <f t="shared" si="3"/>
        <v>1</v>
      </c>
      <c r="K67" s="1101">
        <f t="shared" si="3"/>
        <v>1</v>
      </c>
      <c r="L67" s="1101">
        <f t="shared" si="3"/>
        <v>1</v>
      </c>
      <c r="M67" s="1101">
        <f t="shared" si="3"/>
        <v>1</v>
      </c>
      <c r="N67" s="1101">
        <f t="shared" si="3"/>
        <v>1</v>
      </c>
      <c r="O67" s="1101">
        <f t="shared" si="3"/>
        <v>1</v>
      </c>
      <c r="P67" s="842"/>
    </row>
    <row r="68" spans="2:25" s="525" customFormat="1" ht="15">
      <c r="B68" s="1058"/>
      <c r="C68" s="567"/>
      <c r="D68" s="744"/>
      <c r="E68" s="568"/>
      <c r="F68" s="1055"/>
      <c r="G68" s="1056"/>
      <c r="H68" s="1056"/>
      <c r="I68" s="1056"/>
      <c r="J68" s="1056"/>
      <c r="K68" s="615"/>
      <c r="L68" s="615"/>
      <c r="M68" s="615"/>
      <c r="N68" s="615"/>
      <c r="O68" s="615"/>
      <c r="P68" s="842"/>
    </row>
    <row r="69" spans="2:25" s="525" customFormat="1" ht="15">
      <c r="B69" s="1058"/>
      <c r="C69" s="593" t="s">
        <v>1133</v>
      </c>
      <c r="D69" s="744"/>
      <c r="E69" s="568"/>
      <c r="F69" s="1055"/>
      <c r="G69" s="1056"/>
      <c r="H69" s="1056"/>
      <c r="I69" s="1056"/>
      <c r="J69" s="1056"/>
      <c r="K69" s="615"/>
      <c r="L69" s="615"/>
      <c r="M69" s="615"/>
      <c r="N69" s="615"/>
      <c r="O69" s="615" t="s">
        <v>971</v>
      </c>
      <c r="P69" s="842"/>
    </row>
    <row r="70" spans="2:25" s="525" customFormat="1" ht="5.25" customHeight="1">
      <c r="B70" s="1058"/>
      <c r="C70" s="1060"/>
      <c r="D70" s="568"/>
      <c r="E70" s="848"/>
      <c r="F70" s="1055"/>
      <c r="G70" s="1056"/>
      <c r="H70" s="1056"/>
      <c r="I70" s="1056"/>
      <c r="J70" s="1056"/>
      <c r="K70" s="615"/>
      <c r="L70" s="615"/>
      <c r="M70" s="615"/>
      <c r="N70" s="615"/>
      <c r="O70" s="615"/>
      <c r="P70" s="842"/>
    </row>
    <row r="71" spans="2:25" s="525" customFormat="1" ht="15">
      <c r="B71" s="1058"/>
      <c r="C71" s="542" t="s">
        <v>906</v>
      </c>
      <c r="D71" s="542" t="s">
        <v>657</v>
      </c>
      <c r="E71" s="542" t="s">
        <v>422</v>
      </c>
      <c r="F71" s="607">
        <v>2007</v>
      </c>
      <c r="G71" s="608">
        <v>2010</v>
      </c>
      <c r="H71" s="607">
        <v>2015</v>
      </c>
      <c r="I71" s="607">
        <v>2020</v>
      </c>
      <c r="J71" s="607">
        <v>2025</v>
      </c>
      <c r="K71" s="607">
        <v>2030</v>
      </c>
      <c r="L71" s="607">
        <v>2035</v>
      </c>
      <c r="M71" s="607">
        <v>2040</v>
      </c>
      <c r="N71" s="607">
        <v>2045</v>
      </c>
      <c r="O71" s="607">
        <v>2050</v>
      </c>
      <c r="P71" s="842"/>
    </row>
    <row r="72" spans="2:25" s="1717" customFormat="1" ht="15">
      <c r="B72" s="1058"/>
      <c r="C72" s="549" t="s">
        <v>920</v>
      </c>
      <c r="D72" s="549" t="s">
        <v>920</v>
      </c>
      <c r="E72" s="1719"/>
      <c r="F72" s="1098">
        <v>1</v>
      </c>
      <c r="G72" s="1102">
        <v>1</v>
      </c>
      <c r="H72" s="1098">
        <v>0.996</v>
      </c>
      <c r="I72" s="1098">
        <v>0.996</v>
      </c>
      <c r="J72" s="1098">
        <v>0.996</v>
      </c>
      <c r="K72" s="1098">
        <v>0.996</v>
      </c>
      <c r="L72" s="1098">
        <v>0.996</v>
      </c>
      <c r="M72" s="1098">
        <v>0.996</v>
      </c>
      <c r="N72" s="1098">
        <v>0.996</v>
      </c>
      <c r="O72" s="1098">
        <v>0.996</v>
      </c>
      <c r="P72" s="842"/>
    </row>
    <row r="73" spans="2:25" s="525" customFormat="1" ht="15">
      <c r="B73" s="1058"/>
      <c r="C73" s="569" t="s">
        <v>918</v>
      </c>
      <c r="D73" s="569" t="s">
        <v>923</v>
      </c>
      <c r="E73" s="1086"/>
      <c r="F73" s="1098">
        <v>1</v>
      </c>
      <c r="G73" s="1102">
        <v>1</v>
      </c>
      <c r="H73" s="1098">
        <v>0.98499999999999999</v>
      </c>
      <c r="I73" s="1098">
        <v>0.97</v>
      </c>
      <c r="J73" s="1098">
        <v>0.84</v>
      </c>
      <c r="K73" s="1099">
        <v>0.71</v>
      </c>
      <c r="L73" s="1098">
        <v>0.62</v>
      </c>
      <c r="M73" s="1098">
        <v>0.53</v>
      </c>
      <c r="N73" s="1098">
        <v>0.44</v>
      </c>
      <c r="O73" s="1098">
        <v>0.35</v>
      </c>
      <c r="P73" s="842"/>
    </row>
    <row r="74" spans="2:25" s="525" customFormat="1" ht="15">
      <c r="B74" s="1058"/>
      <c r="C74" s="568" t="s">
        <v>918</v>
      </c>
      <c r="D74" s="568" t="s">
        <v>1116</v>
      </c>
      <c r="E74" s="848"/>
      <c r="F74" s="1099">
        <v>0</v>
      </c>
      <c r="G74" s="1103">
        <v>0</v>
      </c>
      <c r="H74" s="1099">
        <v>5.0000000000000001E-3</v>
      </c>
      <c r="I74" s="1099">
        <v>0.01</v>
      </c>
      <c r="J74" s="1099">
        <v>0.13</v>
      </c>
      <c r="K74" s="1099">
        <v>0.25</v>
      </c>
      <c r="L74" s="1099">
        <v>0.315</v>
      </c>
      <c r="M74" s="1099">
        <v>0.38</v>
      </c>
      <c r="N74" s="1099">
        <v>0.46</v>
      </c>
      <c r="O74" s="1099">
        <v>0.54</v>
      </c>
      <c r="P74" s="842"/>
    </row>
    <row r="75" spans="2:25" s="525" customFormat="1" ht="15">
      <c r="B75" s="1058"/>
      <c r="C75" s="568" t="s">
        <v>918</v>
      </c>
      <c r="D75" s="568" t="s">
        <v>924</v>
      </c>
      <c r="E75" s="848"/>
      <c r="F75" s="1099">
        <v>0</v>
      </c>
      <c r="G75" s="1103">
        <v>0</v>
      </c>
      <c r="H75" s="1099">
        <v>0.01</v>
      </c>
      <c r="I75" s="1099">
        <v>0.02</v>
      </c>
      <c r="J75" s="1099">
        <v>0.03</v>
      </c>
      <c r="K75" s="1099">
        <v>0.04</v>
      </c>
      <c r="L75" s="1099">
        <v>6.5000000000000002E-2</v>
      </c>
      <c r="M75" s="1099">
        <v>0.09</v>
      </c>
      <c r="N75" s="1099">
        <v>9.5000000000000001E-2</v>
      </c>
      <c r="O75" s="1099">
        <v>0.1</v>
      </c>
      <c r="P75" s="842"/>
    </row>
    <row r="76" spans="2:25" s="525" customFormat="1" ht="15">
      <c r="B76" s="1058"/>
      <c r="C76" s="1087" t="s">
        <v>918</v>
      </c>
      <c r="D76" s="1087" t="s">
        <v>925</v>
      </c>
      <c r="E76" s="1088"/>
      <c r="F76" s="1100">
        <v>0</v>
      </c>
      <c r="G76" s="1104">
        <v>0</v>
      </c>
      <c r="H76" s="1100">
        <v>0</v>
      </c>
      <c r="I76" s="1100">
        <v>0</v>
      </c>
      <c r="J76" s="1100">
        <v>0</v>
      </c>
      <c r="K76" s="1100">
        <v>0</v>
      </c>
      <c r="L76" s="1100">
        <v>0</v>
      </c>
      <c r="M76" s="1100">
        <v>0</v>
      </c>
      <c r="N76" s="1100">
        <v>5.0000000000000001E-3</v>
      </c>
      <c r="O76" s="1100">
        <v>0.01</v>
      </c>
      <c r="P76" s="842"/>
    </row>
    <row r="77" spans="2:25" s="525" customFormat="1" ht="15">
      <c r="B77" s="1058"/>
      <c r="C77" s="569" t="s">
        <v>919</v>
      </c>
      <c r="D77" s="569" t="s">
        <v>923</v>
      </c>
      <c r="E77" s="1086"/>
      <c r="F77" s="1098">
        <v>1</v>
      </c>
      <c r="G77" s="1102">
        <v>0.98899999999999999</v>
      </c>
      <c r="H77" s="1098">
        <v>0.89349999999999996</v>
      </c>
      <c r="I77" s="1098">
        <v>0.79800000000000004</v>
      </c>
      <c r="J77" s="1099">
        <v>0.44800000000000001</v>
      </c>
      <c r="K77" s="1099">
        <v>9.8000000000000004E-2</v>
      </c>
      <c r="L77" s="1098">
        <v>4.9000000000000002E-2</v>
      </c>
      <c r="M77" s="1098">
        <v>0</v>
      </c>
      <c r="N77" s="1098">
        <v>0</v>
      </c>
      <c r="O77" s="1098">
        <v>0</v>
      </c>
      <c r="P77" s="842"/>
    </row>
    <row r="78" spans="2:25" s="525" customFormat="1" ht="15">
      <c r="B78" s="1058"/>
      <c r="C78" s="568" t="s">
        <v>919</v>
      </c>
      <c r="D78" s="568" t="s">
        <v>1117</v>
      </c>
      <c r="E78" s="848"/>
      <c r="F78" s="1099">
        <v>0</v>
      </c>
      <c r="G78" s="1103">
        <v>1.0999999999999999E-2</v>
      </c>
      <c r="H78" s="1099">
        <v>0.10550000000000001</v>
      </c>
      <c r="I78" s="1099">
        <v>0.2</v>
      </c>
      <c r="J78" s="1099">
        <v>0.55000000000000004</v>
      </c>
      <c r="K78" s="1099">
        <v>0.9</v>
      </c>
      <c r="L78" s="1099">
        <v>0.94900000000000007</v>
      </c>
      <c r="M78" s="1099">
        <v>0.998</v>
      </c>
      <c r="N78" s="1099">
        <v>0.998</v>
      </c>
      <c r="O78" s="1099">
        <v>0.998</v>
      </c>
      <c r="P78" s="842"/>
    </row>
    <row r="79" spans="2:25" s="525" customFormat="1" ht="15">
      <c r="B79" s="1058"/>
      <c r="C79" s="568" t="s">
        <v>919</v>
      </c>
      <c r="D79" s="568" t="s">
        <v>924</v>
      </c>
      <c r="E79" s="848"/>
      <c r="F79" s="1099">
        <v>0</v>
      </c>
      <c r="G79" s="1103">
        <v>0</v>
      </c>
      <c r="H79" s="1099">
        <v>1E-3</v>
      </c>
      <c r="I79" s="1099">
        <v>2E-3</v>
      </c>
      <c r="J79" s="1099">
        <v>2E-3</v>
      </c>
      <c r="K79" s="1099">
        <v>2E-3</v>
      </c>
      <c r="L79" s="1099">
        <v>2E-3</v>
      </c>
      <c r="M79" s="1099">
        <v>2E-3</v>
      </c>
      <c r="N79" s="1099">
        <v>2E-3</v>
      </c>
      <c r="O79" s="1099">
        <v>2E-3</v>
      </c>
      <c r="P79" s="842"/>
      <c r="X79" s="1717"/>
    </row>
    <row r="80" spans="2:25" s="525" customFormat="1" ht="15">
      <c r="B80" s="1540"/>
      <c r="C80" s="1087" t="s">
        <v>919</v>
      </c>
      <c r="D80" s="1087" t="s">
        <v>925</v>
      </c>
      <c r="E80" s="1088"/>
      <c r="F80" s="1100">
        <v>0</v>
      </c>
      <c r="G80" s="1104">
        <v>0</v>
      </c>
      <c r="H80" s="1100">
        <v>1E-3</v>
      </c>
      <c r="I80" s="1100">
        <v>2E-3</v>
      </c>
      <c r="J80" s="1100">
        <v>2E-3</v>
      </c>
      <c r="K80" s="1100">
        <v>2E-3</v>
      </c>
      <c r="L80" s="1100">
        <v>2E-3</v>
      </c>
      <c r="M80" s="1100">
        <v>2E-3</v>
      </c>
      <c r="N80" s="1100">
        <v>2E-3</v>
      </c>
      <c r="O80" s="1100">
        <v>2E-3</v>
      </c>
      <c r="P80" s="842"/>
      <c r="X80" s="2015"/>
      <c r="Y80" s="2015"/>
    </row>
    <row r="81" spans="2:16" s="525" customFormat="1" ht="15">
      <c r="B81" s="1058"/>
      <c r="C81" s="569" t="s">
        <v>921</v>
      </c>
      <c r="D81" s="569" t="s">
        <v>962</v>
      </c>
      <c r="E81" s="1086"/>
      <c r="F81" s="1098">
        <f t="shared" ref="F81:O81" si="4">1-F82</f>
        <v>0.35</v>
      </c>
      <c r="G81" s="1102">
        <f t="shared" si="4"/>
        <v>0.363354413782636</v>
      </c>
      <c r="H81" s="1098">
        <f t="shared" si="4"/>
        <v>0.363354413782636</v>
      </c>
      <c r="I81" s="1098">
        <f t="shared" si="4"/>
        <v>0.29729452126737621</v>
      </c>
      <c r="J81" s="1098">
        <f t="shared" si="4"/>
        <v>0.29729452126737621</v>
      </c>
      <c r="K81" s="1098">
        <f t="shared" si="4"/>
        <v>0.268693979915269</v>
      </c>
      <c r="L81" s="1098">
        <f t="shared" si="4"/>
        <v>0.268693979915269</v>
      </c>
      <c r="M81" s="1098">
        <f t="shared" si="4"/>
        <v>0.268693979915269</v>
      </c>
      <c r="N81" s="1098">
        <f t="shared" si="4"/>
        <v>0.268693979915269</v>
      </c>
      <c r="O81" s="1098">
        <f t="shared" si="4"/>
        <v>0.268693979915269</v>
      </c>
      <c r="P81" s="842"/>
    </row>
    <row r="82" spans="2:16" s="525" customFormat="1" ht="15">
      <c r="B82" s="1058"/>
      <c r="C82" s="1087" t="s">
        <v>921</v>
      </c>
      <c r="D82" s="1087" t="s">
        <v>963</v>
      </c>
      <c r="E82" s="1088"/>
      <c r="F82" s="1100">
        <v>0.65</v>
      </c>
      <c r="G82" s="1104">
        <v>0.636645586217364</v>
      </c>
      <c r="H82" s="1100">
        <v>0.636645586217364</v>
      </c>
      <c r="I82" s="1100">
        <v>0.70270547873262379</v>
      </c>
      <c r="J82" s="1100">
        <v>0.70270547873262379</v>
      </c>
      <c r="K82" s="1100">
        <v>0.731306020084731</v>
      </c>
      <c r="L82" s="1100">
        <v>0.731306020084731</v>
      </c>
      <c r="M82" s="1100">
        <v>0.731306020084731</v>
      </c>
      <c r="N82" s="1100">
        <v>0.731306020084731</v>
      </c>
      <c r="O82" s="1100">
        <v>0.731306020084731</v>
      </c>
      <c r="P82" s="842"/>
    </row>
    <row r="83" spans="2:16" s="525" customFormat="1" ht="15">
      <c r="B83" s="1058"/>
      <c r="C83" s="556" t="s">
        <v>922</v>
      </c>
      <c r="D83" s="556" t="s">
        <v>922</v>
      </c>
      <c r="E83" s="618"/>
      <c r="F83" s="1101">
        <v>1</v>
      </c>
      <c r="G83" s="1105">
        <f>$F83</f>
        <v>1</v>
      </c>
      <c r="H83" s="1101">
        <f t="shared" ref="H83:O83" si="5">$F83</f>
        <v>1</v>
      </c>
      <c r="I83" s="1101">
        <f t="shared" si="5"/>
        <v>1</v>
      </c>
      <c r="J83" s="1101">
        <f t="shared" si="5"/>
        <v>1</v>
      </c>
      <c r="K83" s="1101">
        <f t="shared" si="5"/>
        <v>1</v>
      </c>
      <c r="L83" s="1101">
        <f t="shared" si="5"/>
        <v>1</v>
      </c>
      <c r="M83" s="1101">
        <f t="shared" si="5"/>
        <v>1</v>
      </c>
      <c r="N83" s="1101">
        <f t="shared" si="5"/>
        <v>1</v>
      </c>
      <c r="O83" s="1101">
        <f t="shared" si="5"/>
        <v>1</v>
      </c>
      <c r="P83" s="842"/>
    </row>
    <row r="84" spans="2:16" s="525" customFormat="1" ht="15">
      <c r="B84" s="1058"/>
      <c r="C84" s="567"/>
      <c r="D84" s="744"/>
      <c r="E84" s="568"/>
      <c r="F84" s="1055"/>
      <c r="G84" s="1056"/>
      <c r="H84" s="1056"/>
      <c r="I84" s="1056"/>
      <c r="J84" s="1056"/>
      <c r="K84" s="615"/>
      <c r="L84" s="615"/>
      <c r="M84" s="615"/>
      <c r="N84" s="615"/>
      <c r="O84" s="615"/>
      <c r="P84" s="842"/>
    </row>
    <row r="85" spans="2:16" s="525" customFormat="1" ht="15">
      <c r="B85" s="1058"/>
      <c r="C85" s="593" t="s">
        <v>1134</v>
      </c>
      <c r="D85" s="744"/>
      <c r="E85" s="568"/>
      <c r="F85" s="1055"/>
      <c r="G85" s="1056"/>
      <c r="H85" s="1056"/>
      <c r="I85" s="1056"/>
      <c r="J85" s="1056"/>
      <c r="K85" s="615"/>
      <c r="L85" s="615"/>
      <c r="M85" s="615"/>
      <c r="N85" s="615"/>
      <c r="O85" s="615" t="s">
        <v>971</v>
      </c>
      <c r="P85" s="842"/>
    </row>
    <row r="86" spans="2:16" s="525" customFormat="1" ht="5.25" customHeight="1">
      <c r="B86" s="1058"/>
      <c r="C86" s="1060"/>
      <c r="D86" s="568"/>
      <c r="E86" s="848"/>
      <c r="F86" s="1055"/>
      <c r="G86" s="1056"/>
      <c r="H86" s="1056"/>
      <c r="I86" s="1056"/>
      <c r="J86" s="1056"/>
      <c r="K86" s="615"/>
      <c r="L86" s="615"/>
      <c r="M86" s="615"/>
      <c r="N86" s="615"/>
      <c r="O86" s="615"/>
      <c r="P86" s="842"/>
    </row>
    <row r="87" spans="2:16" s="525" customFormat="1" ht="15">
      <c r="B87" s="1058"/>
      <c r="C87" s="542" t="s">
        <v>906</v>
      </c>
      <c r="D87" s="542" t="s">
        <v>657</v>
      </c>
      <c r="E87" s="542" t="s">
        <v>422</v>
      </c>
      <c r="F87" s="607">
        <v>2007</v>
      </c>
      <c r="G87" s="608">
        <v>2010</v>
      </c>
      <c r="H87" s="607">
        <v>2015</v>
      </c>
      <c r="I87" s="607">
        <v>2020</v>
      </c>
      <c r="J87" s="607">
        <v>2025</v>
      </c>
      <c r="K87" s="607">
        <v>2030</v>
      </c>
      <c r="L87" s="607">
        <v>2035</v>
      </c>
      <c r="M87" s="607">
        <v>2040</v>
      </c>
      <c r="N87" s="607">
        <v>2045</v>
      </c>
      <c r="O87" s="607">
        <v>2050</v>
      </c>
      <c r="P87" s="842"/>
    </row>
    <row r="88" spans="2:16" s="1717" customFormat="1" ht="15">
      <c r="B88" s="1058"/>
      <c r="C88" s="549" t="s">
        <v>920</v>
      </c>
      <c r="D88" s="549" t="s">
        <v>920</v>
      </c>
      <c r="E88" s="1719"/>
      <c r="F88" s="1098">
        <v>1</v>
      </c>
      <c r="G88" s="1102">
        <v>1</v>
      </c>
      <c r="H88" s="1098">
        <v>0.996</v>
      </c>
      <c r="I88" s="1098">
        <v>0.996</v>
      </c>
      <c r="J88" s="1098">
        <v>0.996</v>
      </c>
      <c r="K88" s="1098">
        <v>0.996</v>
      </c>
      <c r="L88" s="1098">
        <v>0.996</v>
      </c>
      <c r="M88" s="1098">
        <v>0.996</v>
      </c>
      <c r="N88" s="1098">
        <v>0.996</v>
      </c>
      <c r="O88" s="1098">
        <v>0.996</v>
      </c>
      <c r="P88" s="842"/>
    </row>
    <row r="89" spans="2:16" s="525" customFormat="1" ht="15">
      <c r="B89" s="1058"/>
      <c r="C89" s="569" t="s">
        <v>918</v>
      </c>
      <c r="D89" s="569" t="s">
        <v>923</v>
      </c>
      <c r="E89" s="1086"/>
      <c r="F89" s="1098">
        <v>1</v>
      </c>
      <c r="G89" s="1102">
        <v>1</v>
      </c>
      <c r="H89" s="1098">
        <v>0.98499999999999999</v>
      </c>
      <c r="I89" s="1098">
        <v>0.97</v>
      </c>
      <c r="J89" s="1098">
        <v>0.70499999999999996</v>
      </c>
      <c r="K89" s="1099">
        <v>0.44</v>
      </c>
      <c r="L89" s="1098">
        <v>0.41000000000000003</v>
      </c>
      <c r="M89" s="1098">
        <v>0.38</v>
      </c>
      <c r="N89" s="1098">
        <v>0.29000000000000004</v>
      </c>
      <c r="O89" s="1098">
        <v>0.2</v>
      </c>
      <c r="P89" s="842"/>
    </row>
    <row r="90" spans="2:16" s="525" customFormat="1" ht="15">
      <c r="B90" s="1058"/>
      <c r="C90" s="568" t="s">
        <v>918</v>
      </c>
      <c r="D90" s="568" t="s">
        <v>1116</v>
      </c>
      <c r="E90" s="848"/>
      <c r="F90" s="1099">
        <v>0</v>
      </c>
      <c r="G90" s="1103">
        <v>0</v>
      </c>
      <c r="H90" s="1099">
        <v>5.0000000000000001E-3</v>
      </c>
      <c r="I90" s="1099">
        <v>0.01</v>
      </c>
      <c r="J90" s="1099">
        <v>0.22750000000000001</v>
      </c>
      <c r="K90" s="1099">
        <v>0.44500000000000001</v>
      </c>
      <c r="L90" s="1099">
        <v>0.38250000000000001</v>
      </c>
      <c r="M90" s="1099">
        <v>0.32</v>
      </c>
      <c r="N90" s="1099">
        <v>0.32</v>
      </c>
      <c r="O90" s="1099">
        <v>0.32</v>
      </c>
      <c r="P90" s="842"/>
    </row>
    <row r="91" spans="2:16" s="525" customFormat="1" ht="15">
      <c r="B91" s="1058"/>
      <c r="C91" s="568" t="s">
        <v>918</v>
      </c>
      <c r="D91" s="568" t="s">
        <v>924</v>
      </c>
      <c r="E91" s="848"/>
      <c r="F91" s="1099">
        <v>0</v>
      </c>
      <c r="G91" s="1103">
        <v>0</v>
      </c>
      <c r="H91" s="1099">
        <v>0.01</v>
      </c>
      <c r="I91" s="1099">
        <v>0.02</v>
      </c>
      <c r="J91" s="1099">
        <v>0.05</v>
      </c>
      <c r="K91" s="1099">
        <v>0.08</v>
      </c>
      <c r="L91" s="1099">
        <v>0.14000000000000001</v>
      </c>
      <c r="M91" s="1099">
        <v>0.2</v>
      </c>
      <c r="N91" s="1099">
        <v>0.24000000000000002</v>
      </c>
      <c r="O91" s="1099">
        <v>0.28000000000000003</v>
      </c>
      <c r="P91" s="842"/>
    </row>
    <row r="92" spans="2:16" s="525" customFormat="1" ht="15">
      <c r="B92" s="1058"/>
      <c r="C92" s="1087" t="s">
        <v>918</v>
      </c>
      <c r="D92" s="1087" t="s">
        <v>925</v>
      </c>
      <c r="E92" s="1088"/>
      <c r="F92" s="1100">
        <v>0</v>
      </c>
      <c r="G92" s="1104">
        <v>0</v>
      </c>
      <c r="H92" s="1100">
        <v>0</v>
      </c>
      <c r="I92" s="1100">
        <v>0</v>
      </c>
      <c r="J92" s="1100">
        <v>1.7500000000000002E-2</v>
      </c>
      <c r="K92" s="1100">
        <v>3.5000000000000003E-2</v>
      </c>
      <c r="L92" s="1100">
        <v>6.7500000000000004E-2</v>
      </c>
      <c r="M92" s="1100">
        <v>0.1</v>
      </c>
      <c r="N92" s="1100">
        <v>0.15000000000000002</v>
      </c>
      <c r="O92" s="1100">
        <v>0.2</v>
      </c>
      <c r="P92" s="842"/>
    </row>
    <row r="93" spans="2:16" s="525" customFormat="1" ht="15">
      <c r="B93" s="1058"/>
      <c r="C93" s="569" t="s">
        <v>919</v>
      </c>
      <c r="D93" s="569" t="s">
        <v>923</v>
      </c>
      <c r="E93" s="1086"/>
      <c r="F93" s="1098">
        <v>1</v>
      </c>
      <c r="G93" s="1102">
        <v>0.98899999999999999</v>
      </c>
      <c r="H93" s="1098">
        <v>0.71199999999999997</v>
      </c>
      <c r="I93" s="1098">
        <v>0.435</v>
      </c>
      <c r="J93" s="1099">
        <v>0.2175</v>
      </c>
      <c r="K93" s="1099">
        <v>0</v>
      </c>
      <c r="L93" s="1098">
        <v>0</v>
      </c>
      <c r="M93" s="1098">
        <v>0</v>
      </c>
      <c r="N93" s="1098">
        <v>0</v>
      </c>
      <c r="O93" s="1098">
        <v>0</v>
      </c>
      <c r="P93" s="842"/>
    </row>
    <row r="94" spans="2:16" s="525" customFormat="1" ht="15">
      <c r="B94" s="1058"/>
      <c r="C94" s="568" t="s">
        <v>919</v>
      </c>
      <c r="D94" s="568" t="s">
        <v>1117</v>
      </c>
      <c r="E94" s="848"/>
      <c r="F94" s="1099">
        <v>0</v>
      </c>
      <c r="G94" s="1103">
        <v>1.0999999999999999E-2</v>
      </c>
      <c r="H94" s="1099">
        <v>0.27100000000000002</v>
      </c>
      <c r="I94" s="1099">
        <v>0.53100000000000003</v>
      </c>
      <c r="J94" s="1099">
        <v>0.72799999999999998</v>
      </c>
      <c r="K94" s="1099">
        <v>0.92500000000000004</v>
      </c>
      <c r="L94" s="1099">
        <v>0.89250000000000007</v>
      </c>
      <c r="M94" s="1099">
        <v>0.86</v>
      </c>
      <c r="N94" s="1099">
        <v>0.82000000000000006</v>
      </c>
      <c r="O94" s="1099">
        <v>0.78</v>
      </c>
      <c r="P94" s="842"/>
    </row>
    <row r="95" spans="2:16" s="525" customFormat="1" ht="15">
      <c r="B95" s="1536"/>
      <c r="C95" s="819" t="s">
        <v>919</v>
      </c>
      <c r="D95" s="819" t="s">
        <v>924</v>
      </c>
      <c r="E95" s="1537"/>
      <c r="F95" s="1538">
        <v>0</v>
      </c>
      <c r="G95" s="1539">
        <v>0</v>
      </c>
      <c r="H95" s="1538">
        <v>8.5000000000000006E-3</v>
      </c>
      <c r="I95" s="1099">
        <v>1.7000000000000001E-2</v>
      </c>
      <c r="J95" s="1099">
        <v>2.725E-2</v>
      </c>
      <c r="K95" s="1099">
        <v>3.7499999999999999E-2</v>
      </c>
      <c r="L95" s="1099">
        <v>5.3750000000000006E-2</v>
      </c>
      <c r="M95" s="1099">
        <v>7.0000000000000007E-2</v>
      </c>
      <c r="N95" s="1099">
        <v>0.09</v>
      </c>
      <c r="O95" s="1099">
        <v>0.11</v>
      </c>
      <c r="P95" s="842"/>
    </row>
    <row r="96" spans="2:16" s="525" customFormat="1" ht="15">
      <c r="B96" s="1540"/>
      <c r="C96" s="1541" t="s">
        <v>919</v>
      </c>
      <c r="D96" s="1541" t="s">
        <v>925</v>
      </c>
      <c r="E96" s="1542"/>
      <c r="F96" s="1543">
        <v>0</v>
      </c>
      <c r="G96" s="1544">
        <v>0</v>
      </c>
      <c r="H96" s="1545">
        <v>8.5000000000000006E-3</v>
      </c>
      <c r="I96" s="1099">
        <v>1.7000000000000001E-2</v>
      </c>
      <c r="J96" s="1099">
        <v>2.725E-2</v>
      </c>
      <c r="K96" s="1099">
        <v>3.7499999999999999E-2</v>
      </c>
      <c r="L96" s="1099">
        <v>5.3750000000000006E-2</v>
      </c>
      <c r="M96" s="1099">
        <v>7.0000000000000007E-2</v>
      </c>
      <c r="N96" s="1099">
        <v>0.09</v>
      </c>
      <c r="O96" s="1099">
        <v>0.11</v>
      </c>
      <c r="P96" s="842"/>
    </row>
    <row r="97" spans="2:17" s="525" customFormat="1" ht="15">
      <c r="B97" s="1058"/>
      <c r="C97" s="569" t="s">
        <v>921</v>
      </c>
      <c r="D97" s="569" t="s">
        <v>962</v>
      </c>
      <c r="E97" s="1086"/>
      <c r="F97" s="1098">
        <f t="shared" ref="F97:O97" si="6">1-F98</f>
        <v>0.35</v>
      </c>
      <c r="G97" s="1102">
        <f t="shared" si="6"/>
        <v>0.363354413782636</v>
      </c>
      <c r="H97" s="1098">
        <f t="shared" si="6"/>
        <v>0.363354413782636</v>
      </c>
      <c r="I97" s="1098">
        <f t="shared" si="6"/>
        <v>0.29729452126737621</v>
      </c>
      <c r="J97" s="1098">
        <f t="shared" si="6"/>
        <v>0.28299425059132255</v>
      </c>
      <c r="K97" s="1098">
        <f t="shared" si="6"/>
        <v>0.24182458192374212</v>
      </c>
      <c r="L97" s="1098">
        <f t="shared" si="6"/>
        <v>0.21495518393221524</v>
      </c>
      <c r="M97" s="1098">
        <f t="shared" si="6"/>
        <v>0.18808578594068837</v>
      </c>
      <c r="N97" s="1098">
        <f t="shared" si="6"/>
        <v>0.16121638794916149</v>
      </c>
      <c r="O97" s="1098">
        <f t="shared" si="6"/>
        <v>0.1343469899576345</v>
      </c>
      <c r="P97" s="842"/>
    </row>
    <row r="98" spans="2:17" s="525" customFormat="1" ht="15">
      <c r="B98" s="1058"/>
      <c r="C98" s="1087" t="s">
        <v>921</v>
      </c>
      <c r="D98" s="1087" t="s">
        <v>963</v>
      </c>
      <c r="E98" s="1088"/>
      <c r="F98" s="1100">
        <v>0.65</v>
      </c>
      <c r="G98" s="1104">
        <v>0.636645586217364</v>
      </c>
      <c r="H98" s="1100">
        <v>0.636645586217364</v>
      </c>
      <c r="I98" s="1100">
        <v>0.70270547873262379</v>
      </c>
      <c r="J98" s="1100">
        <v>0.71700574940867745</v>
      </c>
      <c r="K98" s="1100">
        <v>0.75817541807625788</v>
      </c>
      <c r="L98" s="1100">
        <v>0.78504481606778476</v>
      </c>
      <c r="M98" s="1100">
        <v>0.81191421405931163</v>
      </c>
      <c r="N98" s="1100">
        <v>0.83878361205083851</v>
      </c>
      <c r="O98" s="1100">
        <v>0.8656530100423655</v>
      </c>
      <c r="P98" s="842"/>
    </row>
    <row r="99" spans="2:17" s="525" customFormat="1" ht="15">
      <c r="B99" s="1058"/>
      <c r="C99" s="556" t="s">
        <v>922</v>
      </c>
      <c r="D99" s="556" t="s">
        <v>922</v>
      </c>
      <c r="E99" s="618"/>
      <c r="F99" s="1101">
        <v>1</v>
      </c>
      <c r="G99" s="1105">
        <f>$F99</f>
        <v>1</v>
      </c>
      <c r="H99" s="1101">
        <f t="shared" ref="H99:O99" si="7">$F99</f>
        <v>1</v>
      </c>
      <c r="I99" s="1101">
        <f t="shared" si="7"/>
        <v>1</v>
      </c>
      <c r="J99" s="1101">
        <f t="shared" si="7"/>
        <v>1</v>
      </c>
      <c r="K99" s="1101">
        <f t="shared" si="7"/>
        <v>1</v>
      </c>
      <c r="L99" s="1101">
        <f t="shared" si="7"/>
        <v>1</v>
      </c>
      <c r="M99" s="1101">
        <f t="shared" si="7"/>
        <v>1</v>
      </c>
      <c r="N99" s="1101">
        <f t="shared" si="7"/>
        <v>1</v>
      </c>
      <c r="O99" s="1101">
        <f t="shared" si="7"/>
        <v>1</v>
      </c>
      <c r="P99" s="842"/>
    </row>
    <row r="100" spans="2:17" s="525" customFormat="1" ht="15">
      <c r="B100" s="1058"/>
      <c r="C100" s="567"/>
      <c r="D100" s="744"/>
      <c r="E100" s="568"/>
      <c r="F100" s="1055"/>
      <c r="G100" s="1056"/>
      <c r="H100" s="1056"/>
      <c r="I100" s="1056"/>
      <c r="J100" s="1056"/>
      <c r="K100" s="615"/>
      <c r="L100" s="615"/>
      <c r="M100" s="615"/>
      <c r="N100" s="615"/>
      <c r="O100" s="615"/>
      <c r="P100" s="842"/>
    </row>
    <row r="101" spans="2:17" s="525" customFormat="1" ht="15">
      <c r="B101" s="1058"/>
      <c r="C101" s="593" t="s">
        <v>1135</v>
      </c>
      <c r="D101" s="744"/>
      <c r="E101" s="568"/>
      <c r="F101" s="1055"/>
      <c r="G101" s="1056"/>
      <c r="H101" s="1056"/>
      <c r="I101" s="1056"/>
      <c r="J101" s="1056"/>
      <c r="K101" s="615"/>
      <c r="L101" s="615"/>
      <c r="M101" s="615"/>
      <c r="N101" s="615"/>
      <c r="O101" s="615" t="s">
        <v>971</v>
      </c>
      <c r="P101" s="842"/>
    </row>
    <row r="102" spans="2:17" s="525" customFormat="1" ht="5.25" customHeight="1">
      <c r="B102" s="1058"/>
      <c r="C102" s="1060"/>
      <c r="D102" s="568"/>
      <c r="E102" s="848"/>
      <c r="F102" s="1055"/>
      <c r="G102" s="1056"/>
      <c r="H102" s="1056"/>
      <c r="I102" s="1056"/>
      <c r="J102" s="1056"/>
      <c r="K102" s="615"/>
      <c r="L102" s="615"/>
      <c r="M102" s="615"/>
      <c r="N102" s="615"/>
      <c r="O102" s="615"/>
      <c r="P102" s="842"/>
    </row>
    <row r="103" spans="2:17" s="525" customFormat="1" ht="15">
      <c r="B103" s="1058"/>
      <c r="C103" s="542" t="s">
        <v>906</v>
      </c>
      <c r="D103" s="542" t="s">
        <v>657</v>
      </c>
      <c r="E103" s="542" t="s">
        <v>422</v>
      </c>
      <c r="F103" s="607">
        <v>2007</v>
      </c>
      <c r="G103" s="608">
        <v>2010</v>
      </c>
      <c r="H103" s="607">
        <v>2015</v>
      </c>
      <c r="I103" s="607">
        <v>2020</v>
      </c>
      <c r="J103" s="607">
        <v>2025</v>
      </c>
      <c r="K103" s="607">
        <v>2030</v>
      </c>
      <c r="L103" s="607">
        <v>2035</v>
      </c>
      <c r="M103" s="607">
        <v>2040</v>
      </c>
      <c r="N103" s="607">
        <v>2045</v>
      </c>
      <c r="O103" s="607">
        <v>2050</v>
      </c>
      <c r="P103" s="842"/>
    </row>
    <row r="104" spans="2:17" s="1717" customFormat="1" ht="15">
      <c r="B104" s="1058"/>
      <c r="C104" s="549" t="s">
        <v>920</v>
      </c>
      <c r="D104" s="549" t="s">
        <v>920</v>
      </c>
      <c r="E104" s="1719"/>
      <c r="F104" s="1098">
        <v>1</v>
      </c>
      <c r="G104" s="1102">
        <v>1</v>
      </c>
      <c r="H104" s="1098">
        <v>0.996</v>
      </c>
      <c r="I104" s="1098">
        <v>0.996</v>
      </c>
      <c r="J104" s="1098">
        <v>0.996</v>
      </c>
      <c r="K104" s="1098">
        <v>0.996</v>
      </c>
      <c r="L104" s="1098">
        <v>0.996</v>
      </c>
      <c r="M104" s="1098">
        <v>0.996</v>
      </c>
      <c r="N104" s="1098">
        <v>0.996</v>
      </c>
      <c r="O104" s="1098">
        <v>0.996</v>
      </c>
      <c r="P104" s="842"/>
    </row>
    <row r="105" spans="2:17" s="525" customFormat="1" ht="15">
      <c r="B105" s="1058"/>
      <c r="C105" s="569" t="s">
        <v>918</v>
      </c>
      <c r="D105" s="569" t="s">
        <v>923</v>
      </c>
      <c r="E105" s="1086"/>
      <c r="F105" s="1098">
        <v>1</v>
      </c>
      <c r="G105" s="1102">
        <v>1</v>
      </c>
      <c r="H105" s="1098">
        <v>0.99</v>
      </c>
      <c r="I105" s="1098">
        <v>0.97</v>
      </c>
      <c r="J105" s="1098">
        <v>0.66</v>
      </c>
      <c r="K105" s="1099">
        <v>0.34</v>
      </c>
      <c r="L105" s="1098">
        <v>0.26</v>
      </c>
      <c r="M105" s="1098">
        <v>0.18</v>
      </c>
      <c r="N105" s="1098">
        <v>0.09</v>
      </c>
      <c r="O105" s="1098">
        <v>0</v>
      </c>
      <c r="P105" s="842"/>
    </row>
    <row r="106" spans="2:17" s="525" customFormat="1" ht="15">
      <c r="B106" s="1058"/>
      <c r="C106" s="568" t="s">
        <v>918</v>
      </c>
      <c r="D106" s="568" t="s">
        <v>1116</v>
      </c>
      <c r="E106" s="848"/>
      <c r="F106" s="1099">
        <v>0</v>
      </c>
      <c r="G106" s="1103">
        <v>0</v>
      </c>
      <c r="H106" s="1099">
        <v>0.01</v>
      </c>
      <c r="I106" s="1099">
        <v>0.01</v>
      </c>
      <c r="J106" s="1099">
        <v>0.23</v>
      </c>
      <c r="K106" s="1099">
        <v>0.44500000000000001</v>
      </c>
      <c r="L106" s="1099">
        <v>0.38250000000000001</v>
      </c>
      <c r="M106" s="1099">
        <v>0.32</v>
      </c>
      <c r="N106" s="1099">
        <v>0.16</v>
      </c>
      <c r="O106" s="1099">
        <v>0</v>
      </c>
      <c r="P106" s="842"/>
    </row>
    <row r="107" spans="2:17" s="525" customFormat="1" ht="15">
      <c r="B107" s="1058"/>
      <c r="C107" s="568" t="s">
        <v>918</v>
      </c>
      <c r="D107" s="568" t="s">
        <v>924</v>
      </c>
      <c r="E107" s="848"/>
      <c r="F107" s="1099">
        <v>0</v>
      </c>
      <c r="G107" s="1103">
        <v>0</v>
      </c>
      <c r="H107" s="1099">
        <v>0.01</v>
      </c>
      <c r="I107" s="1099">
        <v>0.02</v>
      </c>
      <c r="J107" s="1099">
        <v>9.9999999999999992E-2</v>
      </c>
      <c r="K107" s="1099">
        <v>0.18</v>
      </c>
      <c r="L107" s="1099">
        <v>0.29000000000000004</v>
      </c>
      <c r="M107" s="1099">
        <v>0.4</v>
      </c>
      <c r="N107" s="1099">
        <v>0.60000000000000009</v>
      </c>
      <c r="O107" s="1099">
        <v>0.8</v>
      </c>
      <c r="P107" s="842"/>
    </row>
    <row r="108" spans="2:17" s="525" customFormat="1" ht="15">
      <c r="B108" s="1058"/>
      <c r="C108" s="1087" t="s">
        <v>918</v>
      </c>
      <c r="D108" s="1087" t="s">
        <v>925</v>
      </c>
      <c r="E108" s="1088"/>
      <c r="F108" s="1100">
        <v>0</v>
      </c>
      <c r="G108" s="1104">
        <v>0</v>
      </c>
      <c r="H108" s="1100">
        <v>0</v>
      </c>
      <c r="I108" s="1100">
        <v>0</v>
      </c>
      <c r="J108" s="1100">
        <v>1.7500000000000002E-2</v>
      </c>
      <c r="K108" s="1100">
        <v>3.5000000000000003E-2</v>
      </c>
      <c r="L108" s="1100">
        <v>6.7500000000000004E-2</v>
      </c>
      <c r="M108" s="1100">
        <v>0.1</v>
      </c>
      <c r="N108" s="1100">
        <v>0.15000000000000002</v>
      </c>
      <c r="O108" s="1100">
        <v>0.2</v>
      </c>
      <c r="P108" s="842"/>
    </row>
    <row r="109" spans="2:17" s="525" customFormat="1" ht="15">
      <c r="B109" s="1058"/>
      <c r="C109" s="569" t="s">
        <v>919</v>
      </c>
      <c r="D109" s="569" t="s">
        <v>923</v>
      </c>
      <c r="E109" s="1086"/>
      <c r="F109" s="1098">
        <v>1</v>
      </c>
      <c r="G109" s="1102">
        <v>0.98899999999999999</v>
      </c>
      <c r="H109" s="1098">
        <v>0.71199999999999997</v>
      </c>
      <c r="I109" s="1098">
        <v>0.435</v>
      </c>
      <c r="J109" s="1099">
        <v>0.2175</v>
      </c>
      <c r="K109" s="1099">
        <v>0</v>
      </c>
      <c r="L109" s="1098">
        <v>0</v>
      </c>
      <c r="M109" s="1098">
        <v>0</v>
      </c>
      <c r="N109" s="1098">
        <v>0</v>
      </c>
      <c r="O109" s="1098">
        <v>0</v>
      </c>
      <c r="P109" s="842"/>
    </row>
    <row r="110" spans="2:17" s="525" customFormat="1" ht="15">
      <c r="B110" s="1058"/>
      <c r="C110" s="568" t="s">
        <v>919</v>
      </c>
      <c r="D110" s="568" t="s">
        <v>1117</v>
      </c>
      <c r="E110" s="848"/>
      <c r="F110" s="1099">
        <v>0</v>
      </c>
      <c r="G110" s="1103">
        <v>1.0999999999999999E-2</v>
      </c>
      <c r="H110" s="1099">
        <v>0.27100000000000002</v>
      </c>
      <c r="I110" s="1099">
        <v>0.53100000000000003</v>
      </c>
      <c r="J110" s="1099">
        <v>0.67799999999999994</v>
      </c>
      <c r="K110" s="1099">
        <v>0.82499999999999996</v>
      </c>
      <c r="L110" s="1099">
        <v>0.74750000000000005</v>
      </c>
      <c r="M110" s="1099">
        <v>0.67</v>
      </c>
      <c r="N110" s="1099">
        <v>0.59000000000000008</v>
      </c>
      <c r="O110" s="1099">
        <v>0.51</v>
      </c>
      <c r="P110" s="842"/>
    </row>
    <row r="111" spans="2:17" s="525" customFormat="1" ht="15">
      <c r="B111" s="1058"/>
      <c r="C111" s="568" t="s">
        <v>919</v>
      </c>
      <c r="D111" s="568" t="s">
        <v>924</v>
      </c>
      <c r="E111" s="848"/>
      <c r="F111" s="1099">
        <v>0</v>
      </c>
      <c r="G111" s="1103">
        <v>0</v>
      </c>
      <c r="H111" s="1099">
        <v>8.5000000000000006E-3</v>
      </c>
      <c r="I111" s="1099">
        <v>1.7000000000000001E-2</v>
      </c>
      <c r="J111" s="1099">
        <v>5.2249999999999998E-2</v>
      </c>
      <c r="K111" s="1099">
        <v>8.7499999999999994E-2</v>
      </c>
      <c r="L111" s="1099">
        <v>0.12625</v>
      </c>
      <c r="M111" s="1099">
        <v>0.16500000000000001</v>
      </c>
      <c r="N111" s="1099">
        <v>0.20500000000000002</v>
      </c>
      <c r="O111" s="1099">
        <v>0.245</v>
      </c>
      <c r="P111" s="841"/>
    </row>
    <row r="112" spans="2:17" s="525" customFormat="1" ht="15">
      <c r="B112" s="1540"/>
      <c r="C112" s="1087" t="s">
        <v>919</v>
      </c>
      <c r="D112" s="1087" t="s">
        <v>925</v>
      </c>
      <c r="E112" s="1088"/>
      <c r="F112" s="1100">
        <v>0</v>
      </c>
      <c r="G112" s="1104">
        <v>0</v>
      </c>
      <c r="H112" s="1099">
        <v>8.5000000000000006E-3</v>
      </c>
      <c r="I112" s="1099">
        <v>1.7000000000000001E-2</v>
      </c>
      <c r="J112" s="1099">
        <v>5.2249999999999998E-2</v>
      </c>
      <c r="K112" s="1099">
        <v>8.7499999999999994E-2</v>
      </c>
      <c r="L112" s="1099">
        <v>0.12625</v>
      </c>
      <c r="M112" s="1099">
        <v>0.16500000000000001</v>
      </c>
      <c r="N112" s="1099">
        <v>0.20500000000000002</v>
      </c>
      <c r="O112" s="1099">
        <v>0.245</v>
      </c>
      <c r="P112" s="842"/>
      <c r="Q112" s="1546"/>
    </row>
    <row r="113" spans="2:37" s="525" customFormat="1" ht="15">
      <c r="B113" s="1058"/>
      <c r="C113" s="569" t="s">
        <v>921</v>
      </c>
      <c r="D113" s="569" t="s">
        <v>962</v>
      </c>
      <c r="E113" s="1086"/>
      <c r="F113" s="1098">
        <f t="shared" ref="F113:O113" si="8">1-F114</f>
        <v>0.35</v>
      </c>
      <c r="G113" s="1102">
        <f t="shared" si="8"/>
        <v>0.363354413782636</v>
      </c>
      <c r="H113" s="1098">
        <f t="shared" si="8"/>
        <v>0.363354413782636</v>
      </c>
      <c r="I113" s="1098">
        <f t="shared" si="8"/>
        <v>0.29729452126737621</v>
      </c>
      <c r="J113" s="1098">
        <f t="shared" si="8"/>
        <v>0.268693979915269</v>
      </c>
      <c r="K113" s="1098">
        <f t="shared" si="8"/>
        <v>0.21495518393221524</v>
      </c>
      <c r="L113" s="1098">
        <f t="shared" si="8"/>
        <v>0.16121638794916149</v>
      </c>
      <c r="M113" s="1098">
        <f t="shared" si="8"/>
        <v>0.10747759196610773</v>
      </c>
      <c r="N113" s="1098">
        <f t="shared" si="8"/>
        <v>5.3738795983053977E-2</v>
      </c>
      <c r="O113" s="1098">
        <f t="shared" si="8"/>
        <v>0</v>
      </c>
      <c r="P113" s="841"/>
    </row>
    <row r="114" spans="2:37" s="525" customFormat="1" ht="15">
      <c r="B114" s="1058"/>
      <c r="C114" s="1087" t="s">
        <v>921</v>
      </c>
      <c r="D114" s="1087" t="s">
        <v>963</v>
      </c>
      <c r="E114" s="1088"/>
      <c r="F114" s="1100">
        <v>0.65</v>
      </c>
      <c r="G114" s="1104">
        <v>0.636645586217364</v>
      </c>
      <c r="H114" s="1100">
        <v>0.636645586217364</v>
      </c>
      <c r="I114" s="1100">
        <v>0.70270547873262379</v>
      </c>
      <c r="J114" s="1100">
        <v>0.731306020084731</v>
      </c>
      <c r="K114" s="1100">
        <v>0.78504481606778476</v>
      </c>
      <c r="L114" s="1100">
        <v>0.83878361205083851</v>
      </c>
      <c r="M114" s="1100">
        <v>0.89252240803389227</v>
      </c>
      <c r="N114" s="1100">
        <v>0.94626120401694602</v>
      </c>
      <c r="O114" s="1100">
        <v>1</v>
      </c>
      <c r="P114" s="841"/>
    </row>
    <row r="115" spans="2:37" s="525" customFormat="1" ht="15">
      <c r="B115" s="1058"/>
      <c r="C115" s="556" t="s">
        <v>922</v>
      </c>
      <c r="D115" s="556" t="s">
        <v>922</v>
      </c>
      <c r="E115" s="618"/>
      <c r="F115" s="1101">
        <v>1</v>
      </c>
      <c r="G115" s="1105">
        <f>$F115</f>
        <v>1</v>
      </c>
      <c r="H115" s="1101">
        <f t="shared" ref="H115:O115" si="9">$F115</f>
        <v>1</v>
      </c>
      <c r="I115" s="1101">
        <f t="shared" si="9"/>
        <v>1</v>
      </c>
      <c r="J115" s="1101">
        <f t="shared" si="9"/>
        <v>1</v>
      </c>
      <c r="K115" s="1101">
        <f t="shared" si="9"/>
        <v>1</v>
      </c>
      <c r="L115" s="1101">
        <f t="shared" si="9"/>
        <v>1</v>
      </c>
      <c r="M115" s="1101">
        <f t="shared" si="9"/>
        <v>1</v>
      </c>
      <c r="N115" s="1101">
        <f t="shared" si="9"/>
        <v>1</v>
      </c>
      <c r="O115" s="1101">
        <f t="shared" si="9"/>
        <v>1</v>
      </c>
      <c r="P115" s="841"/>
    </row>
    <row r="116" spans="2:37" s="525" customFormat="1" ht="15">
      <c r="B116" s="1058"/>
      <c r="C116" s="567"/>
      <c r="D116" s="744"/>
      <c r="E116" s="568"/>
      <c r="F116" s="1055"/>
      <c r="G116" s="1056"/>
      <c r="H116" s="1056"/>
      <c r="I116" s="1056"/>
      <c r="J116" s="1056"/>
      <c r="K116" s="615"/>
      <c r="L116" s="615"/>
      <c r="M116" s="615"/>
      <c r="N116" s="615"/>
      <c r="O116" s="615"/>
      <c r="P116" s="841"/>
    </row>
    <row r="117" spans="2:37" s="1717" customFormat="1" ht="15">
      <c r="B117" s="1058"/>
      <c r="C117" s="593" t="s">
        <v>1729</v>
      </c>
      <c r="D117" s="1721"/>
      <c r="E117" s="1721"/>
      <c r="F117" s="1055"/>
      <c r="G117" s="1056"/>
      <c r="H117" s="1056"/>
      <c r="I117" s="1056"/>
      <c r="J117" s="1056"/>
      <c r="K117" s="615"/>
      <c r="L117" s="615"/>
      <c r="M117" s="615"/>
      <c r="N117" s="615"/>
      <c r="O117" s="615"/>
      <c r="P117" s="841"/>
    </row>
    <row r="118" spans="2:37" s="1717" customFormat="1">
      <c r="B118" s="1727"/>
      <c r="C118" s="1723"/>
      <c r="D118" s="1722"/>
      <c r="E118" s="1722"/>
      <c r="F118" s="1722"/>
      <c r="G118" s="1722"/>
      <c r="H118" s="1722"/>
      <c r="I118" s="1722"/>
      <c r="J118" s="1722"/>
      <c r="K118" s="1722"/>
      <c r="L118" s="1722"/>
      <c r="M118" s="1722"/>
      <c r="N118" s="1722"/>
      <c r="O118" s="1722"/>
      <c r="P118" s="1726"/>
      <c r="V118" s="1121"/>
      <c r="W118" s="1121"/>
      <c r="X118" s="1121"/>
    </row>
    <row r="119" spans="2:37" s="1825" customFormat="1" ht="15">
      <c r="B119" s="790"/>
      <c r="C119" s="542" t="s">
        <v>908</v>
      </c>
      <c r="D119" s="542" t="s">
        <v>74</v>
      </c>
      <c r="E119" s="542" t="s">
        <v>422</v>
      </c>
      <c r="F119" s="607" t="s">
        <v>924</v>
      </c>
      <c r="G119" s="608" t="s">
        <v>925</v>
      </c>
      <c r="H119" s="863"/>
      <c r="I119" s="863"/>
      <c r="J119" s="863"/>
      <c r="K119" s="863"/>
      <c r="L119" s="863"/>
      <c r="M119" s="863"/>
      <c r="N119" s="863"/>
      <c r="O119" s="863"/>
      <c r="P119" s="1726"/>
      <c r="Z119" s="1373"/>
      <c r="AA119" s="1373"/>
      <c r="AB119" s="1373"/>
      <c r="AC119" s="1373"/>
      <c r="AD119" s="1373"/>
      <c r="AE119" s="1373"/>
      <c r="AF119" s="1373"/>
      <c r="AG119" s="1373"/>
      <c r="AH119" s="1373"/>
      <c r="AI119" s="1373"/>
      <c r="AJ119" s="1373"/>
      <c r="AK119" s="1373"/>
    </row>
    <row r="120" spans="2:37" s="1825" customFormat="1" ht="15">
      <c r="B120" s="790"/>
      <c r="C120" s="1720">
        <v>1</v>
      </c>
      <c r="D120" s="1721"/>
      <c r="E120" s="848" t="s">
        <v>102</v>
      </c>
      <c r="F120" s="1069">
        <v>1</v>
      </c>
      <c r="G120" s="1096">
        <v>0</v>
      </c>
      <c r="H120" s="1097"/>
      <c r="I120" s="1097"/>
      <c r="J120" s="1097"/>
      <c r="K120" s="1097"/>
      <c r="L120" s="1097"/>
      <c r="M120" s="1097"/>
      <c r="N120" s="1097"/>
      <c r="O120" s="1097"/>
      <c r="P120" s="1726"/>
      <c r="Z120" s="1373"/>
      <c r="AA120" s="1373"/>
      <c r="AB120" s="1373"/>
      <c r="AC120" s="1373"/>
      <c r="AD120" s="1373"/>
      <c r="AE120" s="762"/>
      <c r="AF120" s="762"/>
      <c r="AG120" s="762"/>
      <c r="AH120" s="1374"/>
      <c r="AI120" s="1374"/>
      <c r="AJ120" s="1374"/>
      <c r="AK120" s="1374"/>
    </row>
    <row r="121" spans="2:37" s="1825" customFormat="1" ht="15">
      <c r="B121" s="790"/>
      <c r="C121" s="1720">
        <v>2</v>
      </c>
      <c r="D121" s="1721"/>
      <c r="E121" s="848"/>
      <c r="F121" s="1069">
        <v>0.8</v>
      </c>
      <c r="G121" s="1375">
        <v>0.2</v>
      </c>
      <c r="H121" s="1376"/>
      <c r="I121" s="1097"/>
      <c r="J121" s="1376"/>
      <c r="K121" s="1097"/>
      <c r="L121" s="1376"/>
      <c r="M121" s="1097"/>
      <c r="N121" s="1097"/>
      <c r="O121" s="1097"/>
      <c r="P121" s="1726"/>
      <c r="Z121" s="1373"/>
      <c r="AA121" s="1373"/>
      <c r="AB121" s="1373"/>
      <c r="AC121" s="1373"/>
      <c r="AD121" s="1373"/>
      <c r="AE121" s="1374"/>
      <c r="AF121" s="1374"/>
      <c r="AG121" s="1374"/>
      <c r="AH121" s="1374"/>
      <c r="AI121" s="1374"/>
      <c r="AJ121" s="1374"/>
      <c r="AK121" s="1374"/>
    </row>
    <row r="122" spans="2:37" s="1825" customFormat="1" ht="15">
      <c r="B122" s="790"/>
      <c r="C122" s="1720">
        <v>3</v>
      </c>
      <c r="D122" s="1721"/>
      <c r="E122" s="848"/>
      <c r="F122" s="1069">
        <v>0.2</v>
      </c>
      <c r="G122" s="1375">
        <v>0.8</v>
      </c>
      <c r="H122" s="1376"/>
      <c r="I122" s="1376"/>
      <c r="J122" s="1376"/>
      <c r="K122" s="1376"/>
      <c r="L122" s="1376"/>
      <c r="M122" s="1376"/>
      <c r="N122" s="1376"/>
      <c r="O122" s="1376"/>
      <c r="P122" s="1726"/>
      <c r="Z122" s="1373"/>
      <c r="AA122" s="1373"/>
      <c r="AB122" s="1373"/>
      <c r="AC122" s="1373"/>
      <c r="AD122" s="1373"/>
    </row>
    <row r="123" spans="2:37" s="1825" customFormat="1" ht="15">
      <c r="B123" s="790"/>
      <c r="C123" s="1718">
        <v>4</v>
      </c>
      <c r="D123" s="546"/>
      <c r="E123" s="546"/>
      <c r="F123" s="1070">
        <v>0</v>
      </c>
      <c r="G123" s="1570">
        <v>1</v>
      </c>
      <c r="H123" s="1376"/>
      <c r="I123" s="1376"/>
      <c r="J123" s="1376"/>
      <c r="K123" s="1376"/>
      <c r="L123" s="1376"/>
      <c r="M123" s="1376"/>
      <c r="N123" s="1376"/>
      <c r="O123" s="1376"/>
      <c r="P123" s="1726"/>
    </row>
    <row r="124" spans="2:37" s="1717" customFormat="1">
      <c r="B124" s="1727"/>
      <c r="C124" s="1723"/>
      <c r="D124" s="1722"/>
      <c r="E124" s="1722"/>
      <c r="F124" s="1722"/>
      <c r="G124" s="1722"/>
      <c r="H124" s="1722"/>
      <c r="I124" s="1722"/>
      <c r="J124" s="1722"/>
      <c r="K124" s="1722"/>
      <c r="L124" s="1722"/>
      <c r="M124" s="1722"/>
      <c r="N124" s="1722"/>
      <c r="O124" s="1722"/>
      <c r="P124" s="1726"/>
      <c r="V124" s="1121"/>
      <c r="W124" s="1121"/>
      <c r="X124" s="1121"/>
    </row>
    <row r="125" spans="2:37" s="525" customFormat="1" ht="15">
      <c r="B125" s="1058"/>
      <c r="C125" s="567"/>
      <c r="D125" s="744"/>
      <c r="E125" s="568"/>
      <c r="F125" s="1055"/>
      <c r="G125" s="1056"/>
      <c r="H125" s="1056"/>
      <c r="I125" s="1056"/>
      <c r="J125" s="1056"/>
      <c r="K125" s="615"/>
      <c r="L125" s="615"/>
      <c r="M125" s="615"/>
      <c r="N125" s="615"/>
      <c r="O125" s="615"/>
      <c r="P125" s="841"/>
    </row>
    <row r="126" spans="2:37">
      <c r="B126" s="792"/>
      <c r="C126" s="840" t="s">
        <v>604</v>
      </c>
      <c r="D126" s="592"/>
      <c r="E126" s="588"/>
      <c r="F126" s="588"/>
      <c r="G126" s="588"/>
      <c r="H126" s="588"/>
      <c r="I126" s="588"/>
      <c r="J126" s="588"/>
      <c r="K126" s="588"/>
      <c r="L126" s="588"/>
      <c r="M126" s="588"/>
      <c r="N126" s="588"/>
      <c r="O126" s="588"/>
      <c r="P126" s="789"/>
    </row>
    <row r="127" spans="2:37">
      <c r="B127" s="792"/>
      <c r="C127" s="839" t="s">
        <v>102</v>
      </c>
      <c r="D127" s="592" t="s">
        <v>953</v>
      </c>
      <c r="E127" s="588"/>
      <c r="F127" s="588"/>
      <c r="G127" s="588"/>
      <c r="H127" s="588"/>
      <c r="I127" s="588"/>
      <c r="J127" s="588"/>
      <c r="K127" s="588"/>
      <c r="L127" s="588"/>
      <c r="M127" s="588"/>
      <c r="N127" s="588"/>
      <c r="O127" s="588"/>
      <c r="P127" s="789"/>
    </row>
    <row r="128" spans="2:37">
      <c r="B128" s="792"/>
      <c r="C128" s="839" t="s">
        <v>108</v>
      </c>
      <c r="D128" s="592" t="s">
        <v>954</v>
      </c>
      <c r="E128" s="588"/>
      <c r="F128" s="588"/>
      <c r="G128" s="588"/>
      <c r="H128" s="588"/>
      <c r="I128" s="588"/>
      <c r="J128" s="588"/>
      <c r="K128" s="588"/>
      <c r="L128" s="588"/>
      <c r="M128" s="588"/>
      <c r="N128" s="588"/>
      <c r="O128" s="588"/>
      <c r="P128" s="789"/>
      <c r="R128"/>
      <c r="S128"/>
      <c r="T128"/>
      <c r="U128"/>
      <c r="V128"/>
      <c r="W128"/>
      <c r="X128"/>
      <c r="Y128"/>
      <c r="Z128"/>
      <c r="AA128"/>
      <c r="AB128"/>
    </row>
    <row r="129" spans="1:28">
      <c r="B129" s="792"/>
      <c r="C129" s="626" t="s">
        <v>109</v>
      </c>
      <c r="D129" s="568" t="s">
        <v>1123</v>
      </c>
      <c r="E129" s="588"/>
      <c r="F129" s="588"/>
      <c r="G129" s="588"/>
      <c r="H129" s="588"/>
      <c r="I129" s="588"/>
      <c r="J129" s="588"/>
      <c r="K129" s="588"/>
      <c r="L129" s="588"/>
      <c r="M129" s="588"/>
      <c r="N129" s="588"/>
      <c r="O129" s="588"/>
      <c r="P129" s="789"/>
      <c r="R129"/>
      <c r="S129"/>
      <c r="T129"/>
      <c r="U129"/>
      <c r="V129"/>
      <c r="W129"/>
      <c r="X129"/>
      <c r="Y129"/>
      <c r="Z129"/>
      <c r="AA129"/>
      <c r="AB129"/>
    </row>
    <row r="130" spans="1:28">
      <c r="B130" s="792"/>
      <c r="C130" s="626"/>
      <c r="D130" s="568" t="s">
        <v>964</v>
      </c>
      <c r="E130" s="588"/>
      <c r="F130" s="588"/>
      <c r="G130" s="588"/>
      <c r="H130" s="588"/>
      <c r="I130" s="588"/>
      <c r="J130" s="588"/>
      <c r="K130" s="588"/>
      <c r="L130" s="588"/>
      <c r="M130" s="588"/>
      <c r="N130" s="588"/>
      <c r="O130" s="588"/>
      <c r="P130" s="789"/>
      <c r="R130"/>
      <c r="S130"/>
      <c r="T130"/>
      <c r="U130"/>
      <c r="V130"/>
      <c r="W130"/>
      <c r="X130"/>
      <c r="Y130"/>
      <c r="Z130"/>
      <c r="AA130"/>
      <c r="AB130"/>
    </row>
    <row r="131" spans="1:28">
      <c r="B131" s="792"/>
      <c r="C131" s="626" t="s">
        <v>1122</v>
      </c>
      <c r="D131" s="568" t="s">
        <v>1139</v>
      </c>
      <c r="E131" s="588"/>
      <c r="F131" s="588"/>
      <c r="G131" s="588"/>
      <c r="H131" s="588"/>
      <c r="I131" s="588"/>
      <c r="J131" s="588"/>
      <c r="K131" s="588"/>
      <c r="L131" s="588"/>
      <c r="M131" s="588"/>
      <c r="N131" s="588"/>
      <c r="O131" s="588"/>
      <c r="P131" s="789"/>
      <c r="R131"/>
      <c r="S131"/>
      <c r="T131"/>
      <c r="U131"/>
      <c r="V131"/>
      <c r="W131"/>
      <c r="X131"/>
      <c r="Y131"/>
      <c r="Z131"/>
      <c r="AA131"/>
      <c r="AB131"/>
    </row>
    <row r="132" spans="1:28">
      <c r="B132" s="792"/>
      <c r="C132" s="626"/>
      <c r="D132" s="568" t="s">
        <v>1125</v>
      </c>
      <c r="E132" s="588"/>
      <c r="F132" s="588"/>
      <c r="G132" s="588"/>
      <c r="H132" s="588"/>
      <c r="I132" s="588"/>
      <c r="J132" s="588"/>
      <c r="K132" s="588"/>
      <c r="L132" s="588"/>
      <c r="M132" s="588"/>
      <c r="N132" s="588"/>
      <c r="O132" s="588"/>
      <c r="P132" s="789"/>
      <c r="R132"/>
      <c r="S132"/>
      <c r="T132"/>
      <c r="U132"/>
      <c r="V132"/>
      <c r="W132"/>
      <c r="X132"/>
      <c r="Y132"/>
      <c r="Z132"/>
      <c r="AA132"/>
      <c r="AB132"/>
    </row>
    <row r="133" spans="1:28" ht="15">
      <c r="B133" s="817"/>
      <c r="C133" s="1813" t="s">
        <v>1693</v>
      </c>
      <c r="D133" s="819" t="s">
        <v>1694</v>
      </c>
      <c r="E133" s="819"/>
      <c r="F133" s="820"/>
      <c r="G133" s="821"/>
      <c r="H133" s="821"/>
      <c r="I133" s="821"/>
      <c r="J133" s="821"/>
      <c r="K133" s="821"/>
      <c r="L133" s="821"/>
      <c r="M133" s="821"/>
      <c r="N133" s="821"/>
      <c r="O133" s="821"/>
      <c r="P133" s="795"/>
    </row>
    <row r="135" spans="1:28" s="528" customFormat="1" ht="22" collapsed="1">
      <c r="A135" s="798"/>
      <c r="B135" s="845" t="s">
        <v>635</v>
      </c>
      <c r="C135" s="796"/>
      <c r="D135" s="796"/>
      <c r="E135" s="796"/>
      <c r="F135" s="796"/>
      <c r="G135" s="796"/>
      <c r="H135" s="796"/>
      <c r="I135" s="796"/>
      <c r="J135" s="796"/>
      <c r="K135" s="796"/>
      <c r="L135" s="796"/>
      <c r="M135" s="796"/>
      <c r="N135" s="796"/>
      <c r="O135" s="796"/>
      <c r="P135" s="797"/>
      <c r="R135"/>
      <c r="S135"/>
      <c r="T135"/>
      <c r="U135"/>
      <c r="V135"/>
      <c r="W135"/>
      <c r="X135"/>
      <c r="Y135"/>
      <c r="Z135"/>
    </row>
    <row r="136" spans="1:28">
      <c r="B136" s="788"/>
      <c r="C136" s="588"/>
      <c r="D136" s="588"/>
      <c r="E136" s="588"/>
      <c r="F136" s="588"/>
      <c r="G136" s="588"/>
      <c r="H136" s="588"/>
      <c r="I136" s="588"/>
      <c r="J136" s="588"/>
      <c r="K136" s="588"/>
      <c r="L136" s="588"/>
      <c r="M136" s="588"/>
      <c r="N136" s="588"/>
      <c r="O136" s="588"/>
      <c r="P136" s="789"/>
    </row>
    <row r="137" spans="1:28" s="1717" customFormat="1">
      <c r="B137" s="1727"/>
      <c r="C137" s="1723" t="s">
        <v>1670</v>
      </c>
      <c r="D137" s="1722"/>
      <c r="E137" s="591"/>
      <c r="F137" s="1722"/>
      <c r="G137" s="1095"/>
      <c r="H137" s="1056"/>
      <c r="I137" s="1056"/>
      <c r="J137" s="594"/>
      <c r="K137" s="1099"/>
      <c r="L137" s="1099"/>
      <c r="M137" s="1099"/>
      <c r="N137" s="1099"/>
      <c r="O137" s="594" t="s">
        <v>1669</v>
      </c>
      <c r="P137" s="1726"/>
    </row>
    <row r="138" spans="1:28" s="1717" customFormat="1" ht="6" customHeight="1">
      <c r="B138" s="790"/>
      <c r="C138" s="1722"/>
      <c r="D138" s="1722"/>
      <c r="E138" s="1722"/>
      <c r="F138" s="1722"/>
      <c r="G138" s="1056"/>
      <c r="H138" s="1056"/>
      <c r="I138" s="1056"/>
      <c r="J138" s="1056"/>
      <c r="K138" s="1099"/>
      <c r="L138" s="1099"/>
      <c r="M138" s="1099"/>
      <c r="N138" s="1099"/>
      <c r="O138" s="1099"/>
      <c r="P138" s="1726"/>
    </row>
    <row r="139" spans="1:28" s="1717" customFormat="1" ht="15">
      <c r="B139" s="790"/>
      <c r="C139" s="547" t="s">
        <v>77</v>
      </c>
      <c r="D139" s="542" t="s">
        <v>906</v>
      </c>
      <c r="E139" s="542" t="s">
        <v>422</v>
      </c>
      <c r="F139" s="607">
        <v>2007</v>
      </c>
      <c r="G139" s="608">
        <v>2010</v>
      </c>
      <c r="H139" s="607">
        <v>2015</v>
      </c>
      <c r="I139" s="607">
        <v>2020</v>
      </c>
      <c r="J139" s="607">
        <v>2025</v>
      </c>
      <c r="K139" s="607">
        <v>2030</v>
      </c>
      <c r="L139" s="607">
        <v>2035</v>
      </c>
      <c r="M139" s="607">
        <v>2040</v>
      </c>
      <c r="N139" s="607">
        <v>2045</v>
      </c>
      <c r="O139" s="607">
        <v>2050</v>
      </c>
      <c r="P139" s="1726"/>
    </row>
    <row r="140" spans="1:28" s="1717" customFormat="1" ht="15">
      <c r="B140" s="790"/>
      <c r="C140" s="1454" t="s">
        <v>920</v>
      </c>
      <c r="D140" s="1721" t="s">
        <v>913</v>
      </c>
      <c r="E140" s="1719"/>
      <c r="F140" s="1097">
        <v>153</v>
      </c>
      <c r="G140" s="2222" t="s">
        <v>1925</v>
      </c>
      <c r="H140" s="2223"/>
      <c r="I140" s="2223"/>
      <c r="J140" s="2223"/>
      <c r="K140" s="2223"/>
      <c r="L140" s="2223"/>
      <c r="M140" s="2223"/>
      <c r="N140" s="2223"/>
      <c r="O140" s="2223"/>
      <c r="P140" s="1726"/>
    </row>
    <row r="141" spans="1:28" s="1717" customFormat="1" ht="15">
      <c r="B141" s="790"/>
      <c r="C141" s="626" t="s">
        <v>918</v>
      </c>
      <c r="D141" s="1721" t="s">
        <v>957</v>
      </c>
      <c r="E141" s="848"/>
      <c r="F141" s="1097">
        <v>14481</v>
      </c>
      <c r="G141" s="1787">
        <f t="shared" ref="G141:N144" si="10">$F141+($O141-$F141)/($O$269-$F$269)*(G$269-$F$269)</f>
        <v>14481</v>
      </c>
      <c r="H141" s="1788">
        <f t="shared" si="10"/>
        <v>14481</v>
      </c>
      <c r="I141" s="1788">
        <f t="shared" si="10"/>
        <v>14481</v>
      </c>
      <c r="J141" s="1788">
        <f t="shared" si="10"/>
        <v>14481</v>
      </c>
      <c r="K141" s="1789">
        <f t="shared" si="10"/>
        <v>14481</v>
      </c>
      <c r="L141" s="1789">
        <f t="shared" si="10"/>
        <v>14481</v>
      </c>
      <c r="M141" s="1789">
        <f t="shared" si="10"/>
        <v>14481</v>
      </c>
      <c r="N141" s="1789">
        <f t="shared" si="10"/>
        <v>14481</v>
      </c>
      <c r="O141" s="1097">
        <f>F141</f>
        <v>14481</v>
      </c>
      <c r="P141" s="1726"/>
    </row>
    <row r="142" spans="1:28" s="1717" customFormat="1" ht="15">
      <c r="B142" s="790"/>
      <c r="C142" s="626" t="s">
        <v>919</v>
      </c>
      <c r="D142" s="1721" t="s">
        <v>958</v>
      </c>
      <c r="E142" s="848"/>
      <c r="F142" s="1097">
        <v>63537</v>
      </c>
      <c r="G142" s="1790">
        <f t="shared" si="10"/>
        <v>63537</v>
      </c>
      <c r="H142" s="1791">
        <f t="shared" si="10"/>
        <v>63537</v>
      </c>
      <c r="I142" s="1791">
        <f t="shared" si="10"/>
        <v>63537</v>
      </c>
      <c r="J142" s="1791">
        <f t="shared" si="10"/>
        <v>63537</v>
      </c>
      <c r="K142" s="1789">
        <f t="shared" si="10"/>
        <v>63537</v>
      </c>
      <c r="L142" s="1789">
        <f t="shared" si="10"/>
        <v>63537</v>
      </c>
      <c r="M142" s="1789">
        <f t="shared" si="10"/>
        <v>63537</v>
      </c>
      <c r="N142" s="1789">
        <f t="shared" si="10"/>
        <v>63537</v>
      </c>
      <c r="O142" s="1097">
        <f>F142</f>
        <v>63537</v>
      </c>
      <c r="P142" s="1726"/>
    </row>
    <row r="143" spans="1:28" s="1717" customFormat="1" ht="15">
      <c r="B143" s="790"/>
      <c r="C143" s="626" t="s">
        <v>921</v>
      </c>
      <c r="D143" s="1721" t="s">
        <v>959</v>
      </c>
      <c r="E143" s="848"/>
      <c r="F143" s="1097">
        <v>215000</v>
      </c>
      <c r="G143" s="1790">
        <f t="shared" si="10"/>
        <v>215000</v>
      </c>
      <c r="H143" s="1791">
        <f t="shared" si="10"/>
        <v>215000</v>
      </c>
      <c r="I143" s="1791">
        <f t="shared" si="10"/>
        <v>215000</v>
      </c>
      <c r="J143" s="1791">
        <f t="shared" si="10"/>
        <v>215000</v>
      </c>
      <c r="K143" s="1789">
        <f t="shared" si="10"/>
        <v>215000</v>
      </c>
      <c r="L143" s="1789">
        <f t="shared" si="10"/>
        <v>215000</v>
      </c>
      <c r="M143" s="1789">
        <f t="shared" si="10"/>
        <v>215000</v>
      </c>
      <c r="N143" s="1789">
        <f t="shared" si="10"/>
        <v>215000</v>
      </c>
      <c r="O143" s="1097">
        <v>215000</v>
      </c>
      <c r="P143" s="1726"/>
    </row>
    <row r="144" spans="1:28" s="1717" customFormat="1" ht="15">
      <c r="B144" s="790"/>
      <c r="C144" s="1057" t="s">
        <v>922</v>
      </c>
      <c r="D144" s="546" t="s">
        <v>960</v>
      </c>
      <c r="E144" s="546"/>
      <c r="F144" s="1771">
        <v>1000000</v>
      </c>
      <c r="G144" s="1792">
        <f t="shared" si="10"/>
        <v>1000000</v>
      </c>
      <c r="H144" s="1793">
        <f t="shared" si="10"/>
        <v>1000000</v>
      </c>
      <c r="I144" s="1793">
        <f t="shared" si="10"/>
        <v>1000000</v>
      </c>
      <c r="J144" s="1793">
        <f t="shared" si="10"/>
        <v>1000000</v>
      </c>
      <c r="K144" s="1793">
        <f t="shared" si="10"/>
        <v>1000000</v>
      </c>
      <c r="L144" s="1793">
        <f t="shared" si="10"/>
        <v>1000000</v>
      </c>
      <c r="M144" s="1793">
        <f t="shared" si="10"/>
        <v>1000000</v>
      </c>
      <c r="N144" s="1793">
        <f t="shared" si="10"/>
        <v>1000000</v>
      </c>
      <c r="O144" s="1783">
        <f>F144</f>
        <v>1000000</v>
      </c>
      <c r="P144" s="1726"/>
    </row>
    <row r="145" spans="2:27" s="525" customFormat="1" ht="15">
      <c r="B145" s="1058"/>
      <c r="C145" s="1060"/>
      <c r="D145" s="568"/>
      <c r="E145" s="848"/>
      <c r="F145" s="1055"/>
      <c r="G145" s="1056"/>
      <c r="H145" s="1056"/>
      <c r="I145" s="1056"/>
      <c r="J145" s="1056"/>
      <c r="K145" s="615"/>
      <c r="L145" s="615"/>
      <c r="M145" s="615"/>
      <c r="N145" s="615"/>
      <c r="O145" s="615"/>
      <c r="P145" s="842"/>
    </row>
    <row r="146" spans="2:27" s="525" customFormat="1" ht="15">
      <c r="B146" s="1058"/>
      <c r="C146" s="590" t="s">
        <v>1120</v>
      </c>
      <c r="D146" s="588"/>
      <c r="E146" s="591"/>
      <c r="F146" s="588"/>
      <c r="G146" s="1089" t="s">
        <v>57</v>
      </c>
      <c r="H146" s="588"/>
      <c r="I146" s="588"/>
      <c r="J146" s="591"/>
      <c r="K146" s="615"/>
      <c r="L146" s="615"/>
      <c r="M146" s="615"/>
      <c r="N146" s="615"/>
      <c r="O146" s="615" t="str">
        <f>Preferences.EnergyUnits &amp; " / bn vehicle-km"</f>
        <v>TWh / bn vehicle-km</v>
      </c>
      <c r="P146" s="842"/>
    </row>
    <row r="147" spans="2:27" s="525" customFormat="1" ht="5.25" customHeight="1">
      <c r="B147" s="1058"/>
      <c r="C147" s="588"/>
      <c r="D147" s="588"/>
      <c r="E147" s="588"/>
      <c r="F147" s="588"/>
      <c r="G147" s="588"/>
      <c r="H147" s="588"/>
      <c r="I147" s="588"/>
      <c r="J147" s="588"/>
      <c r="K147" s="615"/>
      <c r="L147" s="615"/>
      <c r="M147" s="615"/>
      <c r="N147" s="615"/>
      <c r="O147" s="615"/>
      <c r="P147" s="842"/>
    </row>
    <row r="148" spans="2:27" s="525" customFormat="1" ht="15">
      <c r="B148" s="1058"/>
      <c r="C148" s="542" t="s">
        <v>906</v>
      </c>
      <c r="D148" s="542" t="s">
        <v>657</v>
      </c>
      <c r="E148" s="542" t="s">
        <v>422</v>
      </c>
      <c r="F148" s="607">
        <v>2007</v>
      </c>
      <c r="G148" s="608">
        <v>2010</v>
      </c>
      <c r="H148" s="607">
        <v>2015</v>
      </c>
      <c r="I148" s="607">
        <v>2020</v>
      </c>
      <c r="J148" s="607">
        <v>2025</v>
      </c>
      <c r="K148" s="607">
        <v>2030</v>
      </c>
      <c r="L148" s="607">
        <v>2035</v>
      </c>
      <c r="M148" s="607">
        <v>2040</v>
      </c>
      <c r="N148" s="607">
        <v>2045</v>
      </c>
      <c r="O148" s="607">
        <v>2050</v>
      </c>
      <c r="P148" s="842"/>
    </row>
    <row r="149" spans="2:27" s="525" customFormat="1" ht="15">
      <c r="B149" s="1058"/>
      <c r="C149" s="569" t="s">
        <v>918</v>
      </c>
      <c r="D149" s="569" t="s">
        <v>923</v>
      </c>
      <c r="E149" s="1086"/>
      <c r="F149" s="1382">
        <f>0.546297407872344*1000000000*Unit.kWh*$F$45</f>
        <v>0.79408880671861848</v>
      </c>
      <c r="G149" s="1117">
        <f>(Unit.TJ)*2520</f>
        <v>0.7</v>
      </c>
      <c r="H149" s="1114">
        <f>(Unit.TJ)*2246</f>
        <v>0.62388888888888894</v>
      </c>
      <c r="I149" s="1114">
        <f>(Unit.TJ)*1973</f>
        <v>0.54805555555555552</v>
      </c>
      <c r="J149" s="1114">
        <f>(Unit.TJ)*1696</f>
        <v>0.47111111111111109</v>
      </c>
      <c r="K149" s="1114">
        <f>(Unit.TJ)*1419</f>
        <v>0.39416666666666667</v>
      </c>
      <c r="L149" s="1114">
        <f>(Unit.TJ)*1340</f>
        <v>0.37222222222222223</v>
      </c>
      <c r="M149" s="1114">
        <f>(Unit.TJ)*1261</f>
        <v>0.3502777777777778</v>
      </c>
      <c r="N149" s="1114">
        <f>(Unit.TJ)*1206</f>
        <v>0.33500000000000002</v>
      </c>
      <c r="O149" s="1114">
        <f>(Unit.TJ)*1152</f>
        <v>0.32</v>
      </c>
      <c r="P149" s="842"/>
    </row>
    <row r="150" spans="2:27" s="525" customFormat="1" ht="15">
      <c r="B150" s="1058"/>
      <c r="C150" s="568" t="s">
        <v>918</v>
      </c>
      <c r="D150" s="568" t="s">
        <v>1116</v>
      </c>
      <c r="E150" s="848"/>
      <c r="F150" s="1091"/>
      <c r="G150" s="1118">
        <f>(Unit.TJ)*508</f>
        <v>0.1411111111111111</v>
      </c>
      <c r="H150" s="1115">
        <f>(Unit.TJ)*508</f>
        <v>0.1411111111111111</v>
      </c>
      <c r="I150" s="1115">
        <f>(Unit.TJ)*454</f>
        <v>0.12611111111111112</v>
      </c>
      <c r="J150" s="1115">
        <f>(Unit.TJ)*346</f>
        <v>9.6111111111111105E-2</v>
      </c>
      <c r="K150" s="1115">
        <f>(Unit.TJ)*277</f>
        <v>7.694444444444444E-2</v>
      </c>
      <c r="L150" s="1115">
        <f>(Unit.TJ)*247</f>
        <v>6.8611111111111109E-2</v>
      </c>
      <c r="M150" s="1115">
        <f>(Unit.TJ)*214</f>
        <v>5.9444444444444446E-2</v>
      </c>
      <c r="N150" s="1115">
        <f>(Unit.TJ)*177</f>
        <v>4.9166666666666664E-2</v>
      </c>
      <c r="O150" s="1115">
        <f>(Unit.TJ)*142</f>
        <v>3.9444444444444442E-2</v>
      </c>
      <c r="P150" s="842"/>
      <c r="Q150" s="1076"/>
    </row>
    <row r="151" spans="2:27" s="525" customFormat="1" ht="15">
      <c r="B151" s="1058"/>
      <c r="C151" s="569" t="s">
        <v>919</v>
      </c>
      <c r="D151" s="569" t="s">
        <v>923</v>
      </c>
      <c r="E151" s="1086"/>
      <c r="F151" s="1382">
        <f>0.239492423538389*1000000000*Unit.kWh*$F$46</f>
        <v>2.1684950349475951</v>
      </c>
      <c r="G151" s="1117">
        <f>(Unit.TJ)*14121</f>
        <v>3.9224999999999999</v>
      </c>
      <c r="H151" s="1384">
        <f>G151+(I151-G151)/(I$148-G$148)*(H$148-G$148)</f>
        <v>3.6413888888888888</v>
      </c>
      <c r="I151" s="1114">
        <f>(Unit.TJ)*12097</f>
        <v>3.3602777777777777</v>
      </c>
      <c r="J151" s="1384">
        <f>I151+(K151-I151)/(K$148-I$148)*(J$148-I$148)</f>
        <v>3.0791666666666666</v>
      </c>
      <c r="K151" s="1114">
        <f>(Unit.TJ)*10073</f>
        <v>2.7980555555555555</v>
      </c>
      <c r="L151" s="1384">
        <f>K151+(M151-K151)/(M$148-K$148)*(L$148-K$148)</f>
        <v>2.777222222222222</v>
      </c>
      <c r="M151" s="1114">
        <f>(Unit.TJ)*9923</f>
        <v>2.756388888888889</v>
      </c>
      <c r="N151" s="1384">
        <f>M151+(O151-M151)/(O$148-M$148)*(N$148-M$148)</f>
        <v>2.7355555555555555</v>
      </c>
      <c r="O151" s="1114">
        <f>(Unit.TJ)*9773</f>
        <v>2.714722222222222</v>
      </c>
      <c r="P151" s="842"/>
      <c r="Q151" s="1076"/>
    </row>
    <row r="152" spans="2:27" s="525" customFormat="1" ht="15">
      <c r="B152" s="1058"/>
      <c r="C152" s="568" t="s">
        <v>919</v>
      </c>
      <c r="D152" s="568" t="s">
        <v>1117</v>
      </c>
      <c r="E152" s="848"/>
      <c r="F152" s="1091"/>
      <c r="G152" s="1118">
        <f>(Unit.TJ)*9885</f>
        <v>2.7458333333333331</v>
      </c>
      <c r="H152" s="1385">
        <f>G152+(I152-G152)/(I$148-G$148)*(H$148-G$148)</f>
        <v>2.5490277777777779</v>
      </c>
      <c r="I152" s="1115">
        <f>(Unit.TJ)*8468</f>
        <v>2.3522222222222222</v>
      </c>
      <c r="J152" s="1385">
        <f>I152+(K152-I152)/(K$148-I$148)*(J$148-I$148)</f>
        <v>2.1554166666666665</v>
      </c>
      <c r="K152" s="1115">
        <f>(Unit.TJ)*7051</f>
        <v>1.9586111111111111</v>
      </c>
      <c r="L152" s="1385">
        <f>K152+(M152-K152)/(M$148-K$148)*(L$148-K$148)</f>
        <v>1.9440277777777779</v>
      </c>
      <c r="M152" s="1115">
        <f>(Unit.TJ)*6946</f>
        <v>1.9294444444444445</v>
      </c>
      <c r="N152" s="1385">
        <f>M152+(O152-M152)/(O$148-M$148)*(N$148-M$148)</f>
        <v>1.9148611111111111</v>
      </c>
      <c r="O152" s="1115">
        <f>(Unit.TJ)*6841</f>
        <v>1.9002777777777777</v>
      </c>
      <c r="P152" s="842"/>
      <c r="Q152" s="1076"/>
    </row>
    <row r="153" spans="2:27" s="525" customFormat="1" ht="15">
      <c r="B153" s="1058"/>
      <c r="C153" s="569" t="s">
        <v>921</v>
      </c>
      <c r="D153" s="569" t="s">
        <v>962</v>
      </c>
      <c r="E153" s="1086" t="s">
        <v>420</v>
      </c>
      <c r="F153" s="1395">
        <f>0.230406475694183*1000000000*Unit.kWh*$F$47</f>
        <v>7.4693980239160393E-2</v>
      </c>
      <c r="G153" s="1117">
        <f>(Constants.Density.Diesel*Constants.GCV.Diesel*1000000000)*0.0100314692759734</f>
        <v>0.1059406157140987</v>
      </c>
      <c r="H153" s="1114">
        <f>(Constants.Density.Diesel*Constants.GCV.Diesel*1000000000)*0.00952989581217476</f>
        <v>0.10064358492839408</v>
      </c>
      <c r="I153" s="1114">
        <f>(Constants.Density.Diesel*Constants.GCV.Diesel*1000000000)*0.00902832234837609</f>
        <v>9.5346554142689152E-2</v>
      </c>
      <c r="J153" s="1114">
        <f>(Constants.Density.Diesel*Constants.GCV.Diesel*1000000000)*0.00852674888457742</f>
        <v>9.0049523356984212E-2</v>
      </c>
      <c r="K153" s="1114">
        <f>(Constants.Density.Diesel*Constants.GCV.Diesel*1000000000)*0.00802517542077875</f>
        <v>8.4752492571279273E-2</v>
      </c>
      <c r="L153" s="1114">
        <f>(Constants.Density.Diesel*Constants.GCV.Diesel*1000000000)*0.00752360195698008</f>
        <v>7.9455461785574333E-2</v>
      </c>
      <c r="M153" s="1114">
        <f>(Constants.Density.Diesel*Constants.GCV.Diesel*1000000000)*0.00702202849318141</f>
        <v>7.4158430999869407E-2</v>
      </c>
      <c r="N153" s="1114">
        <f>(Constants.Density.Diesel*Constants.GCV.Diesel*1000000000)*0.00652045502938273</f>
        <v>6.886140021416437E-2</v>
      </c>
      <c r="O153" s="1114">
        <f>(Constants.Density.Diesel*Constants.GCV.Diesel*1000000000)*0.00601888156558406</f>
        <v>6.356436942845943E-2</v>
      </c>
      <c r="P153" s="842"/>
      <c r="Q153" s="1076"/>
    </row>
    <row r="154" spans="2:27" s="525" customFormat="1" ht="15">
      <c r="B154" s="1058"/>
      <c r="C154" s="556" t="s">
        <v>922</v>
      </c>
      <c r="D154" s="556" t="s">
        <v>922</v>
      </c>
      <c r="E154" s="618" t="s">
        <v>420</v>
      </c>
      <c r="F154" s="1394">
        <f>(2.14/0.245)*Unit.TWh/(9.5/0.651)</f>
        <v>0.59855639097744362</v>
      </c>
      <c r="G154" s="1119">
        <f t="shared" ref="G154:O154" si="11">$F154*(1-0.01)^(G$148-$F$148)</f>
        <v>0.58077866760902253</v>
      </c>
      <c r="H154" s="1116">
        <f t="shared" si="11"/>
        <v>0.5523147340903598</v>
      </c>
      <c r="I154" s="1116">
        <f t="shared" si="11"/>
        <v>0.52524581653309643</v>
      </c>
      <c r="J154" s="1116">
        <f t="shared" si="11"/>
        <v>0.49950354527457563</v>
      </c>
      <c r="K154" s="1116">
        <f t="shared" si="11"/>
        <v>0.47502290144589554</v>
      </c>
      <c r="L154" s="1116">
        <f t="shared" si="11"/>
        <v>0.45174205274967494</v>
      </c>
      <c r="M154" s="1116">
        <f t="shared" si="11"/>
        <v>0.42960219728634175</v>
      </c>
      <c r="N154" s="1116">
        <f t="shared" si="11"/>
        <v>0.40854741503448777</v>
      </c>
      <c r="O154" s="1116">
        <f t="shared" si="11"/>
        <v>0.38852452661016346</v>
      </c>
      <c r="P154" s="842"/>
      <c r="Q154" s="1076"/>
    </row>
    <row r="155" spans="2:27" s="525" customFormat="1" ht="15">
      <c r="B155" s="1058"/>
      <c r="C155" s="568"/>
      <c r="D155" s="568"/>
      <c r="E155" s="848"/>
      <c r="F155" s="1091"/>
      <c r="G155" s="1065"/>
      <c r="H155" s="1065"/>
      <c r="I155" s="1065"/>
      <c r="J155" s="1065"/>
      <c r="K155" s="615"/>
      <c r="L155" s="615"/>
      <c r="M155" s="615"/>
      <c r="N155" s="615"/>
      <c r="O155" s="615"/>
      <c r="P155" s="842"/>
      <c r="Q155" s="527"/>
    </row>
    <row r="156" spans="2:27" s="525" customFormat="1" ht="15">
      <c r="B156" s="1058"/>
      <c r="C156" s="590" t="s">
        <v>1119</v>
      </c>
      <c r="D156" s="588"/>
      <c r="E156" s="591"/>
      <c r="F156" s="588"/>
      <c r="G156" s="1089" t="s">
        <v>5</v>
      </c>
      <c r="H156" s="588"/>
      <c r="I156" s="588"/>
      <c r="J156" s="591"/>
      <c r="K156" s="615"/>
      <c r="L156" s="615"/>
      <c r="M156" s="615"/>
      <c r="N156" s="615"/>
      <c r="O156" s="615" t="str">
        <f>Preferences.EnergyUnits &amp; " / bn vehicle-km"</f>
        <v>TWh / bn vehicle-km</v>
      </c>
      <c r="P156" s="842"/>
      <c r="Q156" s="1076"/>
    </row>
    <row r="157" spans="2:27" s="525" customFormat="1" ht="5.25" customHeight="1">
      <c r="B157" s="1058"/>
      <c r="C157" s="588"/>
      <c r="D157" s="588"/>
      <c r="E157" s="588"/>
      <c r="F157" s="588"/>
      <c r="G157" s="588"/>
      <c r="H157" s="588"/>
      <c r="I157" s="588"/>
      <c r="J157" s="588"/>
      <c r="K157" s="615"/>
      <c r="L157" s="615"/>
      <c r="M157" s="615"/>
      <c r="N157" s="615"/>
      <c r="O157" s="615"/>
      <c r="P157" s="842"/>
    </row>
    <row r="158" spans="2:27" s="525" customFormat="1" ht="15">
      <c r="B158" s="1058"/>
      <c r="C158" s="542" t="s">
        <v>906</v>
      </c>
      <c r="D158" s="542" t="s">
        <v>657</v>
      </c>
      <c r="E158" s="542" t="s">
        <v>422</v>
      </c>
      <c r="F158" s="607">
        <v>2007</v>
      </c>
      <c r="G158" s="608">
        <v>2010</v>
      </c>
      <c r="H158" s="607">
        <v>2015</v>
      </c>
      <c r="I158" s="607">
        <v>2020</v>
      </c>
      <c r="J158" s="607">
        <v>2025</v>
      </c>
      <c r="K158" s="607">
        <v>2030</v>
      </c>
      <c r="L158" s="607">
        <v>2035</v>
      </c>
      <c r="M158" s="607">
        <v>2040</v>
      </c>
      <c r="N158" s="607">
        <v>2045</v>
      </c>
      <c r="O158" s="607">
        <v>2050</v>
      </c>
      <c r="P158" s="842"/>
      <c r="R158"/>
      <c r="S158"/>
      <c r="T158"/>
      <c r="U158"/>
      <c r="V158"/>
      <c r="W158"/>
      <c r="X158"/>
      <c r="Y158"/>
      <c r="Z158"/>
      <c r="AA158"/>
    </row>
    <row r="159" spans="2:27" s="525" customFormat="1" ht="15">
      <c r="B159" s="1058"/>
      <c r="C159" s="568" t="s">
        <v>918</v>
      </c>
      <c r="D159" s="568" t="s">
        <v>1116</v>
      </c>
      <c r="E159" s="848"/>
      <c r="F159" s="1091"/>
      <c r="G159" s="1118">
        <f>(Unit.TJ)*417</f>
        <v>0.11583333333333333</v>
      </c>
      <c r="H159" s="1115">
        <f>(Unit.TJ)*417</f>
        <v>0.11583333333333333</v>
      </c>
      <c r="I159" s="1115">
        <f>(Unit.TJ)*404</f>
        <v>0.11222222222222222</v>
      </c>
      <c r="J159" s="1115">
        <f>(Unit.TJ)*377</f>
        <v>0.10472222222222222</v>
      </c>
      <c r="K159" s="1115">
        <f>(Unit.TJ)*355</f>
        <v>9.8611111111111108E-2</v>
      </c>
      <c r="L159" s="1115">
        <f>(Unit.TJ)*338</f>
        <v>9.3888888888888883E-2</v>
      </c>
      <c r="M159" s="1115">
        <f>(Unit.TJ)*327</f>
        <v>9.0833333333333335E-2</v>
      </c>
      <c r="N159" s="1115">
        <f>(Unit.TJ)*324</f>
        <v>0.09</v>
      </c>
      <c r="O159" s="1115">
        <f>(Unit.TJ)*325</f>
        <v>9.0277777777777776E-2</v>
      </c>
      <c r="P159" s="842"/>
      <c r="Q159" s="1073"/>
      <c r="R159"/>
      <c r="S159"/>
      <c r="T159"/>
      <c r="U159"/>
      <c r="V159"/>
      <c r="W159"/>
      <c r="X159"/>
      <c r="Y159"/>
      <c r="Z159"/>
      <c r="AA159"/>
    </row>
    <row r="160" spans="2:27" s="525" customFormat="1" ht="15">
      <c r="B160" s="1058"/>
      <c r="C160" s="568" t="s">
        <v>918</v>
      </c>
      <c r="D160" s="568" t="s">
        <v>924</v>
      </c>
      <c r="E160" s="848"/>
      <c r="F160" s="1091"/>
      <c r="G160" s="1118">
        <f>(Unit.TJ)*600</f>
        <v>0.16666666666666666</v>
      </c>
      <c r="H160" s="1115">
        <f>(Unit.TJ)*600</f>
        <v>0.16666666666666666</v>
      </c>
      <c r="I160" s="1115">
        <f>(Unit.TJ)*572</f>
        <v>0.15888888888888889</v>
      </c>
      <c r="J160" s="1115">
        <f>(Unit.TJ)*516</f>
        <v>0.14333333333333334</v>
      </c>
      <c r="K160" s="1115">
        <f>(Unit.TJ)*470</f>
        <v>0.13055555555555556</v>
      </c>
      <c r="L160" s="1115">
        <f>(Unit.TJ)*433</f>
        <v>0.12027777777777778</v>
      </c>
      <c r="M160" s="1115">
        <f>(Unit.TJ)*406</f>
        <v>0.11277777777777778</v>
      </c>
      <c r="N160" s="1115">
        <f>(Unit.TJ)*389</f>
        <v>0.10805555555555556</v>
      </c>
      <c r="O160" s="1115">
        <f>(Unit.TJ)*379</f>
        <v>0.10527777777777778</v>
      </c>
      <c r="P160" s="842"/>
      <c r="Q160" s="1073"/>
      <c r="R160"/>
      <c r="S160"/>
      <c r="T160"/>
      <c r="U160"/>
      <c r="V160"/>
      <c r="W160"/>
      <c r="X160"/>
      <c r="Y160"/>
      <c r="Z160"/>
      <c r="AA160"/>
    </row>
    <row r="161" spans="2:27" s="525" customFormat="1" ht="15">
      <c r="B161" s="1058"/>
      <c r="C161" s="569" t="s">
        <v>919</v>
      </c>
      <c r="D161" s="569" t="s">
        <v>924</v>
      </c>
      <c r="E161" s="1086"/>
      <c r="F161" s="1383"/>
      <c r="G161" s="1117">
        <f>(Unit.TJ)*3361</f>
        <v>0.93361111111111106</v>
      </c>
      <c r="H161" s="1384">
        <f>G161+(I161-G161)/(I$158-G$158)*(H$158-G$158)</f>
        <v>0.8666666666666667</v>
      </c>
      <c r="I161" s="1114">
        <f>(Unit.TJ)*2879</f>
        <v>0.79972222222222222</v>
      </c>
      <c r="J161" s="1384">
        <f>I161+(K161-I161)/(K$158-I$158)*(J$158-I$158)</f>
        <v>0.73277777777777775</v>
      </c>
      <c r="K161" s="1114">
        <f>(Unit.TJ)*2397</f>
        <v>0.66583333333333339</v>
      </c>
      <c r="L161" s="1384">
        <f>K161+(M161-K161)/(M$158-K$158)*(L$158-K$158)</f>
        <v>0.66097222222222229</v>
      </c>
      <c r="M161" s="1114">
        <f>(Unit.TJ)*2362</f>
        <v>0.65611111111111109</v>
      </c>
      <c r="N161" s="1384">
        <f>M161+(O161-M161)/(O$158-M$158)*(N$158-M$158)</f>
        <v>0.65111111111111108</v>
      </c>
      <c r="O161" s="1114">
        <f>(Unit.TJ)*2326</f>
        <v>0.64611111111111108</v>
      </c>
      <c r="P161" s="842"/>
      <c r="R161"/>
      <c r="S161"/>
      <c r="T161"/>
      <c r="U161"/>
      <c r="V161"/>
      <c r="W161"/>
      <c r="X161"/>
      <c r="Y161"/>
      <c r="Z161"/>
      <c r="AA161"/>
    </row>
    <row r="162" spans="2:27" s="525" customFormat="1" ht="15">
      <c r="B162" s="1058"/>
      <c r="C162" s="556" t="s">
        <v>921</v>
      </c>
      <c r="D162" s="556" t="s">
        <v>963</v>
      </c>
      <c r="E162" s="618" t="s">
        <v>420</v>
      </c>
      <c r="F162" s="1396">
        <f>0.10954818290623*1000000000*Unit.kWh*$F$47</f>
        <v>3.5513714554162835E-2</v>
      </c>
      <c r="G162" s="1397">
        <f>(1000000000*Unit.kWh)*0.0318579183353621</f>
        <v>3.1857918335362098E-2</v>
      </c>
      <c r="H162" s="1398">
        <f>(1000000000*Unit.kWh)*0.030663246397786</f>
        <v>3.0663246397786E-2</v>
      </c>
      <c r="I162" s="1398">
        <f>(1000000000*Unit.kWh)*0.02946857446021</f>
        <v>2.9468574460209999E-2</v>
      </c>
      <c r="J162" s="1398">
        <f>(1000000000*Unit.kWh)*0.0282739025226339</f>
        <v>2.8273902522633901E-2</v>
      </c>
      <c r="K162" s="1398">
        <f>(1000000000*Unit.kWh)*0.0270792305850578</f>
        <v>2.70792305850578E-2</v>
      </c>
      <c r="L162" s="1398">
        <f>(1000000000*Unit.kWh)*0.0258845586474817</f>
        <v>2.5884558647481699E-2</v>
      </c>
      <c r="M162" s="1398">
        <f>(1000000000*Unit.kWh)*0.0246898867099056</f>
        <v>2.4689886709905601E-2</v>
      </c>
      <c r="N162" s="1398">
        <f>(1000000000*Unit.kWh)*0.0234952147723296</f>
        <v>2.34952147723296E-2</v>
      </c>
      <c r="O162" s="1398">
        <f>(1000000000*Unit.kWh)*0.0223005428347535</f>
        <v>2.2300542834753499E-2</v>
      </c>
      <c r="P162" s="842"/>
      <c r="R162" s="1476"/>
      <c r="S162"/>
      <c r="T162"/>
      <c r="U162"/>
      <c r="V162"/>
      <c r="W162"/>
      <c r="X162"/>
      <c r="Y162"/>
      <c r="Z162"/>
      <c r="AA162"/>
    </row>
    <row r="163" spans="2:27" s="525" customFormat="1" ht="15">
      <c r="B163" s="1058"/>
      <c r="C163" s="568"/>
      <c r="D163" s="568"/>
      <c r="E163" s="848"/>
      <c r="F163" s="1091"/>
      <c r="G163" s="1065"/>
      <c r="H163" s="1065"/>
      <c r="I163" s="1065"/>
      <c r="J163" s="1065"/>
      <c r="K163" s="615"/>
      <c r="L163" s="615"/>
      <c r="M163" s="615"/>
      <c r="N163" s="615"/>
      <c r="O163" s="615"/>
      <c r="P163" s="842"/>
      <c r="R163"/>
      <c r="S163"/>
      <c r="T163"/>
      <c r="U163"/>
      <c r="V163"/>
      <c r="W163"/>
      <c r="X163"/>
      <c r="Y163"/>
      <c r="Z163"/>
      <c r="AA163"/>
    </row>
    <row r="164" spans="2:27" s="525" customFormat="1" ht="15">
      <c r="B164" s="1058"/>
      <c r="C164" s="590" t="s">
        <v>1121</v>
      </c>
      <c r="D164" s="588"/>
      <c r="E164" s="591"/>
      <c r="F164" s="588"/>
      <c r="G164" s="1089" t="s">
        <v>100</v>
      </c>
      <c r="H164" s="588"/>
      <c r="I164" s="588"/>
      <c r="J164" s="591"/>
      <c r="K164" s="615"/>
      <c r="L164" s="615"/>
      <c r="M164" s="615"/>
      <c r="N164" s="615"/>
      <c r="O164" s="615" t="str">
        <f>Preferences.EnergyUnits &amp; " / bn vehicle-km"</f>
        <v>TWh / bn vehicle-km</v>
      </c>
      <c r="P164" s="842"/>
      <c r="R164"/>
      <c r="S164"/>
      <c r="T164"/>
      <c r="U164"/>
      <c r="V164"/>
      <c r="W164"/>
      <c r="X164"/>
      <c r="Y164"/>
      <c r="Z164"/>
      <c r="AA164"/>
    </row>
    <row r="165" spans="2:27" s="525" customFormat="1" ht="5.25" customHeight="1">
      <c r="B165" s="1058"/>
      <c r="C165" s="588"/>
      <c r="D165" s="588"/>
      <c r="E165" s="588"/>
      <c r="F165" s="588"/>
      <c r="G165" s="588"/>
      <c r="H165" s="588"/>
      <c r="I165" s="588"/>
      <c r="J165" s="588"/>
      <c r="K165" s="615"/>
      <c r="L165" s="615"/>
      <c r="M165" s="615"/>
      <c r="N165" s="615"/>
      <c r="O165" s="615"/>
      <c r="P165" s="842"/>
      <c r="R165" s="1468"/>
      <c r="S165"/>
      <c r="T165"/>
      <c r="U165"/>
      <c r="V165"/>
      <c r="W165"/>
      <c r="X165"/>
      <c r="Y165"/>
      <c r="Z165"/>
      <c r="AA165"/>
    </row>
    <row r="166" spans="2:27" s="525" customFormat="1" ht="15">
      <c r="B166" s="1058"/>
      <c r="C166" s="542" t="s">
        <v>906</v>
      </c>
      <c r="D166" s="542" t="s">
        <v>657</v>
      </c>
      <c r="E166" s="542" t="s">
        <v>422</v>
      </c>
      <c r="F166" s="607">
        <v>2007</v>
      </c>
      <c r="G166" s="608">
        <v>2010</v>
      </c>
      <c r="H166" s="607">
        <v>2015</v>
      </c>
      <c r="I166" s="607">
        <v>2020</v>
      </c>
      <c r="J166" s="607">
        <v>2025</v>
      </c>
      <c r="K166" s="607">
        <v>2030</v>
      </c>
      <c r="L166" s="607">
        <v>2035</v>
      </c>
      <c r="M166" s="607">
        <v>2040</v>
      </c>
      <c r="N166" s="607">
        <v>2045</v>
      </c>
      <c r="O166" s="607">
        <v>2050</v>
      </c>
      <c r="P166" s="842"/>
      <c r="S166" s="1067"/>
      <c r="V166" s="1122"/>
      <c r="W166" s="1122"/>
      <c r="X166" s="1122"/>
      <c r="Y166" s="1122"/>
      <c r="Z166" s="1122"/>
    </row>
    <row r="167" spans="2:27" s="525" customFormat="1" ht="15">
      <c r="B167" s="1058"/>
      <c r="C167" s="569" t="s">
        <v>918</v>
      </c>
      <c r="D167" s="569" t="s">
        <v>925</v>
      </c>
      <c r="E167" s="1086"/>
      <c r="F167" s="1548"/>
      <c r="G167" s="1117">
        <f>(Unit.TJ)*875</f>
        <v>0.24305555555555555</v>
      </c>
      <c r="H167" s="1114">
        <f>(Unit.TJ)*875</f>
        <v>0.24305555555555555</v>
      </c>
      <c r="I167" s="1114">
        <f>(Unit.TJ)*834</f>
        <v>0.23166666666666666</v>
      </c>
      <c r="J167" s="1114">
        <f>(Unit.TJ)*753</f>
        <v>0.20916666666666667</v>
      </c>
      <c r="K167" s="1114">
        <f>(Unit.TJ)*671</f>
        <v>0.18638888888888888</v>
      </c>
      <c r="L167" s="1114">
        <f>(Unit.TJ)*590</f>
        <v>0.16388888888888889</v>
      </c>
      <c r="M167" s="1114">
        <f>(Unit.TJ)*535</f>
        <v>0.14861111111111111</v>
      </c>
      <c r="N167" s="1114">
        <f>(Unit.TJ)*506</f>
        <v>0.14055555555555554</v>
      </c>
      <c r="O167" s="1114">
        <f>(Unit.TJ)*488</f>
        <v>0.13555555555555557</v>
      </c>
      <c r="P167" s="842"/>
      <c r="S167" s="1067"/>
      <c r="V167" s="1122"/>
      <c r="W167" s="1122"/>
      <c r="X167" s="1122"/>
      <c r="Y167" s="1122"/>
      <c r="Z167" s="1122"/>
    </row>
    <row r="168" spans="2:27" s="525" customFormat="1" ht="15">
      <c r="B168" s="1058"/>
      <c r="C168" s="599" t="s">
        <v>919</v>
      </c>
      <c r="D168" s="599" t="s">
        <v>925</v>
      </c>
      <c r="E168" s="1011"/>
      <c r="F168" s="1549"/>
      <c r="G168" s="1464">
        <v>6.4</v>
      </c>
      <c r="H168" s="1464">
        <v>6.4</v>
      </c>
      <c r="I168" s="1464">
        <v>5.96</v>
      </c>
      <c r="J168" s="1464">
        <v>5.55</v>
      </c>
      <c r="K168" s="1464">
        <v>5.17</v>
      </c>
      <c r="L168" s="1464">
        <v>4.82</v>
      </c>
      <c r="M168" s="1464">
        <v>4.49</v>
      </c>
      <c r="N168" s="1464">
        <v>4.18</v>
      </c>
      <c r="O168" s="1464">
        <v>3.89</v>
      </c>
      <c r="P168" s="842"/>
      <c r="Q168" s="1076"/>
    </row>
    <row r="169" spans="2:27" s="525" customFormat="1" ht="15">
      <c r="B169" s="1058"/>
      <c r="C169" s="568"/>
      <c r="D169" s="568"/>
      <c r="E169" s="848"/>
      <c r="F169" s="1091"/>
      <c r="G169" s="510"/>
      <c r="H169" s="510"/>
      <c r="I169" s="510"/>
      <c r="J169" s="510"/>
      <c r="K169" s="510"/>
      <c r="L169" s="510"/>
      <c r="M169" s="510"/>
      <c r="N169" s="510"/>
      <c r="O169" s="510"/>
      <c r="P169" s="842"/>
      <c r="S169" s="1067"/>
      <c r="V169" s="1122"/>
      <c r="W169" s="1122"/>
      <c r="X169" s="1122"/>
      <c r="Y169" s="1122"/>
      <c r="Z169" s="1122"/>
    </row>
    <row r="170" spans="2:27" s="525" customFormat="1" ht="15">
      <c r="B170" s="1058"/>
      <c r="C170" s="1094" t="s">
        <v>1137</v>
      </c>
      <c r="D170" s="568"/>
      <c r="E170" s="848"/>
      <c r="F170" s="1055"/>
      <c r="G170" s="1056"/>
      <c r="H170" s="1056"/>
      <c r="I170" s="1056"/>
      <c r="J170" s="1056"/>
      <c r="K170" s="615"/>
      <c r="L170" s="615"/>
      <c r="M170" s="615"/>
      <c r="N170" s="615"/>
      <c r="O170" s="615" t="str">
        <f>Preferences.EnergyUnits</f>
        <v>TWh</v>
      </c>
      <c r="P170" s="842"/>
      <c r="S170" s="1074"/>
    </row>
    <row r="171" spans="2:27" s="525" customFormat="1" ht="5.25" customHeight="1">
      <c r="B171" s="1058"/>
      <c r="C171" s="1060"/>
      <c r="D171" s="568"/>
      <c r="E171" s="848"/>
      <c r="F171" s="1055"/>
      <c r="G171" s="1056"/>
      <c r="H171" s="1056"/>
      <c r="I171" s="1056"/>
      <c r="J171" s="1056"/>
      <c r="K171" s="615"/>
      <c r="L171" s="615"/>
      <c r="M171" s="615"/>
      <c r="N171" s="615"/>
      <c r="O171" s="615"/>
      <c r="P171" s="842"/>
    </row>
    <row r="172" spans="2:27" s="525" customFormat="1" ht="15">
      <c r="B172" s="1058"/>
      <c r="C172" s="542" t="s">
        <v>906</v>
      </c>
      <c r="D172" s="542" t="s">
        <v>73</v>
      </c>
      <c r="E172" s="542" t="s">
        <v>422</v>
      </c>
      <c r="F172" s="607">
        <v>2007</v>
      </c>
      <c r="G172" s="608">
        <v>2010</v>
      </c>
      <c r="H172" s="607">
        <v>2015</v>
      </c>
      <c r="I172" s="607">
        <v>2020</v>
      </c>
      <c r="J172" s="607">
        <v>2025</v>
      </c>
      <c r="K172" s="607">
        <v>2030</v>
      </c>
      <c r="L172" s="607">
        <v>2035</v>
      </c>
      <c r="M172" s="607">
        <v>2040</v>
      </c>
      <c r="N172" s="607">
        <v>2045</v>
      </c>
      <c r="O172" s="607">
        <v>2050</v>
      </c>
      <c r="P172" s="842"/>
      <c r="Q172" s="1073"/>
    </row>
    <row r="173" spans="2:27" s="525" customFormat="1" ht="15">
      <c r="B173" s="1058"/>
      <c r="C173" s="556" t="s">
        <v>921</v>
      </c>
      <c r="D173" s="556" t="s">
        <v>974</v>
      </c>
      <c r="E173" s="618"/>
      <c r="F173" s="1123">
        <f>(8434-2900-1246)*Unit.GWh</f>
        <v>4.2880000000000003</v>
      </c>
      <c r="G173" s="1124">
        <f>F$173</f>
        <v>4.2880000000000003</v>
      </c>
      <c r="H173" s="1123">
        <f t="shared" ref="H173:O173" si="12">G$173</f>
        <v>4.2880000000000003</v>
      </c>
      <c r="I173" s="1123">
        <f t="shared" si="12"/>
        <v>4.2880000000000003</v>
      </c>
      <c r="J173" s="1123">
        <f t="shared" si="12"/>
        <v>4.2880000000000003</v>
      </c>
      <c r="K173" s="1123">
        <f t="shared" si="12"/>
        <v>4.2880000000000003</v>
      </c>
      <c r="L173" s="1123">
        <f t="shared" si="12"/>
        <v>4.2880000000000003</v>
      </c>
      <c r="M173" s="1123">
        <f t="shared" si="12"/>
        <v>4.2880000000000003</v>
      </c>
      <c r="N173" s="1123">
        <f t="shared" si="12"/>
        <v>4.2880000000000003</v>
      </c>
      <c r="O173" s="1123">
        <f t="shared" si="12"/>
        <v>4.2880000000000003</v>
      </c>
      <c r="P173" s="842"/>
    </row>
    <row r="174" spans="2:27" s="525" customFormat="1" ht="15">
      <c r="B174" s="1058"/>
      <c r="C174" s="1060"/>
      <c r="D174" s="568"/>
      <c r="E174" s="848"/>
      <c r="F174" s="1055"/>
      <c r="G174" s="1056"/>
      <c r="H174" s="1056"/>
      <c r="I174" s="1056"/>
      <c r="J174" s="1056"/>
      <c r="K174" s="615"/>
      <c r="L174" s="615"/>
      <c r="M174" s="615"/>
      <c r="N174" s="615"/>
      <c r="O174" s="615"/>
      <c r="P174" s="842"/>
    </row>
    <row r="175" spans="2:27" s="1855" customFormat="1">
      <c r="B175" s="1725"/>
      <c r="C175" s="1723" t="s">
        <v>1763</v>
      </c>
      <c r="D175" s="1722"/>
      <c r="E175" s="1722"/>
      <c r="F175" s="1722"/>
      <c r="G175" s="1722"/>
      <c r="H175" s="1722"/>
      <c r="I175" s="1722"/>
      <c r="J175" s="1722"/>
      <c r="K175" s="1722"/>
      <c r="L175" s="1722"/>
      <c r="M175" s="1722"/>
      <c r="N175" s="1722"/>
      <c r="O175" s="1722" t="str">
        <f>"kt per "&amp;Preferences.EnergyUnits</f>
        <v>kt per TWh</v>
      </c>
      <c r="P175" s="1726"/>
    </row>
    <row r="176" spans="2:27" s="1855" customFormat="1" ht="5.25" customHeight="1">
      <c r="B176" s="1725"/>
      <c r="C176" s="1722"/>
      <c r="D176" s="1722"/>
      <c r="E176" s="1133"/>
      <c r="F176" s="1132"/>
      <c r="G176" s="1722"/>
      <c r="H176" s="1722"/>
      <c r="I176" s="1722"/>
      <c r="J176" s="1722"/>
      <c r="K176" s="1722"/>
      <c r="L176" s="1722"/>
      <c r="M176" s="1722"/>
      <c r="N176" s="1722"/>
      <c r="O176" s="1722"/>
      <c r="P176" s="1726"/>
    </row>
    <row r="177" spans="2:16" s="1855" customFormat="1" ht="14">
      <c r="B177" s="1725"/>
      <c r="C177" s="1874" t="s">
        <v>77</v>
      </c>
      <c r="D177" s="1874" t="s">
        <v>906</v>
      </c>
      <c r="E177" s="1875" t="s">
        <v>657</v>
      </c>
      <c r="F177" s="1876" t="s">
        <v>579</v>
      </c>
      <c r="G177" s="1876" t="s">
        <v>580</v>
      </c>
      <c r="H177" s="1876" t="s">
        <v>605</v>
      </c>
      <c r="I177" s="1876" t="s">
        <v>606</v>
      </c>
      <c r="J177" s="1876" t="s">
        <v>607</v>
      </c>
      <c r="K177" s="1876" t="s">
        <v>608</v>
      </c>
      <c r="L177" s="1876" t="s">
        <v>609</v>
      </c>
      <c r="M177" s="1876" t="s">
        <v>610</v>
      </c>
      <c r="N177" s="1876" t="s">
        <v>611</v>
      </c>
      <c r="O177" s="1876" t="s">
        <v>612</v>
      </c>
      <c r="P177" s="1726"/>
    </row>
    <row r="178" spans="2:16" s="1855" customFormat="1">
      <c r="B178" s="1725"/>
      <c r="C178" s="1871" t="s">
        <v>671</v>
      </c>
      <c r="D178" s="1770" t="s">
        <v>918</v>
      </c>
      <c r="E178" s="1872" t="s">
        <v>923</v>
      </c>
      <c r="F178" s="1389">
        <f>G178</f>
        <v>5.9422684545951503E-2</v>
      </c>
      <c r="G178" s="1389">
        <f>0.0594226845459515*(1/Unit.TWh)</f>
        <v>5.9422684545951503E-2</v>
      </c>
      <c r="H178" s="1389">
        <f>0.0496639509577809*(1/Unit.TWh)</f>
        <v>4.9663950957780902E-2</v>
      </c>
      <c r="I178" s="1389">
        <f>0.0450905905549193*(1/Unit.TWh)</f>
        <v>4.5090590554919298E-2</v>
      </c>
      <c r="J178" s="1389">
        <f>0.0444077640642367*(1/Unit.TWh)</f>
        <v>4.4407764064236702E-2</v>
      </c>
      <c r="K178" s="1389">
        <f>0.0452883081948361*(1/Unit.TWh)</f>
        <v>4.5288308194836098E-2</v>
      </c>
      <c r="L178" s="1389">
        <f>0.046245722834379*(1/Unit.TWh)</f>
        <v>4.6245722834378999E-2</v>
      </c>
      <c r="M178" s="1389">
        <f>0.046245722834379*(1/Unit.TWh)</f>
        <v>4.6245722834378999E-2</v>
      </c>
      <c r="N178" s="1389">
        <f>0.046245722834379*(1/Unit.TWh)</f>
        <v>4.6245722834378999E-2</v>
      </c>
      <c r="O178" s="1389">
        <f>0.046245722834379*(1/Unit.TWh)</f>
        <v>4.6245722834378999E-2</v>
      </c>
      <c r="P178" s="1726"/>
    </row>
    <row r="179" spans="2:16" s="1855" customFormat="1">
      <c r="B179" s="1725"/>
      <c r="C179" s="1871" t="s">
        <v>671</v>
      </c>
      <c r="D179" s="1769" t="s">
        <v>918</v>
      </c>
      <c r="E179" s="1769" t="s">
        <v>1116</v>
      </c>
      <c r="F179" s="1873">
        <f t="shared" ref="F179:F188" si="13">G179</f>
        <v>4.26483970333216E-2</v>
      </c>
      <c r="G179" s="1873">
        <f>0.0426483970333216*(1/Unit.TWh)</f>
        <v>4.26483970333216E-2</v>
      </c>
      <c r="H179" s="1873">
        <f>0.0394479791863108*(1/Unit.TWh)</f>
        <v>3.9447979186310801E-2</v>
      </c>
      <c r="I179" s="1873">
        <f>0.0425573946349243*(1/Unit.TWh)</f>
        <v>4.2557394634924299E-2</v>
      </c>
      <c r="J179" s="1873">
        <f>0.0448744802549032*(1/Unit.TWh)</f>
        <v>4.4874480254903197E-2</v>
      </c>
      <c r="K179" s="1873">
        <f>0.046174109413232*(1/Unit.TWh)</f>
        <v>4.6174109413232002E-2</v>
      </c>
      <c r="L179" s="1873">
        <f>0.0471490234292686*(1/Unit.TWh)</f>
        <v>4.7149023429268598E-2</v>
      </c>
      <c r="M179" s="1873">
        <f>0.0471490234292686*(1/Unit.TWh)</f>
        <v>4.7149023429268598E-2</v>
      </c>
      <c r="N179" s="1873">
        <f>0.0471490234292686*(1/Unit.TWh)</f>
        <v>4.7149023429268598E-2</v>
      </c>
      <c r="O179" s="1873">
        <f>0.0471490234292686*(1/Unit.TWh)</f>
        <v>4.7149023429268598E-2</v>
      </c>
      <c r="P179" s="1726"/>
    </row>
    <row r="180" spans="2:16" s="1855" customFormat="1">
      <c r="B180" s="1725"/>
      <c r="C180" s="1871" t="s">
        <v>671</v>
      </c>
      <c r="D180" s="1769" t="s">
        <v>918</v>
      </c>
      <c r="E180" s="1769" t="s">
        <v>924</v>
      </c>
      <c r="F180" s="1873">
        <f t="shared" si="13"/>
        <v>3.2638326082633798E-2</v>
      </c>
      <c r="G180" s="1873">
        <f>0.0326383260826338*(1/Unit.TWh)</f>
        <v>3.2638326082633798E-2</v>
      </c>
      <c r="H180" s="1873">
        <f>0.0361729097931799*(1/Unit.TWh)</f>
        <v>3.61729097931799E-2</v>
      </c>
      <c r="I180" s="1873">
        <f>0.0399151574378942*(1/Unit.TWh)</f>
        <v>3.99151574378942E-2</v>
      </c>
      <c r="J180" s="1873">
        <f>0.0421654392577175*(1/Unit.TWh)</f>
        <v>4.2165439257717499E-2</v>
      </c>
      <c r="K180" s="1873">
        <f>0.0434404677996377*(1/Unit.TWh)</f>
        <v>4.34404677996377E-2</v>
      </c>
      <c r="L180" s="1873">
        <f t="shared" ref="L180:O181" si="14">0.0444303753425222*(1/Unit.TWh)</f>
        <v>4.4430375342522199E-2</v>
      </c>
      <c r="M180" s="1873">
        <f t="shared" si="14"/>
        <v>4.4430375342522199E-2</v>
      </c>
      <c r="N180" s="1873">
        <f t="shared" si="14"/>
        <v>4.4430375342522199E-2</v>
      </c>
      <c r="O180" s="1873">
        <f t="shared" si="14"/>
        <v>4.4430375342522199E-2</v>
      </c>
      <c r="P180" s="1726"/>
    </row>
    <row r="181" spans="2:16" s="1855" customFormat="1">
      <c r="B181" s="1725"/>
      <c r="C181" s="1871" t="s">
        <v>671</v>
      </c>
      <c r="D181" s="1769" t="s">
        <v>918</v>
      </c>
      <c r="E181" s="1769" t="s">
        <v>925</v>
      </c>
      <c r="F181" s="1873">
        <f t="shared" si="13"/>
        <v>3.2638326082633798E-2</v>
      </c>
      <c r="G181" s="1873">
        <f>0.0326383260826338*(1/Unit.TWh)</f>
        <v>3.2638326082633798E-2</v>
      </c>
      <c r="H181" s="1873">
        <f>0.0361729097931799*(1/Unit.TWh)</f>
        <v>3.61729097931799E-2</v>
      </c>
      <c r="I181" s="1873">
        <f>0.0399151574378942*(1/Unit.TWh)</f>
        <v>3.99151574378942E-2</v>
      </c>
      <c r="J181" s="1873">
        <f>0.0421654392577175*(1/Unit.TWh)</f>
        <v>4.2165439257717499E-2</v>
      </c>
      <c r="K181" s="1873">
        <f>0.0434404677996377*(1/Unit.TWh)</f>
        <v>4.34404677996377E-2</v>
      </c>
      <c r="L181" s="1873">
        <f t="shared" si="14"/>
        <v>4.4430375342522199E-2</v>
      </c>
      <c r="M181" s="1873">
        <f t="shared" si="14"/>
        <v>4.4430375342522199E-2</v>
      </c>
      <c r="N181" s="1873">
        <f t="shared" si="14"/>
        <v>4.4430375342522199E-2</v>
      </c>
      <c r="O181" s="1873">
        <f t="shared" si="14"/>
        <v>4.4430375342522199E-2</v>
      </c>
      <c r="P181" s="1726"/>
    </row>
    <row r="182" spans="2:16" s="1855" customFormat="1">
      <c r="B182" s="1725"/>
      <c r="C182" s="1871" t="s">
        <v>671</v>
      </c>
      <c r="D182" s="1769" t="s">
        <v>919</v>
      </c>
      <c r="E182" s="1769" t="s">
        <v>923</v>
      </c>
      <c r="F182" s="1873">
        <f t="shared" si="13"/>
        <v>5.8729000603313999E-2</v>
      </c>
      <c r="G182" s="1873">
        <f>0.058729000603314*(1/Unit.TWh)</f>
        <v>5.8729000603313999E-2</v>
      </c>
      <c r="H182" s="1873">
        <f>0.0451259630104065*(1/Unit.TWh)</f>
        <v>4.51259630104065E-2</v>
      </c>
      <c r="I182" s="1873">
        <f>0.0358272572392975*(1/Unit.TWh)</f>
        <v>3.58272572392975E-2</v>
      </c>
      <c r="J182" s="1873">
        <f>0.0318174500132027*(1/Unit.TWh)</f>
        <v>3.18174500132027E-2</v>
      </c>
      <c r="K182" s="1873">
        <f>0.0308406506395764*(1/Unit.TWh)</f>
        <v>3.0840650639576399E-2</v>
      </c>
      <c r="L182" s="1873">
        <f>0.0306723503673605*(1/Unit.TWh)</f>
        <v>3.0672350367360501E-2</v>
      </c>
      <c r="M182" s="1873">
        <f>0.0306723503673605*(1/Unit.TWh)</f>
        <v>3.0672350367360501E-2</v>
      </c>
      <c r="N182" s="1873">
        <f>0.0306723503673605*(1/Unit.TWh)</f>
        <v>3.0672350367360501E-2</v>
      </c>
      <c r="O182" s="1873">
        <f>0.0306723503673605*(1/Unit.TWh)</f>
        <v>3.0672350367360501E-2</v>
      </c>
      <c r="P182" s="1726"/>
    </row>
    <row r="183" spans="2:16" s="1855" customFormat="1">
      <c r="B183" s="1725"/>
      <c r="C183" s="1871" t="s">
        <v>671</v>
      </c>
      <c r="D183" s="1769" t="s">
        <v>919</v>
      </c>
      <c r="E183" s="1769" t="s">
        <v>1117</v>
      </c>
      <c r="F183" s="1873">
        <f t="shared" si="13"/>
        <v>4.5090389209083898E-2</v>
      </c>
      <c r="G183" s="1389">
        <f>0.0450903892090839*(1/Unit.TWh)</f>
        <v>4.5090389209083898E-2</v>
      </c>
      <c r="H183" s="1389">
        <f>0.0401050493097796*(1/Unit.TWh)</f>
        <v>4.0105049309779602E-2</v>
      </c>
      <c r="I183" s="1389">
        <f>0.0346064317465931*(1/Unit.TWh)</f>
        <v>3.46064317465931E-2</v>
      </c>
      <c r="J183" s="1389">
        <f>0.0320298287012547*(1/Unit.TWh)</f>
        <v>3.2029828701254703E-2</v>
      </c>
      <c r="K183" s="1389">
        <f>0.0313541033899796*(1/Unit.TWh)</f>
        <v>3.1354103389979598E-2</v>
      </c>
      <c r="L183" s="1389">
        <f>0.0311140141881936*(1/Unit.TWh)</f>
        <v>3.1114014188193598E-2</v>
      </c>
      <c r="M183" s="1389">
        <f>0.0311140141881936*(1/Unit.TWh)</f>
        <v>3.1114014188193598E-2</v>
      </c>
      <c r="N183" s="1389">
        <f>0.0311140141881936*(1/Unit.TWh)</f>
        <v>3.1114014188193598E-2</v>
      </c>
      <c r="O183" s="1389">
        <f>0.0311140141881936*(1/Unit.TWh)</f>
        <v>3.1114014188193598E-2</v>
      </c>
      <c r="P183" s="1726"/>
    </row>
    <row r="184" spans="2:16" s="1855" customFormat="1">
      <c r="B184" s="1725"/>
      <c r="C184" s="1871" t="s">
        <v>671</v>
      </c>
      <c r="D184" s="1769" t="s">
        <v>919</v>
      </c>
      <c r="E184" s="1769" t="s">
        <v>924</v>
      </c>
      <c r="F184" s="1873">
        <f t="shared" si="13"/>
        <v>2.9273965167452901E-2</v>
      </c>
      <c r="G184" s="1389">
        <f>0.0292739651674529*(1/Unit.TWh)</f>
        <v>2.9273965167452901E-2</v>
      </c>
      <c r="H184" s="1389">
        <f>0.0295128908657225*(1/Unit.TWh)</f>
        <v>2.9512890865722501E-2</v>
      </c>
      <c r="I184" s="1389">
        <f>0.0295533602478891*(1/Unit.TWh)</f>
        <v>2.9553360247889099E-2</v>
      </c>
      <c r="J184" s="1389">
        <f>0.0295755455523542*(1/Unit.TWh)</f>
        <v>2.9575545552354199E-2</v>
      </c>
      <c r="K184" s="1389">
        <f>0.0295687376985729*(1/Unit.TWh)</f>
        <v>2.9568737698572899E-2</v>
      </c>
      <c r="L184" s="1389">
        <f t="shared" ref="L184:O185" si="15">0.0295651339439959*(1/Unit.TWh)</f>
        <v>2.9565133943995899E-2</v>
      </c>
      <c r="M184" s="1389">
        <f t="shared" si="15"/>
        <v>2.9565133943995899E-2</v>
      </c>
      <c r="N184" s="1389">
        <f t="shared" si="15"/>
        <v>2.9565133943995899E-2</v>
      </c>
      <c r="O184" s="1389">
        <f t="shared" si="15"/>
        <v>2.9565133943995899E-2</v>
      </c>
      <c r="P184" s="1726"/>
    </row>
    <row r="185" spans="2:16" s="1855" customFormat="1">
      <c r="B185" s="1725"/>
      <c r="C185" s="1871" t="s">
        <v>671</v>
      </c>
      <c r="D185" s="1769" t="s">
        <v>919</v>
      </c>
      <c r="E185" s="1769" t="s">
        <v>925</v>
      </c>
      <c r="F185" s="1873">
        <f t="shared" si="13"/>
        <v>2.9273965167452901E-2</v>
      </c>
      <c r="G185" s="1389">
        <f>0.0292739651674529*(1/Unit.TWh)</f>
        <v>2.9273965167452901E-2</v>
      </c>
      <c r="H185" s="1389">
        <f>0.0295128908657225*(1/Unit.TWh)</f>
        <v>2.9512890865722501E-2</v>
      </c>
      <c r="I185" s="1389">
        <f>0.0295533602478891*(1/Unit.TWh)</f>
        <v>2.9553360247889099E-2</v>
      </c>
      <c r="J185" s="1389">
        <f>0.0295755455523542*(1/Unit.TWh)</f>
        <v>2.9575545552354199E-2</v>
      </c>
      <c r="K185" s="1389">
        <f>0.0295687376985729*(1/Unit.TWh)</f>
        <v>2.9568737698572899E-2</v>
      </c>
      <c r="L185" s="1389">
        <f t="shared" si="15"/>
        <v>2.9565133943995899E-2</v>
      </c>
      <c r="M185" s="1389">
        <f t="shared" si="15"/>
        <v>2.9565133943995899E-2</v>
      </c>
      <c r="N185" s="1389">
        <f t="shared" si="15"/>
        <v>2.9565133943995899E-2</v>
      </c>
      <c r="O185" s="1389">
        <f t="shared" si="15"/>
        <v>2.9565133943995899E-2</v>
      </c>
      <c r="P185" s="1726"/>
    </row>
    <row r="186" spans="2:16" s="1855" customFormat="1">
      <c r="B186" s="1725"/>
      <c r="C186" s="1871" t="s">
        <v>671</v>
      </c>
      <c r="D186" s="1769" t="s">
        <v>921</v>
      </c>
      <c r="E186" s="1769" t="s">
        <v>962</v>
      </c>
      <c r="F186" s="1873">
        <f t="shared" si="13"/>
        <v>0.20134524316701699</v>
      </c>
      <c r="G186" s="1389">
        <f>0.201345243167017*(1/Unit.TWh)</f>
        <v>0.20134524316701699</v>
      </c>
      <c r="H186" s="1389">
        <f>0.175072255211859*(1/Unit.TWh)</f>
        <v>0.17507225521185901</v>
      </c>
      <c r="I186" s="1389">
        <f>0.144420425903167*(1/Unit.TWh)</f>
        <v>0.144420425903167</v>
      </c>
      <c r="J186" s="1389">
        <f>0.113768596594475*(1/Unit.TWh)</f>
        <v>0.113768596594475</v>
      </c>
      <c r="K186" s="1389">
        <f>0.0831167672857836*(1/Unit.TWh)</f>
        <v>8.3116767285783599E-2</v>
      </c>
      <c r="L186" s="1389">
        <f>0.0524649379770917*(1/Unit.TWh)</f>
        <v>5.2464937977091702E-2</v>
      </c>
      <c r="M186" s="1389">
        <f>0.0293788413535335*(1/Unit.TWh)</f>
        <v>2.93788413535335E-2</v>
      </c>
      <c r="N186" s="1389">
        <f>0.025*(1/Unit.TWh)</f>
        <v>2.5000000000000001E-2</v>
      </c>
      <c r="O186" s="1389">
        <f>0.025*(1/Unit.TWh)</f>
        <v>2.5000000000000001E-2</v>
      </c>
      <c r="P186" s="1726"/>
    </row>
    <row r="187" spans="2:16" s="1855" customFormat="1">
      <c r="B187" s="1725"/>
      <c r="C187" s="1871" t="s">
        <v>671</v>
      </c>
      <c r="D187" s="1769" t="s">
        <v>921</v>
      </c>
      <c r="E187" s="1769" t="s">
        <v>963</v>
      </c>
      <c r="F187" s="1873">
        <f t="shared" si="13"/>
        <v>0</v>
      </c>
      <c r="G187" s="1389">
        <f t="shared" ref="G187:O187" si="16">0*(1/Unit.TWh)</f>
        <v>0</v>
      </c>
      <c r="H187" s="1389">
        <f t="shared" si="16"/>
        <v>0</v>
      </c>
      <c r="I187" s="1389">
        <f t="shared" si="16"/>
        <v>0</v>
      </c>
      <c r="J187" s="1389">
        <f t="shared" si="16"/>
        <v>0</v>
      </c>
      <c r="K187" s="1389">
        <f t="shared" si="16"/>
        <v>0</v>
      </c>
      <c r="L187" s="1389">
        <f t="shared" si="16"/>
        <v>0</v>
      </c>
      <c r="M187" s="1389">
        <f t="shared" si="16"/>
        <v>0</v>
      </c>
      <c r="N187" s="1389">
        <f t="shared" si="16"/>
        <v>0</v>
      </c>
      <c r="O187" s="1389">
        <f t="shared" si="16"/>
        <v>0</v>
      </c>
      <c r="P187" s="1726"/>
    </row>
    <row r="188" spans="2:16" s="1855" customFormat="1">
      <c r="B188" s="1725"/>
      <c r="C188" s="1871" t="s">
        <v>671</v>
      </c>
      <c r="D188" s="1769" t="s">
        <v>922</v>
      </c>
      <c r="E188" s="1769" t="s">
        <v>922</v>
      </c>
      <c r="F188" s="1873">
        <f t="shared" si="13"/>
        <v>9.02990680754686E-3</v>
      </c>
      <c r="G188" s="1389">
        <f t="shared" ref="G188:O188" si="17">0.00902990680754686*(1/Unit.TWh)</f>
        <v>9.02990680754686E-3</v>
      </c>
      <c r="H188" s="1389">
        <f t="shared" si="17"/>
        <v>9.02990680754686E-3</v>
      </c>
      <c r="I188" s="1389">
        <f t="shared" si="17"/>
        <v>9.02990680754686E-3</v>
      </c>
      <c r="J188" s="1389">
        <f t="shared" si="17"/>
        <v>9.02990680754686E-3</v>
      </c>
      <c r="K188" s="1389">
        <f t="shared" si="17"/>
        <v>9.02990680754686E-3</v>
      </c>
      <c r="L188" s="1389">
        <f t="shared" si="17"/>
        <v>9.02990680754686E-3</v>
      </c>
      <c r="M188" s="1389">
        <f t="shared" si="17"/>
        <v>9.02990680754686E-3</v>
      </c>
      <c r="N188" s="1389">
        <f t="shared" si="17"/>
        <v>9.02990680754686E-3</v>
      </c>
      <c r="O188" s="1389">
        <f t="shared" si="17"/>
        <v>9.02990680754686E-3</v>
      </c>
      <c r="P188" s="1726"/>
    </row>
    <row r="189" spans="2:16" s="1717" customFormat="1" ht="15">
      <c r="B189" s="1058"/>
      <c r="C189" s="1060"/>
      <c r="D189" s="1721"/>
      <c r="E189" s="848"/>
      <c r="F189" s="1055"/>
      <c r="G189" s="1056"/>
      <c r="H189" s="1056"/>
      <c r="I189" s="1056"/>
      <c r="J189" s="1056"/>
      <c r="K189" s="615"/>
      <c r="L189" s="615"/>
      <c r="M189" s="615"/>
      <c r="N189" s="615"/>
      <c r="O189" s="615"/>
      <c r="P189" s="842"/>
    </row>
    <row r="190" spans="2:16" s="1855" customFormat="1">
      <c r="B190" s="1725"/>
      <c r="C190" s="1723" t="s">
        <v>1764</v>
      </c>
      <c r="D190" s="1722"/>
      <c r="E190" s="1722"/>
      <c r="F190" s="1722"/>
      <c r="G190" s="1722"/>
      <c r="H190" s="1722"/>
      <c r="I190" s="1722"/>
      <c r="J190" s="1722"/>
      <c r="K190" s="1722"/>
      <c r="L190" s="1722"/>
      <c r="M190" s="1722"/>
      <c r="N190" s="1722"/>
      <c r="O190" s="1722" t="str">
        <f>"kt per "&amp;Preferences.EnergyUnits</f>
        <v>kt per TWh</v>
      </c>
      <c r="P190" s="1726"/>
    </row>
    <row r="191" spans="2:16" s="1855" customFormat="1" ht="5.25" customHeight="1">
      <c r="B191" s="1725"/>
      <c r="C191" s="1722"/>
      <c r="D191" s="1722"/>
      <c r="E191" s="1133"/>
      <c r="F191" s="1132"/>
      <c r="G191" s="1722"/>
      <c r="H191" s="1722"/>
      <c r="I191" s="1722"/>
      <c r="J191" s="1722"/>
      <c r="K191" s="1722"/>
      <c r="L191" s="1722"/>
      <c r="M191" s="1722"/>
      <c r="N191" s="1722"/>
      <c r="O191" s="1722"/>
      <c r="P191" s="1726"/>
    </row>
    <row r="192" spans="2:16" s="1855" customFormat="1" ht="14">
      <c r="B192" s="1725"/>
      <c r="C192" s="1874" t="s">
        <v>77</v>
      </c>
      <c r="D192" s="1874" t="s">
        <v>906</v>
      </c>
      <c r="E192" s="1875" t="s">
        <v>657</v>
      </c>
      <c r="F192" s="1876" t="s">
        <v>579</v>
      </c>
      <c r="G192" s="1876" t="s">
        <v>580</v>
      </c>
      <c r="H192" s="1876" t="s">
        <v>605</v>
      </c>
      <c r="I192" s="1876" t="s">
        <v>606</v>
      </c>
      <c r="J192" s="1876" t="s">
        <v>607</v>
      </c>
      <c r="K192" s="1876" t="s">
        <v>608</v>
      </c>
      <c r="L192" s="1876" t="s">
        <v>609</v>
      </c>
      <c r="M192" s="1876" t="s">
        <v>610</v>
      </c>
      <c r="N192" s="1876" t="s">
        <v>611</v>
      </c>
      <c r="O192" s="1876" t="s">
        <v>612</v>
      </c>
      <c r="P192" s="1726"/>
    </row>
    <row r="193" spans="2:16" s="1855" customFormat="1">
      <c r="B193" s="1725"/>
      <c r="C193" s="1871" t="s">
        <v>671</v>
      </c>
      <c r="D193" s="1770" t="s">
        <v>918</v>
      </c>
      <c r="E193" s="1872" t="s">
        <v>923</v>
      </c>
      <c r="F193" s="1389">
        <f>G193</f>
        <v>0.67943024762214199</v>
      </c>
      <c r="G193" s="1389">
        <f>0.679430247622142*(1/Unit.TWh)</f>
        <v>0.67943024762214199</v>
      </c>
      <c r="H193" s="1389">
        <f>0.581403202262897*(1/Unit.TWh)</f>
        <v>0.58140320226289699</v>
      </c>
      <c r="I193" s="1389">
        <f>0.471184921382374*(1/Unit.TWh)</f>
        <v>0.471184921382374</v>
      </c>
      <c r="J193" s="1389">
        <f>0.406040992892532*(1/Unit.TWh)</f>
        <v>0.40604099289253198</v>
      </c>
      <c r="K193" s="1389">
        <f>0.379890156091861*(1/Unit.TWh)</f>
        <v>0.379890156091861</v>
      </c>
      <c r="L193" s="1389">
        <f>0.373909117293539*(1/Unit.TWh)</f>
        <v>0.37390911729353898</v>
      </c>
      <c r="M193" s="1389">
        <f>0.373909117293539*(1/Unit.TWh)</f>
        <v>0.37390911729353898</v>
      </c>
      <c r="N193" s="1389">
        <f>0.373909117293539*(1/Unit.TWh)</f>
        <v>0.37390911729353898</v>
      </c>
      <c r="O193" s="1389">
        <f>0.373909117293539*(1/Unit.TWh)</f>
        <v>0.37390911729353898</v>
      </c>
      <c r="P193" s="1726"/>
    </row>
    <row r="194" spans="2:16" s="1855" customFormat="1">
      <c r="B194" s="1725"/>
      <c r="C194" s="1871" t="s">
        <v>671</v>
      </c>
      <c r="D194" s="1769" t="s">
        <v>918</v>
      </c>
      <c r="E194" s="1769" t="s">
        <v>1116</v>
      </c>
      <c r="F194" s="1873">
        <f t="shared" ref="F194:F203" si="18">G194</f>
        <v>0.63124928329220598</v>
      </c>
      <c r="G194" s="1873">
        <f>0.631249283292206*(1/Unit.TWh)</f>
        <v>0.63124928329220598</v>
      </c>
      <c r="H194" s="1873">
        <f>0.762191485532249*(1/Unit.TWh)</f>
        <v>0.76219148553224902</v>
      </c>
      <c r="I194" s="1873">
        <f>0.630334737611711*(1/Unit.TWh)</f>
        <v>0.63033473761171099</v>
      </c>
      <c r="J194" s="1873">
        <f>0.567077355155007*(1/Unit.TWh)</f>
        <v>0.56707735515500701</v>
      </c>
      <c r="K194" s="1873">
        <f>0.533406777464307*(1/Unit.TWh)</f>
        <v>0.53340677746430698</v>
      </c>
      <c r="L194" s="1873">
        <f>0.524968567115822*(1/Unit.TWh)</f>
        <v>0.52496856711582196</v>
      </c>
      <c r="M194" s="1873">
        <f>0.524968567115822*(1/Unit.TWh)</f>
        <v>0.52496856711582196</v>
      </c>
      <c r="N194" s="1873">
        <f>0.524968567115822*(1/Unit.TWh)</f>
        <v>0.52496856711582196</v>
      </c>
      <c r="O194" s="1873">
        <f>0.524968567115822*(1/Unit.TWh)</f>
        <v>0.52496856711582196</v>
      </c>
      <c r="P194" s="1726"/>
    </row>
    <row r="195" spans="2:16" s="1855" customFormat="1">
      <c r="B195" s="1725"/>
      <c r="C195" s="1871" t="s">
        <v>671</v>
      </c>
      <c r="D195" s="1769" t="s">
        <v>918</v>
      </c>
      <c r="E195" s="1769" t="s">
        <v>924</v>
      </c>
      <c r="F195" s="1873">
        <f t="shared" si="18"/>
        <v>0</v>
      </c>
      <c r="G195" s="1873">
        <f t="shared" ref="G195:O196" si="19">0*(1/Unit.TWh)</f>
        <v>0</v>
      </c>
      <c r="H195" s="1873">
        <f t="shared" si="19"/>
        <v>0</v>
      </c>
      <c r="I195" s="1873">
        <f t="shared" si="19"/>
        <v>0</v>
      </c>
      <c r="J195" s="1873">
        <f t="shared" si="19"/>
        <v>0</v>
      </c>
      <c r="K195" s="1873">
        <f t="shared" si="19"/>
        <v>0</v>
      </c>
      <c r="L195" s="1873">
        <f t="shared" si="19"/>
        <v>0</v>
      </c>
      <c r="M195" s="1873">
        <f t="shared" si="19"/>
        <v>0</v>
      </c>
      <c r="N195" s="1873">
        <f t="shared" si="19"/>
        <v>0</v>
      </c>
      <c r="O195" s="1873">
        <f t="shared" si="19"/>
        <v>0</v>
      </c>
      <c r="P195" s="1726"/>
    </row>
    <row r="196" spans="2:16" s="1855" customFormat="1">
      <c r="B196" s="1725"/>
      <c r="C196" s="1871" t="s">
        <v>671</v>
      </c>
      <c r="D196" s="1769" t="s">
        <v>918</v>
      </c>
      <c r="E196" s="1769" t="s">
        <v>925</v>
      </c>
      <c r="F196" s="1873">
        <f t="shared" si="18"/>
        <v>0</v>
      </c>
      <c r="G196" s="1873">
        <f t="shared" si="19"/>
        <v>0</v>
      </c>
      <c r="H196" s="1873">
        <f t="shared" si="19"/>
        <v>0</v>
      </c>
      <c r="I196" s="1873">
        <f t="shared" si="19"/>
        <v>0</v>
      </c>
      <c r="J196" s="1873">
        <f t="shared" si="19"/>
        <v>0</v>
      </c>
      <c r="K196" s="1873">
        <f t="shared" si="19"/>
        <v>0</v>
      </c>
      <c r="L196" s="1873">
        <f t="shared" si="19"/>
        <v>0</v>
      </c>
      <c r="M196" s="1873">
        <f t="shared" si="19"/>
        <v>0</v>
      </c>
      <c r="N196" s="1873">
        <f t="shared" si="19"/>
        <v>0</v>
      </c>
      <c r="O196" s="1873">
        <f t="shared" si="19"/>
        <v>0</v>
      </c>
      <c r="P196" s="1726"/>
    </row>
    <row r="197" spans="2:16" s="1855" customFormat="1">
      <c r="B197" s="1725"/>
      <c r="C197" s="1871" t="s">
        <v>671</v>
      </c>
      <c r="D197" s="1769" t="s">
        <v>919</v>
      </c>
      <c r="E197" s="1769" t="s">
        <v>923</v>
      </c>
      <c r="F197" s="1873">
        <f t="shared" si="18"/>
        <v>2.0694550968899801</v>
      </c>
      <c r="G197" s="1873">
        <f>2.06945509688998*(1/Unit.TWh)</f>
        <v>2.0694550968899801</v>
      </c>
      <c r="H197" s="1873">
        <f>1.46924536451353*(1/Unit.TWh)</f>
        <v>1.4692453645135299</v>
      </c>
      <c r="I197" s="1873">
        <f>0.706747923588064*(1/Unit.TWh)</f>
        <v>0.70674792358806404</v>
      </c>
      <c r="J197" s="1873">
        <f>0.303301044701916*(1/Unit.TWh)</f>
        <v>0.30330104470191599</v>
      </c>
      <c r="K197" s="1873">
        <f>0.19375703518048*(1/Unit.TWh)</f>
        <v>0.19375703518047999</v>
      </c>
      <c r="L197" s="1873">
        <f>0.170738987641718*(1/Unit.TWh)</f>
        <v>0.17073898764171799</v>
      </c>
      <c r="M197" s="1873">
        <f>0.170738987641718*(1/Unit.TWh)</f>
        <v>0.17073898764171799</v>
      </c>
      <c r="N197" s="1873">
        <f>0.170738987641718*(1/Unit.TWh)</f>
        <v>0.17073898764171799</v>
      </c>
      <c r="O197" s="1873">
        <f>0.170738987641718*(1/Unit.TWh)</f>
        <v>0.17073898764171799</v>
      </c>
      <c r="P197" s="1726"/>
    </row>
    <row r="198" spans="2:16" s="1855" customFormat="1">
      <c r="B198" s="1725"/>
      <c r="C198" s="1871" t="s">
        <v>671</v>
      </c>
      <c r="D198" s="1769" t="s">
        <v>919</v>
      </c>
      <c r="E198" s="1769" t="s">
        <v>1117</v>
      </c>
      <c r="F198" s="1873">
        <f t="shared" si="18"/>
        <v>1.70599682563443</v>
      </c>
      <c r="G198" s="1389">
        <f>1.70599682563443*(1/Unit.TWh)</f>
        <v>1.70599682563443</v>
      </c>
      <c r="H198" s="1389">
        <f>1.15583334209536*(1/Unit.TWh)</f>
        <v>1.1558333420953599</v>
      </c>
      <c r="I198" s="1389">
        <f>0.574506962617491*(1/Unit.TWh)</f>
        <v>0.57450696261749101</v>
      </c>
      <c r="J198" s="1389">
        <f>0.288281897149846*(1/Unit.TWh)</f>
        <v>0.28828189714984598</v>
      </c>
      <c r="K198" s="1389">
        <f>0.214355024239144*(1/Unit.TWh)</f>
        <v>0.21435502423914399</v>
      </c>
      <c r="L198" s="1389">
        <f>0.188233721746317*(1/Unit.TWh)</f>
        <v>0.188233721746317</v>
      </c>
      <c r="M198" s="1389">
        <f>0.188233721746317*(1/Unit.TWh)</f>
        <v>0.188233721746317</v>
      </c>
      <c r="N198" s="1389">
        <f>0.188233721746317*(1/Unit.TWh)</f>
        <v>0.188233721746317</v>
      </c>
      <c r="O198" s="1389">
        <f>0.188233721746317*(1/Unit.TWh)</f>
        <v>0.188233721746317</v>
      </c>
      <c r="P198" s="1726"/>
    </row>
    <row r="199" spans="2:16" s="1855" customFormat="1">
      <c r="B199" s="1725"/>
      <c r="C199" s="1871" t="s">
        <v>671</v>
      </c>
      <c r="D199" s="1769" t="s">
        <v>919</v>
      </c>
      <c r="E199" s="1769" t="s">
        <v>924</v>
      </c>
      <c r="F199" s="1873">
        <f t="shared" si="18"/>
        <v>0</v>
      </c>
      <c r="G199" s="1389">
        <f t="shared" ref="G199:O200" si="20">0*(1/Unit.TWh)</f>
        <v>0</v>
      </c>
      <c r="H199" s="1389">
        <f t="shared" si="20"/>
        <v>0</v>
      </c>
      <c r="I199" s="1389">
        <f t="shared" si="20"/>
        <v>0</v>
      </c>
      <c r="J199" s="1389">
        <f t="shared" si="20"/>
        <v>0</v>
      </c>
      <c r="K199" s="1389">
        <f t="shared" si="20"/>
        <v>0</v>
      </c>
      <c r="L199" s="1389">
        <f t="shared" si="20"/>
        <v>0</v>
      </c>
      <c r="M199" s="1389">
        <f t="shared" si="20"/>
        <v>0</v>
      </c>
      <c r="N199" s="1389">
        <f t="shared" si="20"/>
        <v>0</v>
      </c>
      <c r="O199" s="1389">
        <f t="shared" si="20"/>
        <v>0</v>
      </c>
      <c r="P199" s="1726"/>
    </row>
    <row r="200" spans="2:16" s="1855" customFormat="1">
      <c r="B200" s="1725"/>
      <c r="C200" s="1871" t="s">
        <v>671</v>
      </c>
      <c r="D200" s="1769" t="s">
        <v>919</v>
      </c>
      <c r="E200" s="1769" t="s">
        <v>925</v>
      </c>
      <c r="F200" s="1873">
        <f t="shared" si="18"/>
        <v>0</v>
      </c>
      <c r="G200" s="1389">
        <f t="shared" si="20"/>
        <v>0</v>
      </c>
      <c r="H200" s="1389">
        <f t="shared" si="20"/>
        <v>0</v>
      </c>
      <c r="I200" s="1389">
        <f t="shared" si="20"/>
        <v>0</v>
      </c>
      <c r="J200" s="1389">
        <f t="shared" si="20"/>
        <v>0</v>
      </c>
      <c r="K200" s="1389">
        <f t="shared" si="20"/>
        <v>0</v>
      </c>
      <c r="L200" s="1389">
        <f t="shared" si="20"/>
        <v>0</v>
      </c>
      <c r="M200" s="1389">
        <f t="shared" si="20"/>
        <v>0</v>
      </c>
      <c r="N200" s="1389">
        <f t="shared" si="20"/>
        <v>0</v>
      </c>
      <c r="O200" s="1389">
        <f t="shared" si="20"/>
        <v>0</v>
      </c>
      <c r="P200" s="1726"/>
    </row>
    <row r="201" spans="2:16" s="1855" customFormat="1">
      <c r="B201" s="1725"/>
      <c r="C201" s="1871" t="s">
        <v>671</v>
      </c>
      <c r="D201" s="1769" t="s">
        <v>921</v>
      </c>
      <c r="E201" s="1769" t="s">
        <v>962</v>
      </c>
      <c r="F201" s="1873">
        <f t="shared" si="18"/>
        <v>7.6166301057291896</v>
      </c>
      <c r="G201" s="1389">
        <f>7.61663010572919*(1/Unit.TWh)</f>
        <v>7.6166301057291896</v>
      </c>
      <c r="H201" s="1389">
        <f>6.66748910438281*(1/Unit.TWh)</f>
        <v>6.6674891043828097</v>
      </c>
      <c r="I201" s="1389">
        <f>5.66148324420416*(1/Unit.TWh)</f>
        <v>5.6614832442041596</v>
      </c>
      <c r="J201" s="1389">
        <f>4.65547738402551*(1/Unit.TWh)</f>
        <v>4.6554773840255104</v>
      </c>
      <c r="K201" s="1389">
        <f>3.64947152384686*(1/Unit.TWh)</f>
        <v>3.6494715238468598</v>
      </c>
      <c r="L201" s="1389">
        <f>2.64346566366821*(1/Unit.TWh)</f>
        <v>2.6434656636682101</v>
      </c>
      <c r="M201" s="1389">
        <f>2.26875638876845*(1/Unit.TWh)</f>
        <v>2.2687563887684501</v>
      </c>
      <c r="N201" s="1389">
        <f>2.21189152993618*(1/Unit.TWh)</f>
        <v>2.2118915299361799</v>
      </c>
      <c r="O201" s="1389">
        <f>2.21189152993618*(1/Unit.TWh)</f>
        <v>2.2118915299361799</v>
      </c>
      <c r="P201" s="1726"/>
    </row>
    <row r="202" spans="2:16" s="1855" customFormat="1">
      <c r="B202" s="1725"/>
      <c r="C202" s="1871" t="s">
        <v>671</v>
      </c>
      <c r="D202" s="1769" t="s">
        <v>921</v>
      </c>
      <c r="E202" s="1769" t="s">
        <v>963</v>
      </c>
      <c r="F202" s="1873">
        <f t="shared" si="18"/>
        <v>0</v>
      </c>
      <c r="G202" s="1389">
        <f t="shared" ref="G202:O202" si="21">0*(1/Unit.TWh)</f>
        <v>0</v>
      </c>
      <c r="H202" s="1389">
        <f t="shared" si="21"/>
        <v>0</v>
      </c>
      <c r="I202" s="1389">
        <f t="shared" si="21"/>
        <v>0</v>
      </c>
      <c r="J202" s="1389">
        <f t="shared" si="21"/>
        <v>0</v>
      </c>
      <c r="K202" s="1389">
        <f t="shared" si="21"/>
        <v>0</v>
      </c>
      <c r="L202" s="1389">
        <f t="shared" si="21"/>
        <v>0</v>
      </c>
      <c r="M202" s="1389">
        <f t="shared" si="21"/>
        <v>0</v>
      </c>
      <c r="N202" s="1389">
        <f t="shared" si="21"/>
        <v>0</v>
      </c>
      <c r="O202" s="1389">
        <f t="shared" si="21"/>
        <v>0</v>
      </c>
      <c r="P202" s="1726"/>
    </row>
    <row r="203" spans="2:16" s="1855" customFormat="1">
      <c r="B203" s="1725"/>
      <c r="C203" s="1871" t="s">
        <v>671</v>
      </c>
      <c r="D203" s="1769" t="s">
        <v>922</v>
      </c>
      <c r="E203" s="1769" t="s">
        <v>922</v>
      </c>
      <c r="F203" s="1873">
        <f t="shared" si="18"/>
        <v>0.84581189591405204</v>
      </c>
      <c r="G203" s="1389">
        <f t="shared" ref="G203:O203" si="22">0.845811895914052*(1/Unit.TWh)</f>
        <v>0.84581189591405204</v>
      </c>
      <c r="H203" s="1389">
        <f t="shared" si="22"/>
        <v>0.84581189591405204</v>
      </c>
      <c r="I203" s="1389">
        <f t="shared" si="22"/>
        <v>0.84581189591405204</v>
      </c>
      <c r="J203" s="1389">
        <f t="shared" si="22"/>
        <v>0.84581189591405204</v>
      </c>
      <c r="K203" s="1389">
        <f t="shared" si="22"/>
        <v>0.84581189591405204</v>
      </c>
      <c r="L203" s="1389">
        <f t="shared" si="22"/>
        <v>0.84581189591405204</v>
      </c>
      <c r="M203" s="1389">
        <f t="shared" si="22"/>
        <v>0.84581189591405204</v>
      </c>
      <c r="N203" s="1389">
        <f t="shared" si="22"/>
        <v>0.84581189591405204</v>
      </c>
      <c r="O203" s="1389">
        <f t="shared" si="22"/>
        <v>0.84581189591405204</v>
      </c>
      <c r="P203" s="1726"/>
    </row>
    <row r="204" spans="2:16" s="1855" customFormat="1">
      <c r="B204" s="1725"/>
      <c r="C204" s="1871"/>
      <c r="D204" s="1769"/>
      <c r="E204" s="1769"/>
      <c r="F204" s="1873"/>
      <c r="G204" s="1389"/>
      <c r="H204" s="1389"/>
      <c r="I204" s="1389"/>
      <c r="J204" s="1389"/>
      <c r="K204" s="1389"/>
      <c r="L204" s="1389"/>
      <c r="M204" s="1389"/>
      <c r="N204" s="1389"/>
      <c r="O204" s="1389"/>
      <c r="P204" s="1726"/>
    </row>
    <row r="205" spans="2:16" s="1855" customFormat="1">
      <c r="B205" s="1725"/>
      <c r="C205" s="1723" t="s">
        <v>1765</v>
      </c>
      <c r="D205" s="1722"/>
      <c r="E205" s="1722"/>
      <c r="F205" s="1722"/>
      <c r="G205" s="1722"/>
      <c r="H205" s="1722"/>
      <c r="I205" s="1722"/>
      <c r="J205" s="1722"/>
      <c r="K205" s="1722"/>
      <c r="L205" s="1722"/>
      <c r="M205" s="1722"/>
      <c r="N205" s="1722"/>
      <c r="O205" s="1722" t="str">
        <f>"kt per "&amp;Preferences.EnergyUnits</f>
        <v>kt per TWh</v>
      </c>
      <c r="P205" s="1726"/>
    </row>
    <row r="206" spans="2:16" s="1855" customFormat="1" ht="5.25" customHeight="1">
      <c r="B206" s="1725"/>
      <c r="C206" s="1722"/>
      <c r="D206" s="1722"/>
      <c r="E206" s="1133"/>
      <c r="F206" s="1132"/>
      <c r="G206" s="1722"/>
      <c r="H206" s="1722"/>
      <c r="I206" s="1722"/>
      <c r="J206" s="1722"/>
      <c r="K206" s="1722"/>
      <c r="L206" s="1722"/>
      <c r="M206" s="1722"/>
      <c r="N206" s="1722"/>
      <c r="O206" s="1722"/>
      <c r="P206" s="1726"/>
    </row>
    <row r="207" spans="2:16" s="1855" customFormat="1" ht="14">
      <c r="B207" s="1725"/>
      <c r="C207" s="1874" t="s">
        <v>77</v>
      </c>
      <c r="D207" s="1874" t="s">
        <v>906</v>
      </c>
      <c r="E207" s="1875" t="s">
        <v>657</v>
      </c>
      <c r="F207" s="1876" t="s">
        <v>579</v>
      </c>
      <c r="G207" s="1876" t="s">
        <v>580</v>
      </c>
      <c r="H207" s="1876" t="s">
        <v>605</v>
      </c>
      <c r="I207" s="1876" t="s">
        <v>606</v>
      </c>
      <c r="J207" s="1876" t="s">
        <v>607</v>
      </c>
      <c r="K207" s="1876" t="s">
        <v>608</v>
      </c>
      <c r="L207" s="1876" t="s">
        <v>609</v>
      </c>
      <c r="M207" s="1876" t="s">
        <v>610</v>
      </c>
      <c r="N207" s="1876" t="s">
        <v>611</v>
      </c>
      <c r="O207" s="1876" t="s">
        <v>612</v>
      </c>
      <c r="P207" s="1726"/>
    </row>
    <row r="208" spans="2:16" s="1855" customFormat="1">
      <c r="B208" s="1725"/>
      <c r="C208" s="1871" t="s">
        <v>671</v>
      </c>
      <c r="D208" s="1770" t="s">
        <v>918</v>
      </c>
      <c r="E208" s="1872" t="s">
        <v>923</v>
      </c>
      <c r="F208" s="1389">
        <f>G208</f>
        <v>1.0357553504539499E-3</v>
      </c>
      <c r="G208" s="1389">
        <f>0.00103575535045395*(1/Unit.TWh)</f>
        <v>1.0357553504539499E-3</v>
      </c>
      <c r="H208" s="1389">
        <f>0.00108387045813274*(1/Unit.TWh)</f>
        <v>1.0838704581327401E-3</v>
      </c>
      <c r="I208" s="1389">
        <f>0.00108807120923228*(1/Unit.TWh)</f>
        <v>1.0880712092322801E-3</v>
      </c>
      <c r="J208" s="1389">
        <f>0.00105465050362138*(1/Unit.TWh)</f>
        <v>1.0546505036213799E-3</v>
      </c>
      <c r="K208" s="1389">
        <f>0.00102013469233904*(1/Unit.TWh)</f>
        <v>1.0201346923390401E-3</v>
      </c>
      <c r="L208" s="1389">
        <f t="shared" ref="L208:O209" si="23">0.000985496257463946*(1/Unit.TWh)</f>
        <v>9.8549625746394598E-4</v>
      </c>
      <c r="M208" s="1389">
        <f t="shared" si="23"/>
        <v>9.8549625746394598E-4</v>
      </c>
      <c r="N208" s="1389">
        <f t="shared" si="23"/>
        <v>9.8549625746394598E-4</v>
      </c>
      <c r="O208" s="1389">
        <f t="shared" si="23"/>
        <v>9.8549625746394598E-4</v>
      </c>
      <c r="P208" s="1726"/>
    </row>
    <row r="209" spans="2:16" s="1855" customFormat="1">
      <c r="B209" s="1725"/>
      <c r="C209" s="1871" t="s">
        <v>671</v>
      </c>
      <c r="D209" s="1769" t="s">
        <v>918</v>
      </c>
      <c r="E209" s="1769" t="s">
        <v>1116</v>
      </c>
      <c r="F209" s="1873">
        <f t="shared" ref="F209:F218" si="24">G209</f>
        <v>1.0357553504539499E-3</v>
      </c>
      <c r="G209" s="1873">
        <f>0.00103575535045395*(1/Unit.TWh)</f>
        <v>1.0357553504539499E-3</v>
      </c>
      <c r="H209" s="1873">
        <f>0.00108387045813274*(1/Unit.TWh)</f>
        <v>1.0838704581327401E-3</v>
      </c>
      <c r="I209" s="1873">
        <f>0.00108807120923228*(1/Unit.TWh)</f>
        <v>1.0880712092322801E-3</v>
      </c>
      <c r="J209" s="1873">
        <f>0.00105465050362138*(1/Unit.TWh)</f>
        <v>1.0546505036213799E-3</v>
      </c>
      <c r="K209" s="1873">
        <f>0.00102013469233904*(1/Unit.TWh)</f>
        <v>1.0201346923390401E-3</v>
      </c>
      <c r="L209" s="1873">
        <f t="shared" si="23"/>
        <v>9.8549625746394598E-4</v>
      </c>
      <c r="M209" s="1873">
        <f t="shared" si="23"/>
        <v>9.8549625746394598E-4</v>
      </c>
      <c r="N209" s="1873">
        <f t="shared" si="23"/>
        <v>9.8549625746394598E-4</v>
      </c>
      <c r="O209" s="1873">
        <f t="shared" si="23"/>
        <v>9.8549625746394598E-4</v>
      </c>
      <c r="P209" s="1726"/>
    </row>
    <row r="210" spans="2:16" s="1855" customFormat="1">
      <c r="B210" s="1725"/>
      <c r="C210" s="1871" t="s">
        <v>671</v>
      </c>
      <c r="D210" s="1769" t="s">
        <v>918</v>
      </c>
      <c r="E210" s="1769" t="s">
        <v>924</v>
      </c>
      <c r="F210" s="1873">
        <f t="shared" si="24"/>
        <v>0</v>
      </c>
      <c r="G210" s="1873">
        <f t="shared" ref="G210:O211" si="25">0*(1/Unit.TWh)</f>
        <v>0</v>
      </c>
      <c r="H210" s="1873">
        <f t="shared" si="25"/>
        <v>0</v>
      </c>
      <c r="I210" s="1873">
        <f t="shared" si="25"/>
        <v>0</v>
      </c>
      <c r="J210" s="1873">
        <f t="shared" si="25"/>
        <v>0</v>
      </c>
      <c r="K210" s="1873">
        <f t="shared" si="25"/>
        <v>0</v>
      </c>
      <c r="L210" s="1873">
        <f t="shared" si="25"/>
        <v>0</v>
      </c>
      <c r="M210" s="1873">
        <f t="shared" si="25"/>
        <v>0</v>
      </c>
      <c r="N210" s="1873">
        <f t="shared" si="25"/>
        <v>0</v>
      </c>
      <c r="O210" s="1873">
        <f t="shared" si="25"/>
        <v>0</v>
      </c>
      <c r="P210" s="1726"/>
    </row>
    <row r="211" spans="2:16" s="1855" customFormat="1">
      <c r="B211" s="1725"/>
      <c r="C211" s="1871" t="s">
        <v>671</v>
      </c>
      <c r="D211" s="1769" t="s">
        <v>918</v>
      </c>
      <c r="E211" s="1769" t="s">
        <v>925</v>
      </c>
      <c r="F211" s="1873">
        <f t="shared" si="24"/>
        <v>0</v>
      </c>
      <c r="G211" s="1873">
        <f t="shared" si="25"/>
        <v>0</v>
      </c>
      <c r="H211" s="1873">
        <f t="shared" si="25"/>
        <v>0</v>
      </c>
      <c r="I211" s="1873">
        <f t="shared" si="25"/>
        <v>0</v>
      </c>
      <c r="J211" s="1873">
        <f t="shared" si="25"/>
        <v>0</v>
      </c>
      <c r="K211" s="1873">
        <f t="shared" si="25"/>
        <v>0</v>
      </c>
      <c r="L211" s="1873">
        <f t="shared" si="25"/>
        <v>0</v>
      </c>
      <c r="M211" s="1873">
        <f t="shared" si="25"/>
        <v>0</v>
      </c>
      <c r="N211" s="1873">
        <f t="shared" si="25"/>
        <v>0</v>
      </c>
      <c r="O211" s="1873">
        <f t="shared" si="25"/>
        <v>0</v>
      </c>
      <c r="P211" s="1726"/>
    </row>
    <row r="212" spans="2:16" s="1855" customFormat="1">
      <c r="B212" s="1725"/>
      <c r="C212" s="1871" t="s">
        <v>671</v>
      </c>
      <c r="D212" s="1769" t="s">
        <v>919</v>
      </c>
      <c r="E212" s="1769" t="s">
        <v>923</v>
      </c>
      <c r="F212" s="1873">
        <f t="shared" si="24"/>
        <v>1.1684210526315801E-3</v>
      </c>
      <c r="G212" s="1873">
        <f>0.00116842105263158*(1/Unit.TWh)</f>
        <v>1.1684210526315801E-3</v>
      </c>
      <c r="H212" s="1873">
        <f>0.0012237150060623*(1/Unit.TWh)</f>
        <v>1.2237150060623E-3</v>
      </c>
      <c r="I212" s="1873">
        <f>0.00123656600366703*(1/Unit.TWh)</f>
        <v>1.2365660036670299E-3</v>
      </c>
      <c r="J212" s="1873">
        <f>0.00125850555931653*(1/Unit.TWh)</f>
        <v>1.25850555931653E-3</v>
      </c>
      <c r="K212" s="1873">
        <f>0.00127874031997871*(1/Unit.TWh)</f>
        <v>1.27874031997871E-3</v>
      </c>
      <c r="L212" s="1873">
        <f t="shared" ref="L212:O213" si="26">0.00130002180217232*(1/Unit.TWh)</f>
        <v>1.3000218021723201E-3</v>
      </c>
      <c r="M212" s="1873">
        <f t="shared" si="26"/>
        <v>1.3000218021723201E-3</v>
      </c>
      <c r="N212" s="1873">
        <f t="shared" si="26"/>
        <v>1.3000218021723201E-3</v>
      </c>
      <c r="O212" s="1873">
        <f t="shared" si="26"/>
        <v>1.3000218021723201E-3</v>
      </c>
      <c r="P212" s="1726"/>
    </row>
    <row r="213" spans="2:16" s="1855" customFormat="1">
      <c r="B213" s="1725"/>
      <c r="C213" s="1871" t="s">
        <v>671</v>
      </c>
      <c r="D213" s="1769" t="s">
        <v>919</v>
      </c>
      <c r="E213" s="1769" t="s">
        <v>1117</v>
      </c>
      <c r="F213" s="1873">
        <f t="shared" si="24"/>
        <v>1.1684210526315801E-3</v>
      </c>
      <c r="G213" s="1389">
        <f>0.00116842105263158*(1/Unit.TWh)</f>
        <v>1.1684210526315801E-3</v>
      </c>
      <c r="H213" s="1389">
        <f>0.0012237150060623*(1/Unit.TWh)</f>
        <v>1.2237150060623E-3</v>
      </c>
      <c r="I213" s="1389">
        <f>0.00123656600366703*(1/Unit.TWh)</f>
        <v>1.2365660036670299E-3</v>
      </c>
      <c r="J213" s="1389">
        <f>0.00125850555931653*(1/Unit.TWh)</f>
        <v>1.25850555931653E-3</v>
      </c>
      <c r="K213" s="1389">
        <f>0.00127874031997871*(1/Unit.TWh)</f>
        <v>1.27874031997871E-3</v>
      </c>
      <c r="L213" s="1389">
        <f t="shared" si="26"/>
        <v>1.3000218021723201E-3</v>
      </c>
      <c r="M213" s="1389">
        <f t="shared" si="26"/>
        <v>1.3000218021723201E-3</v>
      </c>
      <c r="N213" s="1389">
        <f t="shared" si="26"/>
        <v>1.3000218021723201E-3</v>
      </c>
      <c r="O213" s="1389">
        <f t="shared" si="26"/>
        <v>1.3000218021723201E-3</v>
      </c>
      <c r="P213" s="1726"/>
    </row>
    <row r="214" spans="2:16" s="1855" customFormat="1">
      <c r="B214" s="1725"/>
      <c r="C214" s="1871" t="s">
        <v>671</v>
      </c>
      <c r="D214" s="1769" t="s">
        <v>919</v>
      </c>
      <c r="E214" s="1769" t="s">
        <v>924</v>
      </c>
      <c r="F214" s="1873">
        <f t="shared" si="24"/>
        <v>0</v>
      </c>
      <c r="G214" s="1389">
        <f t="shared" ref="G214:O215" si="27">0*(1/Unit.TWh)</f>
        <v>0</v>
      </c>
      <c r="H214" s="1389">
        <f t="shared" si="27"/>
        <v>0</v>
      </c>
      <c r="I214" s="1389">
        <f t="shared" si="27"/>
        <v>0</v>
      </c>
      <c r="J214" s="1389">
        <f t="shared" si="27"/>
        <v>0</v>
      </c>
      <c r="K214" s="1389">
        <f t="shared" si="27"/>
        <v>0</v>
      </c>
      <c r="L214" s="1389">
        <f t="shared" si="27"/>
        <v>0</v>
      </c>
      <c r="M214" s="1389">
        <f t="shared" si="27"/>
        <v>0</v>
      </c>
      <c r="N214" s="1389">
        <f t="shared" si="27"/>
        <v>0</v>
      </c>
      <c r="O214" s="1389">
        <f t="shared" si="27"/>
        <v>0</v>
      </c>
      <c r="P214" s="1726"/>
    </row>
    <row r="215" spans="2:16" s="1855" customFormat="1">
      <c r="B215" s="1725"/>
      <c r="C215" s="1871" t="s">
        <v>671</v>
      </c>
      <c r="D215" s="1769" t="s">
        <v>919</v>
      </c>
      <c r="E215" s="1769" t="s">
        <v>925</v>
      </c>
      <c r="F215" s="1873">
        <f t="shared" si="24"/>
        <v>0</v>
      </c>
      <c r="G215" s="1389">
        <f t="shared" si="27"/>
        <v>0</v>
      </c>
      <c r="H215" s="1389">
        <f t="shared" si="27"/>
        <v>0</v>
      </c>
      <c r="I215" s="1389">
        <f t="shared" si="27"/>
        <v>0</v>
      </c>
      <c r="J215" s="1389">
        <f t="shared" si="27"/>
        <v>0</v>
      </c>
      <c r="K215" s="1389">
        <f t="shared" si="27"/>
        <v>0</v>
      </c>
      <c r="L215" s="1389">
        <f t="shared" si="27"/>
        <v>0</v>
      </c>
      <c r="M215" s="1389">
        <f t="shared" si="27"/>
        <v>0</v>
      </c>
      <c r="N215" s="1389">
        <f t="shared" si="27"/>
        <v>0</v>
      </c>
      <c r="O215" s="1389">
        <f t="shared" si="27"/>
        <v>0</v>
      </c>
      <c r="P215" s="1726"/>
    </row>
    <row r="216" spans="2:16" s="1855" customFormat="1">
      <c r="B216" s="1725"/>
      <c r="C216" s="1871" t="s">
        <v>671</v>
      </c>
      <c r="D216" s="1769" t="s">
        <v>921</v>
      </c>
      <c r="E216" s="1769" t="s">
        <v>962</v>
      </c>
      <c r="F216" s="1873">
        <f t="shared" si="24"/>
        <v>8.8947368421052594E-2</v>
      </c>
      <c r="G216" s="1389">
        <f>0.0889473684210526*(1/Unit.TWh)</f>
        <v>8.8947368421052594E-2</v>
      </c>
      <c r="H216" s="1389">
        <f t="shared" ref="H216:O216" si="28">0.00157894736842105*(1/Unit.TWh)</f>
        <v>1.57894736842105E-3</v>
      </c>
      <c r="I216" s="1389">
        <f t="shared" si="28"/>
        <v>1.57894736842105E-3</v>
      </c>
      <c r="J216" s="1389">
        <f t="shared" si="28"/>
        <v>1.57894736842105E-3</v>
      </c>
      <c r="K216" s="1389">
        <f t="shared" si="28"/>
        <v>1.57894736842105E-3</v>
      </c>
      <c r="L216" s="1389">
        <f t="shared" si="28"/>
        <v>1.57894736842105E-3</v>
      </c>
      <c r="M216" s="1389">
        <f t="shared" si="28"/>
        <v>1.57894736842105E-3</v>
      </c>
      <c r="N216" s="1389">
        <f t="shared" si="28"/>
        <v>1.57894736842105E-3</v>
      </c>
      <c r="O216" s="1389">
        <f t="shared" si="28"/>
        <v>1.57894736842105E-3</v>
      </c>
      <c r="P216" s="1726"/>
    </row>
    <row r="217" spans="2:16" s="1855" customFormat="1">
      <c r="B217" s="1725"/>
      <c r="C217" s="1871" t="s">
        <v>671</v>
      </c>
      <c r="D217" s="1769" t="s">
        <v>921</v>
      </c>
      <c r="E217" s="1769" t="s">
        <v>963</v>
      </c>
      <c r="F217" s="1873">
        <f t="shared" si="24"/>
        <v>0</v>
      </c>
      <c r="G217" s="1389">
        <f t="shared" ref="G217:O217" si="29">0*(1/Unit.TWh)</f>
        <v>0</v>
      </c>
      <c r="H217" s="1389">
        <f t="shared" si="29"/>
        <v>0</v>
      </c>
      <c r="I217" s="1389">
        <f t="shared" si="29"/>
        <v>0</v>
      </c>
      <c r="J217" s="1389">
        <f t="shared" si="29"/>
        <v>0</v>
      </c>
      <c r="K217" s="1389">
        <f t="shared" si="29"/>
        <v>0</v>
      </c>
      <c r="L217" s="1389">
        <f t="shared" si="29"/>
        <v>0</v>
      </c>
      <c r="M217" s="1389">
        <f t="shared" si="29"/>
        <v>0</v>
      </c>
      <c r="N217" s="1389">
        <f t="shared" si="29"/>
        <v>0</v>
      </c>
      <c r="O217" s="1389">
        <f t="shared" si="29"/>
        <v>0</v>
      </c>
      <c r="P217" s="1726"/>
    </row>
    <row r="218" spans="2:16" s="1855" customFormat="1">
      <c r="B218" s="1725"/>
      <c r="C218" s="1871" t="s">
        <v>671</v>
      </c>
      <c r="D218" s="1769" t="s">
        <v>922</v>
      </c>
      <c r="E218" s="1769" t="s">
        <v>922</v>
      </c>
      <c r="F218" s="1873">
        <f t="shared" si="24"/>
        <v>6.3688807877871401E-2</v>
      </c>
      <c r="G218" s="1389">
        <f t="shared" ref="G218:O218" si="30">0.0636888078778714*(1/Unit.TWh)</f>
        <v>6.3688807877871401E-2</v>
      </c>
      <c r="H218" s="1389">
        <f t="shared" si="30"/>
        <v>6.3688807877871401E-2</v>
      </c>
      <c r="I218" s="1389">
        <f t="shared" si="30"/>
        <v>6.3688807877871401E-2</v>
      </c>
      <c r="J218" s="1389">
        <f t="shared" si="30"/>
        <v>6.3688807877871401E-2</v>
      </c>
      <c r="K218" s="1389">
        <f t="shared" si="30"/>
        <v>6.3688807877871401E-2</v>
      </c>
      <c r="L218" s="1389">
        <f t="shared" si="30"/>
        <v>6.3688807877871401E-2</v>
      </c>
      <c r="M218" s="1389">
        <f t="shared" si="30"/>
        <v>6.3688807877871401E-2</v>
      </c>
      <c r="N218" s="1389">
        <f t="shared" si="30"/>
        <v>6.3688807877871401E-2</v>
      </c>
      <c r="O218" s="1389">
        <f t="shared" si="30"/>
        <v>6.3688807877871401E-2</v>
      </c>
      <c r="P218" s="1726"/>
    </row>
    <row r="219" spans="2:16" s="1717" customFormat="1" ht="15">
      <c r="B219" s="1058"/>
      <c r="C219" s="1060"/>
      <c r="D219" s="1721"/>
      <c r="E219" s="848"/>
      <c r="F219" s="1055"/>
      <c r="G219" s="1056"/>
      <c r="H219" s="1056"/>
      <c r="I219" s="1056"/>
      <c r="J219" s="1056"/>
      <c r="K219" s="615"/>
      <c r="L219" s="615"/>
      <c r="M219" s="615"/>
      <c r="N219" s="615"/>
      <c r="O219" s="615"/>
      <c r="P219" s="842"/>
    </row>
    <row r="220" spans="2:16" s="1855" customFormat="1">
      <c r="B220" s="1725"/>
      <c r="C220" s="1723" t="s">
        <v>1767</v>
      </c>
      <c r="D220" s="1722"/>
      <c r="E220" s="1722"/>
      <c r="F220" s="1722"/>
      <c r="G220" s="1722"/>
      <c r="H220" s="1722"/>
      <c r="I220" s="1722"/>
      <c r="J220" s="1722"/>
      <c r="K220" s="1722"/>
      <c r="L220" s="1722"/>
      <c r="M220" s="1722"/>
      <c r="N220" s="1722"/>
      <c r="O220" s="1722" t="str">
        <f>"kt per "&amp;Preferences.EnergyUnits</f>
        <v>kt per TWh</v>
      </c>
      <c r="P220" s="1726"/>
    </row>
    <row r="221" spans="2:16" s="1855" customFormat="1" ht="5.25" customHeight="1">
      <c r="B221" s="1725"/>
      <c r="C221" s="1722"/>
      <c r="D221" s="1722"/>
      <c r="E221" s="1133"/>
      <c r="F221" s="1132"/>
      <c r="G221" s="1722"/>
      <c r="H221" s="1722"/>
      <c r="I221" s="1722"/>
      <c r="J221" s="1722"/>
      <c r="K221" s="1722"/>
      <c r="L221" s="1722"/>
      <c r="M221" s="1722"/>
      <c r="N221" s="1722"/>
      <c r="O221" s="1722"/>
      <c r="P221" s="1726"/>
    </row>
    <row r="222" spans="2:16" s="1855" customFormat="1" ht="14">
      <c r="B222" s="1725"/>
      <c r="C222" s="1874" t="s">
        <v>77</v>
      </c>
      <c r="D222" s="1874" t="s">
        <v>906</v>
      </c>
      <c r="E222" s="1875" t="s">
        <v>657</v>
      </c>
      <c r="F222" s="1876" t="s">
        <v>579</v>
      </c>
      <c r="G222" s="1876" t="s">
        <v>580</v>
      </c>
      <c r="H222" s="1876" t="s">
        <v>605</v>
      </c>
      <c r="I222" s="1876" t="s">
        <v>606</v>
      </c>
      <c r="J222" s="1876" t="s">
        <v>607</v>
      </c>
      <c r="K222" s="1876" t="s">
        <v>608</v>
      </c>
      <c r="L222" s="1876" t="s">
        <v>609</v>
      </c>
      <c r="M222" s="1876" t="s">
        <v>610</v>
      </c>
      <c r="N222" s="1876" t="s">
        <v>611</v>
      </c>
      <c r="O222" s="1876" t="s">
        <v>612</v>
      </c>
      <c r="P222" s="1726"/>
    </row>
    <row r="223" spans="2:16" s="1855" customFormat="1">
      <c r="B223" s="1725"/>
      <c r="C223" s="1871" t="s">
        <v>671</v>
      </c>
      <c r="D223" s="1770" t="s">
        <v>918</v>
      </c>
      <c r="E223" s="1872" t="s">
        <v>923</v>
      </c>
      <c r="F223" s="1389">
        <f>G223</f>
        <v>0.18129660073390799</v>
      </c>
      <c r="G223" s="1389">
        <f>0.181296600733908*(1/Unit.TWh)</f>
        <v>0.18129660073390799</v>
      </c>
      <c r="H223" s="1389">
        <f>0.0945292521903705*(1/Unit.TWh)</f>
        <v>9.4529252190370505E-2</v>
      </c>
      <c r="I223" s="1389">
        <f>0.0850375686331767*(1/Unit.TWh)</f>
        <v>8.5037568633176699E-2</v>
      </c>
      <c r="J223" s="1389">
        <f>0.094191138945187*(1/Unit.TWh)</f>
        <v>9.4191138945187006E-2</v>
      </c>
      <c r="K223" s="1389">
        <f>0.10328721110497*(1/Unit.TWh)</f>
        <v>0.10328721110496999</v>
      </c>
      <c r="L223" s="1389">
        <f>0.104417552656862*(1/Unit.TWh)</f>
        <v>0.10441755265686201</v>
      </c>
      <c r="M223" s="1389">
        <f>0.104417552656862*(1/Unit.TWh)</f>
        <v>0.10441755265686201</v>
      </c>
      <c r="N223" s="1389">
        <f>0.104417552656862*(1/Unit.TWh)</f>
        <v>0.10441755265686201</v>
      </c>
      <c r="O223" s="1389">
        <f>0.104417552656862*(1/Unit.TWh)</f>
        <v>0.10441755265686201</v>
      </c>
      <c r="P223" s="1726"/>
    </row>
    <row r="224" spans="2:16" s="1855" customFormat="1">
      <c r="B224" s="1725"/>
      <c r="C224" s="1871" t="s">
        <v>671</v>
      </c>
      <c r="D224" s="1769" t="s">
        <v>918</v>
      </c>
      <c r="E224" s="1769" t="s">
        <v>1116</v>
      </c>
      <c r="F224" s="1873">
        <f t="shared" ref="F224:F233" si="31">G224</f>
        <v>0.51208607987225496</v>
      </c>
      <c r="G224" s="1873">
        <f>0.512086079872255*(1/Unit.TWh)</f>
        <v>0.51208607987225496</v>
      </c>
      <c r="H224" s="1873">
        <f>0.0739200626000864*(1/Unit.TWh)</f>
        <v>7.3920062600086406E-2</v>
      </c>
      <c r="I224" s="1873">
        <f>0.0795676596126434*(1/Unit.TWh)</f>
        <v>7.9567659612643393E-2</v>
      </c>
      <c r="J224" s="1873">
        <f>0.0948271493238094*(1/Unit.TWh)</f>
        <v>9.4827149323809395E-2</v>
      </c>
      <c r="K224" s="1873">
        <f>0.105685788104865*(1/Unit.TWh)</f>
        <v>0.10568578810486499</v>
      </c>
      <c r="L224" s="1873">
        <f>0.1076037190493*(1/Unit.TWh)</f>
        <v>0.1076037190493</v>
      </c>
      <c r="M224" s="1873">
        <f>0.1076037190493*(1/Unit.TWh)</f>
        <v>0.1076037190493</v>
      </c>
      <c r="N224" s="1873">
        <f>0.1076037190493*(1/Unit.TWh)</f>
        <v>0.1076037190493</v>
      </c>
      <c r="O224" s="1873">
        <f>0.1076037190493*(1/Unit.TWh)</f>
        <v>0.1076037190493</v>
      </c>
      <c r="P224" s="1726"/>
    </row>
    <row r="225" spans="2:32" s="1855" customFormat="1">
      <c r="B225" s="1725"/>
      <c r="C225" s="1871" t="s">
        <v>671</v>
      </c>
      <c r="D225" s="1769" t="s">
        <v>918</v>
      </c>
      <c r="E225" s="1769" t="s">
        <v>924</v>
      </c>
      <c r="F225" s="1873">
        <f t="shared" si="31"/>
        <v>0</v>
      </c>
      <c r="G225" s="1873">
        <f t="shared" ref="G225:O226" si="32">0*(1/Unit.TWh)</f>
        <v>0</v>
      </c>
      <c r="H225" s="1873">
        <f t="shared" si="32"/>
        <v>0</v>
      </c>
      <c r="I225" s="1873">
        <f t="shared" si="32"/>
        <v>0</v>
      </c>
      <c r="J225" s="1873">
        <f t="shared" si="32"/>
        <v>0</v>
      </c>
      <c r="K225" s="1873">
        <f t="shared" si="32"/>
        <v>0</v>
      </c>
      <c r="L225" s="1873">
        <f t="shared" si="32"/>
        <v>0</v>
      </c>
      <c r="M225" s="1873">
        <f t="shared" si="32"/>
        <v>0</v>
      </c>
      <c r="N225" s="1873">
        <f t="shared" si="32"/>
        <v>0</v>
      </c>
      <c r="O225" s="1873">
        <f t="shared" si="32"/>
        <v>0</v>
      </c>
      <c r="P225" s="1726"/>
    </row>
    <row r="226" spans="2:32" s="1855" customFormat="1">
      <c r="B226" s="1725"/>
      <c r="C226" s="1871" t="s">
        <v>671</v>
      </c>
      <c r="D226" s="1769" t="s">
        <v>918</v>
      </c>
      <c r="E226" s="1769" t="s">
        <v>925</v>
      </c>
      <c r="F226" s="1873">
        <f t="shared" si="31"/>
        <v>0</v>
      </c>
      <c r="G226" s="1873">
        <f t="shared" si="32"/>
        <v>0</v>
      </c>
      <c r="H226" s="1873">
        <f t="shared" si="32"/>
        <v>0</v>
      </c>
      <c r="I226" s="1873">
        <f t="shared" si="32"/>
        <v>0</v>
      </c>
      <c r="J226" s="1873">
        <f t="shared" si="32"/>
        <v>0</v>
      </c>
      <c r="K226" s="1873">
        <f t="shared" si="32"/>
        <v>0</v>
      </c>
      <c r="L226" s="1873">
        <f t="shared" si="32"/>
        <v>0</v>
      </c>
      <c r="M226" s="1873">
        <f t="shared" si="32"/>
        <v>0</v>
      </c>
      <c r="N226" s="1873">
        <f t="shared" si="32"/>
        <v>0</v>
      </c>
      <c r="O226" s="1873">
        <f t="shared" si="32"/>
        <v>0</v>
      </c>
      <c r="P226" s="1726"/>
      <c r="S226" s="37"/>
      <c r="T226" s="37"/>
      <c r="U226" s="37"/>
      <c r="V226" s="37"/>
      <c r="W226" s="37"/>
      <c r="X226" s="37"/>
      <c r="Y226" s="37"/>
      <c r="Z226" s="37"/>
      <c r="AA226" s="37"/>
      <c r="AB226" s="37"/>
      <c r="AC226" s="37"/>
      <c r="AD226" s="37"/>
      <c r="AE226" s="37"/>
      <c r="AF226" s="37"/>
    </row>
    <row r="227" spans="2:32" s="1855" customFormat="1">
      <c r="B227" s="1725"/>
      <c r="C227" s="1871" t="s">
        <v>671</v>
      </c>
      <c r="D227" s="1769" t="s">
        <v>919</v>
      </c>
      <c r="E227" s="1769" t="s">
        <v>923</v>
      </c>
      <c r="F227" s="1873">
        <f t="shared" si="31"/>
        <v>6.2653084606308307E-2</v>
      </c>
      <c r="G227" s="1873">
        <f>0.0626530846063083*(1/Unit.TWh)</f>
        <v>6.2653084606308307E-2</v>
      </c>
      <c r="H227" s="1873">
        <f>0.02664553291965*(1/Unit.TWh)</f>
        <v>2.6645532919650002E-2</v>
      </c>
      <c r="I227" s="1873">
        <f>0.00855895278162065*(1/Unit.TWh)</f>
        <v>8.55895278162065E-3</v>
      </c>
      <c r="J227" s="1873">
        <f>0.00253299067775509*(1/Unit.TWh)</f>
        <v>2.5329906777550901E-3</v>
      </c>
      <c r="K227" s="1873">
        <f>0.00144201810245964*(1/Unit.TWh)</f>
        <v>1.4420181024596399E-3</v>
      </c>
      <c r="L227" s="1873">
        <f>0.00138284728854744*(1/Unit.TWh)</f>
        <v>1.38284728854744E-3</v>
      </c>
      <c r="M227" s="1873">
        <f>0.00138284728854744*(1/Unit.TWh)</f>
        <v>1.38284728854744E-3</v>
      </c>
      <c r="N227" s="1873">
        <f>0.00138284728854744*(1/Unit.TWh)</f>
        <v>1.38284728854744E-3</v>
      </c>
      <c r="O227" s="1873">
        <f>0.00138284728854744*(1/Unit.TWh)</f>
        <v>1.38284728854744E-3</v>
      </c>
      <c r="P227" s="1726"/>
      <c r="S227" s="37"/>
      <c r="T227" s="37"/>
      <c r="U227" s="37"/>
      <c r="V227" s="37"/>
      <c r="W227" s="37"/>
      <c r="X227" s="37"/>
      <c r="Y227" s="37"/>
      <c r="Z227" s="37"/>
      <c r="AA227" s="37"/>
      <c r="AB227" s="37"/>
      <c r="AC227" s="37"/>
      <c r="AD227" s="37"/>
      <c r="AE227" s="37"/>
      <c r="AF227" s="37"/>
    </row>
    <row r="228" spans="2:32" s="1855" customFormat="1">
      <c r="B228" s="1725"/>
      <c r="C228" s="1871" t="s">
        <v>671</v>
      </c>
      <c r="D228" s="1769" t="s">
        <v>919</v>
      </c>
      <c r="E228" s="1769" t="s">
        <v>1117</v>
      </c>
      <c r="F228" s="1873">
        <f t="shared" si="31"/>
        <v>7.5994981919464003E-3</v>
      </c>
      <c r="G228" s="1389">
        <f>0.0075994981919464*(1/Unit.TWh)</f>
        <v>7.5994981919464003E-3</v>
      </c>
      <c r="H228" s="1389">
        <f>0.0053889828787517*(1/Unit.TWh)</f>
        <v>5.3889828787517004E-3</v>
      </c>
      <c r="I228" s="1389">
        <f>0.00325356899833647*(1/Unit.TWh)</f>
        <v>3.25356899833647E-3</v>
      </c>
      <c r="J228" s="1389">
        <f>0.00230602269131357*(1/Unit.TWh)</f>
        <v>2.3060226913135702E-3</v>
      </c>
      <c r="K228" s="1389">
        <f>0.00206324453467557*(1/Unit.TWh)</f>
        <v>2.06324453467557E-3</v>
      </c>
      <c r="L228" s="1389">
        <f>0.00197860821101618*(1/Unit.TWh)</f>
        <v>1.97860821101618E-3</v>
      </c>
      <c r="M228" s="1389">
        <f>0.00197860821101618*(1/Unit.TWh)</f>
        <v>1.97860821101618E-3</v>
      </c>
      <c r="N228" s="1389">
        <f>0.00197860821101618*(1/Unit.TWh)</f>
        <v>1.97860821101618E-3</v>
      </c>
      <c r="O228" s="1389">
        <f>0.00197860821101618*(1/Unit.TWh)</f>
        <v>1.97860821101618E-3</v>
      </c>
      <c r="P228" s="1726"/>
      <c r="S228" s="37"/>
      <c r="T228" s="37"/>
      <c r="U228" s="37"/>
      <c r="V228" s="37"/>
      <c r="W228" s="37"/>
      <c r="X228" s="37"/>
      <c r="Y228" s="37"/>
      <c r="Z228" s="37"/>
      <c r="AA228" s="37"/>
      <c r="AB228" s="37"/>
      <c r="AC228" s="37"/>
      <c r="AD228" s="37"/>
      <c r="AE228" s="37"/>
      <c r="AF228" s="37"/>
    </row>
    <row r="229" spans="2:32" s="1855" customFormat="1">
      <c r="B229" s="1725"/>
      <c r="C229" s="1871" t="s">
        <v>671</v>
      </c>
      <c r="D229" s="1769" t="s">
        <v>919</v>
      </c>
      <c r="E229" s="1769" t="s">
        <v>924</v>
      </c>
      <c r="F229" s="1873">
        <f t="shared" si="31"/>
        <v>0</v>
      </c>
      <c r="G229" s="1389">
        <f t="shared" ref="G229:O230" si="33">0*(1/Unit.TWh)</f>
        <v>0</v>
      </c>
      <c r="H229" s="1389">
        <f t="shared" si="33"/>
        <v>0</v>
      </c>
      <c r="I229" s="1389">
        <f t="shared" si="33"/>
        <v>0</v>
      </c>
      <c r="J229" s="1389">
        <f t="shared" si="33"/>
        <v>0</v>
      </c>
      <c r="K229" s="1389">
        <f t="shared" si="33"/>
        <v>0</v>
      </c>
      <c r="L229" s="1389">
        <f t="shared" si="33"/>
        <v>0</v>
      </c>
      <c r="M229" s="1389">
        <f t="shared" si="33"/>
        <v>0</v>
      </c>
      <c r="N229" s="1389">
        <f t="shared" si="33"/>
        <v>0</v>
      </c>
      <c r="O229" s="1389">
        <f t="shared" si="33"/>
        <v>0</v>
      </c>
      <c r="P229" s="1726"/>
      <c r="S229" s="37"/>
      <c r="T229" s="37"/>
      <c r="U229" s="37"/>
      <c r="V229" s="37"/>
      <c r="W229" s="37"/>
      <c r="X229" s="37"/>
      <c r="Y229" s="37"/>
      <c r="Z229" s="37"/>
      <c r="AA229" s="37"/>
      <c r="AB229" s="37"/>
      <c r="AC229" s="37"/>
      <c r="AD229" s="37"/>
      <c r="AE229" s="37"/>
      <c r="AF229" s="37"/>
    </row>
    <row r="230" spans="2:32" s="1855" customFormat="1">
      <c r="B230" s="1725"/>
      <c r="C230" s="1871" t="s">
        <v>671</v>
      </c>
      <c r="D230" s="1769" t="s">
        <v>919</v>
      </c>
      <c r="E230" s="1769" t="s">
        <v>925</v>
      </c>
      <c r="F230" s="1873">
        <f t="shared" si="31"/>
        <v>0</v>
      </c>
      <c r="G230" s="1389">
        <f t="shared" si="33"/>
        <v>0</v>
      </c>
      <c r="H230" s="1389">
        <f t="shared" si="33"/>
        <v>0</v>
      </c>
      <c r="I230" s="1389">
        <f t="shared" si="33"/>
        <v>0</v>
      </c>
      <c r="J230" s="1389">
        <f t="shared" si="33"/>
        <v>0</v>
      </c>
      <c r="K230" s="1389">
        <f t="shared" si="33"/>
        <v>0</v>
      </c>
      <c r="L230" s="1389">
        <f t="shared" si="33"/>
        <v>0</v>
      </c>
      <c r="M230" s="1389">
        <f t="shared" si="33"/>
        <v>0</v>
      </c>
      <c r="N230" s="1389">
        <f t="shared" si="33"/>
        <v>0</v>
      </c>
      <c r="O230" s="1389">
        <f t="shared" si="33"/>
        <v>0</v>
      </c>
      <c r="P230" s="1726"/>
      <c r="S230" s="37"/>
      <c r="T230" s="37"/>
      <c r="U230" s="37"/>
      <c r="V230" s="37"/>
      <c r="W230" s="37"/>
      <c r="X230" s="37"/>
      <c r="Y230" s="37"/>
      <c r="Z230" s="37"/>
      <c r="AA230" s="37"/>
      <c r="AB230" s="37"/>
      <c r="AC230" s="37"/>
      <c r="AD230" s="37"/>
      <c r="AE230" s="37"/>
      <c r="AF230" s="37"/>
    </row>
    <row r="231" spans="2:32" s="1855" customFormat="1">
      <c r="B231" s="1725"/>
      <c r="C231" s="1871" t="s">
        <v>671</v>
      </c>
      <c r="D231" s="1769" t="s">
        <v>921</v>
      </c>
      <c r="E231" s="1769" t="s">
        <v>962</v>
      </c>
      <c r="F231" s="1873">
        <f t="shared" si="31"/>
        <v>0.76656391449011796</v>
      </c>
      <c r="G231" s="1389">
        <f>0.766563914490118*(1/Unit.TWh)</f>
        <v>0.76656391449011796</v>
      </c>
      <c r="H231" s="1389">
        <f>0.6719146787679*(1/Unit.TWh)</f>
        <v>0.67191467876790001</v>
      </c>
      <c r="I231" s="1389">
        <f>0.570751027801786*(1/Unit.TWh)</f>
        <v>0.57075102780178599</v>
      </c>
      <c r="J231" s="1389">
        <f>0.469587376835671*(1/Unit.TWh)</f>
        <v>0.46958737683567098</v>
      </c>
      <c r="K231" s="1389">
        <f>0.368423725869557*(1/Unit.TWh)</f>
        <v>0.36842372586955702</v>
      </c>
      <c r="L231" s="1389">
        <f>0.267260074903443*(1/Unit.TWh)</f>
        <v>0.267260074903443</v>
      </c>
      <c r="M231" s="1389">
        <f>0.22432517854802*(1/Unit.TWh)</f>
        <v>0.22432517854802</v>
      </c>
      <c r="N231" s="1389">
        <f>0.217810763304124*(1/Unit.TWh)</f>
        <v>0.21781076330412399</v>
      </c>
      <c r="O231" s="1389">
        <f>0.217810763304124*(1/Unit.TWh)</f>
        <v>0.21781076330412399</v>
      </c>
      <c r="P231" s="1726"/>
      <c r="S231" s="37"/>
      <c r="T231" s="37"/>
      <c r="U231" s="37"/>
      <c r="V231" s="37"/>
      <c r="W231" s="37"/>
      <c r="X231" s="37"/>
      <c r="Y231" s="37"/>
      <c r="Z231" s="37"/>
      <c r="AA231" s="37"/>
      <c r="AB231" s="37"/>
      <c r="AC231" s="37"/>
      <c r="AD231" s="37"/>
      <c r="AE231" s="37"/>
      <c r="AF231" s="37"/>
    </row>
    <row r="232" spans="2:32" s="1855" customFormat="1">
      <c r="B232" s="1725"/>
      <c r="C232" s="1871" t="s">
        <v>671</v>
      </c>
      <c r="D232" s="1769" t="s">
        <v>921</v>
      </c>
      <c r="E232" s="1769" t="s">
        <v>963</v>
      </c>
      <c r="F232" s="1873">
        <f t="shared" si="31"/>
        <v>0</v>
      </c>
      <c r="G232" s="1389">
        <f t="shared" ref="G232:O232" si="34">0*(1/Unit.TWh)</f>
        <v>0</v>
      </c>
      <c r="H232" s="1389">
        <f t="shared" si="34"/>
        <v>0</v>
      </c>
      <c r="I232" s="1389">
        <f t="shared" si="34"/>
        <v>0</v>
      </c>
      <c r="J232" s="1389">
        <f t="shared" si="34"/>
        <v>0</v>
      </c>
      <c r="K232" s="1389">
        <f t="shared" si="34"/>
        <v>0</v>
      </c>
      <c r="L232" s="1389">
        <f t="shared" si="34"/>
        <v>0</v>
      </c>
      <c r="M232" s="1389">
        <f t="shared" si="34"/>
        <v>0</v>
      </c>
      <c r="N232" s="1389">
        <f t="shared" si="34"/>
        <v>0</v>
      </c>
      <c r="O232" s="1389">
        <f t="shared" si="34"/>
        <v>0</v>
      </c>
      <c r="P232" s="1726"/>
      <c r="S232" s="1935"/>
      <c r="T232" s="37"/>
      <c r="U232" s="37"/>
      <c r="V232" s="37"/>
      <c r="W232" s="37"/>
      <c r="X232" s="37"/>
      <c r="Y232" s="37"/>
      <c r="Z232" s="37"/>
      <c r="AA232" s="37"/>
      <c r="AB232" s="37"/>
      <c r="AC232" s="37"/>
      <c r="AD232" s="37"/>
      <c r="AE232" s="37"/>
      <c r="AF232" s="37"/>
    </row>
    <row r="233" spans="2:32" s="1855" customFormat="1">
      <c r="B233" s="1725"/>
      <c r="C233" s="1871" t="s">
        <v>671</v>
      </c>
      <c r="D233" s="1769" t="s">
        <v>922</v>
      </c>
      <c r="E233" s="1769" t="s">
        <v>922</v>
      </c>
      <c r="F233" s="1873">
        <f t="shared" si="31"/>
        <v>0.24131447934962599</v>
      </c>
      <c r="G233" s="1389">
        <f t="shared" ref="G233:O233" si="35">0.241314479349626*(1/Unit.TWh)</f>
        <v>0.24131447934962599</v>
      </c>
      <c r="H233" s="1389">
        <f t="shared" si="35"/>
        <v>0.24131447934962599</v>
      </c>
      <c r="I233" s="1389">
        <f t="shared" si="35"/>
        <v>0.24131447934962599</v>
      </c>
      <c r="J233" s="1389">
        <f t="shared" si="35"/>
        <v>0.24131447934962599</v>
      </c>
      <c r="K233" s="1389">
        <f t="shared" si="35"/>
        <v>0.24131447934962599</v>
      </c>
      <c r="L233" s="1389">
        <f t="shared" si="35"/>
        <v>0.24131447934962599</v>
      </c>
      <c r="M233" s="1389">
        <f t="shared" si="35"/>
        <v>0.24131447934962599</v>
      </c>
      <c r="N233" s="1389">
        <f t="shared" si="35"/>
        <v>0.24131447934962599</v>
      </c>
      <c r="O233" s="1389">
        <f t="shared" si="35"/>
        <v>0.24131447934962599</v>
      </c>
      <c r="P233" s="1726"/>
      <c r="S233" s="37"/>
      <c r="T233" s="37"/>
      <c r="U233" s="37"/>
      <c r="V233" s="37"/>
      <c r="W233" s="37"/>
      <c r="X233" s="37"/>
      <c r="Y233" s="37"/>
      <c r="Z233" s="37"/>
      <c r="AA233" s="37"/>
      <c r="AB233" s="37"/>
      <c r="AC233" s="37"/>
      <c r="AD233" s="37"/>
      <c r="AE233" s="37"/>
      <c r="AF233" s="37"/>
    </row>
    <row r="234" spans="2:32" s="1855" customFormat="1" ht="14">
      <c r="B234" s="1725"/>
      <c r="C234" s="1871"/>
      <c r="D234" s="1769"/>
      <c r="E234" s="1769"/>
      <c r="F234" s="1873"/>
      <c r="G234" s="1389"/>
      <c r="H234" s="1389"/>
      <c r="I234" s="1389"/>
      <c r="J234" s="1389"/>
      <c r="K234" s="1389"/>
      <c r="L234" s="1389"/>
      <c r="M234" s="1389"/>
      <c r="N234" s="1389"/>
      <c r="O234" s="1389"/>
      <c r="P234" s="1726"/>
      <c r="S234" s="1995"/>
      <c r="T234" s="1995"/>
      <c r="U234" s="1995"/>
      <c r="V234" s="1996"/>
      <c r="W234" s="1996"/>
      <c r="X234" s="1996"/>
      <c r="Y234" s="1996"/>
      <c r="Z234" s="1996"/>
      <c r="AA234" s="1996"/>
      <c r="AB234" s="1996"/>
      <c r="AC234" s="1996"/>
      <c r="AD234" s="1996"/>
      <c r="AE234" s="1996"/>
      <c r="AF234" s="37"/>
    </row>
    <row r="235" spans="2:32" s="1990" customFormat="1">
      <c r="B235" s="1725"/>
      <c r="C235" s="1723" t="s">
        <v>1820</v>
      </c>
      <c r="D235" s="1722"/>
      <c r="E235" s="1722"/>
      <c r="F235" s="1722"/>
      <c r="G235" s="1722"/>
      <c r="H235" s="1722"/>
      <c r="I235" s="1722"/>
      <c r="J235" s="1722"/>
      <c r="K235" s="1722"/>
      <c r="L235" s="1722"/>
      <c r="M235" s="1722"/>
      <c r="N235" s="1722"/>
      <c r="O235" s="1722" t="s">
        <v>1821</v>
      </c>
      <c r="P235" s="1726"/>
      <c r="S235" s="1997"/>
      <c r="T235" s="1951"/>
      <c r="U235" s="1951"/>
      <c r="V235" s="1994"/>
      <c r="W235" s="1994"/>
      <c r="X235" s="1994"/>
      <c r="Y235" s="1994"/>
      <c r="Z235" s="1994"/>
      <c r="AA235" s="1994"/>
      <c r="AB235" s="1994"/>
      <c r="AC235" s="1994"/>
      <c r="AD235" s="1994"/>
      <c r="AE235" s="1994"/>
      <c r="AF235" s="37"/>
    </row>
    <row r="236" spans="2:32" s="1990" customFormat="1" ht="7.5" customHeight="1">
      <c r="B236" s="1725"/>
      <c r="C236" s="1722"/>
      <c r="D236" s="1722"/>
      <c r="E236" s="1133"/>
      <c r="F236" s="1132"/>
      <c r="G236" s="1722"/>
      <c r="H236" s="1722"/>
      <c r="I236" s="1722"/>
      <c r="J236" s="1722"/>
      <c r="K236" s="1722"/>
      <c r="L236" s="1722"/>
      <c r="M236" s="1722"/>
      <c r="N236" s="1722"/>
      <c r="O236" s="1722"/>
      <c r="P236" s="1726"/>
      <c r="S236" s="37"/>
      <c r="T236" s="37"/>
      <c r="U236" s="37"/>
      <c r="V236" s="37"/>
      <c r="W236" s="37"/>
      <c r="X236" s="37"/>
      <c r="Y236" s="37"/>
      <c r="Z236" s="37"/>
      <c r="AA236" s="37"/>
      <c r="AB236" s="37"/>
      <c r="AC236" s="37"/>
      <c r="AD236" s="37"/>
      <c r="AE236" s="37"/>
      <c r="AF236" s="37"/>
    </row>
    <row r="237" spans="2:32" s="1990" customFormat="1" ht="14">
      <c r="B237" s="1725"/>
      <c r="C237" s="1930" t="s">
        <v>77</v>
      </c>
      <c r="D237" s="1930" t="s">
        <v>906</v>
      </c>
      <c r="E237" s="1869" t="s">
        <v>657</v>
      </c>
      <c r="F237" s="1931" t="s">
        <v>579</v>
      </c>
      <c r="G237" s="1931" t="s">
        <v>580</v>
      </c>
      <c r="H237" s="1931" t="s">
        <v>605</v>
      </c>
      <c r="I237" s="1931" t="s">
        <v>606</v>
      </c>
      <c r="J237" s="1931" t="s">
        <v>607</v>
      </c>
      <c r="K237" s="1931" t="s">
        <v>608</v>
      </c>
      <c r="L237" s="1931" t="s">
        <v>609</v>
      </c>
      <c r="M237" s="1931" t="s">
        <v>610</v>
      </c>
      <c r="N237" s="1931" t="s">
        <v>611</v>
      </c>
      <c r="O237" s="1870" t="s">
        <v>612</v>
      </c>
      <c r="P237" s="1726"/>
      <c r="S237" s="37"/>
      <c r="T237" s="37"/>
      <c r="U237" s="37"/>
      <c r="V237" s="37"/>
      <c r="W237" s="37"/>
      <c r="X237" s="37"/>
      <c r="Y237" s="37"/>
      <c r="Z237" s="37"/>
      <c r="AA237" s="37"/>
      <c r="AB237" s="37"/>
      <c r="AC237" s="37"/>
      <c r="AD237" s="37"/>
      <c r="AE237" s="37"/>
      <c r="AF237" s="37"/>
    </row>
    <row r="238" spans="2:32" s="1990" customFormat="1">
      <c r="B238" s="1725"/>
      <c r="C238" s="1932" t="s">
        <v>671</v>
      </c>
      <c r="D238" s="2045" t="s">
        <v>922</v>
      </c>
      <c r="E238" s="2045" t="s">
        <v>922</v>
      </c>
      <c r="F238" s="2046">
        <f>G238</f>
        <v>0.27388000000000001</v>
      </c>
      <c r="G238" s="2046">
        <v>0.27388000000000001</v>
      </c>
      <c r="H238" s="2046">
        <f>G238</f>
        <v>0.27388000000000001</v>
      </c>
      <c r="I238" s="2046">
        <f t="shared" ref="I238:O238" si="36">H238</f>
        <v>0.27388000000000001</v>
      </c>
      <c r="J238" s="2046">
        <f t="shared" si="36"/>
        <v>0.27388000000000001</v>
      </c>
      <c r="K238" s="2046">
        <f t="shared" si="36"/>
        <v>0.27388000000000001</v>
      </c>
      <c r="L238" s="2046">
        <f t="shared" si="36"/>
        <v>0.27388000000000001</v>
      </c>
      <c r="M238" s="2046">
        <f t="shared" si="36"/>
        <v>0.27388000000000001</v>
      </c>
      <c r="N238" s="2046">
        <f t="shared" si="36"/>
        <v>0.27388000000000001</v>
      </c>
      <c r="O238" s="2046">
        <f t="shared" si="36"/>
        <v>0.27388000000000001</v>
      </c>
      <c r="P238" s="1726"/>
      <c r="S238" s="37"/>
      <c r="T238" s="37"/>
      <c r="U238" s="37"/>
      <c r="V238" s="37"/>
      <c r="W238" s="37"/>
      <c r="X238" s="37"/>
      <c r="Y238" s="37"/>
      <c r="Z238" s="37"/>
      <c r="AA238" s="37"/>
      <c r="AB238" s="37"/>
      <c r="AC238" s="37"/>
      <c r="AD238" s="37"/>
      <c r="AE238" s="37"/>
      <c r="AF238" s="37"/>
    </row>
    <row r="239" spans="2:32" s="1990" customFormat="1">
      <c r="B239" s="1725"/>
      <c r="C239" s="1871"/>
      <c r="D239" s="1769"/>
      <c r="E239" s="1769"/>
      <c r="F239" s="1873"/>
      <c r="G239" s="1389"/>
      <c r="H239" s="1389"/>
      <c r="I239" s="1389"/>
      <c r="J239" s="1389"/>
      <c r="K239" s="1389"/>
      <c r="L239" s="1389"/>
      <c r="M239" s="1389"/>
      <c r="N239" s="1389"/>
      <c r="O239" s="1389"/>
      <c r="P239" s="1726"/>
      <c r="S239" s="37"/>
      <c r="T239" s="37"/>
      <c r="U239" s="37"/>
      <c r="V239" s="37"/>
      <c r="W239" s="37"/>
      <c r="X239" s="37"/>
      <c r="Y239" s="37"/>
      <c r="Z239" s="37"/>
      <c r="AA239" s="37"/>
      <c r="AB239" s="37"/>
      <c r="AC239" s="37"/>
      <c r="AD239" s="37"/>
      <c r="AE239" s="37"/>
      <c r="AF239" s="37"/>
    </row>
    <row r="240" spans="2:32" s="1990" customFormat="1">
      <c r="B240" s="1725"/>
      <c r="C240" s="1871"/>
      <c r="D240" s="1769"/>
      <c r="E240" s="1769"/>
      <c r="F240" s="1873"/>
      <c r="G240" s="1389"/>
      <c r="H240" s="1389"/>
      <c r="I240" s="1389"/>
      <c r="J240" s="1389"/>
      <c r="K240" s="1389"/>
      <c r="L240" s="1389"/>
      <c r="M240" s="1389"/>
      <c r="N240" s="1389"/>
      <c r="O240" s="1389"/>
      <c r="P240" s="1726"/>
      <c r="S240" s="37"/>
      <c r="T240" s="37"/>
      <c r="U240" s="37"/>
      <c r="V240" s="37"/>
      <c r="W240" s="37"/>
      <c r="X240" s="37"/>
      <c r="Y240" s="37"/>
      <c r="Z240" s="37"/>
      <c r="AA240" s="37"/>
      <c r="AB240" s="37"/>
      <c r="AC240" s="37"/>
      <c r="AD240" s="37"/>
      <c r="AE240" s="37"/>
      <c r="AF240" s="37"/>
    </row>
    <row r="241" spans="2:32" s="525" customFormat="1" ht="15">
      <c r="B241" s="1058"/>
      <c r="C241" s="567" t="s">
        <v>604</v>
      </c>
      <c r="D241" s="744"/>
      <c r="E241" s="568"/>
      <c r="F241" s="1055"/>
      <c r="G241" s="1056"/>
      <c r="H241" s="1056"/>
      <c r="I241" s="1056"/>
      <c r="J241" s="1056"/>
      <c r="K241" s="615"/>
      <c r="L241" s="615"/>
      <c r="M241" s="615"/>
      <c r="N241" s="615"/>
      <c r="O241" s="615"/>
      <c r="P241" s="842"/>
      <c r="S241" s="1998"/>
      <c r="T241" s="1758"/>
      <c r="U241" s="1758"/>
      <c r="V241" s="1758"/>
      <c r="W241" s="1758"/>
      <c r="X241" s="1758"/>
      <c r="Y241" s="1758"/>
      <c r="Z241" s="1758"/>
      <c r="AA241" s="1758"/>
      <c r="AB241" s="1758"/>
      <c r="AC241" s="1758"/>
      <c r="AD241" s="1758"/>
      <c r="AE241" s="1758"/>
      <c r="AF241" s="1758"/>
    </row>
    <row r="242" spans="2:32" s="525" customFormat="1" ht="15">
      <c r="B242" s="1058"/>
      <c r="C242" s="626" t="s">
        <v>102</v>
      </c>
      <c r="D242" s="568" t="s">
        <v>1127</v>
      </c>
      <c r="E242" s="568"/>
      <c r="F242" s="1055"/>
      <c r="G242" s="1056"/>
      <c r="H242" s="1056"/>
      <c r="I242" s="1056"/>
      <c r="J242" s="1056"/>
      <c r="K242" s="615"/>
      <c r="L242" s="615"/>
      <c r="M242" s="615"/>
      <c r="N242" s="615"/>
      <c r="O242" s="615"/>
      <c r="P242" s="842"/>
    </row>
    <row r="243" spans="2:32" s="525" customFormat="1" ht="15">
      <c r="B243" s="1058"/>
      <c r="C243" s="626"/>
      <c r="D243" s="568" t="s">
        <v>964</v>
      </c>
      <c r="E243" s="568"/>
      <c r="F243" s="1055"/>
      <c r="G243" s="1056"/>
      <c r="H243" s="1056"/>
      <c r="I243" s="1056"/>
      <c r="J243" s="1056"/>
      <c r="K243" s="615"/>
      <c r="L243" s="615"/>
      <c r="M243" s="615"/>
      <c r="N243" s="615"/>
      <c r="O243" s="615"/>
      <c r="P243" s="842"/>
      <c r="S243" s="1066"/>
      <c r="T243" s="1066"/>
      <c r="V243" s="1066"/>
      <c r="W243" s="1066"/>
      <c r="X243" s="1121"/>
    </row>
    <row r="244" spans="2:32" s="525" customFormat="1" ht="15">
      <c r="B244" s="1058"/>
      <c r="C244" s="626" t="s">
        <v>420</v>
      </c>
      <c r="D244" s="568" t="s">
        <v>1126</v>
      </c>
      <c r="E244" s="568"/>
      <c r="F244" s="1055"/>
      <c r="G244" s="1056"/>
      <c r="H244" s="1056"/>
      <c r="I244" s="1056"/>
      <c r="J244" s="1056"/>
      <c r="K244" s="615"/>
      <c r="L244" s="615"/>
      <c r="M244" s="615"/>
      <c r="N244" s="615"/>
      <c r="O244" s="615"/>
      <c r="P244" s="842"/>
      <c r="S244" s="1066"/>
      <c r="T244" s="1066"/>
      <c r="V244" s="1066"/>
      <c r="W244" s="1066"/>
      <c r="X244" s="1121"/>
    </row>
    <row r="245" spans="2:32" s="525" customFormat="1" ht="15">
      <c r="B245" s="1058"/>
      <c r="C245" s="626" t="s">
        <v>108</v>
      </c>
      <c r="D245" s="568" t="s">
        <v>975</v>
      </c>
      <c r="E245" s="568"/>
      <c r="F245" s="1055"/>
      <c r="G245" s="1056"/>
      <c r="H245" s="1056"/>
      <c r="I245" s="1056"/>
      <c r="J245" s="1056"/>
      <c r="K245" s="615"/>
      <c r="L245" s="615"/>
      <c r="M245" s="615"/>
      <c r="N245" s="615"/>
      <c r="O245" s="615"/>
      <c r="P245" s="842"/>
      <c r="S245" s="1066"/>
      <c r="T245" s="1066"/>
      <c r="V245" s="1066"/>
      <c r="W245" s="1066"/>
      <c r="X245" s="1121"/>
    </row>
    <row r="246" spans="2:32" s="525" customFormat="1" ht="15">
      <c r="B246" s="1058"/>
      <c r="C246" s="626"/>
      <c r="D246" s="568" t="s">
        <v>1006</v>
      </c>
      <c r="E246" s="568"/>
      <c r="F246" s="1055"/>
      <c r="G246" s="1056"/>
      <c r="H246" s="1056"/>
      <c r="I246" s="1056"/>
      <c r="J246" s="1056"/>
      <c r="K246" s="615"/>
      <c r="L246" s="615"/>
      <c r="M246" s="615"/>
      <c r="N246" s="615"/>
      <c r="O246" s="615"/>
      <c r="P246" s="842"/>
      <c r="S246" s="1066"/>
      <c r="T246" s="1066"/>
      <c r="V246" s="1066"/>
      <c r="W246" s="1066"/>
      <c r="X246" s="1121"/>
    </row>
    <row r="247" spans="2:32" s="1717" customFormat="1" ht="15">
      <c r="B247" s="1058"/>
      <c r="C247" s="626"/>
      <c r="D247" s="1721"/>
      <c r="E247" s="1721"/>
      <c r="F247" s="1055"/>
      <c r="G247" s="1056"/>
      <c r="H247" s="1056"/>
      <c r="I247" s="1056"/>
      <c r="J247" s="1056"/>
      <c r="K247" s="615"/>
      <c r="L247" s="615"/>
      <c r="M247" s="615"/>
      <c r="N247" s="615"/>
      <c r="O247" s="615"/>
      <c r="P247" s="842"/>
      <c r="S247" s="1066"/>
      <c r="T247" s="1066"/>
      <c r="V247" s="1066"/>
      <c r="W247" s="1066"/>
      <c r="X247" s="1121"/>
    </row>
    <row r="248" spans="2:32" s="1717" customFormat="1" ht="15">
      <c r="B248" s="1058"/>
      <c r="C248" s="1586" t="s">
        <v>1596</v>
      </c>
      <c r="D248" s="1942"/>
      <c r="E248" s="1942"/>
      <c r="F248" s="1055"/>
      <c r="G248" s="1056"/>
      <c r="H248" s="1056"/>
      <c r="I248" s="1056"/>
      <c r="J248" s="1056"/>
      <c r="K248" s="615"/>
      <c r="L248" s="615"/>
      <c r="M248" s="615"/>
      <c r="N248" s="615"/>
      <c r="O248" s="615"/>
      <c r="P248" s="842"/>
      <c r="S248" s="1066"/>
      <c r="T248" s="1066"/>
      <c r="V248" s="1066"/>
      <c r="W248" s="1066"/>
      <c r="X248" s="1121"/>
    </row>
    <row r="249" spans="2:32" s="1717" customFormat="1">
      <c r="B249" s="841"/>
      <c r="C249" s="591"/>
      <c r="D249" s="1722"/>
      <c r="E249" s="841"/>
      <c r="F249" s="1055"/>
      <c r="G249" s="591"/>
      <c r="H249" s="1056"/>
      <c r="I249" s="1056"/>
      <c r="J249" s="1056"/>
      <c r="K249" s="615"/>
      <c r="L249" s="615"/>
      <c r="M249" s="615"/>
      <c r="N249" s="615"/>
      <c r="O249" s="615"/>
      <c r="P249" s="842"/>
      <c r="S249" s="1066"/>
      <c r="T249" s="1066"/>
      <c r="V249" s="1066"/>
      <c r="W249" s="1066"/>
      <c r="X249" s="1121"/>
    </row>
    <row r="250" spans="2:32" s="1717" customFormat="1" ht="15">
      <c r="B250" s="1058"/>
      <c r="C250" s="1946" t="s">
        <v>906</v>
      </c>
      <c r="D250" s="1946" t="s">
        <v>657</v>
      </c>
      <c r="E250" s="2091" t="s">
        <v>1598</v>
      </c>
      <c r="F250" s="1055"/>
      <c r="G250" s="841"/>
      <c r="H250" s="1056"/>
      <c r="I250" s="1056"/>
      <c r="J250" s="1056"/>
      <c r="K250" s="615"/>
      <c r="L250" s="615"/>
      <c r="M250" s="615"/>
      <c r="N250" s="615"/>
      <c r="O250" s="615"/>
      <c r="P250" s="842"/>
      <c r="S250" s="1066"/>
      <c r="T250" s="1066"/>
      <c r="V250" s="1066"/>
      <c r="W250" s="1066"/>
      <c r="X250" s="1121"/>
    </row>
    <row r="251" spans="2:32" s="1717" customFormat="1" ht="15">
      <c r="B251" s="1058"/>
      <c r="C251" s="1947" t="s">
        <v>920</v>
      </c>
      <c r="D251" s="1960" t="s">
        <v>920</v>
      </c>
      <c r="E251" s="2092">
        <v>7</v>
      </c>
      <c r="F251" s="1055"/>
      <c r="G251" s="841"/>
      <c r="H251" s="1056"/>
      <c r="I251" s="1056"/>
      <c r="J251" s="1056"/>
      <c r="K251" s="615"/>
      <c r="L251" s="615"/>
      <c r="M251" s="615"/>
      <c r="N251" s="615"/>
      <c r="O251" s="615"/>
      <c r="P251" s="842"/>
      <c r="S251" s="1066"/>
      <c r="T251" s="1066"/>
      <c r="V251" s="1066"/>
      <c r="W251" s="1066"/>
      <c r="X251" s="1121"/>
    </row>
    <row r="252" spans="2:32" s="1717" customFormat="1" ht="15">
      <c r="B252" s="1058"/>
      <c r="C252" s="1721" t="s">
        <v>918</v>
      </c>
      <c r="D252" s="1812" t="s">
        <v>923</v>
      </c>
      <c r="E252" s="1591">
        <v>12</v>
      </c>
      <c r="F252" s="1055"/>
      <c r="G252" s="841"/>
      <c r="H252" s="1056"/>
      <c r="I252" s="1056"/>
      <c r="J252" s="1056"/>
      <c r="K252" s="615"/>
      <c r="L252" s="615"/>
      <c r="M252" s="615"/>
      <c r="N252" s="615"/>
      <c r="O252" s="615"/>
      <c r="P252" s="842"/>
      <c r="S252" s="1066"/>
      <c r="T252" s="1066"/>
      <c r="V252" s="1066"/>
      <c r="W252" s="1066"/>
      <c r="X252" s="1121"/>
    </row>
    <row r="253" spans="2:32" s="1717" customFormat="1" ht="15">
      <c r="B253" s="1058"/>
      <c r="C253" s="1721" t="s">
        <v>918</v>
      </c>
      <c r="D253" s="1812" t="s">
        <v>1116</v>
      </c>
      <c r="E253" s="603">
        <v>12</v>
      </c>
      <c r="F253" s="1055"/>
      <c r="G253" s="841"/>
      <c r="H253" s="1056"/>
      <c r="I253" s="1056"/>
      <c r="J253" s="1056"/>
      <c r="K253" s="615"/>
      <c r="L253" s="615"/>
      <c r="M253" s="615"/>
      <c r="N253" s="615"/>
      <c r="O253" s="615"/>
      <c r="P253" s="842"/>
      <c r="S253" s="1066"/>
      <c r="T253" s="1066"/>
      <c r="V253" s="1066"/>
      <c r="W253" s="1066"/>
      <c r="X253" s="1121"/>
    </row>
    <row r="254" spans="2:32" s="1717" customFormat="1" ht="15">
      <c r="B254" s="1058"/>
      <c r="C254" s="1721" t="s">
        <v>918</v>
      </c>
      <c r="D254" s="1812" t="s">
        <v>924</v>
      </c>
      <c r="E254" s="603">
        <v>12</v>
      </c>
      <c r="F254" s="1055"/>
      <c r="G254" s="841"/>
      <c r="H254" s="1056"/>
      <c r="I254" s="1056"/>
      <c r="J254" s="1056"/>
      <c r="K254" s="615"/>
      <c r="L254" s="615"/>
      <c r="M254" s="615"/>
      <c r="N254" s="615"/>
      <c r="O254" s="615"/>
      <c r="P254" s="842"/>
      <c r="S254" s="1066"/>
      <c r="T254" s="1066"/>
      <c r="V254" s="1066"/>
      <c r="W254" s="1066"/>
      <c r="X254" s="1121"/>
    </row>
    <row r="255" spans="2:32" s="1717" customFormat="1" ht="15">
      <c r="B255" s="1058"/>
      <c r="C255" s="599" t="s">
        <v>918</v>
      </c>
      <c r="D255" s="1956" t="s">
        <v>925</v>
      </c>
      <c r="E255" s="1128">
        <v>12</v>
      </c>
      <c r="F255" s="1055"/>
      <c r="G255" s="841"/>
      <c r="H255" s="1056"/>
      <c r="I255" s="1056"/>
      <c r="J255" s="1056"/>
      <c r="K255" s="615"/>
      <c r="L255" s="615"/>
      <c r="M255" s="615"/>
      <c r="N255" s="615"/>
      <c r="O255" s="615"/>
      <c r="P255" s="842"/>
      <c r="S255" s="1066"/>
      <c r="T255" s="1066"/>
      <c r="V255" s="1066"/>
      <c r="W255" s="1066"/>
      <c r="X255" s="1121"/>
    </row>
    <row r="256" spans="2:32" s="1717" customFormat="1" ht="15">
      <c r="B256" s="1058"/>
      <c r="C256" s="1477" t="s">
        <v>919</v>
      </c>
      <c r="D256" s="1958" t="s">
        <v>923</v>
      </c>
      <c r="E256" s="1591">
        <v>15</v>
      </c>
      <c r="F256" s="1055"/>
      <c r="G256" s="841"/>
      <c r="H256" s="1056"/>
      <c r="I256" s="1056"/>
      <c r="J256" s="1056"/>
      <c r="K256" s="615"/>
      <c r="L256" s="615"/>
      <c r="M256" s="615"/>
      <c r="N256" s="615"/>
      <c r="O256" s="615"/>
      <c r="P256" s="842"/>
      <c r="S256" s="1066"/>
      <c r="T256" s="1066"/>
      <c r="V256" s="1066"/>
      <c r="W256" s="1066"/>
      <c r="X256" s="1121"/>
    </row>
    <row r="257" spans="1:24" s="1717" customFormat="1" ht="15">
      <c r="B257" s="1058"/>
      <c r="C257" s="1721" t="s">
        <v>919</v>
      </c>
      <c r="D257" s="1812" t="s">
        <v>1117</v>
      </c>
      <c r="E257" s="603">
        <v>15</v>
      </c>
      <c r="F257" s="1055"/>
      <c r="G257" s="841"/>
      <c r="H257" s="1056"/>
      <c r="I257" s="1056"/>
      <c r="J257" s="1056"/>
      <c r="K257" s="615"/>
      <c r="L257" s="615"/>
      <c r="M257" s="615"/>
      <c r="N257" s="615"/>
      <c r="O257" s="615"/>
      <c r="P257" s="842"/>
      <c r="S257" s="1066"/>
      <c r="T257" s="1066"/>
      <c r="V257" s="1066"/>
      <c r="W257" s="1066"/>
      <c r="X257" s="1121"/>
    </row>
    <row r="258" spans="1:24" s="1717" customFormat="1" ht="15">
      <c r="B258" s="1058"/>
      <c r="C258" s="1721" t="s">
        <v>919</v>
      </c>
      <c r="D258" s="1812" t="s">
        <v>924</v>
      </c>
      <c r="E258" s="603">
        <v>15</v>
      </c>
      <c r="F258" s="1055"/>
      <c r="G258" s="841"/>
      <c r="H258" s="1056"/>
      <c r="I258" s="1056"/>
      <c r="J258" s="1056"/>
      <c r="K258" s="615"/>
      <c r="L258" s="615"/>
      <c r="M258" s="615"/>
      <c r="N258" s="615"/>
      <c r="O258" s="615"/>
      <c r="P258" s="842"/>
      <c r="S258" s="1066"/>
      <c r="T258" s="1066"/>
      <c r="V258" s="1066"/>
      <c r="W258" s="1066"/>
      <c r="X258" s="1121"/>
    </row>
    <row r="259" spans="1:24" s="1717" customFormat="1" ht="15">
      <c r="B259" s="1058"/>
      <c r="C259" s="599" t="s">
        <v>919</v>
      </c>
      <c r="D259" s="1956" t="s">
        <v>925</v>
      </c>
      <c r="E259" s="1128">
        <v>15</v>
      </c>
      <c r="F259" s="1055"/>
      <c r="G259" s="841"/>
      <c r="H259" s="1056"/>
      <c r="I259" s="1056"/>
      <c r="J259" s="1056"/>
      <c r="K259" s="615"/>
      <c r="L259" s="615"/>
      <c r="M259" s="615"/>
      <c r="N259" s="615"/>
      <c r="O259" s="615"/>
      <c r="P259" s="842"/>
      <c r="S259" s="1066"/>
      <c r="T259" s="1066"/>
      <c r="V259" s="1066"/>
      <c r="W259" s="1066"/>
      <c r="X259" s="1121"/>
    </row>
    <row r="260" spans="1:24" s="1717" customFormat="1" ht="15">
      <c r="B260" s="1058"/>
      <c r="C260" s="1477" t="s">
        <v>921</v>
      </c>
      <c r="D260" s="1958" t="s">
        <v>962</v>
      </c>
      <c r="E260" s="1591">
        <v>40</v>
      </c>
      <c r="F260" s="1055"/>
      <c r="G260" s="841"/>
      <c r="H260" s="1056"/>
      <c r="I260" s="1056"/>
      <c r="J260" s="1056"/>
      <c r="K260" s="615"/>
      <c r="L260" s="615"/>
      <c r="M260" s="615"/>
      <c r="N260" s="615"/>
      <c r="O260" s="615"/>
      <c r="P260" s="842"/>
      <c r="S260" s="1066"/>
      <c r="T260" s="1066"/>
      <c r="V260" s="1066"/>
      <c r="W260" s="1066"/>
      <c r="X260" s="1121"/>
    </row>
    <row r="261" spans="1:24" s="1717" customFormat="1" ht="15">
      <c r="B261" s="1058"/>
      <c r="C261" s="599" t="s">
        <v>921</v>
      </c>
      <c r="D261" s="1956" t="s">
        <v>963</v>
      </c>
      <c r="E261" s="1128">
        <v>40</v>
      </c>
      <c r="F261" s="1055"/>
      <c r="G261" s="841"/>
      <c r="H261" s="1056"/>
      <c r="I261" s="1056"/>
      <c r="J261" s="1056"/>
      <c r="K261" s="615"/>
      <c r="L261" s="615"/>
      <c r="M261" s="615"/>
      <c r="N261" s="615"/>
      <c r="O261" s="615"/>
      <c r="P261" s="842"/>
      <c r="S261" s="1066"/>
      <c r="T261" s="1066"/>
      <c r="V261" s="1066"/>
      <c r="W261" s="1066"/>
      <c r="X261" s="1121"/>
    </row>
    <row r="262" spans="1:24" s="1717" customFormat="1" ht="15">
      <c r="B262" s="1058"/>
      <c r="C262" s="1947" t="s">
        <v>922</v>
      </c>
      <c r="D262" s="1960" t="s">
        <v>922</v>
      </c>
      <c r="E262" s="2092">
        <v>30</v>
      </c>
      <c r="F262" s="1055"/>
      <c r="G262" s="841"/>
      <c r="H262" s="1056"/>
      <c r="I262" s="1056"/>
      <c r="J262" s="1056"/>
      <c r="K262" s="615"/>
      <c r="L262" s="615"/>
      <c r="M262" s="615"/>
      <c r="N262" s="615"/>
      <c r="O262" s="615"/>
      <c r="P262" s="842"/>
      <c r="S262" s="1066"/>
      <c r="T262" s="1066"/>
      <c r="V262" s="1066"/>
      <c r="W262" s="1066"/>
      <c r="X262" s="1121"/>
    </row>
    <row r="263" spans="1:24" s="1717" customFormat="1" ht="15">
      <c r="B263" s="1058"/>
      <c r="C263" s="626"/>
      <c r="D263" s="1721"/>
      <c r="E263" s="1721"/>
      <c r="F263" s="1055"/>
      <c r="G263" s="1056"/>
      <c r="H263" s="1056"/>
      <c r="I263" s="1056"/>
      <c r="J263" s="1056"/>
      <c r="K263" s="615"/>
      <c r="L263" s="615"/>
      <c r="M263" s="615"/>
      <c r="N263" s="615"/>
      <c r="O263" s="615"/>
      <c r="P263" s="842"/>
      <c r="S263" s="1066"/>
      <c r="T263" s="1066"/>
      <c r="V263" s="1066"/>
      <c r="W263" s="1066"/>
      <c r="X263" s="1121"/>
    </row>
    <row r="264" spans="1:24" s="525" customFormat="1">
      <c r="B264" s="117"/>
      <c r="C264" s="117"/>
      <c r="D264" s="117"/>
      <c r="E264" s="117"/>
      <c r="F264" s="117"/>
      <c r="G264" s="117"/>
      <c r="H264" s="117"/>
      <c r="I264" s="117"/>
      <c r="J264" s="117"/>
      <c r="K264" s="117"/>
      <c r="L264" s="117"/>
      <c r="M264" s="117"/>
      <c r="N264" s="117"/>
      <c r="O264" s="117"/>
      <c r="P264" s="117"/>
      <c r="R264" s="1074"/>
      <c r="V264" s="1121"/>
      <c r="W264" s="1121"/>
      <c r="X264" s="1121"/>
    </row>
    <row r="265" spans="1:24" s="525" customFormat="1" ht="22">
      <c r="A265" s="1106"/>
      <c r="B265" s="845" t="s">
        <v>645</v>
      </c>
      <c r="C265" s="853"/>
      <c r="D265" s="853"/>
      <c r="E265" s="853"/>
      <c r="F265" s="853"/>
      <c r="G265" s="853"/>
      <c r="H265" s="853"/>
      <c r="I265" s="853"/>
      <c r="J265" s="853"/>
      <c r="K265" s="853"/>
      <c r="L265" s="853"/>
      <c r="M265" s="853"/>
      <c r="N265" s="853"/>
      <c r="O265" s="853"/>
      <c r="P265" s="854"/>
    </row>
    <row r="266" spans="1:24" s="525" customFormat="1">
      <c r="B266" s="788"/>
      <c r="C266" s="588"/>
      <c r="D266" s="588"/>
      <c r="E266" s="588"/>
      <c r="F266" s="588"/>
      <c r="G266" s="588"/>
      <c r="H266" s="588"/>
      <c r="I266" s="588"/>
      <c r="J266" s="588"/>
      <c r="K266" s="588"/>
      <c r="L266" s="588"/>
      <c r="M266" s="588"/>
      <c r="N266" s="588"/>
      <c r="O266" s="588"/>
      <c r="P266" s="789"/>
      <c r="V266" s="1121"/>
      <c r="W266" s="1121"/>
      <c r="X266" s="1121"/>
    </row>
    <row r="267" spans="1:24" s="525" customFormat="1">
      <c r="B267" s="791">
        <v>1</v>
      </c>
      <c r="C267" s="590" t="s">
        <v>965</v>
      </c>
      <c r="D267" s="588"/>
      <c r="E267" s="591"/>
      <c r="F267" s="588"/>
      <c r="G267" s="1089"/>
      <c r="H267" s="588"/>
      <c r="I267" s="588"/>
      <c r="J267" s="591"/>
      <c r="K267" s="588"/>
      <c r="L267" s="588"/>
      <c r="M267" s="588"/>
      <c r="N267" s="588"/>
      <c r="O267" s="591" t="s">
        <v>961</v>
      </c>
      <c r="P267" s="789"/>
    </row>
    <row r="268" spans="1:24" s="525" customFormat="1" ht="5.25" customHeight="1">
      <c r="B268" s="791"/>
      <c r="C268" s="588"/>
      <c r="D268" s="588"/>
      <c r="E268" s="588"/>
      <c r="F268" s="588"/>
      <c r="G268" s="588"/>
      <c r="H268" s="588"/>
      <c r="I268" s="588"/>
      <c r="J268" s="588"/>
      <c r="K268" s="588"/>
      <c r="L268" s="588"/>
      <c r="M268" s="588"/>
      <c r="N268" s="588"/>
      <c r="O268" s="588"/>
      <c r="P268" s="789"/>
    </row>
    <row r="269" spans="1:24" s="525" customFormat="1" ht="15">
      <c r="B269" s="1107"/>
      <c r="C269" s="547" t="s">
        <v>77</v>
      </c>
      <c r="D269" s="542" t="s">
        <v>906</v>
      </c>
      <c r="E269" s="542" t="s">
        <v>422</v>
      </c>
      <c r="F269" s="607">
        <v>2007</v>
      </c>
      <c r="G269" s="608">
        <v>2010</v>
      </c>
      <c r="H269" s="607">
        <v>2015</v>
      </c>
      <c r="I269" s="607">
        <v>2020</v>
      </c>
      <c r="J269" s="607">
        <v>2025</v>
      </c>
      <c r="K269" s="607">
        <v>2030</v>
      </c>
      <c r="L269" s="607">
        <v>2035</v>
      </c>
      <c r="M269" s="607">
        <v>2040</v>
      </c>
      <c r="N269" s="607">
        <v>2045</v>
      </c>
      <c r="O269" s="607">
        <v>2050</v>
      </c>
      <c r="P269" s="789"/>
    </row>
    <row r="270" spans="1:24" s="525" customFormat="1" ht="15">
      <c r="B270" s="1107"/>
      <c r="C270" s="626" t="s">
        <v>955</v>
      </c>
      <c r="D270" s="568" t="s">
        <v>956</v>
      </c>
      <c r="E270" s="848"/>
      <c r="F270" s="1093">
        <f t="shared" ref="F270:F275" si="37">F26</f>
        <v>2.1680038900835603E-2</v>
      </c>
      <c r="G270" s="1407">
        <f t="shared" ref="G270:G275" si="38">$F270+($O270-$F270)/($O$269-$F$269)*(G$269-$F$269)</f>
        <v>2.1702361768219165E-2</v>
      </c>
      <c r="H270" s="1408">
        <f t="shared" ref="H270:N275" si="39">$F270+($O270-$F270)/($O$269-$F$269)*(H$269-$F$269)</f>
        <v>2.1739566547191769E-2</v>
      </c>
      <c r="I270" s="1408">
        <f t="shared" si="39"/>
        <v>2.1776771326164374E-2</v>
      </c>
      <c r="J270" s="1408">
        <f t="shared" si="39"/>
        <v>2.1813976105136978E-2</v>
      </c>
      <c r="K270" s="1409">
        <f t="shared" si="39"/>
        <v>2.1851180884109582E-2</v>
      </c>
      <c r="L270" s="1409">
        <f t="shared" si="39"/>
        <v>2.1888385663082186E-2</v>
      </c>
      <c r="M270" s="1409">
        <f t="shared" si="39"/>
        <v>2.192559044205479E-2</v>
      </c>
      <c r="N270" s="1409">
        <f t="shared" si="39"/>
        <v>2.1962795221027395E-2</v>
      </c>
      <c r="O270" s="1109">
        <f t="shared" ref="O270:O275" si="40">INDEX($G26:$J26, MATCH($E$8, $G$25:$J$25, 0))</f>
        <v>2.1999999999999999E-2</v>
      </c>
      <c r="P270" s="789"/>
    </row>
    <row r="271" spans="1:24" s="525" customFormat="1" ht="15">
      <c r="B271" s="1107"/>
      <c r="C271" s="626" t="s">
        <v>920</v>
      </c>
      <c r="D271" s="568" t="s">
        <v>913</v>
      </c>
      <c r="E271" s="848"/>
      <c r="F271" s="1093">
        <f t="shared" si="37"/>
        <v>5.084268859379436E-3</v>
      </c>
      <c r="G271" s="1410">
        <f t="shared" si="38"/>
        <v>8.0086221947715686E-3</v>
      </c>
      <c r="H271" s="1411">
        <f t="shared" si="39"/>
        <v>1.2882544420425121E-2</v>
      </c>
      <c r="I271" s="1408">
        <f t="shared" si="39"/>
        <v>1.7756466646078675E-2</v>
      </c>
      <c r="J271" s="1411">
        <f t="shared" si="39"/>
        <v>2.2630388871732229E-2</v>
      </c>
      <c r="K271" s="1409">
        <f t="shared" si="39"/>
        <v>2.7504311097385784E-2</v>
      </c>
      <c r="L271" s="1409">
        <f t="shared" si="39"/>
        <v>3.2378233323039338E-2</v>
      </c>
      <c r="M271" s="1409">
        <f t="shared" si="39"/>
        <v>3.7252155548692892E-2</v>
      </c>
      <c r="N271" s="1409">
        <f t="shared" si="39"/>
        <v>4.2126077774346446E-2</v>
      </c>
      <c r="O271" s="1109">
        <f t="shared" si="40"/>
        <v>4.7E-2</v>
      </c>
      <c r="P271" s="789"/>
    </row>
    <row r="272" spans="1:24" s="525" customFormat="1" ht="15">
      <c r="B272" s="1107"/>
      <c r="C272" s="626" t="s">
        <v>918</v>
      </c>
      <c r="D272" s="568" t="s">
        <v>957</v>
      </c>
      <c r="E272" s="848"/>
      <c r="F272" s="1093">
        <f t="shared" si="37"/>
        <v>0.83210317944207202</v>
      </c>
      <c r="G272" s="1410">
        <f t="shared" si="38"/>
        <v>0.81758435296936927</v>
      </c>
      <c r="H272" s="1411">
        <f t="shared" si="39"/>
        <v>0.79338630884819816</v>
      </c>
      <c r="I272" s="1411">
        <f t="shared" si="39"/>
        <v>0.76918826472702695</v>
      </c>
      <c r="J272" s="1411">
        <f t="shared" si="39"/>
        <v>0.74499022060585585</v>
      </c>
      <c r="K272" s="1409">
        <f t="shared" si="39"/>
        <v>0.72079217648468463</v>
      </c>
      <c r="L272" s="1409">
        <f t="shared" si="39"/>
        <v>0.69659413236351353</v>
      </c>
      <c r="M272" s="1409">
        <f t="shared" si="39"/>
        <v>0.67239608824234232</v>
      </c>
      <c r="N272" s="1409">
        <f t="shared" si="39"/>
        <v>0.64819804412117121</v>
      </c>
      <c r="O272" s="1109">
        <f t="shared" si="40"/>
        <v>0.624</v>
      </c>
      <c r="P272" s="789"/>
    </row>
    <row r="273" spans="1:24" s="525" customFormat="1" ht="15">
      <c r="B273" s="1107"/>
      <c r="C273" s="626" t="s">
        <v>919</v>
      </c>
      <c r="D273" s="568" t="s">
        <v>958</v>
      </c>
      <c r="E273" s="848"/>
      <c r="F273" s="1093">
        <f t="shared" si="37"/>
        <v>5.9627670922358024E-2</v>
      </c>
      <c r="G273" s="1410">
        <f t="shared" si="38"/>
        <v>6.8514112485914436E-2</v>
      </c>
      <c r="H273" s="1411">
        <f t="shared" si="39"/>
        <v>8.3324848425175138E-2</v>
      </c>
      <c r="I273" s="1411">
        <f t="shared" si="39"/>
        <v>9.8135584364435841E-2</v>
      </c>
      <c r="J273" s="1411">
        <f t="shared" si="39"/>
        <v>0.11294632030369653</v>
      </c>
      <c r="K273" s="1409">
        <f t="shared" si="39"/>
        <v>0.12775705624295722</v>
      </c>
      <c r="L273" s="1409">
        <f t="shared" si="39"/>
        <v>0.14256779218221793</v>
      </c>
      <c r="M273" s="1409">
        <f t="shared" si="39"/>
        <v>0.15737852812147862</v>
      </c>
      <c r="N273" s="1409">
        <f t="shared" si="39"/>
        <v>0.17218926406073931</v>
      </c>
      <c r="O273" s="1109">
        <f t="shared" si="40"/>
        <v>0.187</v>
      </c>
      <c r="P273" s="789"/>
    </row>
    <row r="274" spans="1:24" s="525" customFormat="1" ht="15">
      <c r="B274" s="1107"/>
      <c r="C274" s="626" t="s">
        <v>921</v>
      </c>
      <c r="D274" s="568" t="s">
        <v>959</v>
      </c>
      <c r="E274" s="848"/>
      <c r="F274" s="1093">
        <f t="shared" si="37"/>
        <v>7.0097236274669239E-2</v>
      </c>
      <c r="G274" s="1410">
        <f t="shared" si="38"/>
        <v>7.2043940720622549E-2</v>
      </c>
      <c r="H274" s="1411">
        <f t="shared" si="39"/>
        <v>7.5288448130544736E-2</v>
      </c>
      <c r="I274" s="1411">
        <f t="shared" si="39"/>
        <v>7.8532955540466909E-2</v>
      </c>
      <c r="J274" s="1411">
        <f t="shared" si="39"/>
        <v>8.1777462950389096E-2</v>
      </c>
      <c r="K274" s="1409">
        <f t="shared" si="39"/>
        <v>8.5021970360311283E-2</v>
      </c>
      <c r="L274" s="1409">
        <f t="shared" si="39"/>
        <v>8.8266477770233456E-2</v>
      </c>
      <c r="M274" s="1409">
        <f t="shared" si="39"/>
        <v>9.1510985180155643E-2</v>
      </c>
      <c r="N274" s="1409">
        <f t="shared" si="39"/>
        <v>9.4755492590077817E-2</v>
      </c>
      <c r="O274" s="1109">
        <f t="shared" si="40"/>
        <v>9.8000000000000004E-2</v>
      </c>
      <c r="P274" s="789"/>
    </row>
    <row r="275" spans="1:24" s="525" customFormat="1" ht="15">
      <c r="B275" s="1107"/>
      <c r="C275" s="1057" t="s">
        <v>922</v>
      </c>
      <c r="D275" s="546" t="s">
        <v>960</v>
      </c>
      <c r="E275" s="546"/>
      <c r="F275" s="1108">
        <f t="shared" si="37"/>
        <v>1.1407605600685865E-2</v>
      </c>
      <c r="G275" s="1412">
        <f t="shared" si="38"/>
        <v>1.2076842419242666E-2</v>
      </c>
      <c r="H275" s="1413">
        <f t="shared" si="39"/>
        <v>1.3192237116837332E-2</v>
      </c>
      <c r="I275" s="1413">
        <f t="shared" si="39"/>
        <v>1.4307631814431999E-2</v>
      </c>
      <c r="J275" s="1413">
        <f t="shared" si="39"/>
        <v>1.5423026512026667E-2</v>
      </c>
      <c r="K275" s="1413">
        <f t="shared" si="39"/>
        <v>1.6538421209621332E-2</v>
      </c>
      <c r="L275" s="1413">
        <f t="shared" si="39"/>
        <v>1.7653815907216E-2</v>
      </c>
      <c r="M275" s="1413">
        <f t="shared" si="39"/>
        <v>1.8769210604810668E-2</v>
      </c>
      <c r="N275" s="1413">
        <f t="shared" si="39"/>
        <v>1.9884605302405337E-2</v>
      </c>
      <c r="O275" s="1113">
        <f t="shared" si="40"/>
        <v>2.1000000000000001E-2</v>
      </c>
      <c r="P275" s="789"/>
    </row>
    <row r="276" spans="1:24" s="525" customFormat="1">
      <c r="B276" s="791"/>
      <c r="C276" s="567"/>
      <c r="D276" s="744" t="s">
        <v>132</v>
      </c>
      <c r="E276" s="568"/>
      <c r="F276" s="1055">
        <f t="shared" ref="F276:O276" si="41">SUM(F270:F275)</f>
        <v>1</v>
      </c>
      <c r="G276" s="1056">
        <f t="shared" si="41"/>
        <v>0.99993023255813973</v>
      </c>
      <c r="H276" s="1056">
        <f t="shared" si="41"/>
        <v>0.99981395348837232</v>
      </c>
      <c r="I276" s="1056">
        <f t="shared" si="41"/>
        <v>0.99969767441860469</v>
      </c>
      <c r="J276" s="1056">
        <f t="shared" si="41"/>
        <v>0.99958139534883739</v>
      </c>
      <c r="K276" s="1056">
        <f t="shared" si="41"/>
        <v>0.99946511627906975</v>
      </c>
      <c r="L276" s="1056">
        <f t="shared" si="41"/>
        <v>0.99934883720930245</v>
      </c>
      <c r="M276" s="1056">
        <f t="shared" si="41"/>
        <v>0.99923255813953482</v>
      </c>
      <c r="N276" s="1056">
        <f t="shared" si="41"/>
        <v>0.99911627906976741</v>
      </c>
      <c r="O276" s="1056">
        <f t="shared" si="41"/>
        <v>0.99900000000000011</v>
      </c>
      <c r="P276" s="789"/>
      <c r="V276" s="1121"/>
      <c r="W276" s="1121"/>
      <c r="X276" s="1121"/>
    </row>
    <row r="277" spans="1:24" s="1717" customFormat="1">
      <c r="B277" s="1727"/>
      <c r="C277" s="1720"/>
      <c r="D277" s="1724"/>
      <c r="E277" s="1721"/>
      <c r="F277" s="1055"/>
      <c r="G277" s="1056"/>
      <c r="H277" s="1056"/>
      <c r="I277" s="1056"/>
      <c r="J277" s="1056"/>
      <c r="K277" s="1056"/>
      <c r="L277" s="1056"/>
      <c r="M277" s="1056"/>
      <c r="N277" s="1056"/>
      <c r="O277" s="1056"/>
      <c r="P277" s="1726"/>
      <c r="V277" s="1121"/>
      <c r="W277" s="1121"/>
      <c r="X277" s="1121"/>
    </row>
    <row r="278" spans="1:24" s="525" customFormat="1">
      <c r="B278" s="791">
        <v>2</v>
      </c>
      <c r="C278" s="590" t="s">
        <v>966</v>
      </c>
      <c r="D278" s="588"/>
      <c r="E278" s="588"/>
      <c r="F278" s="588"/>
      <c r="G278" s="588"/>
      <c r="H278" s="588"/>
      <c r="I278" s="588"/>
      <c r="J278" s="588"/>
      <c r="K278" s="588"/>
      <c r="L278" s="588"/>
      <c r="M278" s="588"/>
      <c r="N278" s="588"/>
      <c r="O278" s="588"/>
      <c r="P278" s="789"/>
      <c r="V278" s="1121"/>
      <c r="W278" s="1121"/>
      <c r="X278" s="1121"/>
    </row>
    <row r="279" spans="1:24" s="525" customFormat="1" ht="6.75" customHeight="1">
      <c r="B279" s="788"/>
      <c r="C279" s="1060"/>
      <c r="D279" s="568"/>
      <c r="E279" s="848"/>
      <c r="F279" s="1055"/>
      <c r="G279" s="1056"/>
      <c r="H279" s="1056"/>
      <c r="I279" s="1056"/>
      <c r="J279" s="1056"/>
      <c r="K279" s="615"/>
      <c r="L279" s="615"/>
      <c r="M279" s="615"/>
      <c r="N279" s="615"/>
      <c r="O279" s="615"/>
      <c r="P279" s="789"/>
      <c r="V279" s="1121"/>
      <c r="W279" s="1121"/>
      <c r="X279" s="1121"/>
    </row>
    <row r="280" spans="1:24" s="525" customFormat="1">
      <c r="B280" s="788"/>
      <c r="C280" s="1094" t="s">
        <v>1727</v>
      </c>
      <c r="D280" s="568"/>
      <c r="E280" s="848"/>
      <c r="F280" s="1055"/>
      <c r="G280" s="1056"/>
      <c r="H280" s="1056"/>
      <c r="I280" s="1056"/>
      <c r="J280" s="1056"/>
      <c r="K280" s="615"/>
      <c r="L280" s="615"/>
      <c r="M280" s="615"/>
      <c r="N280" s="615"/>
      <c r="O280" s="615" t="s">
        <v>971</v>
      </c>
      <c r="P280" s="789"/>
    </row>
    <row r="281" spans="1:24" s="525" customFormat="1" ht="5.25" customHeight="1">
      <c r="A281" s="1106"/>
      <c r="B281" s="788"/>
      <c r="C281" s="1060"/>
      <c r="D281" s="568"/>
      <c r="E281" s="848"/>
      <c r="F281" s="1055"/>
      <c r="G281" s="1056"/>
      <c r="H281" s="1056"/>
      <c r="I281" s="1056"/>
      <c r="J281" s="1056"/>
      <c r="K281" s="615"/>
      <c r="L281" s="615"/>
      <c r="M281" s="615"/>
      <c r="N281" s="615"/>
      <c r="O281" s="615"/>
      <c r="P281" s="789"/>
    </row>
    <row r="282" spans="1:24" s="525" customFormat="1" ht="15">
      <c r="B282" s="790"/>
      <c r="C282" s="542" t="s">
        <v>906</v>
      </c>
      <c r="D282" s="542" t="s">
        <v>657</v>
      </c>
      <c r="E282" s="542" t="s">
        <v>422</v>
      </c>
      <c r="F282" s="607">
        <v>2007</v>
      </c>
      <c r="G282" s="608">
        <v>2010</v>
      </c>
      <c r="H282" s="607">
        <v>2015</v>
      </c>
      <c r="I282" s="607">
        <v>2020</v>
      </c>
      <c r="J282" s="607">
        <v>2025</v>
      </c>
      <c r="K282" s="607">
        <v>2030</v>
      </c>
      <c r="L282" s="607">
        <v>2035</v>
      </c>
      <c r="M282" s="607">
        <v>2040</v>
      </c>
      <c r="N282" s="607">
        <v>2045</v>
      </c>
      <c r="O282" s="607">
        <v>2050</v>
      </c>
      <c r="P282" s="789"/>
    </row>
    <row r="283" spans="1:24" s="1717" customFormat="1" ht="15">
      <c r="B283" s="790"/>
      <c r="C283" s="1721" t="s">
        <v>920</v>
      </c>
      <c r="D283" s="1721" t="s">
        <v>920</v>
      </c>
      <c r="E283" s="848"/>
      <c r="F283" s="1099">
        <f t="array" ref="F283:O294">CHOOSE($E$9, $F$56:$O$67, $F$72:$O$83, $F$88:$O$99, $F$104:$O$115)</f>
        <v>1</v>
      </c>
      <c r="G283" s="1099">
        <v>1</v>
      </c>
      <c r="H283" s="1099">
        <v>0.996</v>
      </c>
      <c r="I283" s="1099">
        <v>0.996</v>
      </c>
      <c r="J283" s="1099">
        <v>0.996</v>
      </c>
      <c r="K283" s="1099">
        <v>0.996</v>
      </c>
      <c r="L283" s="1099">
        <v>0.996</v>
      </c>
      <c r="M283" s="1099">
        <v>0.996</v>
      </c>
      <c r="N283" s="1099">
        <v>0.996</v>
      </c>
      <c r="O283" s="1099">
        <v>0.996</v>
      </c>
      <c r="P283" s="1726"/>
    </row>
    <row r="284" spans="1:24" s="525" customFormat="1" ht="15">
      <c r="B284" s="790"/>
      <c r="C284" s="569" t="s">
        <v>918</v>
      </c>
      <c r="D284" s="569" t="s">
        <v>923</v>
      </c>
      <c r="E284" s="1086"/>
      <c r="F284" s="1098">
        <v>1</v>
      </c>
      <c r="G284" s="1098">
        <v>1</v>
      </c>
      <c r="H284" s="1098">
        <v>0.98499999999999999</v>
      </c>
      <c r="I284" s="1098">
        <v>0.97</v>
      </c>
      <c r="J284" s="1098">
        <v>0.70499999999999996</v>
      </c>
      <c r="K284" s="1098">
        <v>0.44</v>
      </c>
      <c r="L284" s="1098">
        <v>0.41000000000000003</v>
      </c>
      <c r="M284" s="1098">
        <v>0.38</v>
      </c>
      <c r="N284" s="1098">
        <v>0.29000000000000004</v>
      </c>
      <c r="O284" s="1098">
        <v>0.2</v>
      </c>
      <c r="P284" s="789"/>
    </row>
    <row r="285" spans="1:24" s="525" customFormat="1" ht="15">
      <c r="B285" s="790"/>
      <c r="C285" s="568" t="s">
        <v>918</v>
      </c>
      <c r="D285" s="568" t="s">
        <v>1116</v>
      </c>
      <c r="E285" s="848"/>
      <c r="F285" s="1099">
        <v>0</v>
      </c>
      <c r="G285" s="1099">
        <v>0</v>
      </c>
      <c r="H285" s="1099">
        <v>5.0000000000000001E-3</v>
      </c>
      <c r="I285" s="1099">
        <v>0.01</v>
      </c>
      <c r="J285" s="1099">
        <v>0.22750000000000001</v>
      </c>
      <c r="K285" s="1099">
        <v>0.44500000000000001</v>
      </c>
      <c r="L285" s="1099">
        <v>0.38250000000000001</v>
      </c>
      <c r="M285" s="1099">
        <v>0.32</v>
      </c>
      <c r="N285" s="1099">
        <v>0.32</v>
      </c>
      <c r="O285" s="1099">
        <v>0.32</v>
      </c>
      <c r="P285" s="789"/>
    </row>
    <row r="286" spans="1:24" s="525" customFormat="1" ht="15">
      <c r="B286" s="790"/>
      <c r="C286" s="568" t="s">
        <v>918</v>
      </c>
      <c r="D286" s="568" t="s">
        <v>924</v>
      </c>
      <c r="E286" s="848"/>
      <c r="F286" s="1099">
        <v>0</v>
      </c>
      <c r="G286" s="1099">
        <v>0</v>
      </c>
      <c r="H286" s="1099">
        <v>0.01</v>
      </c>
      <c r="I286" s="1099">
        <v>0.02</v>
      </c>
      <c r="J286" s="1099">
        <v>0.05</v>
      </c>
      <c r="K286" s="1099">
        <v>0.08</v>
      </c>
      <c r="L286" s="1099">
        <v>0.14000000000000001</v>
      </c>
      <c r="M286" s="1099">
        <v>0.2</v>
      </c>
      <c r="N286" s="1099">
        <v>0.24000000000000002</v>
      </c>
      <c r="O286" s="1099">
        <v>0.28000000000000003</v>
      </c>
      <c r="P286" s="789"/>
    </row>
    <row r="287" spans="1:24" s="525" customFormat="1" ht="15">
      <c r="B287" s="790"/>
      <c r="C287" s="1087" t="s">
        <v>918</v>
      </c>
      <c r="D287" s="1087" t="s">
        <v>925</v>
      </c>
      <c r="E287" s="1088"/>
      <c r="F287" s="1100">
        <v>0</v>
      </c>
      <c r="G287" s="1100">
        <v>0</v>
      </c>
      <c r="H287" s="1100">
        <v>0</v>
      </c>
      <c r="I287" s="1100">
        <v>0</v>
      </c>
      <c r="J287" s="1100">
        <v>1.7500000000000002E-2</v>
      </c>
      <c r="K287" s="1100">
        <v>3.5000000000000003E-2</v>
      </c>
      <c r="L287" s="1100">
        <v>6.7500000000000004E-2</v>
      </c>
      <c r="M287" s="1100">
        <v>0.1</v>
      </c>
      <c r="N287" s="1100">
        <v>0.15000000000000002</v>
      </c>
      <c r="O287" s="1100">
        <v>0.2</v>
      </c>
      <c r="P287" s="789"/>
    </row>
    <row r="288" spans="1:24" s="525" customFormat="1" ht="15">
      <c r="B288" s="790"/>
      <c r="C288" s="569" t="s">
        <v>919</v>
      </c>
      <c r="D288" s="569" t="s">
        <v>923</v>
      </c>
      <c r="E288" s="1086"/>
      <c r="F288" s="1098">
        <v>1</v>
      </c>
      <c r="G288" s="1098">
        <v>0.98899999999999999</v>
      </c>
      <c r="H288" s="1098">
        <v>0.71199999999999997</v>
      </c>
      <c r="I288" s="1098">
        <v>0.435</v>
      </c>
      <c r="J288" s="1098">
        <v>0.2175</v>
      </c>
      <c r="K288" s="1098">
        <v>0</v>
      </c>
      <c r="L288" s="1098">
        <v>0</v>
      </c>
      <c r="M288" s="1098">
        <v>0</v>
      </c>
      <c r="N288" s="1098">
        <v>0</v>
      </c>
      <c r="O288" s="1098">
        <v>0</v>
      </c>
      <c r="P288" s="789"/>
    </row>
    <row r="289" spans="1:16" s="525" customFormat="1" ht="15">
      <c r="B289" s="790"/>
      <c r="C289" s="568" t="s">
        <v>919</v>
      </c>
      <c r="D289" s="568" t="s">
        <v>1117</v>
      </c>
      <c r="E289" s="848"/>
      <c r="F289" s="1099">
        <v>0</v>
      </c>
      <c r="G289" s="1099">
        <v>1.0999999999999999E-2</v>
      </c>
      <c r="H289" s="1099">
        <v>0.27100000000000002</v>
      </c>
      <c r="I289" s="1099">
        <v>0.53100000000000003</v>
      </c>
      <c r="J289" s="1099">
        <v>0.72799999999999998</v>
      </c>
      <c r="K289" s="1099">
        <v>0.92500000000000004</v>
      </c>
      <c r="L289" s="1099">
        <v>0.89250000000000007</v>
      </c>
      <c r="M289" s="1099">
        <v>0.86</v>
      </c>
      <c r="N289" s="1099">
        <v>0.82000000000000006</v>
      </c>
      <c r="O289" s="1099">
        <v>0.78</v>
      </c>
      <c r="P289" s="789"/>
    </row>
    <row r="290" spans="1:16" s="525" customFormat="1" ht="15">
      <c r="B290" s="790"/>
      <c r="C290" s="568" t="s">
        <v>919</v>
      </c>
      <c r="D290" s="568" t="s">
        <v>924</v>
      </c>
      <c r="E290" s="848"/>
      <c r="F290" s="1099">
        <v>0</v>
      </c>
      <c r="G290" s="1099">
        <v>0</v>
      </c>
      <c r="H290" s="1099">
        <v>8.5000000000000006E-3</v>
      </c>
      <c r="I290" s="1099">
        <v>1.7000000000000001E-2</v>
      </c>
      <c r="J290" s="1099">
        <v>2.725E-2</v>
      </c>
      <c r="K290" s="1099">
        <v>3.7499999999999999E-2</v>
      </c>
      <c r="L290" s="1099">
        <v>5.3750000000000006E-2</v>
      </c>
      <c r="M290" s="1099">
        <v>7.0000000000000007E-2</v>
      </c>
      <c r="N290" s="1099">
        <v>0.09</v>
      </c>
      <c r="O290" s="1099">
        <v>0.11</v>
      </c>
      <c r="P290" s="789"/>
    </row>
    <row r="291" spans="1:16" s="525" customFormat="1" ht="15">
      <c r="B291" s="790"/>
      <c r="C291" s="1087" t="s">
        <v>919</v>
      </c>
      <c r="D291" s="1087" t="s">
        <v>925</v>
      </c>
      <c r="E291" s="1088"/>
      <c r="F291" s="1100">
        <v>0</v>
      </c>
      <c r="G291" s="1100">
        <v>0</v>
      </c>
      <c r="H291" s="1100">
        <v>8.5000000000000006E-3</v>
      </c>
      <c r="I291" s="1100">
        <v>1.7000000000000001E-2</v>
      </c>
      <c r="J291" s="1100">
        <v>2.725E-2</v>
      </c>
      <c r="K291" s="1100">
        <v>3.7499999999999999E-2</v>
      </c>
      <c r="L291" s="1100">
        <v>5.3750000000000006E-2</v>
      </c>
      <c r="M291" s="1100">
        <v>7.0000000000000007E-2</v>
      </c>
      <c r="N291" s="1100">
        <v>0.09</v>
      </c>
      <c r="O291" s="1100">
        <v>0.11</v>
      </c>
      <c r="P291" s="789"/>
    </row>
    <row r="292" spans="1:16" s="525" customFormat="1" ht="15">
      <c r="B292" s="790"/>
      <c r="C292" s="569" t="s">
        <v>921</v>
      </c>
      <c r="D292" s="569" t="s">
        <v>962</v>
      </c>
      <c r="E292" s="1086"/>
      <c r="F292" s="1098">
        <v>0.35</v>
      </c>
      <c r="G292" s="1098">
        <v>0.363354413782636</v>
      </c>
      <c r="H292" s="1098">
        <v>0.363354413782636</v>
      </c>
      <c r="I292" s="1098">
        <v>0.29729452126737621</v>
      </c>
      <c r="J292" s="1098">
        <v>0.28299425059132255</v>
      </c>
      <c r="K292" s="1098">
        <v>0.24182458192374212</v>
      </c>
      <c r="L292" s="1098">
        <v>0.21495518393221524</v>
      </c>
      <c r="M292" s="1098">
        <v>0.18808578594068837</v>
      </c>
      <c r="N292" s="1098">
        <v>0.16121638794916149</v>
      </c>
      <c r="O292" s="1098">
        <v>0.1343469899576345</v>
      </c>
      <c r="P292" s="789"/>
    </row>
    <row r="293" spans="1:16" s="525" customFormat="1" ht="15">
      <c r="B293" s="790"/>
      <c r="C293" s="568" t="s">
        <v>921</v>
      </c>
      <c r="D293" s="568" t="s">
        <v>963</v>
      </c>
      <c r="E293" s="848"/>
      <c r="F293" s="1099">
        <v>0.65</v>
      </c>
      <c r="G293" s="1099">
        <v>0.636645586217364</v>
      </c>
      <c r="H293" s="1099">
        <v>0.636645586217364</v>
      </c>
      <c r="I293" s="1099">
        <v>0.70270547873262379</v>
      </c>
      <c r="J293" s="1099">
        <v>0.71700574940867745</v>
      </c>
      <c r="K293" s="1099">
        <v>0.75817541807625788</v>
      </c>
      <c r="L293" s="1099">
        <v>0.78504481606778476</v>
      </c>
      <c r="M293" s="1099">
        <v>0.81191421405931163</v>
      </c>
      <c r="N293" s="1099">
        <v>0.83878361205083851</v>
      </c>
      <c r="O293" s="1099">
        <v>0.8656530100423655</v>
      </c>
      <c r="P293" s="789"/>
    </row>
    <row r="294" spans="1:16" s="525" customFormat="1" ht="15">
      <c r="B294" s="790"/>
      <c r="C294" s="599" t="s">
        <v>922</v>
      </c>
      <c r="D294" s="599" t="s">
        <v>922</v>
      </c>
      <c r="E294" s="1011"/>
      <c r="F294" s="1139">
        <v>1</v>
      </c>
      <c r="G294" s="1139">
        <v>1</v>
      </c>
      <c r="H294" s="1139">
        <v>1</v>
      </c>
      <c r="I294" s="1139">
        <v>1</v>
      </c>
      <c r="J294" s="1139">
        <v>1</v>
      </c>
      <c r="K294" s="1139">
        <v>1</v>
      </c>
      <c r="L294" s="1139">
        <v>1</v>
      </c>
      <c r="M294" s="1139">
        <v>1</v>
      </c>
      <c r="N294" s="1139">
        <v>1</v>
      </c>
      <c r="O294" s="1139">
        <v>1</v>
      </c>
      <c r="P294" s="789"/>
    </row>
    <row r="295" spans="1:16" s="1717" customFormat="1" ht="15">
      <c r="B295" s="790"/>
      <c r="C295" s="1721"/>
      <c r="D295" s="1721"/>
      <c r="E295" s="848"/>
      <c r="F295" s="1099"/>
      <c r="G295" s="1099"/>
      <c r="H295" s="1099"/>
      <c r="I295" s="1099"/>
      <c r="J295" s="1099"/>
      <c r="K295" s="1099"/>
      <c r="L295" s="1099"/>
      <c r="M295" s="1099"/>
      <c r="N295" s="1099"/>
      <c r="O295" s="1099"/>
      <c r="P295" s="1726"/>
    </row>
    <row r="296" spans="1:16" s="1717" customFormat="1">
      <c r="B296" s="1725"/>
      <c r="C296" s="1094" t="s">
        <v>1728</v>
      </c>
      <c r="D296" s="1721"/>
      <c r="E296" s="848"/>
      <c r="F296" s="1055"/>
      <c r="G296" s="1056"/>
      <c r="H296" s="1056"/>
      <c r="I296" s="1056"/>
      <c r="J296" s="1056"/>
      <c r="K296" s="615"/>
      <c r="L296" s="615"/>
      <c r="M296" s="615"/>
      <c r="N296" s="615"/>
      <c r="O296" s="615" t="s">
        <v>971</v>
      </c>
      <c r="P296" s="1726"/>
    </row>
    <row r="297" spans="1:16" s="1717" customFormat="1" ht="5.25" customHeight="1">
      <c r="A297" s="1106"/>
      <c r="B297" s="1725"/>
      <c r="C297" s="1060"/>
      <c r="D297" s="1721"/>
      <c r="E297" s="848"/>
      <c r="F297" s="1055"/>
      <c r="G297" s="1056"/>
      <c r="H297" s="1056"/>
      <c r="I297" s="1056"/>
      <c r="J297" s="1056"/>
      <c r="K297" s="615"/>
      <c r="L297" s="615"/>
      <c r="M297" s="615"/>
      <c r="N297" s="615"/>
      <c r="O297" s="615"/>
      <c r="P297" s="1726"/>
    </row>
    <row r="298" spans="1:16" s="1717" customFormat="1" ht="15">
      <c r="B298" s="790"/>
      <c r="C298" s="542" t="s">
        <v>906</v>
      </c>
      <c r="D298" s="542" t="s">
        <v>657</v>
      </c>
      <c r="E298" s="542" t="s">
        <v>422</v>
      </c>
      <c r="F298" s="607">
        <v>2007</v>
      </c>
      <c r="G298" s="608">
        <v>2010</v>
      </c>
      <c r="H298" s="607">
        <v>2015</v>
      </c>
      <c r="I298" s="607">
        <v>2020</v>
      </c>
      <c r="J298" s="607">
        <v>2025</v>
      </c>
      <c r="K298" s="607">
        <v>2030</v>
      </c>
      <c r="L298" s="607">
        <v>2035</v>
      </c>
      <c r="M298" s="607">
        <v>2040</v>
      </c>
      <c r="N298" s="607">
        <v>2045</v>
      </c>
      <c r="O298" s="607">
        <v>2050</v>
      </c>
      <c r="P298" s="1726"/>
    </row>
    <row r="299" spans="1:16" s="1717" customFormat="1" ht="15">
      <c r="B299" s="790"/>
      <c r="C299" s="1721" t="s">
        <v>920</v>
      </c>
      <c r="D299" s="1721" t="s">
        <v>920</v>
      </c>
      <c r="E299" s="848"/>
      <c r="F299" s="1099">
        <f>F283</f>
        <v>1</v>
      </c>
      <c r="G299" s="1099">
        <f t="shared" ref="G299:O299" si="42">G283</f>
        <v>1</v>
      </c>
      <c r="H299" s="1099">
        <f t="shared" si="42"/>
        <v>0.996</v>
      </c>
      <c r="I299" s="1099">
        <f t="shared" si="42"/>
        <v>0.996</v>
      </c>
      <c r="J299" s="1099">
        <f t="shared" si="42"/>
        <v>0.996</v>
      </c>
      <c r="K299" s="1099">
        <f t="shared" si="42"/>
        <v>0.996</v>
      </c>
      <c r="L299" s="1099">
        <f t="shared" si="42"/>
        <v>0.996</v>
      </c>
      <c r="M299" s="1099">
        <f t="shared" si="42"/>
        <v>0.996</v>
      </c>
      <c r="N299" s="1099">
        <f t="shared" si="42"/>
        <v>0.996</v>
      </c>
      <c r="O299" s="1099">
        <f t="shared" si="42"/>
        <v>0.996</v>
      </c>
      <c r="P299" s="1726"/>
    </row>
    <row r="300" spans="1:16" s="1717" customFormat="1" ht="15">
      <c r="B300" s="790"/>
      <c r="C300" s="569" t="s">
        <v>918</v>
      </c>
      <c r="D300" s="569" t="s">
        <v>923</v>
      </c>
      <c r="E300" s="1086"/>
      <c r="F300" s="1098">
        <f>F284</f>
        <v>1</v>
      </c>
      <c r="G300" s="1098">
        <f t="shared" ref="G300:O301" si="43">G284</f>
        <v>1</v>
      </c>
      <c r="H300" s="1098">
        <f t="shared" si="43"/>
        <v>0.98499999999999999</v>
      </c>
      <c r="I300" s="1098">
        <f t="shared" si="43"/>
        <v>0.97</v>
      </c>
      <c r="J300" s="1098">
        <f t="shared" si="43"/>
        <v>0.70499999999999996</v>
      </c>
      <c r="K300" s="1098">
        <f t="shared" si="43"/>
        <v>0.44</v>
      </c>
      <c r="L300" s="1098">
        <f t="shared" si="43"/>
        <v>0.41000000000000003</v>
      </c>
      <c r="M300" s="1098">
        <f t="shared" si="43"/>
        <v>0.38</v>
      </c>
      <c r="N300" s="1098">
        <f t="shared" si="43"/>
        <v>0.29000000000000004</v>
      </c>
      <c r="O300" s="1098">
        <f t="shared" si="43"/>
        <v>0.2</v>
      </c>
      <c r="P300" s="1726"/>
    </row>
    <row r="301" spans="1:16" s="1717" customFormat="1" ht="15">
      <c r="B301" s="790"/>
      <c r="C301" s="1721" t="s">
        <v>918</v>
      </c>
      <c r="D301" s="1721" t="s">
        <v>1116</v>
      </c>
      <c r="E301" s="848"/>
      <c r="F301" s="1099">
        <f>F285</f>
        <v>0</v>
      </c>
      <c r="G301" s="1099">
        <f t="shared" si="43"/>
        <v>0</v>
      </c>
      <c r="H301" s="1099">
        <f t="shared" si="43"/>
        <v>5.0000000000000001E-3</v>
      </c>
      <c r="I301" s="1099">
        <f t="shared" si="43"/>
        <v>0.01</v>
      </c>
      <c r="J301" s="1099">
        <f t="shared" si="43"/>
        <v>0.22750000000000001</v>
      </c>
      <c r="K301" s="1099">
        <f t="shared" si="43"/>
        <v>0.44500000000000001</v>
      </c>
      <c r="L301" s="1099">
        <f t="shared" si="43"/>
        <v>0.38250000000000001</v>
      </c>
      <c r="M301" s="1099">
        <f t="shared" si="43"/>
        <v>0.32</v>
      </c>
      <c r="N301" s="1099">
        <f t="shared" si="43"/>
        <v>0.32</v>
      </c>
      <c r="O301" s="1099">
        <f t="shared" si="43"/>
        <v>0.32</v>
      </c>
      <c r="P301" s="1726"/>
    </row>
    <row r="302" spans="1:16" s="1717" customFormat="1" ht="15">
      <c r="B302" s="790"/>
      <c r="C302" s="1721" t="s">
        <v>918</v>
      </c>
      <c r="D302" s="1721" t="s">
        <v>924</v>
      </c>
      <c r="E302" s="848"/>
      <c r="F302" s="1099">
        <f t="shared" ref="F302:O302" si="44">(SUM(F286:F287))*(INDEX($F$120:$F$123,MATCH($E$10,$C$120:$C$123)))</f>
        <v>0</v>
      </c>
      <c r="G302" s="1099">
        <f t="shared" si="44"/>
        <v>0</v>
      </c>
      <c r="H302" s="1099">
        <f t="shared" si="44"/>
        <v>0.01</v>
      </c>
      <c r="I302" s="1099">
        <f t="shared" si="44"/>
        <v>0.02</v>
      </c>
      <c r="J302" s="1099">
        <f t="shared" si="44"/>
        <v>6.7500000000000004E-2</v>
      </c>
      <c r="K302" s="1099">
        <f t="shared" si="44"/>
        <v>0.115</v>
      </c>
      <c r="L302" s="1099">
        <f t="shared" si="44"/>
        <v>0.20750000000000002</v>
      </c>
      <c r="M302" s="1099">
        <f t="shared" si="44"/>
        <v>0.30000000000000004</v>
      </c>
      <c r="N302" s="1099">
        <f t="shared" si="44"/>
        <v>0.39</v>
      </c>
      <c r="O302" s="1099">
        <f t="shared" si="44"/>
        <v>0.48000000000000004</v>
      </c>
      <c r="P302" s="1726"/>
    </row>
    <row r="303" spans="1:16" s="1717" customFormat="1" ht="15">
      <c r="B303" s="790"/>
      <c r="C303" s="1087" t="s">
        <v>918</v>
      </c>
      <c r="D303" s="1087" t="s">
        <v>925</v>
      </c>
      <c r="E303" s="1088"/>
      <c r="F303" s="1100">
        <f t="shared" ref="F303:O303" si="45">(SUM(F286:F287))*(INDEX($G$120:$G$123,MATCH($E$10,$C$120:$C$123)))</f>
        <v>0</v>
      </c>
      <c r="G303" s="1100">
        <f t="shared" si="45"/>
        <v>0</v>
      </c>
      <c r="H303" s="1100">
        <f t="shared" si="45"/>
        <v>0</v>
      </c>
      <c r="I303" s="1100">
        <f t="shared" si="45"/>
        <v>0</v>
      </c>
      <c r="J303" s="1100">
        <f t="shared" si="45"/>
        <v>0</v>
      </c>
      <c r="K303" s="1100">
        <f t="shared" si="45"/>
        <v>0</v>
      </c>
      <c r="L303" s="1100">
        <f t="shared" si="45"/>
        <v>0</v>
      </c>
      <c r="M303" s="1100">
        <f t="shared" si="45"/>
        <v>0</v>
      </c>
      <c r="N303" s="1100">
        <f t="shared" si="45"/>
        <v>0</v>
      </c>
      <c r="O303" s="1100">
        <f t="shared" si="45"/>
        <v>0</v>
      </c>
      <c r="P303" s="1726"/>
    </row>
    <row r="304" spans="1:16" s="1717" customFormat="1" ht="15">
      <c r="B304" s="790"/>
      <c r="C304" s="569" t="s">
        <v>919</v>
      </c>
      <c r="D304" s="569" t="s">
        <v>923</v>
      </c>
      <c r="E304" s="1086"/>
      <c r="F304" s="1099">
        <f>F288</f>
        <v>1</v>
      </c>
      <c r="G304" s="1099">
        <f t="shared" ref="G304:O304" si="46">G288</f>
        <v>0.98899999999999999</v>
      </c>
      <c r="H304" s="1099">
        <f t="shared" si="46"/>
        <v>0.71199999999999997</v>
      </c>
      <c r="I304" s="1099">
        <f t="shared" si="46"/>
        <v>0.435</v>
      </c>
      <c r="J304" s="1099">
        <f t="shared" si="46"/>
        <v>0.2175</v>
      </c>
      <c r="K304" s="1099">
        <f t="shared" si="46"/>
        <v>0</v>
      </c>
      <c r="L304" s="1099">
        <f t="shared" si="46"/>
        <v>0</v>
      </c>
      <c r="M304" s="1099">
        <f t="shared" si="46"/>
        <v>0</v>
      </c>
      <c r="N304" s="1099">
        <f t="shared" si="46"/>
        <v>0</v>
      </c>
      <c r="O304" s="1099">
        <f t="shared" si="46"/>
        <v>0</v>
      </c>
      <c r="P304" s="1726"/>
    </row>
    <row r="305" spans="2:22" s="1717" customFormat="1" ht="15">
      <c r="B305" s="790"/>
      <c r="C305" s="1721" t="s">
        <v>919</v>
      </c>
      <c r="D305" s="1721" t="s">
        <v>1117</v>
      </c>
      <c r="E305" s="848"/>
      <c r="F305" s="1099">
        <f>F289</f>
        <v>0</v>
      </c>
      <c r="G305" s="1099">
        <f t="shared" ref="G305:O305" si="47">G289</f>
        <v>1.0999999999999999E-2</v>
      </c>
      <c r="H305" s="1099">
        <f t="shared" si="47"/>
        <v>0.27100000000000002</v>
      </c>
      <c r="I305" s="1099">
        <f t="shared" si="47"/>
        <v>0.53100000000000003</v>
      </c>
      <c r="J305" s="1099">
        <f t="shared" si="47"/>
        <v>0.72799999999999998</v>
      </c>
      <c r="K305" s="1099">
        <f t="shared" si="47"/>
        <v>0.92500000000000004</v>
      </c>
      <c r="L305" s="1099">
        <f t="shared" si="47"/>
        <v>0.89250000000000007</v>
      </c>
      <c r="M305" s="1099">
        <f t="shared" si="47"/>
        <v>0.86</v>
      </c>
      <c r="N305" s="1099">
        <f t="shared" si="47"/>
        <v>0.82000000000000006</v>
      </c>
      <c r="O305" s="1099">
        <f t="shared" si="47"/>
        <v>0.78</v>
      </c>
      <c r="P305" s="1726"/>
    </row>
    <row r="306" spans="2:22" s="1717" customFormat="1" ht="15">
      <c r="B306" s="790"/>
      <c r="C306" s="1721" t="s">
        <v>919</v>
      </c>
      <c r="D306" s="1721" t="s">
        <v>924</v>
      </c>
      <c r="E306" s="848"/>
      <c r="F306" s="1099">
        <f t="shared" ref="F306:O306" si="48">(SUM(F290:F291))*(INDEX($F$120:$F$123,MATCH($E$10,$C$120:$C$123)))</f>
        <v>0</v>
      </c>
      <c r="G306" s="1099">
        <f t="shared" si="48"/>
        <v>0</v>
      </c>
      <c r="H306" s="1099">
        <f t="shared" si="48"/>
        <v>1.7000000000000001E-2</v>
      </c>
      <c r="I306" s="1099">
        <f t="shared" si="48"/>
        <v>3.4000000000000002E-2</v>
      </c>
      <c r="J306" s="1099">
        <f t="shared" si="48"/>
        <v>5.45E-2</v>
      </c>
      <c r="K306" s="1099">
        <f t="shared" si="48"/>
        <v>7.4999999999999997E-2</v>
      </c>
      <c r="L306" s="1099">
        <f t="shared" si="48"/>
        <v>0.10750000000000001</v>
      </c>
      <c r="M306" s="1099">
        <f t="shared" si="48"/>
        <v>0.14000000000000001</v>
      </c>
      <c r="N306" s="1099">
        <f t="shared" si="48"/>
        <v>0.18</v>
      </c>
      <c r="O306" s="1099">
        <f t="shared" si="48"/>
        <v>0.22</v>
      </c>
      <c r="P306" s="1726"/>
    </row>
    <row r="307" spans="2:22" s="1717" customFormat="1" ht="15">
      <c r="B307" s="790"/>
      <c r="C307" s="1087" t="s">
        <v>919</v>
      </c>
      <c r="D307" s="1087" t="s">
        <v>925</v>
      </c>
      <c r="E307" s="1088"/>
      <c r="F307" s="1099">
        <f t="shared" ref="F307:O307" si="49">(SUM(F290:F291))*(INDEX($G$120:$G$123,MATCH($E$10,$C$120:$C$123)))</f>
        <v>0</v>
      </c>
      <c r="G307" s="1099">
        <f t="shared" si="49"/>
        <v>0</v>
      </c>
      <c r="H307" s="1099">
        <f t="shared" si="49"/>
        <v>0</v>
      </c>
      <c r="I307" s="1099">
        <f t="shared" si="49"/>
        <v>0</v>
      </c>
      <c r="J307" s="1099">
        <f t="shared" si="49"/>
        <v>0</v>
      </c>
      <c r="K307" s="1099">
        <f t="shared" si="49"/>
        <v>0</v>
      </c>
      <c r="L307" s="1099">
        <f t="shared" si="49"/>
        <v>0</v>
      </c>
      <c r="M307" s="1099">
        <f t="shared" si="49"/>
        <v>0</v>
      </c>
      <c r="N307" s="1099">
        <f t="shared" si="49"/>
        <v>0</v>
      </c>
      <c r="O307" s="1099">
        <f t="shared" si="49"/>
        <v>0</v>
      </c>
      <c r="P307" s="1726"/>
    </row>
    <row r="308" spans="2:22" s="1717" customFormat="1" ht="15">
      <c r="B308" s="790"/>
      <c r="C308" s="569" t="s">
        <v>921</v>
      </c>
      <c r="D308" s="569" t="s">
        <v>962</v>
      </c>
      <c r="E308" s="1086"/>
      <c r="F308" s="1098">
        <f>F292</f>
        <v>0.35</v>
      </c>
      <c r="G308" s="1098">
        <f t="shared" ref="G308:O308" si="50">G292</f>
        <v>0.363354413782636</v>
      </c>
      <c r="H308" s="1098">
        <f t="shared" si="50"/>
        <v>0.363354413782636</v>
      </c>
      <c r="I308" s="1098">
        <f t="shared" si="50"/>
        <v>0.29729452126737621</v>
      </c>
      <c r="J308" s="1098">
        <f t="shared" si="50"/>
        <v>0.28299425059132255</v>
      </c>
      <c r="K308" s="1098">
        <f t="shared" si="50"/>
        <v>0.24182458192374212</v>
      </c>
      <c r="L308" s="1098">
        <f t="shared" si="50"/>
        <v>0.21495518393221524</v>
      </c>
      <c r="M308" s="1098">
        <f t="shared" si="50"/>
        <v>0.18808578594068837</v>
      </c>
      <c r="N308" s="1098">
        <f t="shared" si="50"/>
        <v>0.16121638794916149</v>
      </c>
      <c r="O308" s="1098">
        <f t="shared" si="50"/>
        <v>0.1343469899576345</v>
      </c>
      <c r="P308" s="1726"/>
    </row>
    <row r="309" spans="2:22" s="1717" customFormat="1" ht="15">
      <c r="B309" s="790"/>
      <c r="C309" s="1721" t="s">
        <v>921</v>
      </c>
      <c r="D309" s="1721" t="s">
        <v>963</v>
      </c>
      <c r="E309" s="848"/>
      <c r="F309" s="1099">
        <f>F293</f>
        <v>0.65</v>
      </c>
      <c r="G309" s="1099">
        <f t="shared" ref="G309:O310" si="51">G293</f>
        <v>0.636645586217364</v>
      </c>
      <c r="H309" s="1099">
        <f t="shared" si="51"/>
        <v>0.636645586217364</v>
      </c>
      <c r="I309" s="1099">
        <f t="shared" si="51"/>
        <v>0.70270547873262379</v>
      </c>
      <c r="J309" s="1099">
        <f t="shared" si="51"/>
        <v>0.71700574940867745</v>
      </c>
      <c r="K309" s="1099">
        <f t="shared" si="51"/>
        <v>0.75817541807625788</v>
      </c>
      <c r="L309" s="1099">
        <f t="shared" si="51"/>
        <v>0.78504481606778476</v>
      </c>
      <c r="M309" s="1099">
        <f t="shared" si="51"/>
        <v>0.81191421405931163</v>
      </c>
      <c r="N309" s="1099">
        <f t="shared" si="51"/>
        <v>0.83878361205083851</v>
      </c>
      <c r="O309" s="1099">
        <f t="shared" si="51"/>
        <v>0.8656530100423655</v>
      </c>
      <c r="P309" s="1726"/>
    </row>
    <row r="310" spans="2:22" s="1717" customFormat="1" ht="15">
      <c r="B310" s="790"/>
      <c r="C310" s="599" t="s">
        <v>922</v>
      </c>
      <c r="D310" s="599" t="s">
        <v>922</v>
      </c>
      <c r="E310" s="1011"/>
      <c r="F310" s="1139">
        <f>F294</f>
        <v>1</v>
      </c>
      <c r="G310" s="1139">
        <f t="shared" si="51"/>
        <v>1</v>
      </c>
      <c r="H310" s="1139">
        <f t="shared" si="51"/>
        <v>1</v>
      </c>
      <c r="I310" s="1139">
        <f t="shared" si="51"/>
        <v>1</v>
      </c>
      <c r="J310" s="1139">
        <f t="shared" si="51"/>
        <v>1</v>
      </c>
      <c r="K310" s="1139">
        <f t="shared" si="51"/>
        <v>1</v>
      </c>
      <c r="L310" s="1139">
        <f t="shared" si="51"/>
        <v>1</v>
      </c>
      <c r="M310" s="1139">
        <f t="shared" si="51"/>
        <v>1</v>
      </c>
      <c r="N310" s="1139">
        <f t="shared" si="51"/>
        <v>1</v>
      </c>
      <c r="O310" s="1139">
        <f t="shared" si="51"/>
        <v>1</v>
      </c>
      <c r="P310" s="1726"/>
    </row>
    <row r="311" spans="2:22" s="525" customFormat="1" ht="15">
      <c r="B311" s="790"/>
      <c r="C311" s="568"/>
      <c r="D311" s="568"/>
      <c r="E311" s="848"/>
      <c r="F311" s="1099"/>
      <c r="G311" s="1099"/>
      <c r="H311" s="1099"/>
      <c r="I311" s="1099"/>
      <c r="J311" s="1099"/>
      <c r="K311" s="1099"/>
      <c r="L311" s="1099"/>
      <c r="M311" s="1099"/>
      <c r="N311" s="1099"/>
      <c r="O311" s="1099"/>
      <c r="P311" s="789"/>
    </row>
    <row r="312" spans="2:22" s="525" customFormat="1">
      <c r="B312" s="1727" t="s">
        <v>1667</v>
      </c>
      <c r="C312" s="590" t="s">
        <v>1118</v>
      </c>
      <c r="D312" s="588"/>
      <c r="E312" s="591"/>
      <c r="F312" s="588"/>
      <c r="G312" s="1095"/>
      <c r="H312" s="1056"/>
      <c r="I312" s="1056"/>
      <c r="J312" s="594"/>
      <c r="K312" s="1099"/>
      <c r="L312" s="1099"/>
      <c r="M312" s="1099"/>
      <c r="N312" s="1099"/>
      <c r="O312" s="594" t="s">
        <v>1124</v>
      </c>
      <c r="P312" s="789"/>
    </row>
    <row r="313" spans="2:22" s="525" customFormat="1" ht="6" customHeight="1">
      <c r="B313" s="790"/>
      <c r="C313" s="588"/>
      <c r="D313" s="588"/>
      <c r="E313" s="588"/>
      <c r="F313" s="588"/>
      <c r="G313" s="1056"/>
      <c r="H313" s="1056"/>
      <c r="I313" s="1056"/>
      <c r="J313" s="1056"/>
      <c r="K313" s="1099"/>
      <c r="L313" s="1099"/>
      <c r="M313" s="1099"/>
      <c r="N313" s="1099"/>
      <c r="O313" s="1099"/>
      <c r="P313" s="789"/>
    </row>
    <row r="314" spans="2:22" s="525" customFormat="1" ht="15">
      <c r="B314" s="790"/>
      <c r="C314" s="547" t="s">
        <v>77</v>
      </c>
      <c r="D314" s="542" t="s">
        <v>906</v>
      </c>
      <c r="E314" s="542" t="s">
        <v>422</v>
      </c>
      <c r="F314" s="607">
        <v>2007</v>
      </c>
      <c r="G314" s="608">
        <v>2010</v>
      </c>
      <c r="H314" s="607">
        <v>2015</v>
      </c>
      <c r="I314" s="607">
        <v>2020</v>
      </c>
      <c r="J314" s="607">
        <v>2025</v>
      </c>
      <c r="K314" s="607">
        <v>2030</v>
      </c>
      <c r="L314" s="607">
        <v>2035</v>
      </c>
      <c r="M314" s="607">
        <v>2040</v>
      </c>
      <c r="N314" s="607">
        <v>2045</v>
      </c>
      <c r="O314" s="607">
        <v>2050</v>
      </c>
      <c r="P314" s="789"/>
    </row>
    <row r="315" spans="2:22" s="1717" customFormat="1" ht="15">
      <c r="B315" s="790"/>
      <c r="C315" s="626" t="s">
        <v>920</v>
      </c>
      <c r="D315" s="1721" t="s">
        <v>913</v>
      </c>
      <c r="E315" s="1719"/>
      <c r="F315" s="1590">
        <v>1</v>
      </c>
      <c r="G315" s="1415">
        <f t="shared" ref="G315:N319" si="52">$F315+($O315-$F315)/($O$269-$F$269)*(G$269-$F$269)</f>
        <v>1</v>
      </c>
      <c r="H315" s="1385">
        <f t="shared" si="52"/>
        <v>1</v>
      </c>
      <c r="I315" s="1385">
        <f t="shared" si="52"/>
        <v>1</v>
      </c>
      <c r="J315" s="1385">
        <f t="shared" si="52"/>
        <v>1</v>
      </c>
      <c r="K315" s="1416">
        <f t="shared" si="52"/>
        <v>1</v>
      </c>
      <c r="L315" s="1416">
        <f t="shared" si="52"/>
        <v>1</v>
      </c>
      <c r="M315" s="1416">
        <f t="shared" si="52"/>
        <v>1</v>
      </c>
      <c r="N315" s="1416">
        <f t="shared" si="52"/>
        <v>1</v>
      </c>
      <c r="O315" s="1115">
        <v>1</v>
      </c>
      <c r="P315" s="1726"/>
    </row>
    <row r="316" spans="2:22" s="525" customFormat="1" ht="15">
      <c r="B316" s="790"/>
      <c r="C316" s="626" t="s">
        <v>918</v>
      </c>
      <c r="D316" s="568" t="s">
        <v>957</v>
      </c>
      <c r="E316" s="848"/>
      <c r="F316" s="1115">
        <f t="array" ref="F316:F319">$F$45:$F$48</f>
        <v>1.4535833325868115</v>
      </c>
      <c r="G316" s="1415">
        <f t="shared" si="52"/>
        <v>1.4596681000255469</v>
      </c>
      <c r="H316" s="1385">
        <f t="shared" si="52"/>
        <v>1.4698093790901061</v>
      </c>
      <c r="I316" s="1385">
        <f t="shared" si="52"/>
        <v>1.4799506581546653</v>
      </c>
      <c r="J316" s="1385">
        <f t="shared" si="52"/>
        <v>1.4900919372192245</v>
      </c>
      <c r="K316" s="1416">
        <f t="shared" si="52"/>
        <v>1.5002332162837837</v>
      </c>
      <c r="L316" s="1416">
        <f t="shared" si="52"/>
        <v>1.5103744953483429</v>
      </c>
      <c r="M316" s="1416">
        <f t="shared" si="52"/>
        <v>1.5205157744129019</v>
      </c>
      <c r="N316" s="1416">
        <f t="shared" si="52"/>
        <v>1.5306570534774611</v>
      </c>
      <c r="O316" s="1115">
        <f t="array" ref="O316:O319">INDEX($G$45:$J$48, ,MATCH($E$8, $G$44:$J$44, 0))</f>
        <v>1.5407983325420203</v>
      </c>
      <c r="P316" s="789"/>
    </row>
    <row r="317" spans="2:22" s="525" customFormat="1" ht="15">
      <c r="B317" s="790"/>
      <c r="C317" s="626" t="s">
        <v>919</v>
      </c>
      <c r="D317" s="568" t="s">
        <v>958</v>
      </c>
      <c r="E317" s="848"/>
      <c r="F317" s="1115">
        <v>9.0545454545454547</v>
      </c>
      <c r="G317" s="1417">
        <f t="shared" si="52"/>
        <v>9.6786469344608879</v>
      </c>
      <c r="H317" s="1418">
        <f t="shared" si="52"/>
        <v>10.718816067653277</v>
      </c>
      <c r="I317" s="1418">
        <f t="shared" si="52"/>
        <v>11.758985200845666</v>
      </c>
      <c r="J317" s="1418">
        <f t="shared" si="52"/>
        <v>12.799154334038056</v>
      </c>
      <c r="K317" s="1416">
        <f t="shared" si="52"/>
        <v>13.839323467230443</v>
      </c>
      <c r="L317" s="1416">
        <f t="shared" si="52"/>
        <v>14.879492600422832</v>
      </c>
      <c r="M317" s="1416">
        <f t="shared" si="52"/>
        <v>15.919661733615222</v>
      </c>
      <c r="N317" s="1416">
        <f t="shared" si="52"/>
        <v>16.959830866807611</v>
      </c>
      <c r="O317" s="1115">
        <v>18</v>
      </c>
      <c r="P317" s="789"/>
      <c r="R317" s="1717"/>
    </row>
    <row r="318" spans="2:22" s="525" customFormat="1" ht="15">
      <c r="B318" s="790"/>
      <c r="C318" s="626" t="s">
        <v>921</v>
      </c>
      <c r="D318" s="568" t="s">
        <v>959</v>
      </c>
      <c r="E318" s="848"/>
      <c r="F318" s="1389">
        <v>0.32418351096303916</v>
      </c>
      <c r="G318" s="1419">
        <f t="shared" si="52"/>
        <v>0.33100104266289243</v>
      </c>
      <c r="H318" s="1420">
        <f t="shared" si="52"/>
        <v>0.34236359549598122</v>
      </c>
      <c r="I318" s="1420">
        <f t="shared" si="52"/>
        <v>0.35372614832907001</v>
      </c>
      <c r="J318" s="1420">
        <f t="shared" si="52"/>
        <v>0.3650887011621588</v>
      </c>
      <c r="K318" s="1421">
        <f t="shared" si="52"/>
        <v>0.37645125399524759</v>
      </c>
      <c r="L318" s="1421">
        <f t="shared" si="52"/>
        <v>0.38781380682833638</v>
      </c>
      <c r="M318" s="1421">
        <f t="shared" si="52"/>
        <v>0.39917635966142517</v>
      </c>
      <c r="N318" s="1421">
        <f t="shared" si="52"/>
        <v>0.41053891249451396</v>
      </c>
      <c r="O318" s="1389">
        <v>0.42190146532760275</v>
      </c>
      <c r="P318" s="789"/>
    </row>
    <row r="319" spans="2:22" s="525" customFormat="1" ht="15">
      <c r="B319" s="790"/>
      <c r="C319" s="1057" t="s">
        <v>922</v>
      </c>
      <c r="D319" s="546" t="s">
        <v>960</v>
      </c>
      <c r="E319" s="546"/>
      <c r="F319" s="1388">
        <v>0.65100000000000002</v>
      </c>
      <c r="G319" s="1422">
        <f t="shared" si="52"/>
        <v>0.65100000000000002</v>
      </c>
      <c r="H319" s="1423">
        <f t="shared" si="52"/>
        <v>0.65100000000000002</v>
      </c>
      <c r="I319" s="1423">
        <f t="shared" si="52"/>
        <v>0.65100000000000002</v>
      </c>
      <c r="J319" s="1423">
        <f t="shared" si="52"/>
        <v>0.65100000000000002</v>
      </c>
      <c r="K319" s="1423">
        <f t="shared" si="52"/>
        <v>0.65100000000000002</v>
      </c>
      <c r="L319" s="1423">
        <f t="shared" si="52"/>
        <v>0.65100000000000002</v>
      </c>
      <c r="M319" s="1423">
        <f t="shared" si="52"/>
        <v>0.65100000000000002</v>
      </c>
      <c r="N319" s="1423">
        <f t="shared" si="52"/>
        <v>0.65100000000000002</v>
      </c>
      <c r="O319" s="1424">
        <v>0.65100000000000002</v>
      </c>
      <c r="P319" s="789"/>
      <c r="R319" s="1758"/>
      <c r="S319" s="1758"/>
      <c r="T319" s="1758"/>
      <c r="U319" s="1758"/>
      <c r="V319" s="1758"/>
    </row>
    <row r="320" spans="2:22" s="1717" customFormat="1" ht="15">
      <c r="B320" s="790"/>
      <c r="C320" s="626"/>
      <c r="D320" s="1721"/>
      <c r="E320" s="1721"/>
      <c r="F320" s="510"/>
      <c r="G320" s="2207"/>
      <c r="H320" s="2207"/>
      <c r="I320" s="2207"/>
      <c r="J320" s="2207"/>
      <c r="K320" s="2207"/>
      <c r="L320" s="2207"/>
      <c r="M320" s="2207"/>
      <c r="N320" s="2207"/>
      <c r="O320" s="510"/>
      <c r="P320" s="1726"/>
      <c r="R320" s="1758"/>
      <c r="S320" s="1758"/>
      <c r="T320" s="1758"/>
      <c r="U320" s="1758"/>
      <c r="V320" s="1758"/>
    </row>
    <row r="321" spans="2:22" s="1717" customFormat="1" ht="15">
      <c r="B321" s="790"/>
      <c r="C321" s="1060" t="s">
        <v>1926</v>
      </c>
      <c r="D321" s="1721"/>
      <c r="E321" s="1721"/>
      <c r="F321" s="510"/>
      <c r="G321" s="2207"/>
      <c r="H321" s="2207"/>
      <c r="I321" s="2207"/>
      <c r="J321" s="2207"/>
      <c r="K321" s="2207"/>
      <c r="L321" s="2207"/>
      <c r="M321" s="2207"/>
      <c r="N321" s="2207"/>
      <c r="O321" s="510"/>
      <c r="P321" s="1726"/>
      <c r="R321" s="1758"/>
      <c r="S321" s="1758"/>
      <c r="T321" s="1758"/>
      <c r="U321" s="1758"/>
      <c r="V321" s="1758"/>
    </row>
    <row r="322" spans="2:22" s="1717" customFormat="1" ht="15">
      <c r="B322" s="790"/>
      <c r="C322" s="547"/>
      <c r="D322" s="542"/>
      <c r="E322" s="542"/>
      <c r="F322" s="607">
        <v>2007</v>
      </c>
      <c r="G322" s="608">
        <v>2010</v>
      </c>
      <c r="H322" s="607">
        <v>2015</v>
      </c>
      <c r="I322" s="607">
        <v>2020</v>
      </c>
      <c r="J322" s="607">
        <v>2025</v>
      </c>
      <c r="K322" s="607">
        <v>2030</v>
      </c>
      <c r="L322" s="607">
        <v>2035</v>
      </c>
      <c r="M322" s="607">
        <v>2040</v>
      </c>
      <c r="N322" s="607">
        <v>2045</v>
      </c>
      <c r="O322" s="607">
        <v>2050</v>
      </c>
      <c r="P322" s="1726"/>
      <c r="R322" s="1758"/>
      <c r="S322" s="1758"/>
      <c r="T322" s="1758"/>
      <c r="U322" s="1758"/>
      <c r="V322" s="1758"/>
    </row>
    <row r="323" spans="2:22" s="1717" customFormat="1" ht="15">
      <c r="B323" s="790"/>
      <c r="C323" s="626"/>
      <c r="D323" s="1721" t="s">
        <v>1927</v>
      </c>
      <c r="E323" s="1719"/>
      <c r="F323" s="1592">
        <f>$F$37</f>
        <v>0.4</v>
      </c>
      <c r="G323" s="1141">
        <v>0.4</v>
      </c>
      <c r="H323" s="1138">
        <f>$G$323+((($O$323-$G$323)/($O$322-$G$322))*(H322-$G$322))</f>
        <v>0.47500000000000003</v>
      </c>
      <c r="I323" s="1138">
        <f t="shared" ref="I323:N323" si="53">$F$323+((($O$323-$F$323)/($O$322-$F$322))*(I322-$F$322))</f>
        <v>0.58139534883720934</v>
      </c>
      <c r="J323" s="1138">
        <f t="shared" si="53"/>
        <v>0.65116279069767447</v>
      </c>
      <c r="K323" s="2208">
        <f t="shared" si="53"/>
        <v>0.72093023255813948</v>
      </c>
      <c r="L323" s="2208">
        <f t="shared" si="53"/>
        <v>0.79069767441860472</v>
      </c>
      <c r="M323" s="2208">
        <f t="shared" si="53"/>
        <v>0.86046511627906974</v>
      </c>
      <c r="N323" s="2208">
        <f t="shared" si="53"/>
        <v>0.93023255813953487</v>
      </c>
      <c r="O323" s="1099">
        <f>INDEX($G$37:$J$37,MATCH($E$8,$G$36:$J$36))</f>
        <v>1</v>
      </c>
      <c r="P323" s="1726"/>
      <c r="R323" s="1758"/>
      <c r="S323" s="1758"/>
      <c r="T323" s="1758"/>
      <c r="U323" s="1758"/>
      <c r="V323" s="1758"/>
    </row>
    <row r="324" spans="2:22" s="1717" customFormat="1" ht="15">
      <c r="B324" s="790"/>
      <c r="C324" s="1474"/>
      <c r="D324" s="599" t="s">
        <v>1928</v>
      </c>
      <c r="E324" s="599"/>
      <c r="F324" s="1783">
        <f>INDEX(Global.Assumptions[Population],MATCH(F322,Global.Assumptions[Year]))</f>
        <v>60973000</v>
      </c>
      <c r="G324" s="2211">
        <f>INDEX(Global.Assumptions[Population],MATCH(G322,Global.Assumptions[Year]))</f>
        <v>62222403</v>
      </c>
      <c r="H324" s="2209">
        <f>INDEX(Global.Assumptions[Population],MATCH(H322,Global.Assumptions[Year]))</f>
        <v>64344156</v>
      </c>
      <c r="I324" s="2209">
        <f>INDEX(Global.Assumptions[Population],MATCH(I322,Global.Assumptions[Year]))</f>
        <v>66521962</v>
      </c>
      <c r="J324" s="2209">
        <f>INDEX(Global.Assumptions[Population],MATCH(J322,Global.Assumptions[Year]))</f>
        <v>68647528</v>
      </c>
      <c r="K324" s="2209">
        <f>INDEX(Global.Assumptions[Population],MATCH(K322,Global.Assumptions[Year]))</f>
        <v>70575666</v>
      </c>
      <c r="L324" s="2209">
        <f>INDEX(Global.Assumptions[Population],MATCH(L322,Global.Assumptions[Year]))</f>
        <v>72278230.000000015</v>
      </c>
      <c r="M324" s="2209">
        <f>INDEX(Global.Assumptions[Population],MATCH(M322,Global.Assumptions[Year]))</f>
        <v>73853253</v>
      </c>
      <c r="N324" s="2209">
        <f>INDEX(Global.Assumptions[Population],MATCH(N322,Global.Assumptions[Year]))</f>
        <v>75356458</v>
      </c>
      <c r="O324" s="1783">
        <f>INDEX(Global.Assumptions[Population],MATCH(O322,Global.Assumptions[Year]))</f>
        <v>76789483</v>
      </c>
      <c r="P324" s="1726"/>
      <c r="R324" s="1758"/>
      <c r="S324" s="1758"/>
      <c r="T324" s="1758"/>
      <c r="U324" s="1758"/>
      <c r="V324" s="1758"/>
    </row>
    <row r="325" spans="2:22" s="1717" customFormat="1" ht="15">
      <c r="B325" s="790"/>
      <c r="C325" s="2210"/>
      <c r="D325" s="1947" t="s">
        <v>1929</v>
      </c>
      <c r="E325" s="1947"/>
      <c r="F325" s="1973">
        <f>F323*F324</f>
        <v>24389200</v>
      </c>
      <c r="G325" s="1973">
        <f t="shared" ref="G325:O325" si="54">G323*G324</f>
        <v>24888961.200000003</v>
      </c>
      <c r="H325" s="1973">
        <f t="shared" si="54"/>
        <v>30563474.100000001</v>
      </c>
      <c r="I325" s="1973">
        <f t="shared" si="54"/>
        <v>38675559.302325584</v>
      </c>
      <c r="J325" s="1973">
        <f t="shared" si="54"/>
        <v>44700715.906976745</v>
      </c>
      <c r="K325" s="1973">
        <f t="shared" si="54"/>
        <v>50880131.302325577</v>
      </c>
      <c r="L325" s="1973">
        <f t="shared" si="54"/>
        <v>57150228.372093037</v>
      </c>
      <c r="M325" s="1973">
        <f t="shared" si="54"/>
        <v>63548147.930232555</v>
      </c>
      <c r="N325" s="1973">
        <f t="shared" si="54"/>
        <v>70099030.697674423</v>
      </c>
      <c r="O325" s="1973">
        <f t="shared" si="54"/>
        <v>76789483</v>
      </c>
      <c r="P325" s="1726"/>
      <c r="R325" s="1758"/>
      <c r="S325" s="1758"/>
      <c r="T325" s="1758"/>
      <c r="U325" s="1758"/>
      <c r="V325" s="1758"/>
    </row>
    <row r="326" spans="2:22" s="525" customFormat="1" ht="15">
      <c r="B326" s="790"/>
      <c r="C326" s="568"/>
      <c r="D326" s="568"/>
      <c r="E326" s="848"/>
      <c r="F326" s="1099"/>
      <c r="G326" s="1099"/>
      <c r="H326" s="1099"/>
      <c r="I326" s="1099"/>
      <c r="J326" s="1099"/>
      <c r="K326" s="1099"/>
      <c r="L326" s="1099"/>
      <c r="M326" s="1099"/>
      <c r="N326" s="1099"/>
      <c r="O326" s="1099"/>
      <c r="P326" s="789"/>
      <c r="R326" s="1758"/>
      <c r="S326" s="1758"/>
      <c r="T326" s="1758"/>
      <c r="U326" s="1758"/>
      <c r="V326" s="1758"/>
    </row>
    <row r="327" spans="2:22" s="525" customFormat="1">
      <c r="B327" s="791">
        <v>4</v>
      </c>
      <c r="C327" s="590" t="s">
        <v>1120</v>
      </c>
      <c r="D327" s="588"/>
      <c r="E327" s="591"/>
      <c r="F327" s="588"/>
      <c r="G327" s="1089" t="s">
        <v>57</v>
      </c>
      <c r="H327" s="588"/>
      <c r="I327" s="588"/>
      <c r="J327" s="591"/>
      <c r="K327" s="615"/>
      <c r="L327" s="615"/>
      <c r="M327" s="615"/>
      <c r="N327" s="615"/>
      <c r="O327" s="615" t="str">
        <f>Preferences.EnergyUnits &amp; " / bn passenger-km"</f>
        <v>TWh / bn passenger-km</v>
      </c>
      <c r="P327" s="789"/>
      <c r="R327" s="1758"/>
      <c r="S327" s="1758"/>
      <c r="T327" s="1758"/>
      <c r="U327" s="1758"/>
      <c r="V327" s="1758"/>
    </row>
    <row r="328" spans="2:22" s="525" customFormat="1" ht="6" customHeight="1">
      <c r="B328" s="790"/>
      <c r="C328" s="588"/>
      <c r="D328" s="588"/>
      <c r="E328" s="588"/>
      <c r="F328" s="588"/>
      <c r="G328" s="588"/>
      <c r="H328" s="588"/>
      <c r="I328" s="588"/>
      <c r="J328" s="588"/>
      <c r="K328" s="615"/>
      <c r="L328" s="615"/>
      <c r="M328" s="615"/>
      <c r="N328" s="615"/>
      <c r="O328" s="615"/>
      <c r="P328" s="789"/>
      <c r="R328" s="1758"/>
      <c r="S328" s="1758"/>
      <c r="T328" s="1758"/>
      <c r="U328" s="1758"/>
      <c r="V328" s="1758"/>
    </row>
    <row r="329" spans="2:22" s="525" customFormat="1" ht="15">
      <c r="B329" s="790"/>
      <c r="C329" s="542" t="s">
        <v>906</v>
      </c>
      <c r="D329" s="542" t="s">
        <v>657</v>
      </c>
      <c r="E329" s="542" t="s">
        <v>422</v>
      </c>
      <c r="F329" s="607">
        <v>2007</v>
      </c>
      <c r="G329" s="608">
        <v>2010</v>
      </c>
      <c r="H329" s="607">
        <v>2015</v>
      </c>
      <c r="I329" s="607">
        <v>2020</v>
      </c>
      <c r="J329" s="607">
        <v>2025</v>
      </c>
      <c r="K329" s="607">
        <v>2030</v>
      </c>
      <c r="L329" s="607">
        <v>2035</v>
      </c>
      <c r="M329" s="607">
        <v>2040</v>
      </c>
      <c r="N329" s="607">
        <v>2045</v>
      </c>
      <c r="O329" s="607">
        <v>2050</v>
      </c>
      <c r="P329" s="789"/>
      <c r="R329" s="1758"/>
      <c r="S329" s="2069"/>
      <c r="T329" s="2069"/>
      <c r="U329" s="2069"/>
      <c r="V329" s="2069"/>
    </row>
    <row r="330" spans="2:22" s="525" customFormat="1" ht="15">
      <c r="B330" s="790"/>
      <c r="C330" s="569" t="s">
        <v>918</v>
      </c>
      <c r="D330" s="569" t="s">
        <v>923</v>
      </c>
      <c r="E330" s="1086"/>
      <c r="F330" s="1387">
        <f t="shared" ref="F330:O330" si="55">F149/INDEX(F$316:F$319, MATCH($C330, $C$316:$C$319, 0))</f>
        <v>0.54629740787234404</v>
      </c>
      <c r="G330" s="1117">
        <f t="shared" si="55"/>
        <v>0.47956107281357224</v>
      </c>
      <c r="H330" s="1114">
        <f t="shared" si="55"/>
        <v>0.42446925279188985</v>
      </c>
      <c r="I330" s="1114">
        <f t="shared" si="55"/>
        <v>0.37032015394278084</v>
      </c>
      <c r="J330" s="1114">
        <f t="shared" si="55"/>
        <v>0.31616244564767454</v>
      </c>
      <c r="K330" s="1114">
        <f t="shared" si="55"/>
        <v>0.26273692809112298</v>
      </c>
      <c r="L330" s="1114">
        <f t="shared" si="55"/>
        <v>0.24644366239538185</v>
      </c>
      <c r="M330" s="1114">
        <f t="shared" si="55"/>
        <v>0.23036773683786757</v>
      </c>
      <c r="N330" s="1114">
        <f t="shared" si="55"/>
        <v>0.21886025954600477</v>
      </c>
      <c r="O330" s="1114">
        <f t="shared" si="55"/>
        <v>0.20768454459063548</v>
      </c>
      <c r="P330" s="789"/>
      <c r="R330" s="34"/>
      <c r="S330" s="34"/>
      <c r="T330" s="2035"/>
      <c r="U330" s="2035"/>
      <c r="V330" s="2035"/>
    </row>
    <row r="331" spans="2:22" s="525" customFormat="1" ht="15">
      <c r="B331" s="790"/>
      <c r="C331" s="568" t="s">
        <v>918</v>
      </c>
      <c r="D331" s="568" t="s">
        <v>1116</v>
      </c>
      <c r="E331" s="848"/>
      <c r="F331" s="1391"/>
      <c r="G331" s="1118">
        <f t="shared" ref="G331:O331" si="56">G150/INDEX(G$316:G$319, MATCH($C331, $C$316:$C$319, 0))</f>
        <v>9.6673422614799484E-2</v>
      </c>
      <c r="H331" s="1115">
        <f t="shared" si="56"/>
        <v>9.6006402679554778E-2</v>
      </c>
      <c r="I331" s="1115">
        <f t="shared" si="56"/>
        <v>8.5213051135338336E-2</v>
      </c>
      <c r="J331" s="1115">
        <f t="shared" si="56"/>
        <v>6.4500121576707176E-2</v>
      </c>
      <c r="K331" s="1115">
        <f t="shared" si="56"/>
        <v>5.128832211503951E-2</v>
      </c>
      <c r="L331" s="1115">
        <f t="shared" si="56"/>
        <v>4.5426555680342769E-2</v>
      </c>
      <c r="M331" s="1115">
        <f t="shared" si="56"/>
        <v>3.9094921239733273E-2</v>
      </c>
      <c r="N331" s="1115">
        <f t="shared" si="56"/>
        <v>3.2121281873667362E-2</v>
      </c>
      <c r="O331" s="1115">
        <f t="shared" si="56"/>
        <v>2.5600004628359579E-2</v>
      </c>
      <c r="P331" s="789"/>
      <c r="R331" s="34"/>
      <c r="S331" s="34"/>
      <c r="T331" s="2035"/>
      <c r="U331" s="2035"/>
      <c r="V331" s="2035"/>
    </row>
    <row r="332" spans="2:22" s="525" customFormat="1" ht="15">
      <c r="B332" s="790"/>
      <c r="C332" s="569" t="s">
        <v>919</v>
      </c>
      <c r="D332" s="569" t="s">
        <v>923</v>
      </c>
      <c r="E332" s="1086"/>
      <c r="F332" s="1387">
        <f>F151/INDEX(F$316:F$319, MATCH($C332, $C$316:$C$319, 0))</f>
        <v>0.23949242353838901</v>
      </c>
      <c r="G332" s="1117">
        <f t="shared" ref="G332:O332" si="57">G151/INDEX(G$316:G$319, MATCH($C332, $C$316:$C$319, 0))</f>
        <v>0.40527359108781125</v>
      </c>
      <c r="H332" s="1114">
        <f t="shared" si="57"/>
        <v>0.3397193184308569</v>
      </c>
      <c r="I332" s="1114">
        <f t="shared" si="57"/>
        <v>0.28576256542410799</v>
      </c>
      <c r="J332" s="1114">
        <f t="shared" si="57"/>
        <v>0.24057579011122121</v>
      </c>
      <c r="K332" s="1114">
        <f t="shared" si="57"/>
        <v>0.2021815273109957</v>
      </c>
      <c r="L332" s="1114">
        <f t="shared" si="57"/>
        <v>0.18664764295412206</v>
      </c>
      <c r="M332" s="1114">
        <f t="shared" si="57"/>
        <v>0.17314368452117457</v>
      </c>
      <c r="N332" s="1114">
        <f t="shared" si="57"/>
        <v>0.16129615778830439</v>
      </c>
      <c r="O332" s="1114">
        <f t="shared" si="57"/>
        <v>0.1508179012345679</v>
      </c>
      <c r="P332" s="789"/>
      <c r="R332" s="34"/>
      <c r="S332" s="34"/>
      <c r="T332" s="2035"/>
      <c r="U332" s="2035"/>
      <c r="V332" s="2035"/>
    </row>
    <row r="333" spans="2:22" s="525" customFormat="1" ht="15">
      <c r="B333" s="790"/>
      <c r="C333" s="568" t="s">
        <v>919</v>
      </c>
      <c r="D333" s="568" t="s">
        <v>1117</v>
      </c>
      <c r="E333" s="848"/>
      <c r="F333" s="1391"/>
      <c r="G333" s="1118">
        <f t="shared" ref="G333:O333" si="58">G152/INDEX(G$316:G$319, MATCH($C333, $C$316:$C$319, 0))</f>
        <v>0.28370012378039899</v>
      </c>
      <c r="H333" s="1115">
        <f t="shared" si="58"/>
        <v>0.23780870589524436</v>
      </c>
      <c r="I333" s="1115">
        <f t="shared" si="58"/>
        <v>0.20003615805665428</v>
      </c>
      <c r="J333" s="1115">
        <f t="shared" si="58"/>
        <v>0.16840305307785483</v>
      </c>
      <c r="K333" s="1115">
        <f t="shared" si="58"/>
        <v>0.14152506195471365</v>
      </c>
      <c r="L333" s="1115">
        <f t="shared" si="58"/>
        <v>0.13065148321808595</v>
      </c>
      <c r="M333" s="1115">
        <f t="shared" si="58"/>
        <v>0.1211988342924598</v>
      </c>
      <c r="N333" s="1115">
        <f t="shared" si="58"/>
        <v>0.11290567259480873</v>
      </c>
      <c r="O333" s="1115">
        <f t="shared" si="58"/>
        <v>0.10557098765432099</v>
      </c>
      <c r="P333" s="789"/>
      <c r="R333" s="34"/>
      <c r="S333" s="34"/>
      <c r="T333" s="2035"/>
      <c r="U333" s="2035"/>
      <c r="V333" s="2035"/>
    </row>
    <row r="334" spans="2:22" s="525" customFormat="1" ht="15">
      <c r="B334" s="790"/>
      <c r="C334" s="569" t="s">
        <v>921</v>
      </c>
      <c r="D334" s="569" t="s">
        <v>962</v>
      </c>
      <c r="E334" s="1086" t="s">
        <v>420</v>
      </c>
      <c r="F334" s="1387">
        <f>F153/INDEX(F$316:F$319, MATCH($C334, $C$316:$C$319, 0))</f>
        <v>0.23040647569418302</v>
      </c>
      <c r="G334" s="1117">
        <f t="shared" ref="G334:O334" si="59">G153/INDEX(G$316:G$319, MATCH($C334, $C$316:$C$319, 0))</f>
        <v>0.32006127491868291</v>
      </c>
      <c r="H334" s="1114">
        <f t="shared" si="59"/>
        <v>0.29396695867325495</v>
      </c>
      <c r="I334" s="1114">
        <f t="shared" si="59"/>
        <v>0.26954906950782909</v>
      </c>
      <c r="J334" s="1114">
        <f t="shared" si="59"/>
        <v>0.24665108251867693</v>
      </c>
      <c r="K334" s="1114">
        <f t="shared" si="59"/>
        <v>0.22513537057403243</v>
      </c>
      <c r="L334" s="1114">
        <f t="shared" si="59"/>
        <v>0.20488043588593752</v>
      </c>
      <c r="M334" s="1114">
        <f t="shared" si="59"/>
        <v>0.18577861440183824</v>
      </c>
      <c r="N334" s="1114">
        <f t="shared" si="59"/>
        <v>0.16773416141176281</v>
      </c>
      <c r="O334" s="1114">
        <f t="shared" si="59"/>
        <v>0.15066164650341343</v>
      </c>
      <c r="P334" s="789"/>
      <c r="R334" s="34"/>
      <c r="S334" s="34"/>
      <c r="T334" s="2035"/>
      <c r="U334" s="2035"/>
      <c r="V334" s="2035"/>
    </row>
    <row r="335" spans="2:22" s="525" customFormat="1" ht="15">
      <c r="B335" s="790"/>
      <c r="C335" s="556" t="s">
        <v>922</v>
      </c>
      <c r="D335" s="556" t="s">
        <v>922</v>
      </c>
      <c r="E335" s="618" t="s">
        <v>420</v>
      </c>
      <c r="F335" s="1425">
        <f>F154/INDEX(F$316:F$319, MATCH($C335, $C$316:$C$319, 0))</f>
        <v>0.91944146079484423</v>
      </c>
      <c r="G335" s="1119">
        <f t="shared" ref="G335:O335" si="60">G154/INDEX(G$316:G$319, MATCH($C335, $C$316:$C$319, 0))</f>
        <v>0.89213312996777649</v>
      </c>
      <c r="H335" s="1116">
        <f t="shared" si="60"/>
        <v>0.84840972978549889</v>
      </c>
      <c r="I335" s="1116">
        <f t="shared" si="60"/>
        <v>0.80682921126435703</v>
      </c>
      <c r="J335" s="1116">
        <f t="shared" si="60"/>
        <v>0.76728655188106853</v>
      </c>
      <c r="K335" s="1116">
        <f t="shared" si="60"/>
        <v>0.72968187626097625</v>
      </c>
      <c r="L335" s="1116">
        <f t="shared" si="60"/>
        <v>0.69392020391655129</v>
      </c>
      <c r="M335" s="1116">
        <f t="shared" si="60"/>
        <v>0.65991120934921921</v>
      </c>
      <c r="N335" s="1116">
        <f t="shared" si="60"/>
        <v>0.62756899390858334</v>
      </c>
      <c r="O335" s="1116">
        <f t="shared" si="60"/>
        <v>0.59681186883281634</v>
      </c>
      <c r="P335" s="789"/>
      <c r="R335" s="34"/>
      <c r="S335" s="34"/>
      <c r="T335" s="2035"/>
      <c r="U335" s="2035"/>
      <c r="V335" s="2035"/>
    </row>
    <row r="336" spans="2:22" s="525" customFormat="1" ht="15">
      <c r="B336" s="790"/>
      <c r="C336" s="568"/>
      <c r="D336" s="568"/>
      <c r="E336" s="848"/>
      <c r="F336" s="1091"/>
      <c r="G336" s="1065"/>
      <c r="H336" s="1065"/>
      <c r="I336" s="1065"/>
      <c r="J336" s="1065"/>
      <c r="K336" s="615"/>
      <c r="L336" s="615"/>
      <c r="M336" s="615"/>
      <c r="N336" s="615"/>
      <c r="O336" s="615"/>
      <c r="P336" s="789"/>
      <c r="R336" s="34"/>
      <c r="S336" s="34"/>
      <c r="T336" s="2035"/>
      <c r="U336" s="2035"/>
      <c r="V336" s="2035"/>
    </row>
    <row r="337" spans="2:63" s="525" customFormat="1" ht="15">
      <c r="B337" s="790"/>
      <c r="C337" s="590" t="s">
        <v>1119</v>
      </c>
      <c r="D337" s="588"/>
      <c r="E337" s="591"/>
      <c r="F337" s="588"/>
      <c r="G337" s="1089" t="s">
        <v>5</v>
      </c>
      <c r="H337" s="588"/>
      <c r="I337" s="588"/>
      <c r="J337" s="591"/>
      <c r="K337" s="615"/>
      <c r="L337" s="615"/>
      <c r="M337" s="615"/>
      <c r="N337" s="615"/>
      <c r="O337" s="615" t="str">
        <f>Preferences.EnergyUnits &amp; " / bn passenger-km"</f>
        <v>TWh / bn passenger-km</v>
      </c>
      <c r="P337" s="789"/>
      <c r="R337" s="34"/>
      <c r="S337" s="34"/>
      <c r="T337" s="2035"/>
      <c r="U337" s="2035"/>
      <c r="V337" s="2035"/>
    </row>
    <row r="338" spans="2:63" s="525" customFormat="1" ht="16.5" customHeight="1">
      <c r="B338" s="790"/>
      <c r="C338" s="588"/>
      <c r="D338" s="588"/>
      <c r="E338" s="588"/>
      <c r="F338" s="588"/>
      <c r="G338" s="588"/>
      <c r="H338" s="588"/>
      <c r="I338" s="588"/>
      <c r="J338" s="588"/>
      <c r="K338" s="615"/>
      <c r="L338" s="615"/>
      <c r="M338" s="615"/>
      <c r="N338" s="615"/>
      <c r="O338" s="615"/>
      <c r="P338" s="789"/>
      <c r="R338" s="34"/>
      <c r="S338" s="34"/>
      <c r="T338" s="2035"/>
      <c r="U338" s="2035"/>
      <c r="V338" s="2035"/>
    </row>
    <row r="339" spans="2:63" s="525" customFormat="1" ht="15">
      <c r="B339" s="790"/>
      <c r="C339" s="542" t="s">
        <v>906</v>
      </c>
      <c r="D339" s="542" t="s">
        <v>657</v>
      </c>
      <c r="E339" s="542" t="s">
        <v>422</v>
      </c>
      <c r="F339" s="607">
        <v>2007</v>
      </c>
      <c r="G339" s="608">
        <v>2010</v>
      </c>
      <c r="H339" s="607">
        <v>2015</v>
      </c>
      <c r="I339" s="607">
        <v>2020</v>
      </c>
      <c r="J339" s="607">
        <v>2025</v>
      </c>
      <c r="K339" s="607">
        <v>2030</v>
      </c>
      <c r="L339" s="607">
        <v>2035</v>
      </c>
      <c r="M339" s="607">
        <v>2040</v>
      </c>
      <c r="N339" s="607">
        <v>2045</v>
      </c>
      <c r="O339" s="607">
        <v>2050</v>
      </c>
      <c r="P339" s="789"/>
      <c r="R339" s="34"/>
      <c r="S339" s="34"/>
      <c r="T339" s="2035"/>
      <c r="U339" s="2035"/>
      <c r="V339" s="2035"/>
      <c r="Y339" s="1758"/>
      <c r="Z339" s="1758"/>
      <c r="AA339" s="1758"/>
      <c r="AB339" s="1758"/>
      <c r="AC339" s="1758"/>
      <c r="AD339" s="1758"/>
      <c r="AE339" s="1758"/>
      <c r="AF339" s="1758"/>
      <c r="AG339" s="1758"/>
      <c r="AH339" s="1758"/>
      <c r="AI339" s="1758"/>
      <c r="AJ339" s="1758"/>
      <c r="AK339" s="1758"/>
      <c r="AL339" s="1758"/>
      <c r="AM339" s="1758"/>
      <c r="AN339" s="1758"/>
      <c r="AO339" s="1758"/>
      <c r="AP339" s="1758"/>
      <c r="AQ339" s="1758"/>
      <c r="AR339" s="1758"/>
      <c r="AS339" s="1758"/>
      <c r="AT339" s="1758"/>
      <c r="AU339" s="1758"/>
      <c r="AV339" s="1758"/>
      <c r="AW339" s="1758"/>
      <c r="AX339" s="1758"/>
      <c r="AY339" s="1758"/>
      <c r="AZ339" s="1758"/>
      <c r="BA339" s="1758"/>
      <c r="BB339" s="1758"/>
      <c r="BC339" s="1758"/>
      <c r="BD339" s="1758"/>
      <c r="BE339" s="1758"/>
      <c r="BF339" s="1758"/>
      <c r="BG339" s="1758"/>
      <c r="BH339" s="1758"/>
      <c r="BI339" s="1758"/>
      <c r="BJ339" s="1758"/>
      <c r="BK339" s="1758"/>
    </row>
    <row r="340" spans="2:63" s="525" customFormat="1" ht="15">
      <c r="B340" s="790"/>
      <c r="C340" s="568" t="s">
        <v>918</v>
      </c>
      <c r="D340" s="568" t="s">
        <v>1116</v>
      </c>
      <c r="E340" s="848"/>
      <c r="F340" s="1391"/>
      <c r="G340" s="1118">
        <f t="shared" ref="G340:O340" si="61">G159/INDEX(G$316:G$319, MATCH($C340, $C$316:$C$319, 0))</f>
        <v>7.9355939429864936E-2</v>
      </c>
      <c r="H340" s="1115">
        <f t="shared" si="61"/>
        <v>7.8808405349162086E-2</v>
      </c>
      <c r="I340" s="1115">
        <f t="shared" si="61"/>
        <v>7.5828353873737195E-2</v>
      </c>
      <c r="J340" s="1115">
        <f t="shared" si="61"/>
        <v>7.0279034203521981E-2</v>
      </c>
      <c r="K340" s="1115">
        <f t="shared" si="61"/>
        <v>6.5730521122162558E-2</v>
      </c>
      <c r="L340" s="1115">
        <f t="shared" si="61"/>
        <v>6.216265514152168E-2</v>
      </c>
      <c r="M340" s="1115">
        <f t="shared" si="61"/>
        <v>5.9738501146695239E-2</v>
      </c>
      <c r="N340" s="1115">
        <f t="shared" si="61"/>
        <v>5.8798278684001275E-2</v>
      </c>
      <c r="O340" s="1115">
        <f t="shared" si="61"/>
        <v>5.8591559888851154E-2</v>
      </c>
      <c r="P340" s="789"/>
      <c r="R340" s="34"/>
      <c r="S340" s="34"/>
      <c r="T340" s="2035"/>
      <c r="U340" s="2035"/>
      <c r="V340" s="2035"/>
      <c r="Y340" s="1758"/>
      <c r="Z340" s="1758"/>
      <c r="AA340" s="1758"/>
      <c r="AB340" s="1758"/>
      <c r="AC340" s="1758"/>
      <c r="AD340" s="1758"/>
      <c r="AE340" s="1758"/>
      <c r="AF340" s="1758"/>
      <c r="AG340" s="1758"/>
      <c r="AH340" s="1758"/>
      <c r="AI340" s="1758"/>
      <c r="AJ340" s="1758"/>
      <c r="AK340" s="1758"/>
      <c r="AL340" s="1758"/>
      <c r="AM340" s="1758"/>
      <c r="AN340" s="1758"/>
      <c r="AO340" s="1758"/>
      <c r="AP340" s="1758"/>
      <c r="AQ340" s="1758"/>
      <c r="AR340" s="1758"/>
      <c r="AS340" s="1758"/>
      <c r="AT340" s="1758"/>
      <c r="AU340" s="1758"/>
      <c r="AV340" s="1758"/>
      <c r="AW340" s="1758"/>
      <c r="AX340" s="1758"/>
      <c r="AY340" s="1758"/>
      <c r="AZ340" s="1758"/>
      <c r="BA340" s="1758"/>
      <c r="BB340" s="1758"/>
      <c r="BC340" s="1758"/>
      <c r="BD340" s="1758"/>
      <c r="BE340" s="1758"/>
      <c r="BF340" s="1758"/>
      <c r="BG340" s="1758"/>
      <c r="BH340" s="1758"/>
      <c r="BI340" s="1758"/>
      <c r="BJ340" s="1758"/>
      <c r="BK340" s="1758"/>
    </row>
    <row r="341" spans="2:63" s="525" customFormat="1" ht="15">
      <c r="B341" s="790"/>
      <c r="C341" s="568" t="s">
        <v>918</v>
      </c>
      <c r="D341" s="568" t="s">
        <v>924</v>
      </c>
      <c r="E341" s="848"/>
      <c r="F341" s="1391"/>
      <c r="G341" s="1118">
        <f t="shared" ref="G341:O341" si="62">G160/INDEX(G$316:G$319, MATCH($C341, $C$316:$C$319, 0))</f>
        <v>0.1141812078127553</v>
      </c>
      <c r="H341" s="1115">
        <f t="shared" si="62"/>
        <v>0.11339338899160013</v>
      </c>
      <c r="I341" s="1115">
        <f t="shared" si="62"/>
        <v>0.10736093667271701</v>
      </c>
      <c r="J341" s="1115">
        <f t="shared" si="62"/>
        <v>9.6190932756014189E-2</v>
      </c>
      <c r="K341" s="1115">
        <f t="shared" si="62"/>
        <v>8.7023506837792683E-2</v>
      </c>
      <c r="L341" s="1115">
        <f t="shared" si="62"/>
        <v>7.9634407326268905E-2</v>
      </c>
      <c r="M341" s="1115">
        <f t="shared" si="62"/>
        <v>7.4170738426783692E-2</v>
      </c>
      <c r="N341" s="1115">
        <f t="shared" si="62"/>
        <v>7.0594229654557084E-2</v>
      </c>
      <c r="O341" s="1115">
        <f t="shared" si="62"/>
        <v>6.8326772916537187E-2</v>
      </c>
      <c r="P341" s="789"/>
      <c r="R341" s="34"/>
      <c r="S341" s="34"/>
      <c r="T341" s="2035"/>
      <c r="U341" s="2035"/>
      <c r="V341" s="2035"/>
      <c r="Y341" s="1758"/>
      <c r="Z341" s="1758"/>
      <c r="AA341" s="1758"/>
      <c r="AB341" s="1758"/>
      <c r="AC341" s="1758"/>
      <c r="AD341" s="1758"/>
      <c r="AE341" s="1758"/>
      <c r="AF341" s="1758"/>
      <c r="AG341" s="1758"/>
      <c r="AH341" s="1758"/>
      <c r="AI341" s="1758"/>
      <c r="AJ341" s="1758"/>
      <c r="AK341" s="1758"/>
      <c r="AL341" s="1758"/>
      <c r="AM341" s="1758"/>
      <c r="AN341" s="1758"/>
      <c r="AO341" s="1758"/>
      <c r="AP341" s="1758"/>
      <c r="AQ341" s="1758"/>
      <c r="AR341" s="1758"/>
      <c r="AS341" s="1758"/>
      <c r="AT341" s="1758"/>
      <c r="AU341" s="1758"/>
      <c r="AV341" s="1758"/>
      <c r="AW341" s="1758"/>
      <c r="AX341" s="1758"/>
      <c r="AY341" s="1758"/>
      <c r="AZ341" s="1758"/>
      <c r="BA341" s="1758"/>
      <c r="BB341" s="1758"/>
      <c r="BC341" s="1758"/>
      <c r="BD341" s="1758"/>
      <c r="BE341" s="1758"/>
      <c r="BF341" s="1758"/>
      <c r="BG341" s="1758"/>
      <c r="BH341" s="1758"/>
      <c r="BI341" s="1758"/>
      <c r="BJ341" s="1758"/>
      <c r="BK341" s="1758"/>
    </row>
    <row r="342" spans="2:63" s="525" customFormat="1" ht="15">
      <c r="B342" s="790"/>
      <c r="C342" s="569" t="s">
        <v>919</v>
      </c>
      <c r="D342" s="569" t="s">
        <v>924</v>
      </c>
      <c r="E342" s="1086"/>
      <c r="F342" s="1387"/>
      <c r="G342" s="1117">
        <f t="shared" ref="G342:O342" si="63">G161/INDEX(G$316:G$319, MATCH($C342, $C$316:$C$319, 0))</f>
        <v>9.6460912091646034E-2</v>
      </c>
      <c r="H342" s="1114">
        <f t="shared" si="63"/>
        <v>8.0854700854700853E-2</v>
      </c>
      <c r="I342" s="1114">
        <f t="shared" si="63"/>
        <v>6.8009459027528071E-2</v>
      </c>
      <c r="J342" s="1114">
        <f t="shared" si="63"/>
        <v>5.7252046397239652E-2</v>
      </c>
      <c r="K342" s="1114">
        <f t="shared" si="63"/>
        <v>4.8111696710459319E-2</v>
      </c>
      <c r="L342" s="1114">
        <f t="shared" si="63"/>
        <v>4.442169097912918E-2</v>
      </c>
      <c r="M342" s="1114">
        <f t="shared" si="63"/>
        <v>4.1213885199940979E-2</v>
      </c>
      <c r="N342" s="1114">
        <f t="shared" si="63"/>
        <v>3.8391368181944094E-2</v>
      </c>
      <c r="O342" s="1114">
        <f t="shared" si="63"/>
        <v>3.5895061728395058E-2</v>
      </c>
      <c r="P342" s="789"/>
      <c r="R342" s="1758"/>
      <c r="S342" s="1758"/>
      <c r="T342" s="1758"/>
      <c r="U342" s="1758"/>
      <c r="V342" s="1758"/>
      <c r="Y342" s="1758"/>
      <c r="Z342" s="1758"/>
      <c r="AA342" s="1758"/>
      <c r="AB342" s="1758"/>
      <c r="AC342" s="1758"/>
      <c r="AD342" s="1758"/>
      <c r="AE342" s="1758"/>
      <c r="AF342" s="1758"/>
      <c r="AG342" s="1758"/>
      <c r="AH342" s="1758"/>
      <c r="AI342" s="1758"/>
      <c r="AJ342" s="1758"/>
      <c r="AK342" s="1758"/>
      <c r="AL342" s="1758"/>
      <c r="AM342" s="1758"/>
      <c r="AN342" s="1758"/>
      <c r="AO342" s="1758"/>
      <c r="AP342" s="1758"/>
      <c r="AQ342" s="1758"/>
      <c r="AR342" s="1758"/>
      <c r="AS342" s="1758"/>
      <c r="AT342" s="1758"/>
      <c r="AU342" s="1758"/>
      <c r="AV342" s="1758"/>
      <c r="AW342" s="1758"/>
      <c r="AX342" s="1758"/>
      <c r="AY342" s="1758"/>
      <c r="AZ342" s="1758"/>
      <c r="BA342" s="1758"/>
      <c r="BB342" s="1758"/>
      <c r="BC342" s="1758"/>
      <c r="BD342" s="1758"/>
      <c r="BE342" s="1758"/>
      <c r="BF342" s="1758"/>
      <c r="BG342" s="1758"/>
      <c r="BH342" s="1758"/>
      <c r="BI342" s="1758"/>
      <c r="BJ342" s="1758"/>
      <c r="BK342" s="1758"/>
    </row>
    <row r="343" spans="2:63" s="525" customFormat="1" ht="15">
      <c r="B343" s="790"/>
      <c r="C343" s="556" t="s">
        <v>921</v>
      </c>
      <c r="D343" s="556" t="s">
        <v>963</v>
      </c>
      <c r="E343" s="618" t="s">
        <v>420</v>
      </c>
      <c r="F343" s="1425">
        <f>F162/INDEX(F$316:F$319, MATCH($C343, $C$316:$C$319, 0))</f>
        <v>0.10954818290623002</v>
      </c>
      <c r="G343" s="1119">
        <f t="shared" ref="G343:O343" si="64">G162/INDEX(G$316:G$319, MATCH($C343, $C$316:$C$319, 0))</f>
        <v>9.6247184235633221E-2</v>
      </c>
      <c r="H343" s="1116">
        <f t="shared" si="64"/>
        <v>8.9563396345818364E-2</v>
      </c>
      <c r="I343" s="1116">
        <f t="shared" si="64"/>
        <v>8.330900782826918E-2</v>
      </c>
      <c r="J343" s="1116">
        <f t="shared" si="64"/>
        <v>7.7443926455767489E-2</v>
      </c>
      <c r="K343" s="1116">
        <f t="shared" si="64"/>
        <v>7.1932900468966568E-2</v>
      </c>
      <c r="L343" s="1116">
        <f t="shared" si="64"/>
        <v>6.6744809472292346E-2</v>
      </c>
      <c r="M343" s="1116">
        <f t="shared" si="64"/>
        <v>6.1852076437710783E-2</v>
      </c>
      <c r="N343" s="1116">
        <f t="shared" si="64"/>
        <v>5.723017735290456E-2</v>
      </c>
      <c r="O343" s="1116">
        <f t="shared" si="64"/>
        <v>5.2857230105700925E-2</v>
      </c>
      <c r="P343" s="789"/>
      <c r="R343" s="1758"/>
      <c r="S343" s="1758"/>
      <c r="T343" s="1758"/>
      <c r="U343" s="1758"/>
      <c r="V343" s="1758"/>
      <c r="Y343" s="1758"/>
      <c r="Z343" s="1758"/>
      <c r="AA343" s="1758"/>
      <c r="AB343" s="1758"/>
      <c r="AC343" s="1758"/>
      <c r="AD343" s="1758"/>
      <c r="AE343" s="1758"/>
      <c r="AF343" s="1758"/>
      <c r="AG343" s="1758"/>
      <c r="AH343" s="1758"/>
      <c r="AI343" s="1758"/>
      <c r="AJ343" s="1758"/>
      <c r="AK343" s="1758"/>
      <c r="AL343" s="1758"/>
      <c r="AM343" s="1758"/>
      <c r="AN343" s="1758"/>
      <c r="AO343" s="1758"/>
      <c r="AP343" s="1758"/>
      <c r="AQ343" s="1758"/>
      <c r="AR343" s="1758"/>
      <c r="AS343" s="1758"/>
      <c r="AT343" s="1758"/>
      <c r="AU343" s="1758"/>
      <c r="AV343" s="1758"/>
      <c r="AW343" s="1758"/>
      <c r="AX343" s="1758"/>
      <c r="AY343" s="1758"/>
      <c r="AZ343" s="1758"/>
      <c r="BA343" s="1758"/>
      <c r="BB343" s="1758"/>
      <c r="BC343" s="1758"/>
      <c r="BD343" s="1758"/>
      <c r="BE343" s="1758"/>
      <c r="BF343" s="1758"/>
      <c r="BG343" s="1758"/>
      <c r="BH343" s="1758"/>
      <c r="BI343" s="1758"/>
      <c r="BJ343" s="1758"/>
      <c r="BK343" s="1758"/>
    </row>
    <row r="344" spans="2:63" s="525" customFormat="1" ht="15">
      <c r="B344" s="790"/>
      <c r="C344" s="568"/>
      <c r="D344" s="568"/>
      <c r="E344" s="848"/>
      <c r="F344" s="1091"/>
      <c r="G344" s="1065"/>
      <c r="H344" s="1065"/>
      <c r="I344" s="1065"/>
      <c r="J344" s="1065"/>
      <c r="K344" s="615"/>
      <c r="L344" s="615"/>
      <c r="M344" s="615"/>
      <c r="N344" s="615"/>
      <c r="O344" s="615"/>
      <c r="P344" s="789"/>
      <c r="R344" s="1758"/>
      <c r="S344" s="1758"/>
      <c r="T344" s="1758"/>
      <c r="U344" s="1758"/>
      <c r="V344" s="1758"/>
      <c r="Y344" s="1758"/>
      <c r="Z344" s="1758"/>
      <c r="AA344" s="1758"/>
      <c r="AB344" s="1758"/>
      <c r="AC344" s="1758"/>
      <c r="AD344" s="1758"/>
      <c r="AE344" s="1758"/>
      <c r="AF344" s="1758"/>
      <c r="AG344" s="1758"/>
      <c r="AH344" s="1758"/>
      <c r="AI344" s="1758"/>
      <c r="AJ344" s="1758"/>
      <c r="AK344" s="1758"/>
      <c r="AL344" s="1758"/>
      <c r="AM344" s="1758"/>
      <c r="AN344" s="1758"/>
      <c r="AO344" s="1758"/>
      <c r="AP344" s="1758"/>
      <c r="AQ344" s="1758"/>
      <c r="AR344" s="1758"/>
      <c r="AS344" s="1758"/>
      <c r="AT344" s="1758"/>
      <c r="AU344" s="1758"/>
      <c r="AV344" s="1758"/>
      <c r="AW344" s="1758"/>
      <c r="AX344" s="1758"/>
      <c r="AY344" s="1758"/>
      <c r="AZ344" s="1758"/>
      <c r="BA344" s="1758"/>
      <c r="BB344" s="1758"/>
      <c r="BC344" s="1758"/>
      <c r="BD344" s="1758"/>
      <c r="BE344" s="1758"/>
      <c r="BF344" s="1758"/>
      <c r="BG344" s="1758"/>
      <c r="BH344" s="1758"/>
      <c r="BI344" s="1758"/>
      <c r="BJ344" s="1758"/>
      <c r="BK344" s="1758"/>
    </row>
    <row r="345" spans="2:63" s="525" customFormat="1" ht="15">
      <c r="B345" s="790"/>
      <c r="C345" s="590" t="s">
        <v>1121</v>
      </c>
      <c r="D345" s="588"/>
      <c r="E345" s="591"/>
      <c r="F345" s="588"/>
      <c r="G345" s="1089" t="s">
        <v>100</v>
      </c>
      <c r="H345" s="588"/>
      <c r="I345" s="588"/>
      <c r="J345" s="591"/>
      <c r="K345" s="615"/>
      <c r="L345" s="615"/>
      <c r="M345" s="615"/>
      <c r="N345" s="615"/>
      <c r="O345" s="615" t="str">
        <f>Preferences.EnergyUnits &amp; " / bn passenger-km"</f>
        <v>TWh / bn passenger-km</v>
      </c>
      <c r="P345" s="789"/>
      <c r="Y345" s="1758"/>
      <c r="Z345" s="1758"/>
      <c r="AA345" s="1758"/>
      <c r="AB345" s="1758"/>
      <c r="AC345" s="1758"/>
      <c r="AD345" s="1758"/>
      <c r="AE345" s="1758"/>
      <c r="AF345" s="1758"/>
      <c r="AG345" s="1758"/>
      <c r="AH345" s="1758"/>
      <c r="AI345" s="1758"/>
      <c r="AJ345" s="1758"/>
      <c r="AK345" s="1758"/>
      <c r="AL345" s="1758"/>
      <c r="AM345" s="1758"/>
      <c r="AN345" s="1758"/>
      <c r="AO345" s="1758"/>
      <c r="AP345" s="1758"/>
      <c r="AQ345" s="1758"/>
      <c r="AR345" s="1758"/>
      <c r="AS345" s="1758"/>
      <c r="AT345" s="1758"/>
      <c r="AU345" s="1758"/>
      <c r="AV345" s="1758"/>
      <c r="AW345" s="1758"/>
      <c r="AX345" s="1758"/>
      <c r="AY345" s="1758"/>
      <c r="AZ345" s="1758"/>
      <c r="BA345" s="1758"/>
      <c r="BB345" s="1758"/>
      <c r="BC345" s="1758"/>
      <c r="BD345" s="1758"/>
      <c r="BE345" s="1758"/>
      <c r="BF345" s="1758"/>
      <c r="BG345" s="1758"/>
      <c r="BH345" s="1758"/>
      <c r="BI345" s="1758"/>
      <c r="BJ345" s="1758"/>
      <c r="BK345" s="1758"/>
    </row>
    <row r="346" spans="2:63" s="525" customFormat="1" ht="13.5" customHeight="1">
      <c r="B346" s="790"/>
      <c r="C346" s="588"/>
      <c r="D346" s="588"/>
      <c r="E346" s="588"/>
      <c r="F346" s="588"/>
      <c r="G346" s="588"/>
      <c r="H346" s="588"/>
      <c r="I346" s="588"/>
      <c r="J346" s="588"/>
      <c r="K346" s="615"/>
      <c r="L346" s="615"/>
      <c r="M346" s="615"/>
      <c r="N346" s="615"/>
      <c r="O346" s="615"/>
      <c r="P346" s="789"/>
      <c r="T346" s="1758"/>
      <c r="U346" s="1758"/>
      <c r="V346" s="1758"/>
      <c r="W346" s="1758"/>
      <c r="X346" s="1758"/>
      <c r="Y346" s="1758"/>
      <c r="Z346" s="1758"/>
      <c r="AA346" s="1758"/>
      <c r="AB346" s="1758"/>
      <c r="AC346" s="1758"/>
      <c r="AD346" s="1758"/>
      <c r="AE346" s="1758"/>
      <c r="AF346" s="1758"/>
      <c r="AG346" s="1758"/>
      <c r="AH346" s="1758"/>
      <c r="AI346" s="1758"/>
      <c r="AJ346" s="1758"/>
      <c r="AK346" s="1758"/>
      <c r="AL346" s="1758"/>
      <c r="AM346" s="1758"/>
      <c r="AN346" s="1758"/>
      <c r="AO346" s="1758"/>
      <c r="AP346" s="1758"/>
      <c r="AQ346" s="1758"/>
      <c r="AR346" s="1758"/>
      <c r="AS346" s="1758"/>
      <c r="AT346" s="1758"/>
      <c r="AU346" s="1758"/>
      <c r="AV346" s="1758"/>
      <c r="AW346" s="1758"/>
      <c r="AX346" s="1758"/>
      <c r="AY346" s="1758"/>
      <c r="AZ346" s="1758"/>
      <c r="BA346" s="1758"/>
      <c r="BB346" s="1758"/>
      <c r="BC346" s="1758"/>
      <c r="BD346" s="1758"/>
      <c r="BE346" s="1758"/>
      <c r="BF346" s="1758"/>
      <c r="BG346" s="1758"/>
      <c r="BH346" s="1758"/>
      <c r="BI346" s="1758"/>
      <c r="BJ346" s="1758"/>
      <c r="BK346" s="1758"/>
    </row>
    <row r="347" spans="2:63" s="525" customFormat="1" ht="15">
      <c r="B347" s="790"/>
      <c r="C347" s="542" t="s">
        <v>906</v>
      </c>
      <c r="D347" s="542" t="s">
        <v>657</v>
      </c>
      <c r="E347" s="542" t="s">
        <v>422</v>
      </c>
      <c r="F347" s="607">
        <v>2007</v>
      </c>
      <c r="G347" s="608">
        <v>2010</v>
      </c>
      <c r="H347" s="607">
        <v>2015</v>
      </c>
      <c r="I347" s="607">
        <v>2020</v>
      </c>
      <c r="J347" s="607">
        <v>2025</v>
      </c>
      <c r="K347" s="607">
        <v>2030</v>
      </c>
      <c r="L347" s="607">
        <v>2035</v>
      </c>
      <c r="M347" s="607">
        <v>2040</v>
      </c>
      <c r="N347" s="607">
        <v>2045</v>
      </c>
      <c r="O347" s="607">
        <v>2050</v>
      </c>
      <c r="P347" s="789"/>
      <c r="T347" s="1758"/>
      <c r="U347" s="1758"/>
      <c r="V347" s="1758"/>
      <c r="W347" s="1758"/>
      <c r="X347" s="1758"/>
      <c r="Y347" s="1758"/>
      <c r="Z347" s="1758"/>
      <c r="AA347" s="1758"/>
      <c r="AB347" s="1758"/>
      <c r="AC347" s="1758"/>
      <c r="AD347" s="1758"/>
      <c r="AE347" s="1758"/>
      <c r="AF347" s="1758"/>
      <c r="AG347" s="1758"/>
      <c r="AH347" s="1758"/>
      <c r="AI347" s="1758"/>
      <c r="AJ347" s="1758"/>
      <c r="AK347" s="1758"/>
      <c r="AL347" s="1758"/>
      <c r="AM347" s="1758"/>
      <c r="AN347" s="1758"/>
      <c r="AO347" s="1758"/>
      <c r="AP347" s="1758"/>
      <c r="AQ347" s="1758"/>
      <c r="AR347" s="1758"/>
      <c r="AS347" s="1758"/>
      <c r="AT347" s="1758"/>
      <c r="AU347" s="1758"/>
      <c r="AV347" s="1758"/>
      <c r="AW347" s="1758"/>
      <c r="AX347" s="1758"/>
      <c r="AY347" s="1758"/>
      <c r="AZ347" s="1758"/>
      <c r="BA347" s="1758"/>
      <c r="BB347" s="1758"/>
      <c r="BC347" s="1758"/>
      <c r="BD347" s="1758"/>
      <c r="BE347" s="1758"/>
      <c r="BF347" s="1758"/>
      <c r="BG347" s="1758"/>
      <c r="BH347" s="1758"/>
      <c r="BI347" s="1758"/>
      <c r="BJ347" s="1758"/>
      <c r="BK347" s="1758"/>
    </row>
    <row r="348" spans="2:63" s="525" customFormat="1" ht="17">
      <c r="B348" s="790"/>
      <c r="C348" s="569" t="s">
        <v>918</v>
      </c>
      <c r="D348" s="569" t="s">
        <v>925</v>
      </c>
      <c r="E348" s="1086"/>
      <c r="F348" s="1387"/>
      <c r="G348" s="1117">
        <f t="shared" ref="G348:O348" si="65">G167/INDEX(G$316:G$319, MATCH($C348, $C$316:$C$319, 0))</f>
        <v>0.16651426139360148</v>
      </c>
      <c r="H348" s="1114">
        <f t="shared" si="65"/>
        <v>0.16536535894608353</v>
      </c>
      <c r="I348" s="1114">
        <f t="shared" si="65"/>
        <v>0.15653675032350697</v>
      </c>
      <c r="J348" s="1114">
        <f t="shared" si="65"/>
        <v>0.14037165187069511</v>
      </c>
      <c r="K348" s="1114">
        <f t="shared" si="65"/>
        <v>0.12423994274076358</v>
      </c>
      <c r="L348" s="1114">
        <f t="shared" si="65"/>
        <v>0.10850877672632483</v>
      </c>
      <c r="M348" s="1114">
        <f t="shared" si="65"/>
        <v>9.7737303099333178E-2</v>
      </c>
      <c r="N348" s="1114">
        <f t="shared" si="65"/>
        <v>9.1826941401557546E-2</v>
      </c>
      <c r="O348" s="1114">
        <f t="shared" si="65"/>
        <v>8.79774806946442E-2</v>
      </c>
      <c r="P348" s="789"/>
      <c r="T348" s="1758"/>
      <c r="U348" s="1758"/>
      <c r="V348" s="1758"/>
      <c r="W348" s="1758"/>
      <c r="X348" s="2067"/>
      <c r="Y348" s="1758"/>
      <c r="Z348" s="1758"/>
      <c r="AA348" s="1758"/>
      <c r="AB348" s="1758"/>
      <c r="AC348" s="1758"/>
      <c r="AD348" s="1758"/>
      <c r="AE348" s="1758"/>
      <c r="AF348" s="1758"/>
      <c r="AG348" s="1758"/>
      <c r="AH348" s="1758"/>
      <c r="AI348" s="1758"/>
      <c r="AJ348" s="1758"/>
      <c r="AK348" s="1758"/>
      <c r="AL348" s="1758"/>
      <c r="AM348" s="1758"/>
      <c r="AN348" s="1758"/>
      <c r="AO348" s="1758"/>
      <c r="AP348" s="1758"/>
      <c r="AQ348" s="1758"/>
      <c r="AR348" s="1758"/>
      <c r="AS348" s="1758"/>
      <c r="AT348" s="1758"/>
      <c r="AU348" s="1758"/>
      <c r="AV348" s="1758"/>
      <c r="AW348" s="1758"/>
      <c r="AX348" s="1758"/>
      <c r="AY348" s="1758"/>
      <c r="AZ348" s="1758"/>
      <c r="BA348" s="1758"/>
      <c r="BB348" s="1758"/>
      <c r="BC348" s="1758"/>
      <c r="BD348" s="1758"/>
      <c r="BE348" s="1758"/>
      <c r="BF348" s="1758"/>
      <c r="BG348" s="1758"/>
      <c r="BH348" s="1758"/>
      <c r="BI348" s="1758"/>
      <c r="BJ348" s="1758"/>
      <c r="BK348" s="1758"/>
    </row>
    <row r="349" spans="2:63" s="525" customFormat="1" ht="15">
      <c r="B349" s="790"/>
      <c r="C349" s="599" t="s">
        <v>919</v>
      </c>
      <c r="D349" s="599" t="s">
        <v>925</v>
      </c>
      <c r="E349" s="1011"/>
      <c r="F349" s="1547"/>
      <c r="G349" s="1463">
        <f t="shared" ref="G349:O349" si="66">G168/INDEX(G$316:G$319, MATCH($C349, $C$316:$C$319, 0))</f>
        <v>0.66124945391000445</v>
      </c>
      <c r="H349" s="1464">
        <f t="shared" si="66"/>
        <v>0.59708086785009862</v>
      </c>
      <c r="I349" s="1464">
        <f t="shared" si="66"/>
        <v>0.50684645810859397</v>
      </c>
      <c r="J349" s="1464">
        <f t="shared" si="66"/>
        <v>0.43362239841427153</v>
      </c>
      <c r="K349" s="1464">
        <f t="shared" si="66"/>
        <v>0.37357317445768412</v>
      </c>
      <c r="L349" s="1464">
        <f t="shared" si="66"/>
        <v>0.32393577720943451</v>
      </c>
      <c r="M349" s="1464">
        <f t="shared" si="66"/>
        <v>0.28204116865869855</v>
      </c>
      <c r="N349" s="1464">
        <f t="shared" si="66"/>
        <v>0.24646472201446021</v>
      </c>
      <c r="O349" s="1464">
        <f t="shared" si="66"/>
        <v>0.21611111111111111</v>
      </c>
      <c r="P349" s="789"/>
      <c r="T349" s="37"/>
      <c r="U349" s="37"/>
      <c r="V349" s="37"/>
      <c r="W349" s="37"/>
      <c r="X349" s="37"/>
      <c r="Y349" s="37"/>
      <c r="Z349" s="2035"/>
      <c r="AA349" s="2035"/>
      <c r="AB349" s="2035"/>
      <c r="AC349" s="2035"/>
      <c r="AD349" s="2035"/>
      <c r="AE349" s="2035"/>
      <c r="AF349" s="2035"/>
      <c r="AG349" s="2035"/>
      <c r="AH349" s="2035"/>
      <c r="AI349" s="2035"/>
      <c r="AJ349" s="2035"/>
      <c r="AK349" s="2035"/>
      <c r="AL349" s="37"/>
      <c r="AM349" s="37"/>
      <c r="AN349" s="37"/>
      <c r="AO349" s="37"/>
      <c r="AP349" s="37"/>
      <c r="AQ349" s="37"/>
      <c r="AR349" s="37"/>
      <c r="AS349" s="37"/>
      <c r="AT349" s="37"/>
      <c r="AU349" s="37"/>
      <c r="AV349" s="37"/>
      <c r="AW349" s="2035"/>
      <c r="AX349" s="1758"/>
      <c r="AY349" s="1758"/>
      <c r="AZ349" s="1758"/>
      <c r="BA349" s="1758"/>
      <c r="BB349" s="1758"/>
      <c r="BC349" s="1758"/>
      <c r="BD349" s="1758"/>
      <c r="BE349" s="1758"/>
      <c r="BF349" s="1758"/>
      <c r="BG349" s="1758"/>
      <c r="BH349" s="1758"/>
      <c r="BI349" s="1758"/>
      <c r="BJ349" s="1758"/>
      <c r="BK349" s="1758"/>
    </row>
    <row r="350" spans="2:63" s="525" customFormat="1" ht="15">
      <c r="B350" s="790"/>
      <c r="C350" s="568"/>
      <c r="D350" s="568"/>
      <c r="E350" s="848"/>
      <c r="F350" s="1091"/>
      <c r="G350" s="510"/>
      <c r="H350" s="510"/>
      <c r="I350" s="510"/>
      <c r="J350" s="510"/>
      <c r="K350" s="510"/>
      <c r="L350" s="510"/>
      <c r="M350" s="510"/>
      <c r="N350" s="510"/>
      <c r="O350" s="510"/>
      <c r="P350" s="789"/>
      <c r="T350" s="37"/>
      <c r="U350" s="37"/>
      <c r="V350" s="37"/>
      <c r="W350" s="37"/>
      <c r="X350" s="37"/>
      <c r="Y350" s="37"/>
      <c r="Z350" s="2035"/>
      <c r="AA350" s="2035"/>
      <c r="AB350" s="2035"/>
      <c r="AC350" s="2035"/>
      <c r="AD350" s="2035"/>
      <c r="AE350" s="2035"/>
      <c r="AF350" s="2035"/>
      <c r="AG350" s="2035"/>
      <c r="AH350" s="2035"/>
      <c r="AI350" s="2035"/>
      <c r="AJ350" s="2035"/>
      <c r="AK350" s="2035"/>
      <c r="AL350" s="37"/>
      <c r="AM350" s="37"/>
      <c r="AN350" s="37"/>
      <c r="AO350" s="37"/>
      <c r="AP350" s="37"/>
      <c r="AQ350" s="37"/>
      <c r="AR350" s="37"/>
      <c r="AS350" s="37"/>
      <c r="AT350" s="37"/>
      <c r="AU350" s="37"/>
      <c r="AV350" s="37"/>
      <c r="AW350" s="2035"/>
      <c r="AX350" s="1758"/>
      <c r="AY350" s="1758"/>
      <c r="AZ350" s="1758"/>
      <c r="BA350" s="1758"/>
      <c r="BB350" s="1758"/>
      <c r="BC350" s="1758"/>
      <c r="BD350" s="1758"/>
      <c r="BE350" s="1758"/>
      <c r="BF350" s="1758"/>
      <c r="BG350" s="1758"/>
      <c r="BH350" s="1758"/>
      <c r="BI350" s="1758"/>
      <c r="BJ350" s="1758"/>
      <c r="BK350" s="1758"/>
    </row>
    <row r="351" spans="2:63" s="525" customFormat="1" ht="15">
      <c r="B351" s="790"/>
      <c r="C351" s="567"/>
      <c r="D351" s="744"/>
      <c r="E351" s="568"/>
      <c r="F351" s="1055"/>
      <c r="G351" s="1056"/>
      <c r="H351" s="1056"/>
      <c r="I351" s="1056"/>
      <c r="J351" s="1056"/>
      <c r="K351" s="615"/>
      <c r="L351" s="615"/>
      <c r="M351" s="615"/>
      <c r="N351" s="615"/>
      <c r="O351" s="615"/>
      <c r="P351" s="789"/>
      <c r="T351" s="37"/>
      <c r="U351" s="37"/>
      <c r="V351" s="37"/>
      <c r="W351" s="37"/>
      <c r="X351" s="37"/>
      <c r="Y351" s="37"/>
      <c r="Z351" s="2035"/>
      <c r="AA351" s="2035"/>
      <c r="AB351" s="2035"/>
      <c r="AC351" s="2035"/>
      <c r="AD351" s="2035"/>
      <c r="AE351" s="2035"/>
      <c r="AF351" s="2035"/>
      <c r="AG351" s="2035"/>
      <c r="AH351" s="2035"/>
      <c r="AI351" s="2035"/>
      <c r="AJ351" s="2035"/>
      <c r="AK351" s="2035"/>
      <c r="AL351" s="37"/>
      <c r="AM351" s="37"/>
      <c r="AN351" s="37"/>
      <c r="AO351" s="37"/>
      <c r="AP351" s="37"/>
      <c r="AQ351" s="37"/>
      <c r="AR351" s="37"/>
      <c r="AS351" s="37"/>
      <c r="AT351" s="37"/>
      <c r="AU351" s="37"/>
      <c r="AV351" s="37"/>
      <c r="AW351" s="2035"/>
      <c r="AX351" s="1758"/>
      <c r="AY351" s="1758"/>
      <c r="AZ351" s="1758"/>
      <c r="BA351" s="1758"/>
      <c r="BB351" s="1758"/>
      <c r="BC351" s="1758"/>
      <c r="BD351" s="1758"/>
      <c r="BE351" s="1758"/>
      <c r="BF351" s="1758"/>
      <c r="BG351" s="1758"/>
      <c r="BH351" s="1758"/>
      <c r="BI351" s="1758"/>
      <c r="BJ351" s="1758"/>
      <c r="BK351" s="1758"/>
    </row>
    <row r="352" spans="2:63" s="1703" customFormat="1">
      <c r="B352" s="844"/>
      <c r="T352" s="37"/>
      <c r="U352" s="37"/>
      <c r="V352" s="37"/>
      <c r="W352" s="37"/>
      <c r="X352" s="37"/>
      <c r="Y352" s="37"/>
      <c r="Z352" s="2035"/>
      <c r="AA352" s="2035"/>
      <c r="AB352" s="2035"/>
      <c r="AC352" s="2035"/>
      <c r="AD352" s="2035"/>
      <c r="AE352" s="2035"/>
      <c r="AF352" s="2035"/>
      <c r="AG352" s="2035"/>
      <c r="AH352" s="2035"/>
      <c r="AI352" s="2035"/>
      <c r="AJ352" s="2035"/>
      <c r="AK352" s="2035"/>
      <c r="AL352" s="37"/>
      <c r="AM352" s="37"/>
      <c r="AN352" s="37"/>
      <c r="AO352" s="37"/>
      <c r="AP352" s="37"/>
      <c r="AQ352" s="37"/>
      <c r="AR352" s="37"/>
      <c r="AS352" s="37"/>
      <c r="AT352" s="37"/>
      <c r="AU352" s="37"/>
      <c r="AV352" s="37"/>
      <c r="AW352" s="2035"/>
      <c r="AX352" s="37"/>
      <c r="AY352" s="37"/>
      <c r="AZ352" s="37"/>
      <c r="BA352" s="37"/>
      <c r="BB352" s="37"/>
      <c r="BC352" s="37"/>
      <c r="BD352" s="37"/>
      <c r="BE352" s="37"/>
      <c r="BF352" s="37"/>
      <c r="BG352" s="37"/>
      <c r="BH352" s="37"/>
      <c r="BI352" s="37"/>
      <c r="BJ352" s="37"/>
      <c r="BK352" s="37"/>
    </row>
    <row r="353" spans="1:63" s="528" customFormat="1" ht="22" collapsed="1">
      <c r="A353" s="798"/>
      <c r="B353" s="845" t="s">
        <v>1565</v>
      </c>
      <c r="C353" s="796"/>
      <c r="D353" s="796"/>
      <c r="E353" s="796"/>
      <c r="F353" s="796"/>
      <c r="G353" s="796"/>
      <c r="H353" s="796"/>
      <c r="I353" s="796"/>
      <c r="J353" s="796"/>
      <c r="K353" s="796"/>
      <c r="L353" s="796"/>
      <c r="M353" s="796"/>
      <c r="N353" s="796"/>
      <c r="O353" s="796"/>
      <c r="P353" s="797"/>
      <c r="Q353" s="1355"/>
      <c r="R353" s="1355"/>
      <c r="T353" s="37"/>
      <c r="U353" s="37"/>
      <c r="V353" s="37"/>
      <c r="W353" s="37"/>
      <c r="X353" s="37"/>
      <c r="Y353" s="37"/>
      <c r="Z353" s="2035"/>
      <c r="AA353" s="2035"/>
      <c r="AB353" s="2035"/>
      <c r="AC353" s="2035"/>
      <c r="AD353" s="2035"/>
      <c r="AE353" s="2035"/>
      <c r="AF353" s="2035"/>
      <c r="AG353" s="2035"/>
      <c r="AH353" s="2035"/>
      <c r="AI353" s="2035"/>
      <c r="AJ353" s="2035"/>
      <c r="AK353" s="2035"/>
      <c r="AL353" s="37"/>
      <c r="AM353" s="37"/>
      <c r="AN353" s="37"/>
      <c r="AO353" s="37"/>
      <c r="AP353" s="37"/>
      <c r="AQ353" s="37"/>
      <c r="AR353" s="37"/>
      <c r="AS353" s="37"/>
      <c r="AT353" s="37"/>
      <c r="AU353" s="37"/>
      <c r="AV353" s="37"/>
      <c r="AW353" s="2035"/>
      <c r="AX353" s="34"/>
      <c r="AY353" s="34"/>
      <c r="AZ353" s="34"/>
      <c r="BA353" s="34"/>
      <c r="BB353" s="34"/>
      <c r="BC353" s="34"/>
      <c r="BD353" s="34"/>
      <c r="BE353" s="34"/>
      <c r="BF353" s="34"/>
      <c r="BG353" s="34"/>
      <c r="BH353" s="34"/>
      <c r="BI353" s="34"/>
      <c r="BJ353" s="34"/>
      <c r="BK353" s="34"/>
    </row>
    <row r="354" spans="1:63" s="1703" customFormat="1" ht="15.75" customHeight="1">
      <c r="B354" s="788"/>
      <c r="C354" s="588"/>
      <c r="D354" s="588"/>
      <c r="E354" s="588"/>
      <c r="F354" s="588"/>
      <c r="G354" s="588"/>
      <c r="H354" s="588"/>
      <c r="I354" s="588"/>
      <c r="J354" s="588"/>
      <c r="K354" s="588"/>
      <c r="L354" s="588"/>
      <c r="M354" s="588"/>
      <c r="N354" s="588"/>
      <c r="O354" s="588"/>
      <c r="P354" s="789"/>
      <c r="Q354" s="1044"/>
      <c r="R354" s="1044"/>
      <c r="T354" s="37"/>
      <c r="U354" s="37"/>
      <c r="V354" s="37"/>
      <c r="W354" s="37"/>
      <c r="X354" s="37"/>
      <c r="Y354" s="37"/>
      <c r="Z354" s="2035"/>
      <c r="AA354" s="2035"/>
      <c r="AB354" s="2035"/>
      <c r="AC354" s="2035"/>
      <c r="AD354" s="2035"/>
      <c r="AE354" s="2035"/>
      <c r="AF354" s="2035"/>
      <c r="AG354" s="2035"/>
      <c r="AH354" s="2035"/>
      <c r="AI354" s="2035"/>
      <c r="AJ354" s="2035"/>
      <c r="AK354" s="2035"/>
      <c r="AL354" s="37"/>
      <c r="AM354" s="37"/>
      <c r="AN354" s="37"/>
      <c r="AO354" s="37"/>
      <c r="AP354" s="37"/>
      <c r="AQ354" s="37"/>
      <c r="AR354" s="37"/>
      <c r="AS354" s="37"/>
      <c r="AT354" s="37"/>
      <c r="AU354" s="37"/>
      <c r="AV354" s="37"/>
      <c r="AW354" s="2035"/>
      <c r="AX354" s="37"/>
      <c r="AY354" s="37"/>
      <c r="AZ354" s="37"/>
      <c r="BA354" s="37"/>
      <c r="BB354" s="37"/>
      <c r="BC354" s="37"/>
      <c r="BD354" s="37"/>
      <c r="BE354" s="37"/>
      <c r="BF354" s="37"/>
      <c r="BG354" s="37"/>
      <c r="BH354" s="37"/>
      <c r="BI354" s="37"/>
      <c r="BJ354" s="37"/>
      <c r="BK354" s="37"/>
    </row>
    <row r="355" spans="1:63" s="1780" customFormat="1" ht="14.25" customHeight="1">
      <c r="B355" s="1722"/>
      <c r="C355" s="1723" t="s">
        <v>1566</v>
      </c>
      <c r="D355" s="1722"/>
      <c r="E355" s="1722"/>
      <c r="F355" s="1722"/>
      <c r="G355" s="1722"/>
      <c r="H355" s="1722"/>
      <c r="I355" s="1722"/>
      <c r="J355" s="1722"/>
      <c r="K355" s="1722"/>
      <c r="L355" s="1722"/>
      <c r="M355" s="1722"/>
      <c r="N355" s="1722"/>
      <c r="O355" s="1708" t="str">
        <f>Preferences.moneyunits&amp;" per thousand vehicle units"</f>
        <v>£m per thousand vehicle units</v>
      </c>
      <c r="P355" s="1726"/>
      <c r="Q355" s="1044"/>
      <c r="R355" s="1044"/>
      <c r="T355" s="37"/>
      <c r="U355" s="37"/>
      <c r="V355" s="37"/>
      <c r="W355" s="37"/>
      <c r="X355" s="37"/>
      <c r="Y355" s="37"/>
      <c r="Z355" s="2035"/>
      <c r="AA355" s="2035"/>
      <c r="AB355" s="2035"/>
      <c r="AC355" s="2035"/>
      <c r="AD355" s="2035"/>
      <c r="AE355" s="2035"/>
      <c r="AF355" s="2035"/>
      <c r="AG355" s="2035"/>
      <c r="AH355" s="2035"/>
      <c r="AI355" s="2035"/>
      <c r="AJ355" s="2035"/>
      <c r="AK355" s="2035"/>
      <c r="AL355" s="37"/>
      <c r="AM355" s="37"/>
      <c r="AN355" s="37"/>
      <c r="AO355" s="37"/>
      <c r="AP355" s="37"/>
      <c r="AQ355" s="37"/>
      <c r="AR355" s="37"/>
      <c r="AS355" s="37"/>
      <c r="AT355" s="37"/>
      <c r="AU355" s="37"/>
      <c r="AV355" s="37"/>
      <c r="AW355" s="2035"/>
      <c r="AX355" s="37"/>
      <c r="AY355" s="37"/>
      <c r="AZ355" s="37"/>
      <c r="BA355" s="37"/>
      <c r="BB355" s="37"/>
      <c r="BC355" s="37"/>
      <c r="BD355" s="37"/>
      <c r="BE355" s="37"/>
      <c r="BF355" s="37"/>
      <c r="BG355" s="37"/>
      <c r="BH355" s="37"/>
      <c r="BI355" s="37"/>
      <c r="BJ355" s="37"/>
      <c r="BK355" s="37"/>
    </row>
    <row r="356" spans="1:63" s="1780" customFormat="1" ht="16.5" customHeight="1">
      <c r="B356" s="1704"/>
      <c r="C356" s="1966" t="s">
        <v>1803</v>
      </c>
      <c r="D356" s="1967"/>
      <c r="E356" s="1968" t="s">
        <v>1413</v>
      </c>
      <c r="F356" s="1969">
        <v>2007</v>
      </c>
      <c r="G356" s="1969">
        <v>2010</v>
      </c>
      <c r="H356" s="1969">
        <v>2015</v>
      </c>
      <c r="I356" s="1969">
        <v>2020</v>
      </c>
      <c r="J356" s="1969">
        <v>2025</v>
      </c>
      <c r="K356" s="1969">
        <v>2030</v>
      </c>
      <c r="L356" s="1969">
        <v>2035</v>
      </c>
      <c r="M356" s="1969">
        <v>2040</v>
      </c>
      <c r="N356" s="1969">
        <v>2045</v>
      </c>
      <c r="O356" s="1969">
        <v>2050</v>
      </c>
      <c r="P356" s="1726"/>
      <c r="Q356" s="1984"/>
      <c r="R356" s="1984"/>
      <c r="T356" s="37"/>
      <c r="U356" s="37"/>
      <c r="V356" s="37"/>
      <c r="W356" s="37"/>
      <c r="X356" s="37"/>
      <c r="Y356" s="37"/>
      <c r="Z356" s="2035"/>
      <c r="AA356" s="2035"/>
      <c r="AB356" s="2035"/>
      <c r="AC356" s="2035"/>
      <c r="AD356" s="2035"/>
      <c r="AE356" s="2035"/>
      <c r="AF356" s="2035"/>
      <c r="AG356" s="2035"/>
      <c r="AH356" s="2035"/>
      <c r="AI356" s="2035"/>
      <c r="AJ356" s="2035"/>
      <c r="AK356" s="2035"/>
      <c r="AL356" s="37"/>
      <c r="AM356" s="37"/>
      <c r="AN356" s="37"/>
      <c r="AO356" s="37"/>
      <c r="AP356" s="37"/>
      <c r="AQ356" s="37"/>
      <c r="AR356" s="37"/>
      <c r="AS356" s="37"/>
      <c r="AT356" s="37"/>
      <c r="AU356" s="37"/>
      <c r="AV356" s="37"/>
      <c r="AW356" s="2035"/>
      <c r="AX356" s="37"/>
      <c r="AY356" s="37"/>
      <c r="AZ356" s="37"/>
      <c r="BA356" s="37"/>
      <c r="BB356" s="37"/>
      <c r="BC356" s="37"/>
      <c r="BD356" s="37"/>
      <c r="BE356" s="37"/>
      <c r="BF356" s="37"/>
      <c r="BG356" s="37"/>
      <c r="BH356" s="37"/>
      <c r="BI356" s="37"/>
      <c r="BJ356" s="37"/>
      <c r="BK356" s="37"/>
    </row>
    <row r="357" spans="1:63" s="1713" customFormat="1" ht="14">
      <c r="B357" s="1704"/>
      <c r="C357" s="1947" t="s">
        <v>920</v>
      </c>
      <c r="D357" s="1947" t="s">
        <v>920</v>
      </c>
      <c r="E357" s="1585">
        <f>(O357-G357)/(O$356-G$356)</f>
        <v>8.7499999999999991E-3</v>
      </c>
      <c r="F357" s="1965">
        <f>250*GBP*1000</f>
        <v>0.25</v>
      </c>
      <c r="G357" s="1965">
        <f>F357</f>
        <v>0.25</v>
      </c>
      <c r="H357" s="1965">
        <f>G357+$E357*(H$356-G$356)</f>
        <v>0.29375000000000001</v>
      </c>
      <c r="I357" s="1965">
        <f t="shared" ref="I357:N357" si="67">H357+$E357*(I$356-H$356)</f>
        <v>0.33750000000000002</v>
      </c>
      <c r="J357" s="1965">
        <f t="shared" si="67"/>
        <v>0.38125000000000003</v>
      </c>
      <c r="K357" s="1965">
        <f t="shared" si="67"/>
        <v>0.42500000000000004</v>
      </c>
      <c r="L357" s="1965">
        <f t="shared" si="67"/>
        <v>0.46875000000000006</v>
      </c>
      <c r="M357" s="1965">
        <f t="shared" si="67"/>
        <v>0.51250000000000007</v>
      </c>
      <c r="N357" s="1965">
        <f t="shared" si="67"/>
        <v>0.55625000000000002</v>
      </c>
      <c r="O357" s="2051">
        <f>600*GBP*1000</f>
        <v>0.6</v>
      </c>
      <c r="P357" s="1726"/>
      <c r="Q357" s="2036"/>
      <c r="R357" s="2036"/>
      <c r="T357" s="37"/>
      <c r="U357" s="37"/>
      <c r="V357" s="37"/>
      <c r="W357" s="37"/>
      <c r="X357" s="37"/>
      <c r="Y357" s="37"/>
      <c r="Z357" s="2035"/>
      <c r="AA357" s="2035"/>
      <c r="AB357" s="2035"/>
      <c r="AC357" s="2035"/>
      <c r="AD357" s="2035"/>
      <c r="AE357" s="2035"/>
      <c r="AF357" s="2035"/>
      <c r="AG357" s="2035"/>
      <c r="AH357" s="2035"/>
      <c r="AI357" s="2035"/>
      <c r="AJ357" s="2035"/>
      <c r="AK357" s="2035"/>
      <c r="AL357" s="37"/>
      <c r="AM357" s="37"/>
      <c r="AN357" s="37"/>
      <c r="AO357" s="37"/>
      <c r="AP357" s="37"/>
      <c r="AQ357" s="37"/>
      <c r="AR357" s="37"/>
      <c r="AS357" s="37"/>
      <c r="AT357" s="37"/>
      <c r="AU357" s="37"/>
      <c r="AV357" s="37"/>
      <c r="AW357" s="2035"/>
      <c r="AX357" s="37"/>
      <c r="AY357" s="37"/>
      <c r="AZ357" s="37"/>
      <c r="BA357" s="37"/>
      <c r="BB357" s="37"/>
      <c r="BC357" s="37"/>
      <c r="BD357" s="37"/>
      <c r="BE357" s="37"/>
      <c r="BF357" s="37"/>
      <c r="BG357" s="37"/>
      <c r="BH357" s="37"/>
      <c r="BI357" s="37"/>
      <c r="BJ357" s="37"/>
      <c r="BK357" s="37"/>
    </row>
    <row r="358" spans="1:63" s="1713" customFormat="1" ht="14">
      <c r="B358" s="1704"/>
      <c r="C358" s="1477" t="s">
        <v>918</v>
      </c>
      <c r="D358" s="1477" t="s">
        <v>923</v>
      </c>
      <c r="E358" s="1945">
        <f>(O358-G358)/(O$356-G$356)</f>
        <v>0</v>
      </c>
      <c r="F358" s="1964">
        <f>20000*GBP*1000</f>
        <v>20</v>
      </c>
      <c r="G358" s="1964">
        <f>20000*GBP*1000</f>
        <v>20</v>
      </c>
      <c r="H358" s="1971">
        <f t="shared" ref="H358:N358" si="68">G358+$E358*(H$356-G$356)</f>
        <v>20</v>
      </c>
      <c r="I358" s="1971">
        <f t="shared" si="68"/>
        <v>20</v>
      </c>
      <c r="J358" s="1971">
        <f t="shared" si="68"/>
        <v>20</v>
      </c>
      <c r="K358" s="1971">
        <f t="shared" si="68"/>
        <v>20</v>
      </c>
      <c r="L358" s="1971">
        <f t="shared" si="68"/>
        <v>20</v>
      </c>
      <c r="M358" s="1971">
        <f t="shared" si="68"/>
        <v>20</v>
      </c>
      <c r="N358" s="1971">
        <f t="shared" si="68"/>
        <v>20</v>
      </c>
      <c r="O358" s="2052">
        <f>20000*GBP*1000</f>
        <v>20</v>
      </c>
      <c r="P358" s="1726"/>
      <c r="Q358" s="2036"/>
      <c r="R358" s="2036"/>
      <c r="T358" s="37"/>
      <c r="U358" s="37"/>
      <c r="V358" s="37"/>
      <c r="W358" s="37"/>
      <c r="X358" s="37"/>
      <c r="Y358" s="37"/>
      <c r="Z358" s="2035"/>
      <c r="AA358" s="2035"/>
      <c r="AB358" s="2035"/>
      <c r="AC358" s="2035"/>
      <c r="AD358" s="2035"/>
      <c r="AE358" s="2035"/>
      <c r="AF358" s="2035"/>
      <c r="AG358" s="2035"/>
      <c r="AH358" s="2035"/>
      <c r="AI358" s="2035"/>
      <c r="AJ358" s="2035"/>
      <c r="AK358" s="2035"/>
      <c r="AL358" s="37"/>
      <c r="AM358" s="37"/>
      <c r="AN358" s="37"/>
      <c r="AO358" s="37"/>
      <c r="AP358" s="37"/>
      <c r="AQ358" s="37"/>
      <c r="AR358" s="37"/>
      <c r="AS358" s="37"/>
      <c r="AT358" s="37"/>
      <c r="AU358" s="37"/>
      <c r="AV358" s="37"/>
      <c r="AW358" s="2035"/>
      <c r="AX358" s="37"/>
      <c r="AY358" s="37"/>
      <c r="AZ358" s="37"/>
      <c r="BA358" s="37"/>
      <c r="BB358" s="37"/>
      <c r="BC358" s="37"/>
      <c r="BD358" s="37"/>
      <c r="BE358" s="37"/>
      <c r="BF358" s="37"/>
      <c r="BG358" s="37"/>
      <c r="BH358" s="37"/>
      <c r="BI358" s="37"/>
      <c r="BJ358" s="37"/>
      <c r="BK358" s="37"/>
    </row>
    <row r="359" spans="1:63" s="1713" customFormat="1" ht="14">
      <c r="B359" s="1704"/>
      <c r="C359" s="1721" t="s">
        <v>918</v>
      </c>
      <c r="D359" s="1721" t="s">
        <v>1116</v>
      </c>
      <c r="E359" s="1722">
        <f t="shared" ref="E359:E368" si="69">(O359-G359)/(O$356-G$356)</f>
        <v>0</v>
      </c>
      <c r="F359" s="1097">
        <f>(42000)*GBP*1000</f>
        <v>41.999999999999993</v>
      </c>
      <c r="G359" s="1097">
        <f>(42000)*GBP*1000</f>
        <v>41.999999999999993</v>
      </c>
      <c r="H359" s="1794">
        <f t="shared" ref="H359:N359" si="70">G359+$E359*(H$356-G$356)</f>
        <v>41.999999999999993</v>
      </c>
      <c r="I359" s="1794">
        <f t="shared" si="70"/>
        <v>41.999999999999993</v>
      </c>
      <c r="J359" s="1794">
        <f t="shared" si="70"/>
        <v>41.999999999999993</v>
      </c>
      <c r="K359" s="1794">
        <f t="shared" si="70"/>
        <v>41.999999999999993</v>
      </c>
      <c r="L359" s="1794">
        <f t="shared" si="70"/>
        <v>41.999999999999993</v>
      </c>
      <c r="M359" s="1794">
        <f t="shared" si="70"/>
        <v>41.999999999999993</v>
      </c>
      <c r="N359" s="1794">
        <f t="shared" si="70"/>
        <v>41.999999999999993</v>
      </c>
      <c r="O359" s="2053">
        <f>(42000)*GBP*1000</f>
        <v>41.999999999999993</v>
      </c>
      <c r="P359" s="1726"/>
      <c r="Q359" s="2036"/>
      <c r="R359" s="2036"/>
      <c r="T359" s="37"/>
      <c r="U359" s="37"/>
      <c r="V359" s="37"/>
      <c r="W359" s="37"/>
      <c r="X359" s="37"/>
      <c r="Y359" s="37"/>
      <c r="Z359" s="2035"/>
      <c r="AA359" s="2035"/>
      <c r="AB359" s="2035"/>
      <c r="AC359" s="2035"/>
      <c r="AD359" s="2035"/>
      <c r="AE359" s="2035"/>
      <c r="AF359" s="2035"/>
      <c r="AG359" s="2035"/>
      <c r="AH359" s="2035"/>
      <c r="AI359" s="2035"/>
      <c r="AJ359" s="2035"/>
      <c r="AK359" s="2035"/>
      <c r="AL359" s="37"/>
      <c r="AM359" s="37"/>
      <c r="AN359" s="37"/>
      <c r="AO359" s="37"/>
      <c r="AP359" s="37"/>
      <c r="AQ359" s="37"/>
      <c r="AR359" s="37"/>
      <c r="AS359" s="37"/>
      <c r="AT359" s="37"/>
      <c r="AU359" s="37"/>
      <c r="AV359" s="37"/>
      <c r="AW359" s="2035"/>
      <c r="AX359" s="37"/>
      <c r="AY359" s="37"/>
      <c r="AZ359" s="37"/>
      <c r="BA359" s="37"/>
      <c r="BB359" s="37"/>
      <c r="BC359" s="37"/>
      <c r="BD359" s="37"/>
      <c r="BE359" s="37"/>
      <c r="BF359" s="37"/>
      <c r="BG359" s="37"/>
      <c r="BH359" s="37"/>
      <c r="BI359" s="37"/>
      <c r="BJ359" s="37"/>
      <c r="BK359" s="37"/>
    </row>
    <row r="360" spans="1:63" s="1780" customFormat="1" ht="14">
      <c r="B360" s="1704"/>
      <c r="C360" s="1721" t="s">
        <v>918</v>
      </c>
      <c r="D360" s="1721" t="s">
        <v>924</v>
      </c>
      <c r="E360" s="1722">
        <f t="shared" si="69"/>
        <v>0</v>
      </c>
      <c r="F360" s="1097">
        <f>59440*GBP*1000</f>
        <v>59.44</v>
      </c>
      <c r="G360" s="1097">
        <f>59440*GBP*1000</f>
        <v>59.44</v>
      </c>
      <c r="H360" s="1794">
        <f t="shared" ref="H360:N360" si="71">G360+$E360*(H$356-G$356)</f>
        <v>59.44</v>
      </c>
      <c r="I360" s="1794">
        <f t="shared" si="71"/>
        <v>59.44</v>
      </c>
      <c r="J360" s="1794">
        <f t="shared" si="71"/>
        <v>59.44</v>
      </c>
      <c r="K360" s="1794">
        <f t="shared" si="71"/>
        <v>59.44</v>
      </c>
      <c r="L360" s="1794">
        <f t="shared" si="71"/>
        <v>59.44</v>
      </c>
      <c r="M360" s="1794">
        <f t="shared" si="71"/>
        <v>59.44</v>
      </c>
      <c r="N360" s="1794">
        <f t="shared" si="71"/>
        <v>59.44</v>
      </c>
      <c r="O360" s="2053">
        <f>59440*GBP*1000</f>
        <v>59.44</v>
      </c>
      <c r="P360" s="1726"/>
      <c r="Q360" s="2036"/>
      <c r="R360" s="2036"/>
      <c r="T360" s="37"/>
      <c r="U360" s="37"/>
      <c r="V360" s="37"/>
      <c r="W360" s="37"/>
      <c r="X360" s="37"/>
      <c r="Y360" s="37"/>
      <c r="Z360" s="2035"/>
      <c r="AA360" s="2035"/>
      <c r="AB360" s="2035"/>
      <c r="AC360" s="2035"/>
      <c r="AD360" s="2035"/>
      <c r="AE360" s="2035"/>
      <c r="AF360" s="2035"/>
      <c r="AG360" s="2035"/>
      <c r="AH360" s="2035"/>
      <c r="AI360" s="2035"/>
      <c r="AJ360" s="2035"/>
      <c r="AK360" s="2035"/>
      <c r="AL360" s="37"/>
      <c r="AM360" s="37"/>
      <c r="AN360" s="37"/>
      <c r="AO360" s="37"/>
      <c r="AP360" s="37"/>
      <c r="AQ360" s="37"/>
      <c r="AR360" s="37"/>
      <c r="AS360" s="37"/>
      <c r="AT360" s="37"/>
      <c r="AU360" s="37"/>
      <c r="AV360" s="37"/>
      <c r="AW360" s="2035"/>
      <c r="AX360" s="37"/>
      <c r="AY360" s="37"/>
      <c r="AZ360" s="37"/>
      <c r="BA360" s="37"/>
      <c r="BB360" s="37"/>
      <c r="BC360" s="37"/>
      <c r="BD360" s="37"/>
      <c r="BE360" s="37"/>
      <c r="BF360" s="37"/>
      <c r="BG360" s="37"/>
      <c r="BH360" s="37"/>
      <c r="BI360" s="37"/>
      <c r="BJ360" s="37"/>
      <c r="BK360" s="37"/>
    </row>
    <row r="361" spans="1:63" s="1713" customFormat="1" ht="14">
      <c r="B361" s="1704"/>
      <c r="C361" s="599" t="s">
        <v>918</v>
      </c>
      <c r="D361" s="599" t="s">
        <v>925</v>
      </c>
      <c r="E361" s="864">
        <f t="shared" si="69"/>
        <v>0</v>
      </c>
      <c r="F361" s="1783">
        <f>150000*GBP*1000</f>
        <v>150</v>
      </c>
      <c r="G361" s="1783">
        <f>150000*GBP*1000</f>
        <v>150</v>
      </c>
      <c r="H361" s="1970">
        <f t="shared" ref="H361:N361" si="72">G361+$E361*(H$356-G$356)</f>
        <v>150</v>
      </c>
      <c r="I361" s="1970">
        <f t="shared" si="72"/>
        <v>150</v>
      </c>
      <c r="J361" s="1970">
        <f t="shared" si="72"/>
        <v>150</v>
      </c>
      <c r="K361" s="1970">
        <f t="shared" si="72"/>
        <v>150</v>
      </c>
      <c r="L361" s="1970">
        <f t="shared" si="72"/>
        <v>150</v>
      </c>
      <c r="M361" s="1970">
        <f t="shared" si="72"/>
        <v>150</v>
      </c>
      <c r="N361" s="1970">
        <f t="shared" si="72"/>
        <v>150</v>
      </c>
      <c r="O361" s="2054">
        <f>150000*GBP*1000</f>
        <v>150</v>
      </c>
      <c r="P361" s="1726"/>
      <c r="Q361" s="2036"/>
      <c r="R361" s="2036"/>
      <c r="T361" s="37"/>
      <c r="U361" s="37"/>
      <c r="V361" s="37"/>
      <c r="W361" s="37"/>
      <c r="X361" s="37"/>
      <c r="Y361" s="37"/>
      <c r="Z361" s="2035"/>
      <c r="AA361" s="2035"/>
      <c r="AB361" s="2035"/>
      <c r="AC361" s="2035"/>
      <c r="AD361" s="2035"/>
      <c r="AE361" s="2035"/>
      <c r="AF361" s="2035"/>
      <c r="AG361" s="2035"/>
      <c r="AH361" s="2035"/>
      <c r="AI361" s="2035"/>
      <c r="AJ361" s="2035"/>
      <c r="AK361" s="2035"/>
      <c r="AL361" s="37"/>
      <c r="AM361" s="37"/>
      <c r="AN361" s="37"/>
      <c r="AO361" s="37"/>
      <c r="AP361" s="37"/>
      <c r="AQ361" s="37"/>
      <c r="AR361" s="37"/>
      <c r="AS361" s="37"/>
      <c r="AT361" s="37"/>
      <c r="AU361" s="37"/>
      <c r="AV361" s="37"/>
      <c r="AW361" s="2035"/>
      <c r="AX361" s="37"/>
      <c r="AY361" s="37"/>
      <c r="AZ361" s="37"/>
      <c r="BA361" s="37"/>
      <c r="BB361" s="37"/>
      <c r="BC361" s="37"/>
      <c r="BD361" s="37"/>
      <c r="BE361" s="37"/>
      <c r="BF361" s="37"/>
      <c r="BG361" s="37"/>
      <c r="BH361" s="37"/>
      <c r="BI361" s="37"/>
      <c r="BJ361" s="37"/>
      <c r="BK361" s="37"/>
    </row>
    <row r="362" spans="1:63" s="1713" customFormat="1" ht="14">
      <c r="B362" s="1704"/>
      <c r="C362" s="1477" t="s">
        <v>919</v>
      </c>
      <c r="D362" s="1477" t="s">
        <v>923</v>
      </c>
      <c r="E362" s="1945">
        <f t="shared" si="69"/>
        <v>0</v>
      </c>
      <c r="F362" s="1964">
        <f>235689.64894156*GBP*1000</f>
        <v>235.68964894155999</v>
      </c>
      <c r="G362" s="1964">
        <f>235689.64894156*GBP*1000</f>
        <v>235.68964894155999</v>
      </c>
      <c r="H362" s="1971">
        <f t="shared" ref="H362:N362" si="73">G362+$E362*(H$356-G$356)</f>
        <v>235.68964894155999</v>
      </c>
      <c r="I362" s="1971">
        <f t="shared" si="73"/>
        <v>235.68964894155999</v>
      </c>
      <c r="J362" s="1971">
        <f t="shared" si="73"/>
        <v>235.68964894155999</v>
      </c>
      <c r="K362" s="1971">
        <f t="shared" si="73"/>
        <v>235.68964894155999</v>
      </c>
      <c r="L362" s="1971">
        <f t="shared" si="73"/>
        <v>235.68964894155999</v>
      </c>
      <c r="M362" s="1971">
        <f t="shared" si="73"/>
        <v>235.68964894155999</v>
      </c>
      <c r="N362" s="1971">
        <f t="shared" si="73"/>
        <v>235.68964894155999</v>
      </c>
      <c r="O362" s="2052">
        <f>235689.64894156*GBP*1000</f>
        <v>235.68964894155999</v>
      </c>
      <c r="P362" s="1726"/>
      <c r="Q362" s="1902"/>
      <c r="R362" s="1902"/>
      <c r="T362" s="37"/>
      <c r="U362" s="37"/>
      <c r="V362" s="37"/>
      <c r="W362" s="37"/>
      <c r="X362" s="37"/>
      <c r="Y362" s="37"/>
      <c r="Z362" s="2035"/>
      <c r="AA362" s="2035"/>
      <c r="AB362" s="2035"/>
      <c r="AC362" s="2035"/>
      <c r="AD362" s="2035"/>
      <c r="AE362" s="2035"/>
      <c r="AF362" s="2035"/>
      <c r="AG362" s="2035"/>
      <c r="AH362" s="2035"/>
      <c r="AI362" s="2035"/>
      <c r="AJ362" s="2035"/>
      <c r="AK362" s="2035"/>
      <c r="AL362" s="37"/>
      <c r="AM362" s="37"/>
      <c r="AN362" s="37"/>
      <c r="AO362" s="37"/>
      <c r="AP362" s="37"/>
      <c r="AQ362" s="37"/>
      <c r="AR362" s="37"/>
      <c r="AS362" s="37"/>
      <c r="AT362" s="37"/>
      <c r="AU362" s="37"/>
      <c r="AV362" s="37"/>
      <c r="AW362" s="2035"/>
      <c r="AX362" s="37"/>
      <c r="AY362" s="37"/>
      <c r="AZ362" s="37"/>
      <c r="BA362" s="37"/>
      <c r="BB362" s="37"/>
      <c r="BC362" s="37"/>
      <c r="BD362" s="37"/>
      <c r="BE362" s="37"/>
      <c r="BF362" s="37"/>
      <c r="BG362" s="37"/>
      <c r="BH362" s="37"/>
      <c r="BI362" s="37"/>
      <c r="BJ362" s="37"/>
      <c r="BK362" s="37"/>
    </row>
    <row r="363" spans="1:63" s="1713" customFormat="1" ht="14">
      <c r="B363" s="1704"/>
      <c r="C363" s="1721" t="s">
        <v>919</v>
      </c>
      <c r="D363" s="1721" t="s">
        <v>1117</v>
      </c>
      <c r="E363" s="1722">
        <f>(O363-G363)/(O$356-G$356)</f>
        <v>0</v>
      </c>
      <c r="F363" s="1097">
        <f>271993.463584085*GBP*1000</f>
        <v>271.99346358408502</v>
      </c>
      <c r="G363" s="1097">
        <f>271993.463584085*GBP*1000</f>
        <v>271.99346358408502</v>
      </c>
      <c r="H363" s="1794">
        <f t="shared" ref="H363:N363" si="74">G363+$E363*(H$356-G$356)</f>
        <v>271.99346358408502</v>
      </c>
      <c r="I363" s="1794">
        <f t="shared" si="74"/>
        <v>271.99346358408502</v>
      </c>
      <c r="J363" s="1794">
        <f t="shared" si="74"/>
        <v>271.99346358408502</v>
      </c>
      <c r="K363" s="1794">
        <f t="shared" si="74"/>
        <v>271.99346358408502</v>
      </c>
      <c r="L363" s="1794">
        <f t="shared" si="74"/>
        <v>271.99346358408502</v>
      </c>
      <c r="M363" s="1794">
        <f t="shared" si="74"/>
        <v>271.99346358408502</v>
      </c>
      <c r="N363" s="1794">
        <f t="shared" si="74"/>
        <v>271.99346358408502</v>
      </c>
      <c r="O363" s="2053">
        <f>271993.463584085*GBP*1000</f>
        <v>271.99346358408502</v>
      </c>
      <c r="P363" s="1726"/>
      <c r="Q363" s="1902"/>
      <c r="R363" s="1902"/>
      <c r="T363" s="37"/>
      <c r="U363" s="37"/>
      <c r="V363" s="37"/>
      <c r="W363" s="37"/>
      <c r="X363" s="37"/>
      <c r="Y363" s="37"/>
      <c r="Z363" s="2035"/>
      <c r="AA363" s="2035"/>
      <c r="AB363" s="2035"/>
      <c r="AC363" s="2035"/>
      <c r="AD363" s="2035"/>
      <c r="AE363" s="2035"/>
      <c r="AF363" s="2035"/>
      <c r="AG363" s="2035"/>
      <c r="AH363" s="2035"/>
      <c r="AI363" s="2035"/>
      <c r="AJ363" s="2035"/>
      <c r="AK363" s="2035"/>
      <c r="AL363" s="37"/>
      <c r="AM363" s="37"/>
      <c r="AN363" s="37"/>
      <c r="AO363" s="37"/>
      <c r="AP363" s="37"/>
      <c r="AQ363" s="37"/>
      <c r="AR363" s="37"/>
      <c r="AS363" s="37"/>
      <c r="AT363" s="37"/>
      <c r="AU363" s="37"/>
      <c r="AV363" s="37"/>
      <c r="AW363" s="2035"/>
      <c r="AX363" s="37"/>
      <c r="AY363" s="37"/>
      <c r="AZ363" s="37"/>
      <c r="BA363" s="37"/>
      <c r="BB363" s="37"/>
      <c r="BC363" s="37"/>
      <c r="BD363" s="37"/>
      <c r="BE363" s="37"/>
      <c r="BF363" s="37"/>
      <c r="BG363" s="37"/>
      <c r="BH363" s="37"/>
      <c r="BI363" s="37"/>
      <c r="BJ363" s="37"/>
      <c r="BK363" s="37"/>
    </row>
    <row r="364" spans="1:63" s="1713" customFormat="1" ht="14">
      <c r="B364" s="1704"/>
      <c r="C364" s="1721" t="s">
        <v>919</v>
      </c>
      <c r="D364" s="1721" t="s">
        <v>924</v>
      </c>
      <c r="E364" s="1722">
        <f t="shared" si="69"/>
        <v>0</v>
      </c>
      <c r="F364" s="1097">
        <f>441647.252218293*GBP*1000</f>
        <v>441.64725221829298</v>
      </c>
      <c r="G364" s="1097">
        <f>441647.252218293*GBP*1000</f>
        <v>441.64725221829298</v>
      </c>
      <c r="H364" s="1794">
        <f t="shared" ref="H364:N364" si="75">G364+$E364*(H$356-G$356)</f>
        <v>441.64725221829298</v>
      </c>
      <c r="I364" s="1794">
        <f t="shared" si="75"/>
        <v>441.64725221829298</v>
      </c>
      <c r="J364" s="1794">
        <f t="shared" si="75"/>
        <v>441.64725221829298</v>
      </c>
      <c r="K364" s="1794">
        <f t="shared" si="75"/>
        <v>441.64725221829298</v>
      </c>
      <c r="L364" s="1794">
        <f t="shared" si="75"/>
        <v>441.64725221829298</v>
      </c>
      <c r="M364" s="1794">
        <f t="shared" si="75"/>
        <v>441.64725221829298</v>
      </c>
      <c r="N364" s="1794">
        <f t="shared" si="75"/>
        <v>441.64725221829298</v>
      </c>
      <c r="O364" s="2053">
        <f>441647.252218293*GBP*1000</f>
        <v>441.64725221829298</v>
      </c>
      <c r="P364" s="1726"/>
      <c r="Q364" s="1902"/>
      <c r="R364" s="1902"/>
      <c r="T364" s="37"/>
      <c r="U364" s="37"/>
      <c r="V364" s="37"/>
      <c r="W364" s="37"/>
      <c r="X364" s="37"/>
      <c r="Y364" s="37"/>
      <c r="Z364" s="2035"/>
      <c r="AA364" s="2035"/>
      <c r="AB364" s="2035"/>
      <c r="AC364" s="2035"/>
      <c r="AD364" s="2035"/>
      <c r="AE364" s="2035"/>
      <c r="AF364" s="2035"/>
      <c r="AG364" s="2035"/>
      <c r="AH364" s="2035"/>
      <c r="AI364" s="2035"/>
      <c r="AJ364" s="2035"/>
      <c r="AK364" s="2035"/>
      <c r="AL364" s="37"/>
      <c r="AM364" s="37"/>
      <c r="AN364" s="37"/>
      <c r="AO364" s="37"/>
      <c r="AP364" s="37"/>
      <c r="AQ364" s="37"/>
      <c r="AR364" s="37"/>
      <c r="AS364" s="37"/>
      <c r="AT364" s="37"/>
      <c r="AU364" s="37"/>
      <c r="AV364" s="37"/>
      <c r="AW364" s="2035"/>
      <c r="AX364" s="37"/>
      <c r="AY364" s="37"/>
      <c r="AZ364" s="37"/>
      <c r="BA364" s="37"/>
      <c r="BB364" s="37"/>
      <c r="BC364" s="37"/>
      <c r="BD364" s="37"/>
      <c r="BE364" s="37"/>
      <c r="BF364" s="37"/>
      <c r="BG364" s="37"/>
      <c r="BH364" s="37"/>
      <c r="BI364" s="37"/>
      <c r="BJ364" s="37"/>
      <c r="BK364" s="37"/>
    </row>
    <row r="365" spans="1:63" s="1713" customFormat="1" ht="14">
      <c r="B365" s="1704"/>
      <c r="C365" s="599" t="s">
        <v>919</v>
      </c>
      <c r="D365" s="599" t="s">
        <v>925</v>
      </c>
      <c r="E365" s="864">
        <f t="shared" si="69"/>
        <v>0</v>
      </c>
      <c r="F365" s="1783">
        <f>1052865.48133743*GBP*1000</f>
        <v>1052.8654813374299</v>
      </c>
      <c r="G365" s="1783">
        <f>1052865.48133743*GBP*1000</f>
        <v>1052.8654813374299</v>
      </c>
      <c r="H365" s="1970">
        <f t="shared" ref="H365:N365" si="76">G365+$E365*(H$356-G$356)</f>
        <v>1052.8654813374299</v>
      </c>
      <c r="I365" s="1970">
        <f t="shared" si="76"/>
        <v>1052.8654813374299</v>
      </c>
      <c r="J365" s="1970">
        <f t="shared" si="76"/>
        <v>1052.8654813374299</v>
      </c>
      <c r="K365" s="1970">
        <f t="shared" si="76"/>
        <v>1052.8654813374299</v>
      </c>
      <c r="L365" s="1970">
        <f t="shared" si="76"/>
        <v>1052.8654813374299</v>
      </c>
      <c r="M365" s="1970">
        <f t="shared" si="76"/>
        <v>1052.8654813374299</v>
      </c>
      <c r="N365" s="1970">
        <f t="shared" si="76"/>
        <v>1052.8654813374299</v>
      </c>
      <c r="O365" s="2054">
        <f>1052865.48133743*GBP*1000</f>
        <v>1052.8654813374299</v>
      </c>
      <c r="P365" s="1726"/>
      <c r="Q365" s="1902"/>
      <c r="R365" s="1902"/>
      <c r="T365" s="37"/>
      <c r="U365" s="37"/>
      <c r="V365" s="37"/>
      <c r="W365" s="37"/>
      <c r="X365" s="37"/>
      <c r="Y365" s="37"/>
      <c r="Z365" s="2035"/>
      <c r="AA365" s="2035"/>
      <c r="AB365" s="2035"/>
      <c r="AC365" s="2035"/>
      <c r="AD365" s="2035"/>
      <c r="AE365" s="2035"/>
      <c r="AF365" s="2035"/>
      <c r="AG365" s="2035"/>
      <c r="AH365" s="2035"/>
      <c r="AI365" s="2035"/>
      <c r="AJ365" s="2035"/>
      <c r="AK365" s="2035"/>
      <c r="AL365" s="37"/>
      <c r="AM365" s="37"/>
      <c r="AN365" s="37"/>
      <c r="AO365" s="37"/>
      <c r="AP365" s="37"/>
      <c r="AQ365" s="37"/>
      <c r="AR365" s="37"/>
      <c r="AS365" s="37"/>
      <c r="AT365" s="37"/>
      <c r="AU365" s="37"/>
      <c r="AV365" s="37"/>
      <c r="AW365" s="2035"/>
      <c r="AX365" s="37"/>
      <c r="AY365" s="37"/>
      <c r="AZ365" s="37"/>
      <c r="BA365" s="37"/>
      <c r="BB365" s="37"/>
      <c r="BC365" s="37"/>
      <c r="BD365" s="37"/>
      <c r="BE365" s="37"/>
      <c r="BF365" s="37"/>
      <c r="BG365" s="37"/>
      <c r="BH365" s="37"/>
      <c r="BI365" s="37"/>
      <c r="BJ365" s="37"/>
      <c r="BK365" s="37"/>
    </row>
    <row r="366" spans="1:63" s="1713" customFormat="1" ht="14">
      <c r="B366" s="1704"/>
      <c r="C366" s="1477" t="s">
        <v>921</v>
      </c>
      <c r="D366" s="1477" t="s">
        <v>962</v>
      </c>
      <c r="E366" s="1945">
        <f t="shared" si="69"/>
        <v>0</v>
      </c>
      <c r="F366" s="1964">
        <f>124097*GBP*1000</f>
        <v>124.09699999999999</v>
      </c>
      <c r="G366" s="1964">
        <f>124097*GBP*1000</f>
        <v>124.09699999999999</v>
      </c>
      <c r="H366" s="1971">
        <f t="shared" ref="H366:N366" si="77">G366+$E366*(H$356-G$356)</f>
        <v>124.09699999999999</v>
      </c>
      <c r="I366" s="1971">
        <f t="shared" si="77"/>
        <v>124.09699999999999</v>
      </c>
      <c r="J366" s="1971">
        <f t="shared" si="77"/>
        <v>124.09699999999999</v>
      </c>
      <c r="K366" s="1971">
        <f>J366+$E366*(K$356-J$356)</f>
        <v>124.09699999999999</v>
      </c>
      <c r="L366" s="1971">
        <f t="shared" si="77"/>
        <v>124.09699999999999</v>
      </c>
      <c r="M366" s="1971">
        <f t="shared" si="77"/>
        <v>124.09699999999999</v>
      </c>
      <c r="N366" s="1971">
        <f t="shared" si="77"/>
        <v>124.09699999999999</v>
      </c>
      <c r="O366" s="2052">
        <f>124097*GBP*1000</f>
        <v>124.09699999999999</v>
      </c>
      <c r="P366" s="1726"/>
      <c r="Q366" s="1902"/>
      <c r="R366" s="1902"/>
      <c r="T366" s="37"/>
      <c r="U366" s="37"/>
      <c r="V366" s="37"/>
      <c r="W366" s="37"/>
      <c r="X366" s="37"/>
      <c r="Y366" s="37"/>
      <c r="Z366" s="2035"/>
      <c r="AA366" s="2035"/>
      <c r="AB366" s="2035"/>
      <c r="AC366" s="2035"/>
      <c r="AD366" s="2035"/>
      <c r="AE366" s="2035"/>
      <c r="AF366" s="2035"/>
      <c r="AG366" s="2035"/>
      <c r="AH366" s="2035"/>
      <c r="AI366" s="2035"/>
      <c r="AJ366" s="2035"/>
      <c r="AK366" s="2035"/>
      <c r="AL366" s="37"/>
      <c r="AM366" s="37"/>
      <c r="AN366" s="37"/>
      <c r="AO366" s="37"/>
      <c r="AP366" s="37"/>
      <c r="AQ366" s="37"/>
      <c r="AR366" s="37"/>
      <c r="AS366" s="37"/>
      <c r="AT366" s="37"/>
      <c r="AU366" s="37"/>
      <c r="AV366" s="37"/>
      <c r="AW366" s="2035"/>
      <c r="AX366" s="37"/>
      <c r="AY366" s="37"/>
      <c r="AZ366" s="37"/>
      <c r="BA366" s="37"/>
      <c r="BB366" s="37"/>
      <c r="BC366" s="37"/>
      <c r="BD366" s="37"/>
      <c r="BE366" s="37"/>
      <c r="BF366" s="37"/>
      <c r="BG366" s="37"/>
      <c r="BH366" s="37"/>
      <c r="BI366" s="37"/>
      <c r="BJ366" s="37"/>
      <c r="BK366" s="37"/>
    </row>
    <row r="367" spans="1:63" s="1713" customFormat="1" ht="14">
      <c r="B367" s="1704"/>
      <c r="C367" s="599" t="s">
        <v>921</v>
      </c>
      <c r="D367" s="599" t="s">
        <v>963</v>
      </c>
      <c r="E367" s="864">
        <f t="shared" si="69"/>
        <v>0</v>
      </c>
      <c r="F367" s="1783">
        <f>333396*GBP*1000</f>
        <v>333.39599999999996</v>
      </c>
      <c r="G367" s="1783">
        <f>333396*GBP*1000</f>
        <v>333.39599999999996</v>
      </c>
      <c r="H367" s="1970">
        <f t="shared" ref="H367:N367" si="78">G367+$E367*(H$356-G$356)</f>
        <v>333.39599999999996</v>
      </c>
      <c r="I367" s="1970">
        <f t="shared" si="78"/>
        <v>333.39599999999996</v>
      </c>
      <c r="J367" s="1970">
        <f t="shared" si="78"/>
        <v>333.39599999999996</v>
      </c>
      <c r="K367" s="1970">
        <f t="shared" si="78"/>
        <v>333.39599999999996</v>
      </c>
      <c r="L367" s="1970">
        <f t="shared" si="78"/>
        <v>333.39599999999996</v>
      </c>
      <c r="M367" s="1970">
        <f t="shared" si="78"/>
        <v>333.39599999999996</v>
      </c>
      <c r="N367" s="1970">
        <f t="shared" si="78"/>
        <v>333.39599999999996</v>
      </c>
      <c r="O367" s="2054">
        <f>333396*GBP*1000</f>
        <v>333.39599999999996</v>
      </c>
      <c r="P367" s="1726"/>
      <c r="Q367" s="1902"/>
      <c r="R367" s="1902"/>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row>
    <row r="368" spans="1:63" s="1713" customFormat="1" ht="14">
      <c r="B368" s="1704"/>
      <c r="C368" s="1947" t="s">
        <v>922</v>
      </c>
      <c r="D368" s="1947" t="s">
        <v>922</v>
      </c>
      <c r="E368" s="1585">
        <f t="shared" si="69"/>
        <v>0</v>
      </c>
      <c r="F368" s="1973">
        <f>57337603.7457258*GBP*1000</f>
        <v>57337.603745725799</v>
      </c>
      <c r="G368" s="1973">
        <f>57337603.7457258*GBP*1000</f>
        <v>57337.603745725799</v>
      </c>
      <c r="H368" s="1965">
        <f t="shared" ref="H368:N368" si="79">G368+$E368*(H$356-G$356)</f>
        <v>57337.603745725799</v>
      </c>
      <c r="I368" s="1965">
        <f t="shared" si="79"/>
        <v>57337.603745725799</v>
      </c>
      <c r="J368" s="1965">
        <f t="shared" si="79"/>
        <v>57337.603745725799</v>
      </c>
      <c r="K368" s="1965">
        <f t="shared" si="79"/>
        <v>57337.603745725799</v>
      </c>
      <c r="L368" s="1965">
        <f t="shared" si="79"/>
        <v>57337.603745725799</v>
      </c>
      <c r="M368" s="1965">
        <f t="shared" si="79"/>
        <v>57337.603745725799</v>
      </c>
      <c r="N368" s="1965">
        <f t="shared" si="79"/>
        <v>57337.603745725799</v>
      </c>
      <c r="O368" s="2055">
        <f>57337603.7457258*GBP*1000</f>
        <v>57337.603745725799</v>
      </c>
      <c r="P368" s="1726"/>
      <c r="Q368" s="1902"/>
      <c r="R368" s="1902"/>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row>
    <row r="369" spans="2:63" s="1713" customFormat="1">
      <c r="B369" s="1129"/>
      <c r="C369" s="1704"/>
      <c r="D369" s="1704"/>
      <c r="E369" s="1704"/>
      <c r="F369" s="1704"/>
      <c r="G369" s="1704"/>
      <c r="H369" s="1704"/>
      <c r="I369" s="1704"/>
      <c r="J369" s="1704"/>
      <c r="K369" s="1704"/>
      <c r="L369" s="1704"/>
      <c r="M369" s="1704"/>
      <c r="N369" s="1704"/>
      <c r="O369" s="2038"/>
      <c r="P369" s="1726"/>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row>
    <row r="370" spans="2:63" s="1713" customFormat="1">
      <c r="B370" s="1129"/>
      <c r="C370" s="1722"/>
      <c r="D370" s="1722"/>
      <c r="E370" s="1722"/>
      <c r="F370" s="1722"/>
      <c r="G370" s="1722"/>
      <c r="H370" s="1722"/>
      <c r="I370" s="1722"/>
      <c r="J370" s="1722"/>
      <c r="K370" s="1722"/>
      <c r="L370" s="1722"/>
      <c r="M370" s="1722"/>
      <c r="N370" s="1722"/>
      <c r="O370" s="2028" t="str">
        <f>Preferences.moneyunits&amp;" per thousand vehicle units"</f>
        <v>£m per thousand vehicle units</v>
      </c>
      <c r="P370" s="1726"/>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c r="BG370" s="37"/>
      <c r="BH370" s="37"/>
      <c r="BI370" s="37"/>
      <c r="BJ370" s="37"/>
      <c r="BK370" s="37"/>
    </row>
    <row r="371" spans="2:63" s="1713" customFormat="1" ht="14">
      <c r="B371" s="1129"/>
      <c r="C371" s="1962" t="s">
        <v>1802</v>
      </c>
      <c r="D371" s="1950"/>
      <c r="E371" s="1961" t="s">
        <v>1413</v>
      </c>
      <c r="F371" s="1963">
        <v>2007</v>
      </c>
      <c r="G371" s="1963">
        <v>2010</v>
      </c>
      <c r="H371" s="1963">
        <v>2015</v>
      </c>
      <c r="I371" s="1963">
        <v>2020</v>
      </c>
      <c r="J371" s="1963">
        <v>2025</v>
      </c>
      <c r="K371" s="1963">
        <v>2030</v>
      </c>
      <c r="L371" s="1963">
        <v>2035</v>
      </c>
      <c r="M371" s="1963">
        <v>2040</v>
      </c>
      <c r="N371" s="1963">
        <v>2045</v>
      </c>
      <c r="O371" s="2056">
        <v>2050</v>
      </c>
      <c r="P371" s="1726"/>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37"/>
      <c r="BF371" s="37"/>
      <c r="BG371" s="37"/>
      <c r="BH371" s="37"/>
      <c r="BI371" s="37"/>
      <c r="BJ371" s="37"/>
      <c r="BK371" s="37"/>
    </row>
    <row r="372" spans="2:63" s="1952" customFormat="1" ht="14">
      <c r="B372" s="1129"/>
      <c r="C372" s="1477" t="s">
        <v>920</v>
      </c>
      <c r="D372" s="1477" t="s">
        <v>920</v>
      </c>
      <c r="E372" s="2020">
        <f>(O372-G372)/(O$371-G$371)</f>
        <v>0</v>
      </c>
      <c r="F372" s="2212">
        <f>(F387+((F357-F387)*0.35))</f>
        <v>0.25</v>
      </c>
      <c r="G372" s="2212">
        <f>F372</f>
        <v>0.25</v>
      </c>
      <c r="H372" s="2212">
        <f>G372+$E372*(H$371-G$371)</f>
        <v>0.25</v>
      </c>
      <c r="I372" s="2212">
        <f t="shared" ref="I372:N372" si="80">H372+$E372*(I$371-H$371)</f>
        <v>0.25</v>
      </c>
      <c r="J372" s="2212">
        <f t="shared" si="80"/>
        <v>0.25</v>
      </c>
      <c r="K372" s="2212">
        <f t="shared" si="80"/>
        <v>0.25</v>
      </c>
      <c r="L372" s="2212">
        <f t="shared" si="80"/>
        <v>0.25</v>
      </c>
      <c r="M372" s="2212">
        <f t="shared" si="80"/>
        <v>0.25</v>
      </c>
      <c r="N372" s="2212">
        <f t="shared" si="80"/>
        <v>0.25</v>
      </c>
      <c r="O372" s="2212">
        <f>250*GBP*1000</f>
        <v>0.25</v>
      </c>
      <c r="P372" s="1726"/>
      <c r="Q372" s="1902"/>
      <c r="T372" s="2068"/>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37"/>
      <c r="BF372" s="37"/>
      <c r="BG372" s="37"/>
      <c r="BH372" s="37"/>
      <c r="BI372" s="37"/>
      <c r="BJ372" s="37"/>
      <c r="BK372" s="37"/>
    </row>
    <row r="373" spans="2:63" s="1952" customFormat="1" ht="14">
      <c r="B373" s="1129"/>
      <c r="C373" s="1477" t="s">
        <v>918</v>
      </c>
      <c r="D373" s="1477" t="s">
        <v>923</v>
      </c>
      <c r="E373" s="2017">
        <f t="shared" ref="E373:E377" si="81">(O373-G373)/(O$371-G$371)</f>
        <v>-5.1584820201275063E-2</v>
      </c>
      <c r="F373" s="1964">
        <f>16310.619808051*GBP*1000</f>
        <v>16.310619808051001</v>
      </c>
      <c r="G373" s="1964">
        <f>16310.619808051*GBP*1000</f>
        <v>16.310619808051001</v>
      </c>
      <c r="H373" s="1971">
        <f t="shared" ref="H373:N373" si="82">G373+$E373*(H$371-G$371)</f>
        <v>16.052695707044627</v>
      </c>
      <c r="I373" s="1971">
        <f t="shared" si="82"/>
        <v>15.794771606038251</v>
      </c>
      <c r="J373" s="1971">
        <f t="shared" si="82"/>
        <v>15.536847505031876</v>
      </c>
      <c r="K373" s="1971">
        <f t="shared" si="82"/>
        <v>15.2789234040255</v>
      </c>
      <c r="L373" s="1971">
        <f t="shared" si="82"/>
        <v>15.020999303019124</v>
      </c>
      <c r="M373" s="1971">
        <f t="shared" si="82"/>
        <v>14.763075202012748</v>
      </c>
      <c r="N373" s="1971">
        <f t="shared" si="82"/>
        <v>14.505151101006373</v>
      </c>
      <c r="O373" s="2052">
        <f>14247.227*GBP*1000</f>
        <v>14.247226999999999</v>
      </c>
      <c r="P373" s="1726"/>
      <c r="Q373" s="1902"/>
      <c r="T373" s="2068"/>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37"/>
      <c r="BF373" s="37"/>
      <c r="BG373" s="37"/>
      <c r="BH373" s="37"/>
      <c r="BI373" s="37"/>
      <c r="BJ373" s="37"/>
      <c r="BK373" s="37"/>
    </row>
    <row r="374" spans="2:63" s="1952" customFormat="1" ht="14">
      <c r="B374" s="1129"/>
      <c r="C374" s="1721" t="s">
        <v>918</v>
      </c>
      <c r="D374" s="1721" t="s">
        <v>1116</v>
      </c>
      <c r="E374" s="2016">
        <f t="shared" si="81"/>
        <v>-0.35912300565355998</v>
      </c>
      <c r="F374" s="1097">
        <f>(31050.4052261424)*GBP*1000</f>
        <v>31.050405226142399</v>
      </c>
      <c r="G374" s="1097">
        <f>(31050.4052261424)*GBP*1000</f>
        <v>31.050405226142399</v>
      </c>
      <c r="H374" s="1794">
        <f t="shared" ref="H374:N374" si="83">G374+$E374*(H$371-G$371)</f>
        <v>29.254790197874598</v>
      </c>
      <c r="I374" s="1794">
        <f t="shared" si="83"/>
        <v>27.459175169606798</v>
      </c>
      <c r="J374" s="1794">
        <f t="shared" si="83"/>
        <v>25.663560141338998</v>
      </c>
      <c r="K374" s="1794">
        <f t="shared" si="83"/>
        <v>23.867945113071197</v>
      </c>
      <c r="L374" s="1794">
        <f t="shared" si="83"/>
        <v>22.072330084803397</v>
      </c>
      <c r="M374" s="1794">
        <f t="shared" si="83"/>
        <v>20.276715056535597</v>
      </c>
      <c r="N374" s="1794">
        <f t="shared" si="83"/>
        <v>18.481100028267797</v>
      </c>
      <c r="O374" s="2053">
        <f>(16685.485)*GBP*1000</f>
        <v>16.685485</v>
      </c>
      <c r="P374" s="1726"/>
      <c r="Q374" s="1902"/>
      <c r="T374" s="2068"/>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37"/>
      <c r="BF374" s="37"/>
      <c r="BG374" s="37"/>
      <c r="BH374" s="37"/>
      <c r="BI374" s="37"/>
      <c r="BJ374" s="37"/>
      <c r="BK374" s="37"/>
    </row>
    <row r="375" spans="2:63" s="1952" customFormat="1" ht="14">
      <c r="B375" s="1129"/>
      <c r="C375" s="1721" t="s">
        <v>918</v>
      </c>
      <c r="D375" s="1721" t="s">
        <v>924</v>
      </c>
      <c r="E375" s="2016">
        <f t="shared" si="81"/>
        <v>-0.35689880000000002</v>
      </c>
      <c r="F375" s="1097">
        <f>37220*GBP*1000</f>
        <v>37.22</v>
      </c>
      <c r="G375" s="1097">
        <f>37220*GBP*1000</f>
        <v>37.22</v>
      </c>
      <c r="H375" s="1794">
        <f t="shared" ref="H375:N375" si="84">G375+$E375*(H$371-G$371)</f>
        <v>35.435505999999997</v>
      </c>
      <c r="I375" s="1794">
        <f t="shared" si="84"/>
        <v>33.651011999999994</v>
      </c>
      <c r="J375" s="1794">
        <f t="shared" si="84"/>
        <v>31.866517999999996</v>
      </c>
      <c r="K375" s="1794">
        <f t="shared" si="84"/>
        <v>30.082023999999997</v>
      </c>
      <c r="L375" s="1794">
        <f t="shared" si="84"/>
        <v>28.297529999999998</v>
      </c>
      <c r="M375" s="1794">
        <f t="shared" si="84"/>
        <v>26.513036</v>
      </c>
      <c r="N375" s="1794">
        <f t="shared" si="84"/>
        <v>24.728542000000001</v>
      </c>
      <c r="O375" s="2053">
        <f>22944.048*GBP*1000</f>
        <v>22.944047999999999</v>
      </c>
      <c r="P375" s="1726"/>
      <c r="Q375" s="1902"/>
      <c r="T375" s="2068"/>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c r="BG375" s="37"/>
      <c r="BH375" s="37"/>
      <c r="BI375" s="37"/>
      <c r="BJ375" s="37"/>
      <c r="BK375" s="37"/>
    </row>
    <row r="376" spans="2:63" s="1952" customFormat="1" ht="14">
      <c r="B376" s="1129"/>
      <c r="C376" s="599" t="s">
        <v>918</v>
      </c>
      <c r="D376" s="599" t="s">
        <v>925</v>
      </c>
      <c r="E376" s="2010">
        <f t="shared" si="81"/>
        <v>-2.312362775</v>
      </c>
      <c r="F376" s="1783">
        <f>110000*GBP*1000</f>
        <v>110</v>
      </c>
      <c r="G376" s="1783">
        <f>110000*GBP*1000</f>
        <v>110</v>
      </c>
      <c r="H376" s="1970">
        <f t="shared" ref="H376:N376" si="85">G376+$E376*(H$371-G$371)</f>
        <v>98.438186125000001</v>
      </c>
      <c r="I376" s="1970">
        <f t="shared" si="85"/>
        <v>86.876372250000003</v>
      </c>
      <c r="J376" s="1970">
        <f t="shared" si="85"/>
        <v>75.314558375000004</v>
      </c>
      <c r="K376" s="1970">
        <f t="shared" si="85"/>
        <v>63.752744500000006</v>
      </c>
      <c r="L376" s="1970">
        <f t="shared" si="85"/>
        <v>52.190930625000007</v>
      </c>
      <c r="M376" s="1970">
        <f t="shared" si="85"/>
        <v>40.629116750000009</v>
      </c>
      <c r="N376" s="1970">
        <f t="shared" si="85"/>
        <v>29.06730287500001</v>
      </c>
      <c r="O376" s="2053">
        <f>17505.489*GBP*1000</f>
        <v>17.505489000000001</v>
      </c>
      <c r="P376" s="1726"/>
      <c r="Q376" s="1902"/>
      <c r="T376" s="2068"/>
      <c r="U376" s="37"/>
      <c r="V376" s="37"/>
      <c r="W376" s="37"/>
      <c r="X376" s="37"/>
      <c r="Y376" s="37"/>
      <c r="Z376" s="37"/>
      <c r="AA376" s="37"/>
      <c r="AB376" s="1948"/>
      <c r="AC376" s="1948"/>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c r="BE376" s="37"/>
      <c r="BF376" s="37"/>
      <c r="BG376" s="37"/>
      <c r="BH376" s="37"/>
      <c r="BI376" s="37"/>
      <c r="BJ376" s="37"/>
      <c r="BK376" s="37"/>
    </row>
    <row r="377" spans="2:63" s="1952" customFormat="1" ht="14">
      <c r="B377" s="1129"/>
      <c r="C377" s="1477" t="s">
        <v>919</v>
      </c>
      <c r="D377" s="1477" t="s">
        <v>923</v>
      </c>
      <c r="E377" s="2017">
        <f t="shared" si="81"/>
        <v>-1.6828191235390002</v>
      </c>
      <c r="F377" s="1964">
        <f>235689.64894156*GBP*1000</f>
        <v>235.68964894155999</v>
      </c>
      <c r="G377" s="1964">
        <f>235689.64894156*GBP*1000</f>
        <v>235.68964894155999</v>
      </c>
      <c r="H377" s="1971">
        <f t="shared" ref="H377:N377" si="86">G377+$E377*(H$371-G$371)</f>
        <v>227.27555332386498</v>
      </c>
      <c r="I377" s="1971">
        <f t="shared" si="86"/>
        <v>218.86145770616997</v>
      </c>
      <c r="J377" s="1971">
        <f t="shared" si="86"/>
        <v>210.44736208847496</v>
      </c>
      <c r="K377" s="1971">
        <f t="shared" si="86"/>
        <v>202.03326647077995</v>
      </c>
      <c r="L377" s="1971">
        <f t="shared" si="86"/>
        <v>193.61917085308494</v>
      </c>
      <c r="M377" s="1971">
        <f t="shared" si="86"/>
        <v>185.20507523538993</v>
      </c>
      <c r="N377" s="1971">
        <f t="shared" si="86"/>
        <v>176.79097961769492</v>
      </c>
      <c r="O377" s="2052">
        <f>168376.884*GBP*1000</f>
        <v>168.37688399999999</v>
      </c>
      <c r="P377" s="1726"/>
      <c r="Q377" s="1902"/>
      <c r="R377" s="1902"/>
      <c r="T377" s="2068"/>
      <c r="U377" s="37"/>
      <c r="V377" s="1948"/>
      <c r="W377" s="1948"/>
      <c r="X377" s="1948"/>
      <c r="Y377" s="1948"/>
      <c r="Z377" s="1948"/>
      <c r="AA377" s="1948"/>
      <c r="AB377" s="1948"/>
      <c r="AC377" s="1948"/>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c r="BE377" s="37"/>
      <c r="BF377" s="37"/>
      <c r="BG377" s="37"/>
      <c r="BH377" s="37"/>
      <c r="BI377" s="37"/>
      <c r="BJ377" s="37"/>
      <c r="BK377" s="37"/>
    </row>
    <row r="378" spans="2:63" s="1952" customFormat="1" ht="14">
      <c r="B378" s="1129"/>
      <c r="C378" s="1721" t="s">
        <v>919</v>
      </c>
      <c r="D378" s="1721" t="s">
        <v>1117</v>
      </c>
      <c r="E378" s="2016">
        <f t="shared" ref="E378:E383" si="87">(O378-G378)/(O$371-G$371)</f>
        <v>-2.3037655646021262</v>
      </c>
      <c r="F378" s="1097">
        <f>271993.463584085*GBP*1000</f>
        <v>271.99346358408502</v>
      </c>
      <c r="G378" s="1097">
        <f>271993.463584085*GBP*1000</f>
        <v>271.99346358408502</v>
      </c>
      <c r="H378" s="1794">
        <f t="shared" ref="H378:N378" si="88">G378+$E378*(H$371-G$371)</f>
        <v>260.47463576107441</v>
      </c>
      <c r="I378" s="1794">
        <f t="shared" si="88"/>
        <v>248.95580793806377</v>
      </c>
      <c r="J378" s="1794">
        <f t="shared" si="88"/>
        <v>237.43698011505313</v>
      </c>
      <c r="K378" s="1794">
        <f t="shared" si="88"/>
        <v>225.91815229204249</v>
      </c>
      <c r="L378" s="1794">
        <f t="shared" si="88"/>
        <v>214.39932446903185</v>
      </c>
      <c r="M378" s="1794">
        <f t="shared" si="88"/>
        <v>202.88049664602121</v>
      </c>
      <c r="N378" s="1794">
        <f t="shared" si="88"/>
        <v>191.36166882301058</v>
      </c>
      <c r="O378" s="2053">
        <f>179842.841*GBP*1000</f>
        <v>179.84284099999996</v>
      </c>
      <c r="P378" s="1726"/>
      <c r="Q378" s="1902"/>
      <c r="R378" s="1902"/>
      <c r="T378" s="2068"/>
      <c r="U378" s="37"/>
      <c r="V378" s="1948"/>
      <c r="W378" s="1948"/>
      <c r="X378" s="1948"/>
      <c r="Y378" s="1948"/>
      <c r="Z378" s="1948"/>
      <c r="AA378" s="1948"/>
      <c r="AB378" s="1948"/>
      <c r="AC378" s="1948"/>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37"/>
      <c r="BF378" s="37"/>
      <c r="BG378" s="37"/>
      <c r="BH378" s="37"/>
      <c r="BI378" s="37"/>
      <c r="BJ378" s="37"/>
      <c r="BK378" s="37"/>
    </row>
    <row r="379" spans="2:63" s="1952" customFormat="1" ht="14">
      <c r="B379" s="1129"/>
      <c r="C379" s="1721" t="s">
        <v>919</v>
      </c>
      <c r="D379" s="1721" t="s">
        <v>924</v>
      </c>
      <c r="E379" s="2016">
        <f t="shared" si="87"/>
        <v>-5.9095421554573253</v>
      </c>
      <c r="F379" s="1097">
        <f>441647.252218293*GBP*1000</f>
        <v>441.64725221829298</v>
      </c>
      <c r="G379" s="1097">
        <f>441647.252218293*GBP*1000</f>
        <v>441.64725221829298</v>
      </c>
      <c r="H379" s="1794">
        <f t="shared" ref="H379:N379" si="89">G379+$E379*(H$371-G$371)</f>
        <v>412.09954144100635</v>
      </c>
      <c r="I379" s="1794">
        <f t="shared" si="89"/>
        <v>382.55183066371973</v>
      </c>
      <c r="J379" s="1794">
        <f t="shared" si="89"/>
        <v>353.0041198864331</v>
      </c>
      <c r="K379" s="1794">
        <f t="shared" si="89"/>
        <v>323.45640910914648</v>
      </c>
      <c r="L379" s="1794">
        <f t="shared" si="89"/>
        <v>293.90869833185985</v>
      </c>
      <c r="M379" s="1794">
        <f t="shared" si="89"/>
        <v>264.36098755457323</v>
      </c>
      <c r="N379" s="1794">
        <f t="shared" si="89"/>
        <v>234.8132767772866</v>
      </c>
      <c r="O379" s="2053">
        <f>205265.566*GBP*1000</f>
        <v>205.26556599999998</v>
      </c>
      <c r="P379" s="1726"/>
      <c r="Q379" s="1902"/>
      <c r="R379" s="1902"/>
      <c r="T379" s="2068"/>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c r="BE379" s="37"/>
      <c r="BF379" s="37"/>
      <c r="BG379" s="37"/>
      <c r="BH379" s="37"/>
      <c r="BI379" s="37"/>
      <c r="BJ379" s="37"/>
      <c r="BK379" s="37"/>
    </row>
    <row r="380" spans="2:63" s="1952" customFormat="1" ht="14">
      <c r="B380" s="1129"/>
      <c r="C380" s="1721" t="s">
        <v>919</v>
      </c>
      <c r="D380" s="1721" t="s">
        <v>925</v>
      </c>
      <c r="E380" s="2016">
        <f t="shared" si="87"/>
        <v>-12.884064071733235</v>
      </c>
      <c r="F380" s="1097">
        <f>1052865.48133743*GBP*1000</f>
        <v>1052.8654813374299</v>
      </c>
      <c r="G380" s="1097">
        <f>1052865.48133743*GBP*1000</f>
        <v>1052.8654813374299</v>
      </c>
      <c r="H380" s="1794">
        <f t="shared" ref="H380:N380" si="90">G380+$E380*(H$371-G$371)</f>
        <v>988.44516097876362</v>
      </c>
      <c r="I380" s="1794">
        <f t="shared" si="90"/>
        <v>924.02484062009739</v>
      </c>
      <c r="J380" s="1794">
        <f t="shared" si="90"/>
        <v>859.60452026143116</v>
      </c>
      <c r="K380" s="1794">
        <f t="shared" si="90"/>
        <v>795.18419990276493</v>
      </c>
      <c r="L380" s="1794">
        <f t="shared" si="90"/>
        <v>730.7638795440987</v>
      </c>
      <c r="M380" s="1794">
        <f t="shared" si="90"/>
        <v>666.34355918543247</v>
      </c>
      <c r="N380" s="1794">
        <f t="shared" si="90"/>
        <v>601.92323882676624</v>
      </c>
      <c r="O380" s="2054">
        <f>O395+(35%*(O365-O395))</f>
        <v>537.50291846810046</v>
      </c>
      <c r="P380" s="1726"/>
      <c r="Q380" s="1902"/>
      <c r="R380" s="1902"/>
      <c r="T380" s="2068"/>
      <c r="U380" s="37"/>
      <c r="V380" s="2063"/>
      <c r="W380" s="2035"/>
      <c r="X380" s="2063"/>
      <c r="Y380" s="2035"/>
      <c r="Z380" s="2063"/>
      <c r="AA380" s="2035"/>
      <c r="AB380" s="2063"/>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37"/>
      <c r="BF380" s="37"/>
      <c r="BG380" s="37"/>
      <c r="BH380" s="37"/>
      <c r="BI380" s="37"/>
      <c r="BJ380" s="37"/>
      <c r="BK380" s="37"/>
    </row>
    <row r="381" spans="2:63" s="1952" customFormat="1" ht="14">
      <c r="B381" s="1129"/>
      <c r="C381" s="1477" t="s">
        <v>921</v>
      </c>
      <c r="D381" s="1477" t="s">
        <v>962</v>
      </c>
      <c r="E381" s="2017">
        <f t="shared" si="87"/>
        <v>-0.90744999999999965</v>
      </c>
      <c r="F381" s="1964">
        <f>124097*GBP*1000</f>
        <v>124.09699999999999</v>
      </c>
      <c r="G381" s="1964">
        <f>124097*GBP*1000</f>
        <v>124.09699999999999</v>
      </c>
      <c r="H381" s="2064">
        <f>G381+$E381*(H$371-G$371)</f>
        <v>119.55974999999999</v>
      </c>
      <c r="I381" s="2064">
        <f t="shared" ref="I381:N382" si="91">H381+$E381*(I$371-H$371)</f>
        <v>115.02249999999999</v>
      </c>
      <c r="J381" s="2064">
        <f t="shared" si="91"/>
        <v>110.48524999999999</v>
      </c>
      <c r="K381" s="2064">
        <f t="shared" si="91"/>
        <v>105.94799999999999</v>
      </c>
      <c r="L381" s="2064">
        <f t="shared" si="91"/>
        <v>101.41074999999999</v>
      </c>
      <c r="M381" s="2064">
        <f t="shared" si="91"/>
        <v>96.873499999999993</v>
      </c>
      <c r="N381" s="2064">
        <f>M381+$E381*(N$371-M$371)</f>
        <v>92.336249999999993</v>
      </c>
      <c r="O381" s="2053">
        <f>87799*GBP*1000</f>
        <v>87.799000000000007</v>
      </c>
      <c r="P381" s="1726"/>
      <c r="Q381" s="1902"/>
      <c r="R381" s="1902"/>
      <c r="T381" s="37"/>
      <c r="U381" s="37"/>
      <c r="V381" s="2063"/>
      <c r="W381" s="2035"/>
      <c r="X381" s="2063"/>
      <c r="Y381" s="2035"/>
      <c r="Z381" s="2063"/>
      <c r="AA381" s="2035"/>
      <c r="AB381" s="2063"/>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37"/>
      <c r="BF381" s="37"/>
      <c r="BG381" s="37"/>
      <c r="BH381" s="37"/>
      <c r="BI381" s="37"/>
      <c r="BJ381" s="37"/>
      <c r="BK381" s="37"/>
    </row>
    <row r="382" spans="2:63" s="1952" customFormat="1" ht="14">
      <c r="B382" s="1129"/>
      <c r="C382" s="1721" t="s">
        <v>921</v>
      </c>
      <c r="D382" s="1721" t="s">
        <v>963</v>
      </c>
      <c r="E382" s="2016">
        <f t="shared" si="87"/>
        <v>-2.4379499999999994</v>
      </c>
      <c r="F382" s="1097">
        <f>333396*GBP*1000</f>
        <v>333.39599999999996</v>
      </c>
      <c r="G382" s="1097">
        <f t="shared" ref="G382" si="92">(G397+((G367-G397)*0.35))</f>
        <v>333.39599999999996</v>
      </c>
      <c r="H382" s="2065">
        <f>G382+$E382*(H$371-G$371)</f>
        <v>321.20624999999995</v>
      </c>
      <c r="I382" s="2065">
        <f t="shared" si="91"/>
        <v>309.01649999999995</v>
      </c>
      <c r="J382" s="2065">
        <f t="shared" si="91"/>
        <v>296.82674999999995</v>
      </c>
      <c r="K382" s="2065">
        <f t="shared" si="91"/>
        <v>284.63699999999994</v>
      </c>
      <c r="L382" s="2065">
        <f t="shared" si="91"/>
        <v>272.44724999999994</v>
      </c>
      <c r="M382" s="2065">
        <f t="shared" si="91"/>
        <v>260.25749999999994</v>
      </c>
      <c r="N382" s="2065">
        <f t="shared" si="91"/>
        <v>248.06774999999993</v>
      </c>
      <c r="O382" s="2054">
        <f>235878*GBP*1000</f>
        <v>235.87799999999999</v>
      </c>
      <c r="P382" s="1722"/>
      <c r="Q382" s="1902"/>
      <c r="R382" s="1902"/>
      <c r="T382" s="2068"/>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37"/>
      <c r="BF382" s="37"/>
      <c r="BG382" s="37"/>
      <c r="BH382" s="37"/>
      <c r="BI382" s="37"/>
      <c r="BJ382" s="37"/>
      <c r="BK382" s="37"/>
    </row>
    <row r="383" spans="2:63" s="1952" customFormat="1" ht="14">
      <c r="B383" s="1129"/>
      <c r="C383" s="1947" t="s">
        <v>922</v>
      </c>
      <c r="D383" s="1947" t="s">
        <v>922</v>
      </c>
      <c r="E383" s="2018">
        <f t="shared" si="87"/>
        <v>-538.48606086804432</v>
      </c>
      <c r="F383" s="1973">
        <f t="shared" ref="F383:G383" si="93">(F398+((F368-F398)*0.35))</f>
        <v>57337.603745725799</v>
      </c>
      <c r="G383" s="1973">
        <f t="shared" si="93"/>
        <v>57337.603745725799</v>
      </c>
      <c r="H383" s="2066">
        <f t="shared" ref="H383:N383" si="94">G383+$E383*(H$371-G$371)</f>
        <v>54645.173441385574</v>
      </c>
      <c r="I383" s="2066">
        <f>H383+$E383*(I$371-H$371)</f>
        <v>51952.743137045356</v>
      </c>
      <c r="J383" s="2066">
        <f t="shared" si="94"/>
        <v>49260.312832705138</v>
      </c>
      <c r="K383" s="2066">
        <f t="shared" si="94"/>
        <v>46567.88252836492</v>
      </c>
      <c r="L383" s="2066">
        <f t="shared" si="94"/>
        <v>43875.452224024702</v>
      </c>
      <c r="M383" s="2066">
        <f t="shared" si="94"/>
        <v>41183.021919684485</v>
      </c>
      <c r="N383" s="2066">
        <f t="shared" si="94"/>
        <v>38490.591615344267</v>
      </c>
      <c r="O383" s="2055">
        <f t="shared" ref="O383" si="95">(O398+((O368-O398)*0.35))</f>
        <v>35798.161311004027</v>
      </c>
      <c r="P383" s="1722"/>
      <c r="Q383" s="1902"/>
      <c r="R383" s="1902"/>
      <c r="T383" s="2068"/>
      <c r="U383" s="37"/>
      <c r="V383" s="2035"/>
      <c r="W383" s="2035"/>
      <c r="X383" s="2035"/>
      <c r="Y383" s="2035"/>
      <c r="Z383" s="2035"/>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37"/>
      <c r="BF383" s="37"/>
      <c r="BG383" s="37"/>
      <c r="BH383" s="37"/>
      <c r="BI383" s="37"/>
      <c r="BJ383" s="37"/>
      <c r="BK383" s="37"/>
    </row>
    <row r="384" spans="2:63" s="1952" customFormat="1">
      <c r="B384" s="1129"/>
      <c r="C384" s="1129"/>
      <c r="D384" s="1129"/>
      <c r="E384" s="1129"/>
      <c r="F384" s="1781"/>
      <c r="G384" s="1781"/>
      <c r="H384" s="1781"/>
      <c r="I384" s="1781"/>
      <c r="J384" s="1129"/>
      <c r="K384" s="1782"/>
      <c r="L384" s="1129"/>
      <c r="M384" s="1782"/>
      <c r="N384" s="1129"/>
      <c r="O384" s="2028"/>
      <c r="P384" s="1722"/>
      <c r="R384" s="1902"/>
      <c r="T384" s="37"/>
      <c r="U384" s="37"/>
      <c r="V384" s="2035"/>
      <c r="W384" s="2035"/>
      <c r="X384" s="2035"/>
      <c r="Y384" s="2035"/>
      <c r="Z384" s="2035"/>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c r="BE384" s="37"/>
      <c r="BF384" s="37"/>
      <c r="BG384" s="37"/>
      <c r="BH384" s="37"/>
      <c r="BI384" s="37"/>
      <c r="BJ384" s="37"/>
      <c r="BK384" s="37"/>
    </row>
    <row r="385" spans="1:63" s="1952" customFormat="1">
      <c r="B385" s="1129"/>
      <c r="C385" s="1129"/>
      <c r="D385" s="1129"/>
      <c r="E385" s="1129"/>
      <c r="F385" s="1781"/>
      <c r="G385" s="1781"/>
      <c r="H385" s="1781"/>
      <c r="I385" s="1781"/>
      <c r="J385" s="1129"/>
      <c r="K385" s="1782"/>
      <c r="L385" s="1129"/>
      <c r="M385" s="1782"/>
      <c r="N385" s="1129"/>
      <c r="O385" s="2028" t="str">
        <f>Preferences.moneyunits&amp;" per thousand vehicle units"</f>
        <v>£m per thousand vehicle units</v>
      </c>
      <c r="P385" s="1726"/>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c r="BE385" s="37"/>
      <c r="BF385" s="37"/>
      <c r="BG385" s="37"/>
      <c r="BH385" s="37"/>
      <c r="BI385" s="37"/>
      <c r="BJ385" s="37"/>
      <c r="BK385" s="37"/>
    </row>
    <row r="386" spans="1:63" s="1952" customFormat="1" ht="14">
      <c r="B386" s="1129"/>
      <c r="C386" s="1966" t="s">
        <v>1804</v>
      </c>
      <c r="D386" s="1967"/>
      <c r="E386" s="1968" t="s">
        <v>1413</v>
      </c>
      <c r="F386" s="1969">
        <v>2007</v>
      </c>
      <c r="G386" s="1969">
        <v>2010</v>
      </c>
      <c r="H386" s="1969">
        <v>2015</v>
      </c>
      <c r="I386" s="1969">
        <v>2020</v>
      </c>
      <c r="J386" s="1969">
        <v>2025</v>
      </c>
      <c r="K386" s="1969">
        <v>2030</v>
      </c>
      <c r="L386" s="1969">
        <v>2035</v>
      </c>
      <c r="M386" s="1969">
        <v>2040</v>
      </c>
      <c r="N386" s="1969">
        <v>2045</v>
      </c>
      <c r="O386" s="2058">
        <v>2050</v>
      </c>
      <c r="P386" s="1726"/>
      <c r="T386" s="37"/>
      <c r="U386" s="37"/>
      <c r="V386" s="2035"/>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c r="BE386" s="37"/>
      <c r="BF386" s="37"/>
      <c r="BG386" s="37"/>
      <c r="BH386" s="37"/>
      <c r="BI386" s="37"/>
      <c r="BJ386" s="37"/>
      <c r="BK386" s="37"/>
    </row>
    <row r="387" spans="1:63" s="1952" customFormat="1" ht="14">
      <c r="B387" s="1129"/>
      <c r="C387" s="1477" t="s">
        <v>920</v>
      </c>
      <c r="D387" s="1477" t="s">
        <v>920</v>
      </c>
      <c r="E387" s="1722">
        <f>(O387-G387)/(O$386-G$386)</f>
        <v>-2.2500000000000007E-3</v>
      </c>
      <c r="F387" s="1971">
        <f>250*GBP*1000</f>
        <v>0.25</v>
      </c>
      <c r="G387" s="1971">
        <f>F387</f>
        <v>0.25</v>
      </c>
      <c r="H387" s="1971">
        <f>G387+$E387*(H$386-G$386)</f>
        <v>0.23874999999999999</v>
      </c>
      <c r="I387" s="1971">
        <f t="shared" ref="I387:N387" si="96">H387+$E387*(I$386-H$386)</f>
        <v>0.22749999999999998</v>
      </c>
      <c r="J387" s="1971">
        <f t="shared" si="96"/>
        <v>0.21624999999999997</v>
      </c>
      <c r="K387" s="1971">
        <f t="shared" si="96"/>
        <v>0.20499999999999996</v>
      </c>
      <c r="L387" s="1971">
        <f t="shared" si="96"/>
        <v>0.19374999999999995</v>
      </c>
      <c r="M387" s="1971">
        <f t="shared" si="96"/>
        <v>0.18249999999999994</v>
      </c>
      <c r="N387" s="1971">
        <f t="shared" si="96"/>
        <v>0.17124999999999993</v>
      </c>
      <c r="O387" s="2057">
        <f>160*GBP*1000</f>
        <v>0.15999999999999998</v>
      </c>
      <c r="P387" s="1726"/>
      <c r="Q387" s="1902"/>
      <c r="R387" s="1902"/>
      <c r="T387" s="37"/>
      <c r="U387" s="37"/>
      <c r="V387" s="2035"/>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c r="BE387" s="37"/>
      <c r="BF387" s="37"/>
      <c r="BG387" s="37"/>
      <c r="BH387" s="37"/>
      <c r="BI387" s="37"/>
      <c r="BJ387" s="37"/>
      <c r="BK387" s="37"/>
    </row>
    <row r="388" spans="1:63" s="1952" customFormat="1" ht="14">
      <c r="B388" s="1129"/>
      <c r="C388" s="1477" t="s">
        <v>918</v>
      </c>
      <c r="D388" s="1477" t="s">
        <v>923</v>
      </c>
      <c r="E388" s="1975">
        <f t="shared" ref="E388:E397" si="97">(O388-G388)/(O$386-G$386)</f>
        <v>-4.289999999999998E-2</v>
      </c>
      <c r="F388" s="1964">
        <f>15216*GBP*1000</f>
        <v>15.215999999999999</v>
      </c>
      <c r="G388" s="1964">
        <f>15216*GBP*1000</f>
        <v>15.215999999999999</v>
      </c>
      <c r="H388" s="1971">
        <f t="shared" ref="H388:N388" si="98">G388+$E388*(H$386-G$386)</f>
        <v>15.0015</v>
      </c>
      <c r="I388" s="1971">
        <f t="shared" si="98"/>
        <v>14.787000000000001</v>
      </c>
      <c r="J388" s="1971">
        <f t="shared" si="98"/>
        <v>14.572500000000002</v>
      </c>
      <c r="K388" s="1971">
        <f t="shared" si="98"/>
        <v>14.358000000000002</v>
      </c>
      <c r="L388" s="1971">
        <f t="shared" si="98"/>
        <v>14.143500000000003</v>
      </c>
      <c r="M388" s="1971">
        <f t="shared" si="98"/>
        <v>13.929000000000004</v>
      </c>
      <c r="N388" s="1971">
        <f t="shared" si="98"/>
        <v>13.714500000000005</v>
      </c>
      <c r="O388" s="2052">
        <f>13500*GBP*1000</f>
        <v>13.5</v>
      </c>
      <c r="P388" s="1726"/>
      <c r="Q388" s="1902"/>
      <c r="R388" s="1902"/>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37"/>
      <c r="BF388" s="37"/>
      <c r="BG388" s="37"/>
      <c r="BH388" s="37"/>
      <c r="BI388" s="37"/>
      <c r="BJ388" s="37"/>
      <c r="BK388" s="37"/>
    </row>
    <row r="389" spans="1:63" s="1952" customFormat="1" ht="14">
      <c r="B389" s="1129"/>
      <c r="C389" s="1721" t="s">
        <v>918</v>
      </c>
      <c r="D389" s="1721" t="s">
        <v>1116</v>
      </c>
      <c r="E389" s="1974">
        <f t="shared" si="97"/>
        <v>-0.226775</v>
      </c>
      <c r="F389" s="1097">
        <f>(23196)*GBP*1000</f>
        <v>23.195999999999998</v>
      </c>
      <c r="G389" s="1097">
        <f>(23196)*GBP*1000</f>
        <v>23.195999999999998</v>
      </c>
      <c r="H389" s="1794">
        <f t="shared" ref="H389:N389" si="99">G389+$E389*(H$386-G$386)</f>
        <v>22.062124999999998</v>
      </c>
      <c r="I389" s="1794">
        <f t="shared" si="99"/>
        <v>20.928249999999998</v>
      </c>
      <c r="J389" s="1794">
        <f t="shared" si="99"/>
        <v>19.794374999999999</v>
      </c>
      <c r="K389" s="1794">
        <f t="shared" si="99"/>
        <v>18.660499999999999</v>
      </c>
      <c r="L389" s="1794">
        <f t="shared" si="99"/>
        <v>17.526624999999999</v>
      </c>
      <c r="M389" s="1794">
        <f t="shared" si="99"/>
        <v>16.392749999999999</v>
      </c>
      <c r="N389" s="1794">
        <f t="shared" si="99"/>
        <v>15.258875</v>
      </c>
      <c r="O389" s="2053">
        <f>14125*GBP*1000</f>
        <v>14.124999999999998</v>
      </c>
      <c r="P389" s="1726"/>
      <c r="Q389" s="1902"/>
      <c r="R389" s="1902"/>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37"/>
      <c r="BF389" s="37"/>
      <c r="BG389" s="37"/>
      <c r="BH389" s="37"/>
      <c r="BI389" s="37"/>
      <c r="BJ389" s="37"/>
      <c r="BK389" s="37"/>
    </row>
    <row r="390" spans="1:63" s="1952" customFormat="1" ht="15">
      <c r="B390" s="1129"/>
      <c r="C390" s="1721" t="s">
        <v>918</v>
      </c>
      <c r="D390" s="1721" t="s">
        <v>924</v>
      </c>
      <c r="E390" s="1974">
        <f t="shared" si="97"/>
        <v>-0.37162499999999998</v>
      </c>
      <c r="F390" s="1097">
        <f>28990*GBP*1000</f>
        <v>28.99</v>
      </c>
      <c r="G390" s="1097">
        <f>28990*GBP*1000</f>
        <v>28.99</v>
      </c>
      <c r="H390" s="1794">
        <f t="shared" ref="H390:N390" si="100">G390+$E390*(H$386-G$386)</f>
        <v>27.131874999999997</v>
      </c>
      <c r="I390" s="1794">
        <f t="shared" si="100"/>
        <v>25.273749999999996</v>
      </c>
      <c r="J390" s="1794">
        <f t="shared" si="100"/>
        <v>23.415624999999995</v>
      </c>
      <c r="K390" s="1794">
        <f t="shared" si="100"/>
        <v>21.557499999999994</v>
      </c>
      <c r="L390" s="1794">
        <f t="shared" si="100"/>
        <v>19.699374999999993</v>
      </c>
      <c r="M390" s="1794">
        <f t="shared" si="100"/>
        <v>17.841249999999992</v>
      </c>
      <c r="N390" s="1794">
        <f t="shared" si="100"/>
        <v>15.983124999999992</v>
      </c>
      <c r="O390" s="2053">
        <f>14125*GBP*1000</f>
        <v>14.124999999999998</v>
      </c>
      <c r="P390" s="1726"/>
      <c r="Q390" s="1902"/>
      <c r="R390" s="1902"/>
      <c r="T390" s="2069"/>
      <c r="U390" s="37"/>
      <c r="V390" s="2035"/>
      <c r="W390" s="2035"/>
      <c r="X390" s="2035"/>
      <c r="Y390" s="2035"/>
      <c r="Z390" s="2035"/>
      <c r="AA390" s="2035"/>
      <c r="AB390" s="2035"/>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37"/>
      <c r="BF390" s="37"/>
      <c r="BG390" s="37"/>
      <c r="BH390" s="37"/>
      <c r="BI390" s="37"/>
      <c r="BJ390" s="37"/>
      <c r="BK390" s="37"/>
    </row>
    <row r="391" spans="1:63" s="1952" customFormat="1" ht="14">
      <c r="B391" s="1129"/>
      <c r="C391" s="599" t="s">
        <v>918</v>
      </c>
      <c r="D391" s="599" t="s">
        <v>925</v>
      </c>
      <c r="E391" s="1976">
        <f t="shared" si="97"/>
        <v>-1.4729377749999997</v>
      </c>
      <c r="F391" s="1783">
        <f>76423*GBP*1000</f>
        <v>76.422999999999988</v>
      </c>
      <c r="G391" s="1783">
        <f>76423*GBP*1000</f>
        <v>76.422999999999988</v>
      </c>
      <c r="H391" s="1970">
        <f t="shared" ref="H391:N391" si="101">G391+$E391*(H$386-G$386)</f>
        <v>69.058311124999989</v>
      </c>
      <c r="I391" s="1970">
        <f t="shared" si="101"/>
        <v>61.69362224999999</v>
      </c>
      <c r="J391" s="1970">
        <f t="shared" si="101"/>
        <v>54.328933374999991</v>
      </c>
      <c r="K391" s="1970">
        <f t="shared" si="101"/>
        <v>46.964244499999992</v>
      </c>
      <c r="L391" s="1970">
        <f t="shared" si="101"/>
        <v>39.599555624999994</v>
      </c>
      <c r="M391" s="1970">
        <f t="shared" si="101"/>
        <v>32.234866749999995</v>
      </c>
      <c r="N391" s="1970">
        <f t="shared" si="101"/>
        <v>24.870177874999996</v>
      </c>
      <c r="O391" s="2054">
        <f>17505.489*GBP*1000</f>
        <v>17.505489000000001</v>
      </c>
      <c r="P391" s="1726"/>
      <c r="Q391" s="1902"/>
      <c r="R391" s="1902"/>
      <c r="T391" s="37"/>
      <c r="U391" s="37"/>
      <c r="V391" s="2035"/>
      <c r="W391" s="2035"/>
      <c r="X391" s="2035"/>
      <c r="Y391" s="2035"/>
      <c r="Z391" s="2035"/>
      <c r="AA391" s="2035"/>
      <c r="AB391" s="2035"/>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c r="BE391" s="37"/>
      <c r="BF391" s="37"/>
      <c r="BG391" s="37"/>
      <c r="BH391" s="37"/>
      <c r="BI391" s="37"/>
      <c r="BJ391" s="37"/>
      <c r="BK391" s="37"/>
    </row>
    <row r="392" spans="1:63" s="1952" customFormat="1" ht="14">
      <c r="B392" s="1129"/>
      <c r="C392" s="1477" t="s">
        <v>919</v>
      </c>
      <c r="D392" s="1477" t="s">
        <v>923</v>
      </c>
      <c r="E392" s="1975">
        <f t="shared" si="97"/>
        <v>-2.892241223539</v>
      </c>
      <c r="F392" s="1964">
        <f>235689.64894156*GBP*1000</f>
        <v>235.68964894155999</v>
      </c>
      <c r="G392" s="1964">
        <f>235689.64894156*GBP*1000</f>
        <v>235.68964894155999</v>
      </c>
      <c r="H392" s="1971">
        <f t="shared" ref="H392:N392" si="102">G392+$E392*(H$386-G$386)</f>
        <v>221.22844282386501</v>
      </c>
      <c r="I392" s="1971">
        <f t="shared" si="102"/>
        <v>206.76723670617002</v>
      </c>
      <c r="J392" s="1971">
        <f t="shared" si="102"/>
        <v>192.30603058847504</v>
      </c>
      <c r="K392" s="1971">
        <f t="shared" si="102"/>
        <v>177.84482447078005</v>
      </c>
      <c r="L392" s="1971">
        <f t="shared" si="102"/>
        <v>163.38361835308507</v>
      </c>
      <c r="M392" s="1971">
        <f t="shared" si="102"/>
        <v>148.92241223539008</v>
      </c>
      <c r="N392" s="1971">
        <f t="shared" si="102"/>
        <v>134.4612061176951</v>
      </c>
      <c r="O392" s="2052">
        <f>120000*GBP*1000</f>
        <v>120</v>
      </c>
      <c r="P392" s="1726"/>
      <c r="Q392" s="1902"/>
      <c r="R392" s="1902"/>
      <c r="T392" s="37"/>
      <c r="U392" s="37"/>
      <c r="V392" s="2035"/>
      <c r="W392" s="37"/>
      <c r="X392" s="2035"/>
      <c r="Y392" s="37"/>
      <c r="Z392" s="2035"/>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c r="BC392" s="37"/>
      <c r="BD392" s="37"/>
      <c r="BE392" s="37"/>
      <c r="BF392" s="37"/>
      <c r="BG392" s="37"/>
      <c r="BH392" s="37"/>
      <c r="BI392" s="37"/>
      <c r="BJ392" s="37"/>
      <c r="BK392" s="37"/>
    </row>
    <row r="393" spans="1:63" s="1952" customFormat="1" ht="14">
      <c r="B393" s="1129"/>
      <c r="C393" s="1721" t="s">
        <v>919</v>
      </c>
      <c r="D393" s="1721" t="s">
        <v>1117</v>
      </c>
      <c r="E393" s="1974">
        <f t="shared" si="97"/>
        <v>-3.5498365896021253</v>
      </c>
      <c r="F393" s="1097">
        <f>271993.463584085*GBP*1000</f>
        <v>271.99346358408502</v>
      </c>
      <c r="G393" s="1097">
        <f>271993.463584085*GBP*1000</f>
        <v>271.99346358408502</v>
      </c>
      <c r="H393" s="1794">
        <f t="shared" ref="H393:N393" si="103">G393+$E393*(H$386-G$386)</f>
        <v>254.24428063607439</v>
      </c>
      <c r="I393" s="1794">
        <f t="shared" si="103"/>
        <v>236.49509768806377</v>
      </c>
      <c r="J393" s="1794">
        <f t="shared" si="103"/>
        <v>218.74591474005314</v>
      </c>
      <c r="K393" s="1794">
        <f t="shared" si="103"/>
        <v>200.99673179204251</v>
      </c>
      <c r="L393" s="1794">
        <f t="shared" si="103"/>
        <v>183.24754884403188</v>
      </c>
      <c r="M393" s="1794">
        <f t="shared" si="103"/>
        <v>165.49836589602126</v>
      </c>
      <c r="N393" s="1794">
        <f t="shared" si="103"/>
        <v>147.74918294801063</v>
      </c>
      <c r="O393" s="2053">
        <f>130000*GBP*1000</f>
        <v>130</v>
      </c>
      <c r="P393" s="1726"/>
      <c r="Q393" s="1902"/>
      <c r="R393" s="1902"/>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c r="BC393" s="37"/>
      <c r="BD393" s="37"/>
      <c r="BE393" s="37"/>
      <c r="BF393" s="37"/>
      <c r="BG393" s="37"/>
      <c r="BH393" s="37"/>
      <c r="BI393" s="37"/>
      <c r="BJ393" s="37"/>
      <c r="BK393" s="37"/>
    </row>
    <row r="394" spans="1:63" s="1952" customFormat="1" ht="15">
      <c r="B394" s="1129"/>
      <c r="C394" s="1721" t="s">
        <v>919</v>
      </c>
      <c r="D394" s="1721" t="s">
        <v>924</v>
      </c>
      <c r="E394" s="1974">
        <f t="shared" si="97"/>
        <v>-5.9095421524517997</v>
      </c>
      <c r="F394" s="1097">
        <f>441647.252218293*GBP*1000</f>
        <v>441.64725221829298</v>
      </c>
      <c r="G394" s="1097">
        <f>441647.252218293*GBP*1000</f>
        <v>441.64725221829298</v>
      </c>
      <c r="H394" s="1794">
        <f t="shared" ref="H394:N394" si="104">G394+$E394*(H$386-G$386)</f>
        <v>412.09954145603399</v>
      </c>
      <c r="I394" s="1794">
        <f t="shared" si="104"/>
        <v>382.551830693775</v>
      </c>
      <c r="J394" s="1794">
        <f t="shared" si="104"/>
        <v>353.00411993151602</v>
      </c>
      <c r="K394" s="1794">
        <f t="shared" si="104"/>
        <v>323.45640916925703</v>
      </c>
      <c r="L394" s="1794">
        <f t="shared" si="104"/>
        <v>293.90869840699804</v>
      </c>
      <c r="M394" s="1794">
        <f t="shared" si="104"/>
        <v>264.36098764473905</v>
      </c>
      <c r="N394" s="1794">
        <f t="shared" si="104"/>
        <v>234.81327688248007</v>
      </c>
      <c r="O394" s="2053">
        <f>205265.566120221*GBP*1000</f>
        <v>205.265566120221</v>
      </c>
      <c r="P394" s="1726"/>
      <c r="Q394" s="1902"/>
      <c r="R394" s="1902"/>
      <c r="T394" s="37"/>
      <c r="U394" s="37"/>
      <c r="V394" s="2070"/>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c r="BC394" s="37"/>
      <c r="BD394" s="37"/>
      <c r="BE394" s="37"/>
      <c r="BF394" s="37"/>
      <c r="BG394" s="37"/>
      <c r="BH394" s="37"/>
      <c r="BI394" s="37"/>
      <c r="BJ394" s="37"/>
      <c r="BK394" s="37"/>
    </row>
    <row r="395" spans="1:63" s="1952" customFormat="1" ht="14">
      <c r="B395" s="1129"/>
      <c r="C395" s="599" t="s">
        <v>919</v>
      </c>
      <c r="D395" s="599" t="s">
        <v>925</v>
      </c>
      <c r="E395" s="1976">
        <f t="shared" si="97"/>
        <v>-19.821637033435746</v>
      </c>
      <c r="F395" s="1783">
        <f>1052865.48133743*GBP*1000</f>
        <v>1052.8654813374299</v>
      </c>
      <c r="G395" s="1783">
        <f>1052865.48133743*GBP*1000</f>
        <v>1052.8654813374299</v>
      </c>
      <c r="H395" s="1970">
        <f t="shared" ref="H395:N395" si="105">G395+$E395*(H$386-G$386)</f>
        <v>953.75729617025115</v>
      </c>
      <c r="I395" s="1970">
        <f t="shared" si="105"/>
        <v>854.64911100307245</v>
      </c>
      <c r="J395" s="1970">
        <f t="shared" si="105"/>
        <v>755.54092583589374</v>
      </c>
      <c r="K395" s="1970">
        <f t="shared" si="105"/>
        <v>656.43274066871504</v>
      </c>
      <c r="L395" s="1970">
        <f t="shared" si="105"/>
        <v>557.32455550153634</v>
      </c>
      <c r="M395" s="1970">
        <f t="shared" si="105"/>
        <v>458.21637033435763</v>
      </c>
      <c r="N395" s="1970">
        <f t="shared" si="105"/>
        <v>359.10818516717893</v>
      </c>
      <c r="O395" s="2054">
        <f>260000*GBP*1000</f>
        <v>260</v>
      </c>
      <c r="P395" s="1726"/>
      <c r="Q395" s="1902"/>
      <c r="R395" s="1902"/>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c r="BC395" s="37"/>
      <c r="BD395" s="37"/>
      <c r="BE395" s="37"/>
      <c r="BF395" s="37"/>
      <c r="BG395" s="37"/>
      <c r="BH395" s="37"/>
      <c r="BI395" s="37"/>
      <c r="BJ395" s="37"/>
      <c r="BK395" s="37"/>
    </row>
    <row r="396" spans="1:63" s="1952" customFormat="1" ht="14">
      <c r="B396" s="1129"/>
      <c r="C396" s="1477" t="s">
        <v>921</v>
      </c>
      <c r="D396" s="1477" t="s">
        <v>962</v>
      </c>
      <c r="E396" s="1975">
        <f t="shared" si="97"/>
        <v>-1.39609125</v>
      </c>
      <c r="F396" s="1964">
        <f>124097*GBP*1000</f>
        <v>124.09699999999999</v>
      </c>
      <c r="G396" s="1964">
        <f>124097*GBP*1000</f>
        <v>124.09699999999999</v>
      </c>
      <c r="H396" s="1971">
        <f t="shared" ref="H396:N396" si="106">G396+$E396*(H$386-G$386)</f>
        <v>117.11654374999999</v>
      </c>
      <c r="I396" s="1971">
        <f t="shared" si="106"/>
        <v>110.13608749999999</v>
      </c>
      <c r="J396" s="1971">
        <f t="shared" si="106"/>
        <v>103.15563124999998</v>
      </c>
      <c r="K396" s="1971">
        <f t="shared" si="106"/>
        <v>96.175174999999982</v>
      </c>
      <c r="L396" s="1971">
        <f t="shared" si="106"/>
        <v>89.194718749999979</v>
      </c>
      <c r="M396" s="1971">
        <f t="shared" si="106"/>
        <v>82.214262499999975</v>
      </c>
      <c r="N396" s="1971">
        <f t="shared" si="106"/>
        <v>75.233806249999972</v>
      </c>
      <c r="O396" s="2052">
        <f>68253.35*GBP*1000</f>
        <v>68.253349999999998</v>
      </c>
      <c r="P396" s="1726"/>
      <c r="Q396" s="1902"/>
      <c r="R396" s="1902"/>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c r="BE396" s="37"/>
      <c r="BF396" s="37"/>
      <c r="BG396" s="37"/>
      <c r="BH396" s="37"/>
      <c r="BI396" s="37"/>
      <c r="BJ396" s="37"/>
      <c r="BK396" s="37"/>
    </row>
    <row r="397" spans="1:63" s="1952" customFormat="1" ht="14">
      <c r="B397" s="1129"/>
      <c r="C397" s="599" t="s">
        <v>921</v>
      </c>
      <c r="D397" s="599" t="s">
        <v>963</v>
      </c>
      <c r="E397" s="1976">
        <f t="shared" si="97"/>
        <v>-3.750705</v>
      </c>
      <c r="F397" s="1783">
        <f>333396*GBP*1000</f>
        <v>333.39599999999996</v>
      </c>
      <c r="G397" s="1783">
        <f>333396*GBP*1000</f>
        <v>333.39599999999996</v>
      </c>
      <c r="H397" s="1970">
        <f t="shared" ref="H397:N397" si="107">G397+$E397*(H$386-G$386)</f>
        <v>314.64247499999993</v>
      </c>
      <c r="I397" s="1970">
        <f t="shared" si="107"/>
        <v>295.88894999999991</v>
      </c>
      <c r="J397" s="1970">
        <f t="shared" si="107"/>
        <v>277.13542499999988</v>
      </c>
      <c r="K397" s="1970">
        <f t="shared" si="107"/>
        <v>258.38189999999986</v>
      </c>
      <c r="L397" s="1970">
        <f>K397+$E397*(L$386-K$386)</f>
        <v>239.62837499999986</v>
      </c>
      <c r="M397" s="1970">
        <f t="shared" si="107"/>
        <v>220.87484999999987</v>
      </c>
      <c r="N397" s="1970">
        <f t="shared" si="107"/>
        <v>202.12132499999987</v>
      </c>
      <c r="O397" s="2054">
        <f>183367.8*GBP*1000</f>
        <v>183.36779999999996</v>
      </c>
      <c r="P397" s="1726"/>
      <c r="Q397" s="1902"/>
      <c r="R397" s="1902"/>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c r="BE397" s="37"/>
      <c r="BF397" s="37"/>
      <c r="BG397" s="37"/>
      <c r="BH397" s="37"/>
      <c r="BI397" s="37"/>
      <c r="BJ397" s="37"/>
      <c r="BK397" s="37"/>
    </row>
    <row r="398" spans="1:63" s="1952" customFormat="1" ht="14">
      <c r="B398" s="1129"/>
      <c r="C398" s="599" t="s">
        <v>922</v>
      </c>
      <c r="D398" s="1947" t="s">
        <v>922</v>
      </c>
      <c r="E398" s="2023">
        <f>(O398-G398)/(O$386-G$386)</f>
        <v>-828.44009364314502</v>
      </c>
      <c r="F398" s="1973">
        <f>57337603.7457258*GBP*1000</f>
        <v>57337.603745725799</v>
      </c>
      <c r="G398" s="1783">
        <f>57337603.7457258*GBP*1000</f>
        <v>57337.603745725799</v>
      </c>
      <c r="H398" s="1970">
        <f t="shared" ref="H398:N398" si="108">G398+$E398*(H$386-G$386)</f>
        <v>53195.403277510071</v>
      </c>
      <c r="I398" s="1970">
        <f t="shared" si="108"/>
        <v>49053.202809294344</v>
      </c>
      <c r="J398" s="1970">
        <f t="shared" si="108"/>
        <v>44911.002341078616</v>
      </c>
      <c r="K398" s="1970">
        <f t="shared" si="108"/>
        <v>40768.801872862889</v>
      </c>
      <c r="L398" s="1970">
        <f t="shared" si="108"/>
        <v>36626.601404647161</v>
      </c>
      <c r="M398" s="1970">
        <f t="shared" si="108"/>
        <v>32484.400936431437</v>
      </c>
      <c r="N398" s="1970">
        <f t="shared" si="108"/>
        <v>28342.200468215713</v>
      </c>
      <c r="O398" s="2054">
        <f>24200000*GBP*1000</f>
        <v>24200</v>
      </c>
      <c r="P398" s="1726"/>
      <c r="Q398" s="1902"/>
      <c r="R398" s="1902"/>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c r="BE398" s="37"/>
      <c r="BF398" s="37"/>
      <c r="BG398" s="37"/>
      <c r="BH398" s="37"/>
      <c r="BI398" s="37"/>
      <c r="BJ398" s="37"/>
      <c r="BK398" s="37"/>
    </row>
    <row r="399" spans="1:63" s="1952" customFormat="1">
      <c r="B399" s="1129"/>
      <c r="C399" s="1708"/>
      <c r="D399" s="1129"/>
      <c r="E399" s="1129"/>
      <c r="F399" s="1129"/>
      <c r="G399" s="1129"/>
      <c r="H399" s="1129"/>
      <c r="I399" s="1129"/>
      <c r="J399" s="1129"/>
      <c r="K399" s="1129"/>
      <c r="L399" s="1129"/>
      <c r="M399" s="1129"/>
      <c r="N399" s="1129"/>
      <c r="O399" s="1129"/>
      <c r="P399" s="1726"/>
      <c r="T399" s="37"/>
      <c r="U399" s="37"/>
      <c r="V399" s="2035"/>
      <c r="W399" s="2035"/>
      <c r="X399" s="2035"/>
      <c r="Y399" s="2035"/>
      <c r="Z399" s="2035"/>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37"/>
      <c r="BF399" s="37"/>
      <c r="BG399" s="37"/>
      <c r="BH399" s="37"/>
      <c r="BI399" s="37"/>
      <c r="BJ399" s="37"/>
      <c r="BK399" s="37"/>
    </row>
    <row r="400" spans="1:63" s="1952" customFormat="1">
      <c r="A400" s="1954"/>
      <c r="B400" s="1704"/>
      <c r="C400" s="1972" t="s">
        <v>1567</v>
      </c>
      <c r="D400" s="1129"/>
      <c r="E400" s="1129"/>
      <c r="F400" s="1781"/>
      <c r="G400" s="1781"/>
      <c r="H400" s="1781"/>
      <c r="I400" s="1781"/>
      <c r="J400" s="1129"/>
      <c r="K400" s="1782"/>
      <c r="L400" s="1129"/>
      <c r="M400" s="1782"/>
      <c r="N400" s="1129"/>
      <c r="O400" s="1708" t="str">
        <f>Preferences.moneyunits&amp;" per thousand vehicle units"</f>
        <v>£m per thousand vehicle units</v>
      </c>
      <c r="P400" s="1726"/>
      <c r="R400" s="1954"/>
      <c r="T400" s="37"/>
      <c r="U400" s="37"/>
      <c r="V400" s="2035"/>
      <c r="W400" s="2035"/>
      <c r="X400" s="2035"/>
      <c r="Y400" s="2035"/>
      <c r="Z400" s="2035"/>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c r="BC400" s="37"/>
      <c r="BD400" s="37"/>
      <c r="BE400" s="37"/>
      <c r="BF400" s="37"/>
      <c r="BG400" s="37"/>
      <c r="BH400" s="37"/>
      <c r="BI400" s="37"/>
      <c r="BJ400" s="37"/>
      <c r="BK400" s="37"/>
    </row>
    <row r="401" spans="1:63" s="1952" customFormat="1" ht="14">
      <c r="A401" s="1954"/>
      <c r="B401" s="1704"/>
      <c r="C401" s="1962" t="s">
        <v>1806</v>
      </c>
      <c r="D401" s="1950"/>
      <c r="E401" s="1961" t="s">
        <v>1413</v>
      </c>
      <c r="F401" s="1963">
        <v>2007</v>
      </c>
      <c r="G401" s="1963">
        <v>2010</v>
      </c>
      <c r="H401" s="1963">
        <v>2015</v>
      </c>
      <c r="I401" s="1963">
        <v>2020</v>
      </c>
      <c r="J401" s="1963">
        <v>2025</v>
      </c>
      <c r="K401" s="1963">
        <v>2030</v>
      </c>
      <c r="L401" s="1963">
        <v>2035</v>
      </c>
      <c r="M401" s="1963">
        <v>2040</v>
      </c>
      <c r="N401" s="1963">
        <v>2045</v>
      </c>
      <c r="O401" s="1963">
        <v>2050</v>
      </c>
      <c r="P401" s="1726"/>
      <c r="R401" s="1954"/>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c r="BC401" s="37"/>
      <c r="BD401" s="37"/>
      <c r="BE401" s="37"/>
      <c r="BF401" s="37"/>
      <c r="BG401" s="37"/>
      <c r="BH401" s="37"/>
      <c r="BI401" s="37"/>
      <c r="BJ401" s="37"/>
      <c r="BK401" s="37"/>
    </row>
    <row r="402" spans="1:63" s="1952" customFormat="1" ht="14">
      <c r="A402" s="1954"/>
      <c r="B402" s="1704"/>
      <c r="C402" s="1947" t="s">
        <v>920</v>
      </c>
      <c r="D402" s="1947" t="s">
        <v>920</v>
      </c>
      <c r="E402" s="1585">
        <f>(O402-G402)/(O$401-G$401)</f>
        <v>4.999999999999999E-4</v>
      </c>
      <c r="F402" s="1965">
        <f>30*GBP*1000</f>
        <v>0.03</v>
      </c>
      <c r="G402" s="1965">
        <f>F402</f>
        <v>0.03</v>
      </c>
      <c r="H402" s="1965">
        <f>G402+$E402*(H$401-G$401)</f>
        <v>3.2500000000000001E-2</v>
      </c>
      <c r="I402" s="1965">
        <f t="shared" ref="I402:N402" si="109">H402+$E402*(I$401-H$401)</f>
        <v>3.5000000000000003E-2</v>
      </c>
      <c r="J402" s="1965">
        <f t="shared" si="109"/>
        <v>3.7500000000000006E-2</v>
      </c>
      <c r="K402" s="1965">
        <f t="shared" si="109"/>
        <v>4.0000000000000008E-2</v>
      </c>
      <c r="L402" s="1965">
        <f t="shared" si="109"/>
        <v>4.250000000000001E-2</v>
      </c>
      <c r="M402" s="1965">
        <f t="shared" si="109"/>
        <v>4.5000000000000012E-2</v>
      </c>
      <c r="N402" s="1965">
        <f t="shared" si="109"/>
        <v>4.7500000000000014E-2</v>
      </c>
      <c r="O402" s="2051">
        <f>50*GBP*1000</f>
        <v>4.9999999999999996E-2</v>
      </c>
      <c r="P402" s="1726"/>
      <c r="Q402" s="1902"/>
      <c r="R402" s="1902"/>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c r="BC402" s="37"/>
      <c r="BD402" s="37"/>
      <c r="BE402" s="37"/>
      <c r="BF402" s="37"/>
      <c r="BG402" s="37"/>
      <c r="BH402" s="37"/>
      <c r="BI402" s="37"/>
      <c r="BJ402" s="37"/>
      <c r="BK402" s="37"/>
    </row>
    <row r="403" spans="1:63" s="1952" customFormat="1" ht="14">
      <c r="A403" s="1954"/>
      <c r="B403" s="1704"/>
      <c r="C403" s="1477" t="s">
        <v>918</v>
      </c>
      <c r="D403" s="1477" t="s">
        <v>923</v>
      </c>
      <c r="E403" s="2017">
        <f>(O403-G403)/(O$401-G$401)</f>
        <v>-3.6277179824961701E-6</v>
      </c>
      <c r="F403" s="1964">
        <f>1545.3921087193*GBP*1000</f>
        <v>1.5453921087192999</v>
      </c>
      <c r="G403" s="1964">
        <f>1545.3921087193*GBP*1000</f>
        <v>1.5453921087192999</v>
      </c>
      <c r="H403" s="1971">
        <f t="shared" ref="H403:N413" si="110">G403+$E403*(H$401-G$401)</f>
        <v>1.5453739701293874</v>
      </c>
      <c r="I403" s="1971">
        <f t="shared" si="110"/>
        <v>1.5453558315394749</v>
      </c>
      <c r="J403" s="1971">
        <f t="shared" si="110"/>
        <v>1.5453376929495624</v>
      </c>
      <c r="K403" s="1971">
        <f t="shared" si="110"/>
        <v>1.5453195543596498</v>
      </c>
      <c r="L403" s="1971">
        <f t="shared" si="110"/>
        <v>1.5453014157697373</v>
      </c>
      <c r="M403" s="1971">
        <f t="shared" si="110"/>
        <v>1.5452832771798248</v>
      </c>
      <c r="N403" s="1971">
        <f t="shared" si="110"/>
        <v>1.5452651385899123</v>
      </c>
      <c r="O403" s="2052">
        <f>1545.247*GBP*1000</f>
        <v>1.545247</v>
      </c>
      <c r="P403" s="1726"/>
      <c r="Q403" s="1902"/>
      <c r="R403" s="1902"/>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c r="BC403" s="37"/>
      <c r="BD403" s="37"/>
      <c r="BE403" s="37"/>
      <c r="BF403" s="37"/>
      <c r="BG403" s="37"/>
      <c r="BH403" s="37"/>
      <c r="BI403" s="37"/>
      <c r="BJ403" s="37"/>
      <c r="BK403" s="37"/>
    </row>
    <row r="404" spans="1:63" s="1952" customFormat="1" ht="14">
      <c r="A404" s="1954"/>
      <c r="B404" s="1704"/>
      <c r="C404" s="1721" t="s">
        <v>918</v>
      </c>
      <c r="D404" s="1721" t="s">
        <v>1116</v>
      </c>
      <c r="E404" s="1722">
        <f t="shared" ref="E404:E413" si="111">(O404-G404)/(O$401-G$401)</f>
        <v>0</v>
      </c>
      <c r="F404" s="1097">
        <f>2830.61086804476*GBP*1000</f>
        <v>2.8306108680447601</v>
      </c>
      <c r="G404" s="1097">
        <f>2830.61086804476*GBP*1000</f>
        <v>2.8306108680447601</v>
      </c>
      <c r="H404" s="1794">
        <f t="shared" si="110"/>
        <v>2.8306108680447601</v>
      </c>
      <c r="I404" s="1794">
        <f t="shared" si="110"/>
        <v>2.8306108680447601</v>
      </c>
      <c r="J404" s="1794">
        <f t="shared" si="110"/>
        <v>2.8306108680447601</v>
      </c>
      <c r="K404" s="1794">
        <f t="shared" si="110"/>
        <v>2.8306108680447601</v>
      </c>
      <c r="L404" s="1794">
        <f t="shared" si="110"/>
        <v>2.8306108680447601</v>
      </c>
      <c r="M404" s="1794">
        <f t="shared" si="110"/>
        <v>2.8306108680447601</v>
      </c>
      <c r="N404" s="1794">
        <f t="shared" si="110"/>
        <v>2.8306108680447601</v>
      </c>
      <c r="O404" s="2053">
        <f>2830.61086804476*GBP*1000</f>
        <v>2.8306108680447601</v>
      </c>
      <c r="P404" s="1726"/>
      <c r="Q404" s="1902"/>
      <c r="R404" s="1902"/>
      <c r="T404" s="37"/>
      <c r="U404" s="37"/>
      <c r="V404" s="37"/>
      <c r="W404" s="37"/>
      <c r="X404" s="37"/>
      <c r="Y404" s="37"/>
      <c r="Z404" s="37"/>
      <c r="AA404" s="37"/>
      <c r="AB404" s="37"/>
      <c r="AC404" s="37"/>
      <c r="AD404" s="37"/>
      <c r="AE404" s="37"/>
      <c r="AF404" s="37"/>
      <c r="AG404" s="37"/>
      <c r="AH404" s="37"/>
      <c r="AI404" s="37"/>
      <c r="AJ404" s="37"/>
    </row>
    <row r="405" spans="1:63" s="1952" customFormat="1" ht="14">
      <c r="A405" s="1954"/>
      <c r="B405" s="1704"/>
      <c r="C405" s="1721" t="s">
        <v>918</v>
      </c>
      <c r="D405" s="1721" t="s">
        <v>924</v>
      </c>
      <c r="E405" s="1722">
        <f t="shared" si="111"/>
        <v>0</v>
      </c>
      <c r="F405" s="1097">
        <f>2091.5374494871*GBP*1000</f>
        <v>2.0915374494870997</v>
      </c>
      <c r="G405" s="1097">
        <f>2091.5374494871*GBP*1000</f>
        <v>2.0915374494870997</v>
      </c>
      <c r="H405" s="1794">
        <f t="shared" si="110"/>
        <v>2.0915374494870997</v>
      </c>
      <c r="I405" s="1794">
        <f t="shared" si="110"/>
        <v>2.0915374494870997</v>
      </c>
      <c r="J405" s="1794">
        <f t="shared" si="110"/>
        <v>2.0915374494870997</v>
      </c>
      <c r="K405" s="1794">
        <f t="shared" si="110"/>
        <v>2.0915374494870997</v>
      </c>
      <c r="L405" s="1794">
        <f t="shared" si="110"/>
        <v>2.0915374494870997</v>
      </c>
      <c r="M405" s="1794">
        <f t="shared" si="110"/>
        <v>2.0915374494870997</v>
      </c>
      <c r="N405" s="1794">
        <f t="shared" si="110"/>
        <v>2.0915374494870997</v>
      </c>
      <c r="O405" s="2053">
        <f>2091.5374494871*GBP*1000</f>
        <v>2.0915374494870997</v>
      </c>
      <c r="P405" s="1726"/>
      <c r="Q405" s="1902"/>
      <c r="R405" s="1902"/>
      <c r="T405" s="1935"/>
      <c r="U405" s="37"/>
      <c r="V405" s="37"/>
      <c r="W405" s="37"/>
      <c r="X405" s="37"/>
      <c r="Y405" s="37"/>
      <c r="Z405" s="37"/>
      <c r="AA405" s="37"/>
      <c r="AB405" s="37"/>
      <c r="AC405" s="1759"/>
      <c r="AD405" s="37"/>
      <c r="AE405" s="37"/>
      <c r="AF405" s="37"/>
      <c r="AG405" s="37"/>
      <c r="AH405" s="37"/>
      <c r="AI405" s="37"/>
      <c r="AJ405" s="37"/>
    </row>
    <row r="406" spans="1:63" s="1952" customFormat="1" ht="14">
      <c r="A406" s="1954"/>
      <c r="B406" s="1704"/>
      <c r="C406" s="599" t="s">
        <v>918</v>
      </c>
      <c r="D406" s="599" t="s">
        <v>925</v>
      </c>
      <c r="E406" s="864">
        <f t="shared" si="111"/>
        <v>0</v>
      </c>
      <c r="F406" s="1783">
        <f>20546.4285941871*GBP*1000</f>
        <v>20.546428594187098</v>
      </c>
      <c r="G406" s="1783">
        <f>20546.4285941871*GBP*1000</f>
        <v>20.546428594187098</v>
      </c>
      <c r="H406" s="1970">
        <f t="shared" si="110"/>
        <v>20.546428594187098</v>
      </c>
      <c r="I406" s="1970">
        <f t="shared" si="110"/>
        <v>20.546428594187098</v>
      </c>
      <c r="J406" s="1970">
        <f t="shared" si="110"/>
        <v>20.546428594187098</v>
      </c>
      <c r="K406" s="1970">
        <f t="shared" si="110"/>
        <v>20.546428594187098</v>
      </c>
      <c r="L406" s="1970">
        <f t="shared" si="110"/>
        <v>20.546428594187098</v>
      </c>
      <c r="M406" s="1970">
        <f t="shared" si="110"/>
        <v>20.546428594187098</v>
      </c>
      <c r="N406" s="1970">
        <f t="shared" si="110"/>
        <v>20.546428594187098</v>
      </c>
      <c r="O406" s="2054">
        <f>20546.4285941871*GBP*1000</f>
        <v>20.546428594187098</v>
      </c>
      <c r="P406" s="1726"/>
      <c r="Q406" s="1902"/>
      <c r="R406" s="1902"/>
      <c r="T406" s="37"/>
      <c r="U406" s="37"/>
      <c r="V406" s="37"/>
      <c r="W406" s="37"/>
      <c r="X406" s="37"/>
      <c r="Y406" s="37"/>
      <c r="Z406" s="37"/>
      <c r="AA406" s="37"/>
      <c r="AB406" s="37"/>
      <c r="AC406" s="37"/>
      <c r="AD406" s="37"/>
      <c r="AE406" s="37"/>
      <c r="AF406" s="37"/>
      <c r="AG406" s="37"/>
      <c r="AH406" s="37"/>
      <c r="AI406" s="37"/>
      <c r="AJ406" s="37"/>
    </row>
    <row r="407" spans="1:63" s="1952" customFormat="1" ht="14">
      <c r="A407" s="1954"/>
      <c r="B407" s="1704"/>
      <c r="C407" s="1477" t="s">
        <v>919</v>
      </c>
      <c r="D407" s="1477" t="s">
        <v>923</v>
      </c>
      <c r="E407" s="1945">
        <f t="shared" si="111"/>
        <v>0</v>
      </c>
      <c r="F407" s="1964">
        <f>24970.6549079111*GBP*1000</f>
        <v>24.970654907911097</v>
      </c>
      <c r="G407" s="1964">
        <f>24970.6549079111*GBP*1000</f>
        <v>24.970654907911097</v>
      </c>
      <c r="H407" s="1971">
        <f t="shared" si="110"/>
        <v>24.970654907911097</v>
      </c>
      <c r="I407" s="1971">
        <f t="shared" si="110"/>
        <v>24.970654907911097</v>
      </c>
      <c r="J407" s="1971">
        <f t="shared" si="110"/>
        <v>24.970654907911097</v>
      </c>
      <c r="K407" s="1971">
        <f t="shared" si="110"/>
        <v>24.970654907911097</v>
      </c>
      <c r="L407" s="1971">
        <f t="shared" si="110"/>
        <v>24.970654907911097</v>
      </c>
      <c r="M407" s="1971">
        <f t="shared" si="110"/>
        <v>24.970654907911097</v>
      </c>
      <c r="N407" s="1971">
        <f t="shared" si="110"/>
        <v>24.970654907911097</v>
      </c>
      <c r="O407" s="2052">
        <f>24970.6549079111*GBP*1000</f>
        <v>24.970654907911097</v>
      </c>
      <c r="P407" s="1726"/>
      <c r="Q407" s="1902"/>
      <c r="R407" s="1902"/>
      <c r="T407" s="1443"/>
      <c r="U407" s="1443"/>
      <c r="V407" s="2062"/>
      <c r="W407" s="2062"/>
      <c r="X407" s="2062"/>
      <c r="Y407" s="2062"/>
      <c r="Z407" s="2062"/>
      <c r="AA407" s="2062"/>
      <c r="AB407" s="2062"/>
      <c r="AC407" s="2062"/>
      <c r="AD407" s="37"/>
      <c r="AE407" s="37"/>
      <c r="AF407" s="37"/>
      <c r="AG407" s="37"/>
      <c r="AH407" s="37"/>
      <c r="AI407" s="37"/>
      <c r="AJ407" s="37"/>
    </row>
    <row r="408" spans="1:63" s="1952" customFormat="1" ht="14">
      <c r="A408" s="1954"/>
      <c r="B408" s="1704"/>
      <c r="C408" s="1721" t="s">
        <v>919</v>
      </c>
      <c r="D408" s="1721" t="s">
        <v>1117</v>
      </c>
      <c r="E408" s="1722">
        <f t="shared" si="111"/>
        <v>0</v>
      </c>
      <c r="F408" s="1097">
        <f>25064.2799790177*GBP*1000</f>
        <v>25.064279979017698</v>
      </c>
      <c r="G408" s="1097">
        <f>25064.2799790177*GBP*1000</f>
        <v>25.064279979017698</v>
      </c>
      <c r="H408" s="1794">
        <f t="shared" si="110"/>
        <v>25.064279979017698</v>
      </c>
      <c r="I408" s="1794">
        <f t="shared" si="110"/>
        <v>25.064279979017698</v>
      </c>
      <c r="J408" s="1794">
        <f t="shared" si="110"/>
        <v>25.064279979017698</v>
      </c>
      <c r="K408" s="1794">
        <f t="shared" si="110"/>
        <v>25.064279979017698</v>
      </c>
      <c r="L408" s="1794">
        <f t="shared" si="110"/>
        <v>25.064279979017698</v>
      </c>
      <c r="M408" s="1794">
        <f t="shared" si="110"/>
        <v>25.064279979017698</v>
      </c>
      <c r="N408" s="1794">
        <f t="shared" si="110"/>
        <v>25.064279979017698</v>
      </c>
      <c r="O408" s="2053">
        <f>25064.2799790177*GBP*1000</f>
        <v>25.064279979017698</v>
      </c>
      <c r="P408" s="1726"/>
      <c r="Q408" s="1902"/>
      <c r="R408" s="1902"/>
      <c r="T408" s="1759"/>
      <c r="U408" s="37"/>
      <c r="V408" s="2071"/>
      <c r="W408" s="2071"/>
      <c r="X408" s="2071"/>
      <c r="Y408" s="2071"/>
      <c r="Z408" s="2071"/>
      <c r="AA408" s="2071"/>
      <c r="AB408" s="2071"/>
      <c r="AC408" s="2071"/>
      <c r="AD408" s="37"/>
      <c r="AE408" s="37"/>
      <c r="AF408" s="37"/>
      <c r="AG408" s="37"/>
      <c r="AH408" s="37"/>
      <c r="AI408" s="37"/>
      <c r="AJ408" s="37"/>
    </row>
    <row r="409" spans="1:63" s="1952" customFormat="1" ht="14">
      <c r="A409" s="1954"/>
      <c r="B409" s="1704"/>
      <c r="C409" s="1721" t="s">
        <v>919</v>
      </c>
      <c r="D409" s="1721" t="s">
        <v>924</v>
      </c>
      <c r="E409" s="1722">
        <f t="shared" si="111"/>
        <v>0</v>
      </c>
      <c r="F409" s="1097">
        <f>37932.7361684022*GBP*1000</f>
        <v>37.932736168402201</v>
      </c>
      <c r="G409" s="1097">
        <f>37932.7361684022*GBP*1000</f>
        <v>37.932736168402201</v>
      </c>
      <c r="H409" s="1794">
        <f t="shared" si="110"/>
        <v>37.932736168402201</v>
      </c>
      <c r="I409" s="1794">
        <f t="shared" si="110"/>
        <v>37.932736168402201</v>
      </c>
      <c r="J409" s="1794">
        <f t="shared" si="110"/>
        <v>37.932736168402201</v>
      </c>
      <c r="K409" s="1794">
        <f t="shared" si="110"/>
        <v>37.932736168402201</v>
      </c>
      <c r="L409" s="1794">
        <f t="shared" si="110"/>
        <v>37.932736168402201</v>
      </c>
      <c r="M409" s="1794">
        <f t="shared" si="110"/>
        <v>37.932736168402201</v>
      </c>
      <c r="N409" s="1794">
        <f t="shared" si="110"/>
        <v>37.932736168402201</v>
      </c>
      <c r="O409" s="2053">
        <f>37932.7361684022*GBP*1000</f>
        <v>37.932736168402201</v>
      </c>
      <c r="P409" s="1726"/>
      <c r="Q409" s="1902"/>
      <c r="R409" s="1902"/>
      <c r="T409" s="37"/>
      <c r="U409" s="37"/>
      <c r="V409" s="2029"/>
      <c r="W409" s="2029"/>
      <c r="X409" s="2029"/>
      <c r="Y409" s="2029"/>
      <c r="Z409" s="1712"/>
      <c r="AA409" s="1712"/>
      <c r="AB409" s="1712"/>
      <c r="AC409" s="1712"/>
      <c r="AD409" s="37"/>
      <c r="AE409" s="37"/>
      <c r="AF409" s="37"/>
      <c r="AG409" s="37"/>
      <c r="AH409" s="37"/>
      <c r="AI409" s="37"/>
      <c r="AJ409" s="37"/>
    </row>
    <row r="410" spans="1:63" s="1952" customFormat="1" ht="14">
      <c r="A410" s="1954"/>
      <c r="B410" s="1704"/>
      <c r="C410" s="599" t="s">
        <v>919</v>
      </c>
      <c r="D410" s="599" t="s">
        <v>925</v>
      </c>
      <c r="E410" s="864">
        <f t="shared" si="111"/>
        <v>0</v>
      </c>
      <c r="F410" s="1783">
        <f>93722.2594769972*GBP*1000</f>
        <v>93.722259476997209</v>
      </c>
      <c r="G410" s="1783">
        <f>93722.2594769972*GBP*1000</f>
        <v>93.722259476997209</v>
      </c>
      <c r="H410" s="1970">
        <f t="shared" si="110"/>
        <v>93.722259476997209</v>
      </c>
      <c r="I410" s="1970">
        <f t="shared" si="110"/>
        <v>93.722259476997209</v>
      </c>
      <c r="J410" s="1970">
        <f t="shared" si="110"/>
        <v>93.722259476997209</v>
      </c>
      <c r="K410" s="1970">
        <f t="shared" si="110"/>
        <v>93.722259476997209</v>
      </c>
      <c r="L410" s="1970">
        <f t="shared" si="110"/>
        <v>93.722259476997209</v>
      </c>
      <c r="M410" s="1970">
        <f t="shared" si="110"/>
        <v>93.722259476997209</v>
      </c>
      <c r="N410" s="1970">
        <f t="shared" si="110"/>
        <v>93.722259476997209</v>
      </c>
      <c r="O410" s="2054">
        <f>93722.2594769972*GBP*1000</f>
        <v>93.722259476997209</v>
      </c>
      <c r="P410" s="1726"/>
      <c r="Q410" s="1902"/>
      <c r="R410" s="1902"/>
      <c r="T410" s="34"/>
      <c r="U410" s="34"/>
      <c r="V410" s="2029"/>
      <c r="W410" s="2029"/>
      <c r="X410" s="2029"/>
      <c r="Y410" s="2029"/>
      <c r="Z410" s="1948"/>
      <c r="AA410" s="1948"/>
      <c r="AB410" s="1948"/>
      <c r="AC410" s="1948"/>
      <c r="AD410" s="37"/>
      <c r="AE410" s="37"/>
      <c r="AF410" s="37"/>
      <c r="AG410" s="37"/>
      <c r="AH410" s="37"/>
      <c r="AI410" s="37"/>
      <c r="AJ410" s="37"/>
    </row>
    <row r="411" spans="1:63" s="1952" customFormat="1" ht="14">
      <c r="A411" s="1954"/>
      <c r="B411" s="1704"/>
      <c r="C411" s="1477" t="s">
        <v>921</v>
      </c>
      <c r="D411" s="1477" t="s">
        <v>962</v>
      </c>
      <c r="E411" s="1945">
        <f t="shared" si="111"/>
        <v>0</v>
      </c>
      <c r="F411" s="1964">
        <f>730590*GBP*1000</f>
        <v>730.58999999999992</v>
      </c>
      <c r="G411" s="1964">
        <f>730590*GBP*1000</f>
        <v>730.58999999999992</v>
      </c>
      <c r="H411" s="1971">
        <f t="shared" si="110"/>
        <v>730.58999999999992</v>
      </c>
      <c r="I411" s="1971">
        <f t="shared" si="110"/>
        <v>730.58999999999992</v>
      </c>
      <c r="J411" s="1971">
        <f t="shared" si="110"/>
        <v>730.58999999999992</v>
      </c>
      <c r="K411" s="1971">
        <f t="shared" si="110"/>
        <v>730.58999999999992</v>
      </c>
      <c r="L411" s="1971">
        <f t="shared" si="110"/>
        <v>730.58999999999992</v>
      </c>
      <c r="M411" s="1971">
        <f t="shared" si="110"/>
        <v>730.58999999999992</v>
      </c>
      <c r="N411" s="1971">
        <f t="shared" si="110"/>
        <v>730.58999999999992</v>
      </c>
      <c r="O411" s="2052">
        <f>730590*GBP*1000</f>
        <v>730.58999999999992</v>
      </c>
      <c r="P411" s="1726"/>
      <c r="Q411" s="1902"/>
      <c r="R411" s="1902"/>
      <c r="T411" s="34"/>
      <c r="U411" s="34"/>
      <c r="V411" s="1948"/>
      <c r="W411" s="1948"/>
      <c r="X411" s="1948"/>
      <c r="Y411" s="1948"/>
      <c r="Z411" s="1948"/>
      <c r="AA411" s="1948"/>
      <c r="AB411" s="1948"/>
      <c r="AC411" s="1948"/>
      <c r="AD411" s="37"/>
      <c r="AE411" s="37"/>
      <c r="AF411" s="37"/>
      <c r="AG411" s="37"/>
      <c r="AH411" s="37"/>
      <c r="AI411" s="37"/>
      <c r="AJ411" s="37"/>
    </row>
    <row r="412" spans="1:63" s="1952" customFormat="1" ht="14">
      <c r="A412" s="1954"/>
      <c r="B412" s="1704"/>
      <c r="C412" s="1721" t="s">
        <v>921</v>
      </c>
      <c r="D412" s="1721" t="s">
        <v>963</v>
      </c>
      <c r="E412" s="1722">
        <f t="shared" si="111"/>
        <v>0</v>
      </c>
      <c r="F412" s="1097">
        <f>730590*GBP*1000</f>
        <v>730.58999999999992</v>
      </c>
      <c r="G412" s="1097">
        <f>730590*GBP*1000</f>
        <v>730.58999999999992</v>
      </c>
      <c r="H412" s="1794">
        <f t="shared" si="110"/>
        <v>730.58999999999992</v>
      </c>
      <c r="I412" s="1794">
        <f t="shared" si="110"/>
        <v>730.58999999999992</v>
      </c>
      <c r="J412" s="1794">
        <f t="shared" si="110"/>
        <v>730.58999999999992</v>
      </c>
      <c r="K412" s="1794">
        <f t="shared" si="110"/>
        <v>730.58999999999992</v>
      </c>
      <c r="L412" s="1794">
        <f t="shared" si="110"/>
        <v>730.58999999999992</v>
      </c>
      <c r="M412" s="1794">
        <f t="shared" si="110"/>
        <v>730.58999999999992</v>
      </c>
      <c r="N412" s="1794">
        <f t="shared" si="110"/>
        <v>730.58999999999992</v>
      </c>
      <c r="O412" s="2053">
        <f>730590*GBP*1000</f>
        <v>730.58999999999992</v>
      </c>
      <c r="P412" s="1726"/>
      <c r="Q412" s="1902"/>
      <c r="R412" s="1902"/>
      <c r="T412" s="34"/>
      <c r="U412" s="34"/>
      <c r="V412" s="1948"/>
      <c r="W412" s="1948"/>
      <c r="X412" s="1948"/>
      <c r="Y412" s="1948"/>
      <c r="Z412" s="1948"/>
      <c r="AA412" s="1948"/>
      <c r="AB412" s="1948"/>
      <c r="AC412" s="1948"/>
      <c r="AD412" s="37"/>
      <c r="AE412" s="37"/>
      <c r="AF412" s="37"/>
      <c r="AG412" s="37"/>
      <c r="AH412" s="37"/>
      <c r="AI412" s="37"/>
      <c r="AJ412" s="37"/>
    </row>
    <row r="413" spans="1:63" s="1952" customFormat="1" ht="14">
      <c r="A413" s="1954"/>
      <c r="B413" s="1704"/>
      <c r="C413" s="1947" t="s">
        <v>922</v>
      </c>
      <c r="D413" s="1947" t="s">
        <v>922</v>
      </c>
      <c r="E413" s="1585">
        <f t="shared" si="111"/>
        <v>0</v>
      </c>
      <c r="F413" s="1973">
        <f>1504958.03543674*GBP*1000</f>
        <v>1504.9580354367397</v>
      </c>
      <c r="G413" s="1973">
        <f>1504958.03543674*GBP*1000</f>
        <v>1504.9580354367397</v>
      </c>
      <c r="H413" s="1965">
        <f t="shared" si="110"/>
        <v>1504.9580354367397</v>
      </c>
      <c r="I413" s="1965">
        <f t="shared" si="110"/>
        <v>1504.9580354367397</v>
      </c>
      <c r="J413" s="1965">
        <f t="shared" si="110"/>
        <v>1504.9580354367397</v>
      </c>
      <c r="K413" s="1965">
        <f t="shared" si="110"/>
        <v>1504.9580354367397</v>
      </c>
      <c r="L413" s="1965">
        <f t="shared" si="110"/>
        <v>1504.9580354367397</v>
      </c>
      <c r="M413" s="1965">
        <f t="shared" si="110"/>
        <v>1504.9580354367397</v>
      </c>
      <c r="N413" s="1965">
        <f t="shared" si="110"/>
        <v>1504.9580354367397</v>
      </c>
      <c r="O413" s="1965">
        <f>1504958.03543674*GBP*1000</f>
        <v>1504.9580354367397</v>
      </c>
      <c r="P413" s="1726"/>
      <c r="Q413" s="1902"/>
      <c r="R413" s="1902"/>
      <c r="T413" s="34"/>
      <c r="U413" s="34"/>
      <c r="V413" s="1948"/>
      <c r="W413" s="1948"/>
      <c r="X413" s="1948"/>
      <c r="Y413" s="1948"/>
      <c r="Z413" s="1948"/>
      <c r="AA413" s="1948"/>
      <c r="AB413" s="1948"/>
      <c r="AC413" s="1948"/>
      <c r="AD413" s="37"/>
      <c r="AE413" s="37"/>
      <c r="AF413" s="37"/>
      <c r="AG413" s="37"/>
      <c r="AH413" s="37"/>
      <c r="AI413" s="37"/>
      <c r="AJ413" s="37"/>
    </row>
    <row r="414" spans="1:63" s="1952" customFormat="1">
      <c r="A414" s="1954"/>
      <c r="B414" s="1704"/>
      <c r="C414" s="1129"/>
      <c r="D414" s="1129"/>
      <c r="E414" s="1129"/>
      <c r="F414" s="1708"/>
      <c r="G414" s="1129"/>
      <c r="H414" s="1129"/>
      <c r="I414" s="1708"/>
      <c r="J414" s="1129"/>
      <c r="K414" s="1129"/>
      <c r="L414" s="1129"/>
      <c r="M414" s="1129"/>
      <c r="N414" s="1129"/>
      <c r="O414" s="2024"/>
      <c r="P414" s="1726"/>
      <c r="R414" s="1954"/>
      <c r="T414" s="34"/>
      <c r="U414" s="34"/>
      <c r="V414" s="1948"/>
      <c r="W414" s="1948"/>
      <c r="X414" s="1948"/>
      <c r="Y414" s="1948"/>
      <c r="Z414" s="1948"/>
      <c r="AA414" s="1948"/>
      <c r="AB414" s="1948"/>
      <c r="AC414" s="1948"/>
      <c r="AD414" s="37"/>
      <c r="AE414" s="37"/>
      <c r="AF414" s="37"/>
      <c r="AG414" s="37"/>
      <c r="AH414" s="37"/>
      <c r="AI414" s="37"/>
      <c r="AJ414" s="37"/>
    </row>
    <row r="415" spans="1:63" s="1952" customFormat="1">
      <c r="A415" s="1954"/>
      <c r="B415" s="1129"/>
      <c r="C415" s="1129"/>
      <c r="D415" s="1129"/>
      <c r="E415" s="1129"/>
      <c r="F415" s="1781"/>
      <c r="G415" s="1781"/>
      <c r="H415" s="1781"/>
      <c r="I415" s="1781"/>
      <c r="J415" s="1129"/>
      <c r="K415" s="1782"/>
      <c r="L415" s="1129"/>
      <c r="M415" s="1782"/>
      <c r="N415" s="1129"/>
      <c r="O415" s="2025" t="str">
        <f>Preferences.moneyunits&amp;" per thousand vehicle units"</f>
        <v>£m per thousand vehicle units</v>
      </c>
      <c r="P415" s="1726"/>
      <c r="R415" s="1954"/>
      <c r="T415" s="34"/>
      <c r="U415" s="34"/>
      <c r="V415" s="1948"/>
      <c r="W415" s="1948"/>
      <c r="X415" s="1948"/>
      <c r="Y415" s="1948"/>
      <c r="Z415" s="1948"/>
      <c r="AA415" s="1948"/>
      <c r="AB415" s="1948"/>
      <c r="AC415" s="1948"/>
      <c r="AD415" s="37"/>
      <c r="AE415" s="37"/>
      <c r="AF415" s="37"/>
      <c r="AG415" s="37"/>
      <c r="AH415" s="37"/>
      <c r="AI415" s="37"/>
      <c r="AJ415" s="37"/>
    </row>
    <row r="416" spans="1:63" s="1952" customFormat="1" ht="14">
      <c r="A416" s="1954"/>
      <c r="B416" s="1129"/>
      <c r="C416" s="1962" t="s">
        <v>1805</v>
      </c>
      <c r="D416" s="1950"/>
      <c r="E416" s="1961" t="s">
        <v>1413</v>
      </c>
      <c r="F416" s="1963">
        <v>2007</v>
      </c>
      <c r="G416" s="1963">
        <v>2010</v>
      </c>
      <c r="H416" s="1963">
        <v>2015</v>
      </c>
      <c r="I416" s="1963">
        <v>2020</v>
      </c>
      <c r="J416" s="1963">
        <v>2025</v>
      </c>
      <c r="K416" s="1963">
        <v>2030</v>
      </c>
      <c r="L416" s="1963">
        <v>2035</v>
      </c>
      <c r="M416" s="1963">
        <v>2040</v>
      </c>
      <c r="N416" s="1963">
        <v>2045</v>
      </c>
      <c r="O416" s="2026">
        <v>2050</v>
      </c>
      <c r="P416" s="1726"/>
      <c r="R416" s="1954"/>
      <c r="T416" s="34"/>
      <c r="U416" s="34"/>
      <c r="V416" s="1948"/>
      <c r="W416" s="1948"/>
      <c r="X416" s="1948"/>
      <c r="Y416" s="1948"/>
      <c r="Z416" s="1948"/>
      <c r="AA416" s="1948"/>
      <c r="AB416" s="1948"/>
      <c r="AC416" s="1948"/>
      <c r="AD416" s="37"/>
      <c r="AE416" s="37"/>
      <c r="AF416" s="37"/>
      <c r="AG416" s="37"/>
      <c r="AH416" s="37"/>
      <c r="AI416" s="37"/>
      <c r="AJ416" s="37"/>
    </row>
    <row r="417" spans="1:101" s="1952" customFormat="1" ht="14">
      <c r="A417" s="1954"/>
      <c r="B417" s="1129"/>
      <c r="C417" s="1947" t="s">
        <v>920</v>
      </c>
      <c r="D417" s="1947" t="s">
        <v>920</v>
      </c>
      <c r="E417" s="2019">
        <f>(O417-G417)/(O$416-G$416)</f>
        <v>0</v>
      </c>
      <c r="F417" s="1965">
        <f>30*GBP*1000</f>
        <v>0.03</v>
      </c>
      <c r="G417" s="1965">
        <f>F417</f>
        <v>0.03</v>
      </c>
      <c r="H417" s="1965">
        <f>G417+$E417*(H$416-G$416)</f>
        <v>0.03</v>
      </c>
      <c r="I417" s="1965">
        <f t="shared" ref="I417:N417" si="112">H417+$E417*(I$416-H$416)</f>
        <v>0.03</v>
      </c>
      <c r="J417" s="1965">
        <f t="shared" si="112"/>
        <v>0.03</v>
      </c>
      <c r="K417" s="1965">
        <f t="shared" si="112"/>
        <v>0.03</v>
      </c>
      <c r="L417" s="1965">
        <f t="shared" si="112"/>
        <v>0.03</v>
      </c>
      <c r="M417" s="1965">
        <f t="shared" si="112"/>
        <v>0.03</v>
      </c>
      <c r="N417" s="1965">
        <f t="shared" si="112"/>
        <v>0.03</v>
      </c>
      <c r="O417" s="2051">
        <f>30*GBP*1000</f>
        <v>0.03</v>
      </c>
      <c r="P417" s="1726"/>
      <c r="Q417" s="1902"/>
      <c r="R417" s="1902"/>
      <c r="T417" s="34"/>
      <c r="U417" s="34"/>
      <c r="V417" s="1948"/>
      <c r="W417" s="1948"/>
      <c r="X417" s="1948"/>
      <c r="Y417" s="1948"/>
      <c r="Z417" s="1948"/>
      <c r="AA417" s="1948"/>
      <c r="AB417" s="1948"/>
      <c r="AC417" s="1948"/>
      <c r="AD417" s="37"/>
      <c r="AE417" s="37"/>
      <c r="AF417" s="37"/>
      <c r="AG417" s="37"/>
      <c r="AH417" s="37"/>
      <c r="AI417" s="37"/>
      <c r="AJ417" s="37"/>
    </row>
    <row r="418" spans="1:101" s="1952" customFormat="1" ht="14">
      <c r="A418" s="1954"/>
      <c r="B418" s="1129"/>
      <c r="C418" s="1477" t="s">
        <v>918</v>
      </c>
      <c r="D418" s="1477" t="s">
        <v>923</v>
      </c>
      <c r="E418" s="2020">
        <f t="shared" ref="E418:E428" si="113">(O418-G418)/(O$416-G$416)</f>
        <v>-2.4999999999999469E-4</v>
      </c>
      <c r="F418" s="1964">
        <f>1545.3921087193*GBP*1000</f>
        <v>1.5453921087192999</v>
      </c>
      <c r="G418" s="1964">
        <f>1545.3921087193*GBP*1000</f>
        <v>1.5453921087192999</v>
      </c>
      <c r="H418" s="1971">
        <f t="shared" ref="H418:N428" si="114">G418+$E418*(H$416-G$416)</f>
        <v>1.5441421087192999</v>
      </c>
      <c r="I418" s="1971">
        <f t="shared" si="114"/>
        <v>1.5428921087192999</v>
      </c>
      <c r="J418" s="1971">
        <f t="shared" si="114"/>
        <v>1.5416421087193</v>
      </c>
      <c r="K418" s="1971">
        <f t="shared" si="114"/>
        <v>1.5403921087193</v>
      </c>
      <c r="L418" s="1971">
        <f t="shared" si="114"/>
        <v>1.5391421087193</v>
      </c>
      <c r="M418" s="1971">
        <f t="shared" si="114"/>
        <v>1.5378921087193</v>
      </c>
      <c r="N418" s="1971">
        <f t="shared" si="114"/>
        <v>1.5366421087193001</v>
      </c>
      <c r="O418" s="2052">
        <f>1535.3921087193*GBP*1000</f>
        <v>1.5353921087193001</v>
      </c>
      <c r="P418" s="1726"/>
      <c r="Q418" s="1902"/>
      <c r="R418" s="1902"/>
      <c r="T418" s="34"/>
      <c r="U418" s="34"/>
      <c r="V418" s="1948"/>
      <c r="W418" s="1948"/>
      <c r="X418" s="1948"/>
      <c r="Y418" s="1948"/>
      <c r="Z418" s="1948"/>
      <c r="AA418" s="1948"/>
      <c r="AB418" s="1948"/>
      <c r="AC418" s="1948"/>
      <c r="AD418" s="37"/>
      <c r="AE418" s="37"/>
      <c r="AF418" s="37"/>
      <c r="AG418" s="37"/>
      <c r="AH418" s="37"/>
      <c r="AI418" s="37"/>
      <c r="AJ418" s="37"/>
    </row>
    <row r="419" spans="1:101" s="1952" customFormat="1" ht="14">
      <c r="A419" s="1954"/>
      <c r="B419" s="1129"/>
      <c r="C419" s="1721" t="s">
        <v>918</v>
      </c>
      <c r="D419" s="1721" t="s">
        <v>1116</v>
      </c>
      <c r="E419" s="1814">
        <f t="shared" si="113"/>
        <v>-3.4497521701119006E-2</v>
      </c>
      <c r="F419" s="1097">
        <f>2830.6*GBP*1000</f>
        <v>2.8306</v>
      </c>
      <c r="G419" s="1097">
        <f>2830.61086804476*GBP*1000</f>
        <v>2.8306108680447601</v>
      </c>
      <c r="H419" s="1794">
        <f t="shared" si="114"/>
        <v>2.6581232595391651</v>
      </c>
      <c r="I419" s="1794">
        <f t="shared" si="114"/>
        <v>2.48563565103357</v>
      </c>
      <c r="J419" s="1794">
        <f t="shared" si="114"/>
        <v>2.3131480425279749</v>
      </c>
      <c r="K419" s="1794">
        <f t="shared" si="114"/>
        <v>2.1406604340223798</v>
      </c>
      <c r="L419" s="1794">
        <f t="shared" si="114"/>
        <v>1.9681728255167847</v>
      </c>
      <c r="M419" s="1794">
        <f t="shared" si="114"/>
        <v>1.7956852170111897</v>
      </c>
      <c r="N419" s="1794">
        <f t="shared" si="114"/>
        <v>1.6231976085055946</v>
      </c>
      <c r="O419" s="2053">
        <f>1450.71*GBP*1000</f>
        <v>1.4507099999999999</v>
      </c>
      <c r="P419" s="1726"/>
      <c r="Q419" s="1902"/>
      <c r="R419" s="1902"/>
      <c r="T419" s="34"/>
      <c r="U419" s="34"/>
      <c r="V419" s="1948"/>
      <c r="W419" s="1948"/>
      <c r="X419" s="1948"/>
      <c r="Y419" s="1948"/>
      <c r="Z419" s="1948"/>
      <c r="AA419" s="1948"/>
      <c r="AB419" s="1948"/>
      <c r="AC419" s="1948"/>
      <c r="AD419" s="37"/>
      <c r="AE419" s="37"/>
      <c r="AF419" s="37"/>
      <c r="AG419" s="37"/>
      <c r="AH419" s="37"/>
      <c r="AI419" s="37"/>
      <c r="AJ419" s="37"/>
    </row>
    <row r="420" spans="1:101" s="1952" customFormat="1" ht="14">
      <c r="A420" s="1954"/>
      <c r="B420" s="1129"/>
      <c r="C420" s="1721" t="s">
        <v>918</v>
      </c>
      <c r="D420" s="1721" t="s">
        <v>924</v>
      </c>
      <c r="E420" s="1814">
        <f t="shared" si="113"/>
        <v>-2.3675486237177495E-2</v>
      </c>
      <c r="F420" s="1097">
        <f>2091.5374494871*GBP*1000</f>
        <v>2.0915374494870997</v>
      </c>
      <c r="G420" s="1097">
        <f>2091.5374494871*GBP*1000</f>
        <v>2.0915374494870997</v>
      </c>
      <c r="H420" s="1794">
        <f t="shared" si="114"/>
        <v>1.9731600183012123</v>
      </c>
      <c r="I420" s="1794">
        <f t="shared" si="114"/>
        <v>1.854782587115325</v>
      </c>
      <c r="J420" s="1794">
        <f t="shared" si="114"/>
        <v>1.7364051559294376</v>
      </c>
      <c r="K420" s="1794">
        <f t="shared" si="114"/>
        <v>1.6180277247435502</v>
      </c>
      <c r="L420" s="1794">
        <f t="shared" si="114"/>
        <v>1.4996502935576628</v>
      </c>
      <c r="M420" s="1794">
        <f t="shared" si="114"/>
        <v>1.3812728623717754</v>
      </c>
      <c r="N420" s="1794">
        <f t="shared" si="114"/>
        <v>1.262895431185888</v>
      </c>
      <c r="O420" s="2053">
        <f>1144.518*GBP*1000</f>
        <v>1.1445179999999999</v>
      </c>
      <c r="P420" s="1726"/>
      <c r="Q420" s="1902"/>
      <c r="R420" s="1902"/>
      <c r="T420" s="34"/>
      <c r="U420" s="34"/>
      <c r="V420" s="1948"/>
      <c r="W420" s="1948"/>
      <c r="X420" s="1948"/>
      <c r="Y420" s="1948"/>
      <c r="Z420" s="1948"/>
      <c r="AA420" s="1948"/>
      <c r="AB420" s="1948"/>
      <c r="AC420" s="1948"/>
      <c r="AD420" s="37"/>
      <c r="AE420" s="37"/>
      <c r="AF420" s="37"/>
      <c r="AG420" s="37"/>
      <c r="AH420" s="37"/>
      <c r="AI420" s="37"/>
      <c r="AJ420" s="37"/>
    </row>
    <row r="421" spans="1:101" s="1952" customFormat="1" ht="14">
      <c r="A421" s="1954"/>
      <c r="B421" s="1129"/>
      <c r="C421" s="599" t="s">
        <v>918</v>
      </c>
      <c r="D421" s="599" t="s">
        <v>925</v>
      </c>
      <c r="E421" s="2021">
        <f>(O421-G421)/(O$416-G$416)</f>
        <v>-0.47672721485467751</v>
      </c>
      <c r="F421" s="1783">
        <f>20546.4285941871*GBP*1000</f>
        <v>20.546428594187098</v>
      </c>
      <c r="G421" s="1783">
        <f>20546.4285941871*GBP*1000</f>
        <v>20.546428594187098</v>
      </c>
      <c r="H421" s="1970">
        <f t="shared" si="114"/>
        <v>18.162792519913712</v>
      </c>
      <c r="I421" s="1970">
        <f t="shared" si="114"/>
        <v>15.779156445640325</v>
      </c>
      <c r="J421" s="1970">
        <f t="shared" si="114"/>
        <v>13.395520371366938</v>
      </c>
      <c r="K421" s="1970">
        <f t="shared" si="114"/>
        <v>11.011884297093552</v>
      </c>
      <c r="L421" s="1970">
        <f t="shared" si="114"/>
        <v>8.6282482228201651</v>
      </c>
      <c r="M421" s="1970">
        <f t="shared" si="114"/>
        <v>6.2446121485467776</v>
      </c>
      <c r="N421" s="1970">
        <f t="shared" si="114"/>
        <v>3.8609760742733901</v>
      </c>
      <c r="O421" s="2054">
        <f>1477.34*GBP*1000</f>
        <v>1.4773399999999999</v>
      </c>
      <c r="P421" s="1726"/>
      <c r="Q421" s="1902"/>
      <c r="R421" s="1902"/>
      <c r="T421" s="34"/>
      <c r="U421" s="34"/>
      <c r="V421" s="1948"/>
      <c r="W421" s="1948"/>
      <c r="X421" s="1948"/>
      <c r="Y421" s="1948"/>
      <c r="Z421" s="1948"/>
      <c r="AA421" s="1948"/>
      <c r="AB421" s="1948"/>
      <c r="AC421" s="1948"/>
      <c r="AD421" s="37"/>
      <c r="AE421" s="37"/>
      <c r="AF421" s="37"/>
      <c r="AG421" s="37"/>
      <c r="AH421" s="37"/>
      <c r="AI421" s="37"/>
      <c r="AJ421" s="37"/>
    </row>
    <row r="422" spans="1:101" s="1952" customFormat="1" ht="14">
      <c r="A422" s="1954"/>
      <c r="B422" s="1129"/>
      <c r="C422" s="1477" t="s">
        <v>919</v>
      </c>
      <c r="D422" s="1477" t="s">
        <v>923</v>
      </c>
      <c r="E422" s="2020">
        <f t="shared" si="113"/>
        <v>-5.1211226977774691E-3</v>
      </c>
      <c r="F422" s="1964">
        <f>24970.6549079111*GBP*1000</f>
        <v>24.970654907911097</v>
      </c>
      <c r="G422" s="1964">
        <f>24970.6549079111*GBP*1000</f>
        <v>24.970654907911097</v>
      </c>
      <c r="H422" s="1971">
        <f t="shared" si="114"/>
        <v>24.945049294422208</v>
      </c>
      <c r="I422" s="1971">
        <f t="shared" si="114"/>
        <v>24.91944368093332</v>
      </c>
      <c r="J422" s="1971">
        <f t="shared" si="114"/>
        <v>24.893838067444431</v>
      </c>
      <c r="K422" s="1971">
        <f t="shared" si="114"/>
        <v>24.868232453955542</v>
      </c>
      <c r="L422" s="1971">
        <f t="shared" si="114"/>
        <v>24.842626840466654</v>
      </c>
      <c r="M422" s="1971">
        <f t="shared" si="114"/>
        <v>24.817021226977765</v>
      </c>
      <c r="N422" s="1971">
        <f t="shared" si="114"/>
        <v>24.791415613488876</v>
      </c>
      <c r="O422" s="2052">
        <f>24765.81*GBP*1000</f>
        <v>24.765809999999998</v>
      </c>
      <c r="P422" s="1726"/>
      <c r="Q422" s="1902"/>
      <c r="R422" s="1902"/>
      <c r="T422" s="37"/>
      <c r="U422" s="37"/>
      <c r="V422" s="37"/>
      <c r="W422" s="37"/>
      <c r="X422" s="37"/>
      <c r="Y422" s="37"/>
      <c r="Z422" s="37"/>
      <c r="AA422" s="37"/>
      <c r="AB422" s="37"/>
      <c r="AC422" s="37"/>
      <c r="AD422" s="37"/>
      <c r="AE422" s="37"/>
      <c r="AF422" s="37"/>
      <c r="AG422" s="37"/>
      <c r="AH422" s="37"/>
      <c r="AI422" s="37"/>
      <c r="AJ422" s="37"/>
    </row>
    <row r="423" spans="1:101" s="1952" customFormat="1" ht="14">
      <c r="A423" s="1954"/>
      <c r="B423" s="1129"/>
      <c r="C423" s="1721" t="s">
        <v>919</v>
      </c>
      <c r="D423" s="1721" t="s">
        <v>1117</v>
      </c>
      <c r="E423" s="1814">
        <f t="shared" si="113"/>
        <v>-7.461749475442492E-3</v>
      </c>
      <c r="F423" s="1097">
        <f>25064.2799790177*GBP*1000</f>
        <v>25.064279979017698</v>
      </c>
      <c r="G423" s="1097">
        <f>25064.2799790177*GBP*1000</f>
        <v>25.064279979017698</v>
      </c>
      <c r="H423" s="1794">
        <f t="shared" si="114"/>
        <v>25.026971231640484</v>
      </c>
      <c r="I423" s="1794">
        <f t="shared" si="114"/>
        <v>24.98966248426327</v>
      </c>
      <c r="J423" s="1794">
        <f t="shared" si="114"/>
        <v>24.952353736886057</v>
      </c>
      <c r="K423" s="1794">
        <f t="shared" si="114"/>
        <v>24.915044989508843</v>
      </c>
      <c r="L423" s="1794">
        <f t="shared" si="114"/>
        <v>24.877736242131629</v>
      </c>
      <c r="M423" s="1794">
        <f t="shared" si="114"/>
        <v>24.840427494754415</v>
      </c>
      <c r="N423" s="1794">
        <f t="shared" si="114"/>
        <v>24.803118747377201</v>
      </c>
      <c r="O423" s="2053">
        <f>24765.81*GBP*1000</f>
        <v>24.765809999999998</v>
      </c>
      <c r="P423" s="1726"/>
      <c r="Q423" s="1902"/>
      <c r="R423" s="1902"/>
      <c r="T423" s="37"/>
      <c r="U423" s="37"/>
      <c r="V423" s="37"/>
      <c r="W423" s="37"/>
      <c r="X423" s="37"/>
      <c r="Y423" s="37"/>
      <c r="Z423" s="37"/>
      <c r="AA423" s="37"/>
      <c r="AB423" s="37"/>
      <c r="AC423" s="37"/>
      <c r="AD423" s="37"/>
      <c r="AE423" s="37"/>
      <c r="AF423" s="37"/>
      <c r="AG423" s="37"/>
      <c r="AH423" s="37"/>
      <c r="AI423" s="37"/>
      <c r="AJ423" s="37"/>
    </row>
    <row r="424" spans="1:101" s="1952" customFormat="1" ht="14">
      <c r="A424" s="1954"/>
      <c r="B424" s="1129"/>
      <c r="C424" s="1721" t="s">
        <v>919</v>
      </c>
      <c r="D424" s="1721" t="s">
        <v>924</v>
      </c>
      <c r="E424" s="1814">
        <f>(O424-G424)/(O$416-G$416)</f>
        <v>-0.45088882921005508</v>
      </c>
      <c r="F424" s="1097">
        <f>37932.7361684022*GBP*1000</f>
        <v>37.932736168402201</v>
      </c>
      <c r="G424" s="1097">
        <f>37932.7361684022*GBP*1000</f>
        <v>37.932736168402201</v>
      </c>
      <c r="H424" s="1794">
        <f t="shared" si="114"/>
        <v>35.678292022351926</v>
      </c>
      <c r="I424" s="1794">
        <f t="shared" si="114"/>
        <v>33.42384787630165</v>
      </c>
      <c r="J424" s="1794">
        <f t="shared" si="114"/>
        <v>31.169403730251375</v>
      </c>
      <c r="K424" s="1794">
        <f t="shared" si="114"/>
        <v>28.9149595842011</v>
      </c>
      <c r="L424" s="1794">
        <f t="shared" si="114"/>
        <v>26.660515438150824</v>
      </c>
      <c r="M424" s="1794">
        <f t="shared" si="114"/>
        <v>24.406071292100549</v>
      </c>
      <c r="N424" s="1794">
        <f t="shared" si="114"/>
        <v>22.151627146050274</v>
      </c>
      <c r="O424" s="2053">
        <f>19897.183*GBP*1000</f>
        <v>19.897182999999998</v>
      </c>
      <c r="P424" s="1726"/>
      <c r="Q424" s="1902"/>
      <c r="R424" s="1902"/>
      <c r="T424" s="37"/>
      <c r="U424" s="37"/>
      <c r="V424" s="37"/>
      <c r="W424" s="37"/>
      <c r="X424" s="37"/>
      <c r="Y424" s="37"/>
      <c r="Z424" s="37"/>
      <c r="AA424" s="37"/>
      <c r="AB424" s="37"/>
      <c r="AC424" s="37"/>
      <c r="AD424" s="37"/>
      <c r="AE424" s="37"/>
      <c r="AF424" s="37"/>
      <c r="AG424" s="37"/>
      <c r="AH424" s="37"/>
      <c r="AI424" s="37"/>
      <c r="AJ424" s="37"/>
    </row>
    <row r="425" spans="1:101" s="1952" customFormat="1" ht="14">
      <c r="A425" s="1954"/>
      <c r="B425" s="1129"/>
      <c r="C425" s="599" t="s">
        <v>919</v>
      </c>
      <c r="D425" s="599" t="s">
        <v>925</v>
      </c>
      <c r="E425" s="2021">
        <f t="shared" si="113"/>
        <v>-1.8391993869249306</v>
      </c>
      <c r="F425" s="1097">
        <f>93722.2594769972*GBP*1000</f>
        <v>93.722259476997209</v>
      </c>
      <c r="G425" s="1097">
        <f>93722.2594769972*GBP*1000</f>
        <v>93.722259476997209</v>
      </c>
      <c r="H425" s="1794">
        <f t="shared" si="114"/>
        <v>84.526262542372564</v>
      </c>
      <c r="I425" s="1794">
        <f t="shared" si="114"/>
        <v>75.330265607747918</v>
      </c>
      <c r="J425" s="1794">
        <f t="shared" si="114"/>
        <v>66.134268673123273</v>
      </c>
      <c r="K425" s="1794">
        <f t="shared" si="114"/>
        <v>56.938271738498621</v>
      </c>
      <c r="L425" s="1794">
        <f t="shared" si="114"/>
        <v>47.742274803873968</v>
      </c>
      <c r="M425" s="1794">
        <f t="shared" si="114"/>
        <v>38.546277869249316</v>
      </c>
      <c r="N425" s="1794">
        <f t="shared" si="114"/>
        <v>29.350280934624664</v>
      </c>
      <c r="O425" s="2053">
        <f>20154.284*GBP*1000</f>
        <v>20.154283999999997</v>
      </c>
      <c r="P425" s="1726"/>
      <c r="Q425" s="1902"/>
      <c r="R425" s="1902"/>
      <c r="T425" s="2072"/>
      <c r="U425" s="2072"/>
      <c r="V425" s="2072"/>
      <c r="W425" s="2072"/>
      <c r="X425" s="2072"/>
      <c r="Y425" s="2073"/>
      <c r="Z425" s="2073"/>
      <c r="AA425" s="2072"/>
      <c r="AB425" s="37"/>
      <c r="AC425" s="37"/>
      <c r="AD425" s="37"/>
      <c r="AE425" s="37"/>
      <c r="AF425" s="37"/>
      <c r="AG425" s="37"/>
      <c r="AH425" s="37"/>
      <c r="AI425" s="37"/>
      <c r="AJ425" s="37"/>
      <c r="AK425" s="1044"/>
      <c r="AL425" s="1044"/>
      <c r="AM425" s="1044"/>
      <c r="AN425" s="1044"/>
      <c r="AO425" s="1044"/>
      <c r="AP425" s="1044"/>
      <c r="AQ425" s="1044"/>
      <c r="AR425" s="1044"/>
      <c r="AS425" s="1044"/>
      <c r="AT425" s="1044"/>
      <c r="AU425" s="1044"/>
      <c r="AV425" s="1044"/>
      <c r="AW425" s="1044"/>
      <c r="AX425" s="1044"/>
      <c r="AY425" s="1044"/>
      <c r="AZ425" s="1044"/>
      <c r="BA425" s="1044"/>
      <c r="BB425" s="1044"/>
      <c r="BC425" s="1044"/>
      <c r="BD425" s="1044"/>
      <c r="BE425" s="1044"/>
      <c r="BF425" s="1044"/>
      <c r="BG425" s="1044"/>
      <c r="BH425" s="1044"/>
      <c r="BI425" s="1044"/>
      <c r="BJ425" s="1044"/>
      <c r="BK425" s="1044"/>
      <c r="BL425" s="1044"/>
      <c r="BM425" s="1044"/>
      <c r="BN425" s="1044"/>
      <c r="BO425" s="1044"/>
      <c r="BP425" s="1044"/>
      <c r="BQ425" s="1044"/>
      <c r="BR425" s="1044"/>
      <c r="BS425" s="1044"/>
      <c r="BT425" s="1044"/>
      <c r="BU425" s="1044"/>
      <c r="BV425" s="1044"/>
      <c r="BW425" s="1044"/>
      <c r="BX425" s="1044"/>
      <c r="BY425" s="1044"/>
      <c r="BZ425" s="1044"/>
      <c r="CA425" s="1044"/>
      <c r="CB425" s="1044"/>
      <c r="CC425" s="1044"/>
      <c r="CD425" s="1044"/>
      <c r="CE425" s="1044"/>
      <c r="CF425" s="1044"/>
      <c r="CG425" s="1044"/>
      <c r="CH425" s="1044"/>
      <c r="CI425" s="1044"/>
      <c r="CJ425" s="1044"/>
      <c r="CK425" s="1044"/>
      <c r="CL425" s="1044"/>
      <c r="CM425" s="1044"/>
      <c r="CN425" s="1044"/>
      <c r="CO425" s="1044"/>
      <c r="CP425" s="1044"/>
      <c r="CQ425" s="1044"/>
      <c r="CR425" s="1044"/>
      <c r="CS425" s="1044"/>
      <c r="CT425" s="1044"/>
      <c r="CU425" s="1044"/>
      <c r="CV425" s="1044"/>
      <c r="CW425" s="1044"/>
    </row>
    <row r="426" spans="1:101" s="1952" customFormat="1" ht="14">
      <c r="A426" s="1954"/>
      <c r="B426" s="1129"/>
      <c r="C426" s="1477" t="s">
        <v>921</v>
      </c>
      <c r="D426" s="1477" t="s">
        <v>962</v>
      </c>
      <c r="E426" s="2020">
        <f t="shared" si="113"/>
        <v>-5.3424393749999979</v>
      </c>
      <c r="F426" s="1964">
        <f t="shared" ref="F426:G428" si="115">(F441+((F411-F441)*0.35))</f>
        <v>730.58999999999992</v>
      </c>
      <c r="G426" s="1964">
        <f t="shared" si="115"/>
        <v>730.58999999999992</v>
      </c>
      <c r="H426" s="1971">
        <f t="shared" si="114"/>
        <v>703.8778031249999</v>
      </c>
      <c r="I426" s="1971">
        <f t="shared" si="114"/>
        <v>677.16560624999988</v>
      </c>
      <c r="J426" s="1971">
        <f t="shared" si="114"/>
        <v>650.45340937499986</v>
      </c>
      <c r="K426" s="1971">
        <f t="shared" si="114"/>
        <v>623.74121249999985</v>
      </c>
      <c r="L426" s="1971">
        <f t="shared" si="114"/>
        <v>597.02901562499983</v>
      </c>
      <c r="M426" s="1971">
        <f t="shared" si="114"/>
        <v>570.31681874999981</v>
      </c>
      <c r="N426" s="1971">
        <f t="shared" si="114"/>
        <v>543.60462187499979</v>
      </c>
      <c r="O426" s="2052">
        <f>(O441+((O411-O441)*0.35))</f>
        <v>516.892425</v>
      </c>
      <c r="P426" s="1726"/>
      <c r="Q426" s="1902"/>
      <c r="R426" s="1902"/>
      <c r="T426" s="2072"/>
      <c r="U426" s="2072"/>
      <c r="V426" s="2072"/>
      <c r="W426" s="2072"/>
      <c r="X426" s="2072"/>
      <c r="Y426" s="2073"/>
      <c r="Z426" s="2073"/>
      <c r="AA426" s="2072"/>
      <c r="AB426" s="37"/>
      <c r="AC426" s="37"/>
      <c r="AD426" s="37"/>
      <c r="AE426" s="37"/>
      <c r="AF426" s="37"/>
      <c r="AG426" s="37"/>
      <c r="AH426" s="37"/>
      <c r="AI426" s="37"/>
      <c r="AJ426" s="37"/>
      <c r="AK426" s="1044"/>
      <c r="AL426" s="1044"/>
      <c r="AM426" s="1044"/>
      <c r="AN426" s="1044"/>
      <c r="AO426" s="1044"/>
      <c r="AP426" s="1044"/>
      <c r="AQ426" s="1044"/>
      <c r="AR426" s="1044"/>
      <c r="AS426" s="1044"/>
      <c r="AT426" s="1044"/>
      <c r="AU426" s="1044"/>
      <c r="AV426" s="1044"/>
      <c r="AW426" s="1044"/>
      <c r="AX426" s="1044"/>
      <c r="AY426" s="1044"/>
      <c r="AZ426" s="1044"/>
      <c r="BA426" s="1044"/>
      <c r="BB426" s="1044"/>
      <c r="BC426" s="1044"/>
      <c r="BD426" s="1044"/>
      <c r="BE426" s="1044"/>
      <c r="BF426" s="1044"/>
      <c r="BG426" s="1044"/>
      <c r="BH426" s="1044"/>
      <c r="BI426" s="1044"/>
      <c r="BJ426" s="1044"/>
      <c r="BK426" s="1044"/>
      <c r="BL426" s="1044"/>
      <c r="BM426" s="1044"/>
      <c r="BN426" s="1044"/>
      <c r="BO426" s="1044"/>
      <c r="BP426" s="1044"/>
      <c r="BQ426" s="1044"/>
      <c r="BR426" s="1044"/>
      <c r="BS426" s="1044"/>
      <c r="BT426" s="1044"/>
      <c r="BU426" s="1044"/>
      <c r="BV426" s="1044"/>
      <c r="BW426" s="1044"/>
      <c r="BX426" s="1044"/>
      <c r="BY426" s="1044"/>
      <c r="BZ426" s="1044"/>
      <c r="CA426" s="1044"/>
      <c r="CB426" s="1044"/>
      <c r="CC426" s="1044"/>
      <c r="CD426" s="1044"/>
      <c r="CE426" s="1044"/>
      <c r="CF426" s="1044"/>
      <c r="CG426" s="1044"/>
      <c r="CH426" s="1044"/>
      <c r="CI426" s="1044"/>
      <c r="CJ426" s="1044"/>
      <c r="CK426" s="1044"/>
      <c r="CL426" s="1044"/>
      <c r="CM426" s="1044"/>
      <c r="CN426" s="1044"/>
      <c r="CO426" s="1044"/>
      <c r="CP426" s="1044"/>
      <c r="CQ426" s="1044"/>
      <c r="CR426" s="1044"/>
      <c r="CS426" s="1044"/>
      <c r="CT426" s="1044"/>
      <c r="CU426" s="1044"/>
      <c r="CV426" s="1044"/>
      <c r="CW426" s="1044"/>
    </row>
    <row r="427" spans="1:101" s="1952" customFormat="1" ht="14">
      <c r="A427" s="1954"/>
      <c r="B427" s="1129"/>
      <c r="C427" s="1721" t="s">
        <v>921</v>
      </c>
      <c r="D427" s="1721" t="s">
        <v>963</v>
      </c>
      <c r="E427" s="1814">
        <f t="shared" si="113"/>
        <v>-5.3424393749999979</v>
      </c>
      <c r="F427" s="1783">
        <f t="shared" si="115"/>
        <v>730.58999999999992</v>
      </c>
      <c r="G427" s="1783">
        <f t="shared" si="115"/>
        <v>730.58999999999992</v>
      </c>
      <c r="H427" s="1970">
        <f t="shared" si="114"/>
        <v>703.8778031249999</v>
      </c>
      <c r="I427" s="1970">
        <f t="shared" si="114"/>
        <v>677.16560624999988</v>
      </c>
      <c r="J427" s="1970">
        <f t="shared" si="114"/>
        <v>650.45340937499986</v>
      </c>
      <c r="K427" s="1970">
        <f t="shared" si="114"/>
        <v>623.74121249999985</v>
      </c>
      <c r="L427" s="1970">
        <f>K427+$E427*(L$416-K$416)</f>
        <v>597.02901562499983</v>
      </c>
      <c r="M427" s="1970">
        <f t="shared" si="114"/>
        <v>570.31681874999981</v>
      </c>
      <c r="N427" s="1970">
        <f t="shared" si="114"/>
        <v>543.60462187499979</v>
      </c>
      <c r="O427" s="2054">
        <f>(O442+((O412-O442)*0.35))</f>
        <v>516.892425</v>
      </c>
      <c r="P427" s="1726"/>
      <c r="Q427" s="1902"/>
      <c r="R427" s="1902"/>
      <c r="T427" s="2072"/>
      <c r="U427" s="2072"/>
      <c r="V427" s="2072"/>
      <c r="W427" s="2072"/>
      <c r="X427" s="2072"/>
      <c r="Y427" s="2073"/>
      <c r="Z427" s="2073"/>
      <c r="AA427" s="2072"/>
      <c r="AB427" s="37"/>
      <c r="AC427" s="37"/>
      <c r="AD427" s="37"/>
      <c r="AE427" s="37"/>
      <c r="AF427" s="37"/>
      <c r="AG427" s="37"/>
      <c r="AH427" s="37"/>
      <c r="AI427" s="37"/>
      <c r="AJ427" s="37"/>
      <c r="AK427" s="1044"/>
      <c r="AL427" s="1044"/>
      <c r="AM427" s="1044"/>
      <c r="AN427" s="1044"/>
      <c r="AO427" s="1044"/>
      <c r="AP427" s="1044"/>
      <c r="AQ427" s="1044"/>
      <c r="AR427" s="1044"/>
      <c r="AS427" s="1044"/>
      <c r="AT427" s="1044"/>
      <c r="AU427" s="1044"/>
      <c r="AV427" s="1044"/>
      <c r="AW427" s="1044"/>
      <c r="AX427" s="1044"/>
      <c r="AY427" s="1044"/>
      <c r="AZ427" s="1044"/>
      <c r="BA427" s="1044"/>
      <c r="BB427" s="1044"/>
      <c r="BC427" s="1044"/>
      <c r="BD427" s="1044"/>
      <c r="BE427" s="1044"/>
      <c r="BF427" s="1044"/>
      <c r="BG427" s="1044"/>
      <c r="BH427" s="1044"/>
      <c r="BI427" s="1044"/>
      <c r="BJ427" s="1044"/>
      <c r="BK427" s="1044"/>
      <c r="BL427" s="1044"/>
      <c r="BM427" s="1044"/>
      <c r="BN427" s="1044"/>
      <c r="BO427" s="1044"/>
      <c r="BP427" s="1044"/>
      <c r="BQ427" s="1044"/>
      <c r="BR427" s="1044"/>
      <c r="BS427" s="1044"/>
      <c r="BT427" s="1044"/>
      <c r="BU427" s="1044"/>
      <c r="BV427" s="1044"/>
      <c r="BW427" s="1044"/>
      <c r="BX427" s="1044"/>
      <c r="BY427" s="1044"/>
      <c r="BZ427" s="1044"/>
      <c r="CA427" s="1044"/>
      <c r="CB427" s="1044"/>
      <c r="CC427" s="1044"/>
      <c r="CD427" s="1044"/>
      <c r="CE427" s="1044"/>
      <c r="CF427" s="1044"/>
      <c r="CG427" s="1044"/>
      <c r="CH427" s="1044"/>
      <c r="CI427" s="1044"/>
      <c r="CJ427" s="1044"/>
      <c r="CK427" s="1044"/>
      <c r="CL427" s="1044"/>
      <c r="CM427" s="1044"/>
      <c r="CN427" s="1044"/>
      <c r="CO427" s="1044"/>
      <c r="CP427" s="1044"/>
      <c r="CQ427" s="1044"/>
      <c r="CR427" s="1044"/>
      <c r="CS427" s="1044"/>
      <c r="CT427" s="1044"/>
      <c r="CU427" s="1044"/>
      <c r="CV427" s="1044"/>
      <c r="CW427" s="1044"/>
    </row>
    <row r="428" spans="1:101" s="1952" customFormat="1" ht="14">
      <c r="A428" s="1954"/>
      <c r="B428" s="1129"/>
      <c r="C428" s="1947" t="s">
        <v>922</v>
      </c>
      <c r="D428" s="1947" t="s">
        <v>922</v>
      </c>
      <c r="E428" s="2019">
        <f t="shared" si="113"/>
        <v>0</v>
      </c>
      <c r="F428" s="1973">
        <f t="shared" si="115"/>
        <v>1504.9580354367397</v>
      </c>
      <c r="G428" s="1973">
        <f t="shared" si="115"/>
        <v>1504.9580354367397</v>
      </c>
      <c r="H428" s="1965">
        <f t="shared" si="114"/>
        <v>1504.9580354367397</v>
      </c>
      <c r="I428" s="1965">
        <f t="shared" si="114"/>
        <v>1504.9580354367397</v>
      </c>
      <c r="J428" s="1965">
        <f t="shared" si="114"/>
        <v>1504.9580354367397</v>
      </c>
      <c r="K428" s="1965">
        <f t="shared" si="114"/>
        <v>1504.9580354367397</v>
      </c>
      <c r="L428" s="1965">
        <f t="shared" si="114"/>
        <v>1504.9580354367397</v>
      </c>
      <c r="M428" s="1965">
        <f t="shared" si="114"/>
        <v>1504.9580354367397</v>
      </c>
      <c r="N428" s="1965">
        <f t="shared" si="114"/>
        <v>1504.9580354367397</v>
      </c>
      <c r="O428" s="2055">
        <f>(O443+((O413-O443)*0.35))</f>
        <v>1504.9580354367397</v>
      </c>
      <c r="P428" s="1726"/>
      <c r="Q428" s="1902"/>
      <c r="R428" s="1902"/>
      <c r="T428" s="2072"/>
      <c r="U428" s="2072"/>
      <c r="V428" s="2072"/>
      <c r="W428" s="2072"/>
      <c r="X428" s="2072"/>
      <c r="Y428" s="2073"/>
      <c r="Z428" s="2073"/>
      <c r="AA428" s="2072"/>
      <c r="AB428" s="37"/>
      <c r="AC428" s="37"/>
      <c r="AD428" s="37"/>
      <c r="AE428" s="37"/>
      <c r="AF428" s="37"/>
      <c r="AG428" s="2007"/>
      <c r="AH428" s="2007"/>
      <c r="AI428" s="2007"/>
      <c r="AJ428" s="2007"/>
      <c r="AK428" s="2006"/>
      <c r="AL428" s="2006"/>
      <c r="AM428" s="2006"/>
      <c r="AN428" s="2006"/>
      <c r="AO428" s="2006"/>
      <c r="AP428" s="2006"/>
      <c r="AQ428" s="2006"/>
      <c r="AR428" s="2006"/>
      <c r="AS428" s="2006"/>
      <c r="AT428" s="2006"/>
      <c r="AU428" s="2006"/>
      <c r="AV428" s="2006"/>
      <c r="AW428" s="2006"/>
      <c r="AX428" s="2006"/>
      <c r="AY428" s="2006"/>
      <c r="AZ428" s="2006"/>
      <c r="BA428" s="2006"/>
      <c r="BB428" s="2006"/>
      <c r="BC428" s="2006"/>
      <c r="BD428" s="2006"/>
      <c r="BE428" s="2006"/>
      <c r="BF428" s="2006"/>
      <c r="BG428" s="1044"/>
      <c r="BH428" s="1044"/>
      <c r="BI428" s="1044"/>
      <c r="BJ428" s="1044"/>
      <c r="BK428" s="1044"/>
      <c r="BL428" s="1044"/>
      <c r="BM428" s="1044"/>
      <c r="BN428" s="1044"/>
      <c r="BO428" s="1044"/>
      <c r="BP428" s="1044"/>
      <c r="BQ428" s="1044"/>
      <c r="BR428" s="1044"/>
      <c r="BS428" s="1044"/>
      <c r="BT428" s="1044"/>
      <c r="BU428" s="1044"/>
      <c r="BV428" s="1044"/>
      <c r="BW428" s="1044"/>
      <c r="BX428" s="1044"/>
      <c r="BY428" s="1044"/>
      <c r="BZ428" s="1044"/>
      <c r="CA428" s="1044"/>
      <c r="CB428" s="1044"/>
      <c r="CC428" s="1044"/>
      <c r="CD428" s="1044"/>
      <c r="CE428" s="1044"/>
      <c r="CF428" s="1044"/>
      <c r="CG428" s="1044"/>
      <c r="CH428" s="1044"/>
      <c r="CI428" s="1044"/>
      <c r="CJ428" s="1044"/>
      <c r="CK428" s="1044"/>
      <c r="CL428" s="1044"/>
      <c r="CM428" s="1044"/>
      <c r="CN428" s="1044"/>
      <c r="CO428" s="1044"/>
      <c r="CP428" s="1044"/>
      <c r="CQ428" s="1044"/>
      <c r="CR428" s="1044"/>
      <c r="CS428" s="1044"/>
      <c r="CT428" s="1044"/>
      <c r="CU428" s="1044"/>
      <c r="CV428" s="1044"/>
      <c r="CW428" s="1044"/>
    </row>
    <row r="429" spans="1:101" s="1952" customFormat="1">
      <c r="A429" s="1954"/>
      <c r="B429" s="1129"/>
      <c r="C429" s="1704"/>
      <c r="D429" s="1704"/>
      <c r="E429" s="1704"/>
      <c r="F429" s="1704"/>
      <c r="G429" s="1704"/>
      <c r="H429" s="1704"/>
      <c r="I429" s="1704"/>
      <c r="J429" s="1704"/>
      <c r="K429" s="1704"/>
      <c r="L429" s="1704"/>
      <c r="M429" s="1704"/>
      <c r="N429" s="1704"/>
      <c r="O429" s="2027"/>
      <c r="P429" s="1726"/>
      <c r="R429" s="1954"/>
      <c r="T429" s="2072"/>
      <c r="U429" s="2072"/>
      <c r="V429" s="2072"/>
      <c r="W429" s="2072"/>
      <c r="X429" s="2072"/>
      <c r="Y429" s="2073"/>
      <c r="Z429" s="2073"/>
      <c r="AA429" s="2072"/>
      <c r="AB429" s="37"/>
      <c r="AC429" s="37"/>
      <c r="AD429" s="37"/>
      <c r="AE429" s="37"/>
      <c r="AF429" s="37"/>
      <c r="AG429" s="2007"/>
      <c r="AH429" s="2007"/>
      <c r="AI429" s="2007"/>
      <c r="AJ429" s="2007"/>
      <c r="AK429" s="2006"/>
      <c r="AL429" s="2006"/>
      <c r="AM429" s="2006"/>
      <c r="AN429" s="2006"/>
      <c r="AO429" s="2006"/>
      <c r="AP429" s="2006"/>
      <c r="AQ429" s="2006"/>
      <c r="AR429" s="2006"/>
      <c r="AS429" s="2006"/>
      <c r="AT429" s="2006"/>
      <c r="AU429" s="2006"/>
      <c r="AV429" s="2006"/>
      <c r="AW429" s="2006"/>
      <c r="AX429" s="2006"/>
      <c r="AY429" s="2006"/>
      <c r="AZ429" s="2006"/>
      <c r="BA429" s="2006"/>
      <c r="BB429" s="2006"/>
      <c r="BC429" s="2006"/>
      <c r="BD429" s="2006"/>
      <c r="BE429" s="2006"/>
      <c r="BF429" s="2006"/>
      <c r="BG429" s="1044"/>
      <c r="BH429" s="1044"/>
      <c r="BI429" s="1044"/>
      <c r="BJ429" s="1044"/>
      <c r="BK429" s="1044"/>
      <c r="BL429" s="1044"/>
      <c r="BM429" s="1044"/>
      <c r="BN429" s="1044"/>
      <c r="BO429" s="1044"/>
      <c r="BP429" s="1044"/>
      <c r="BQ429" s="1044"/>
      <c r="BR429" s="1044"/>
      <c r="BS429" s="1044"/>
      <c r="BT429" s="1044"/>
      <c r="BU429" s="1044"/>
      <c r="BV429" s="1044"/>
      <c r="BW429" s="1044"/>
      <c r="BX429" s="1044"/>
      <c r="BY429" s="1044"/>
      <c r="BZ429" s="1044"/>
      <c r="CA429" s="1044"/>
      <c r="CB429" s="1044"/>
      <c r="CC429" s="1044"/>
      <c r="CD429" s="1044"/>
      <c r="CE429" s="1044"/>
      <c r="CF429" s="1044"/>
      <c r="CG429" s="1044"/>
      <c r="CH429" s="1044"/>
      <c r="CI429" s="1044"/>
      <c r="CJ429" s="1044"/>
      <c r="CK429" s="1044"/>
      <c r="CL429" s="1044"/>
      <c r="CM429" s="1044"/>
      <c r="CN429" s="1044"/>
      <c r="CO429" s="1044"/>
      <c r="CP429" s="1044"/>
      <c r="CQ429" s="1044"/>
      <c r="CR429" s="1044"/>
      <c r="CS429" s="1044"/>
      <c r="CT429" s="1044"/>
      <c r="CU429" s="1044"/>
      <c r="CV429" s="1044"/>
      <c r="CW429" s="1044"/>
    </row>
    <row r="430" spans="1:101" s="1952" customFormat="1">
      <c r="A430" s="1954"/>
      <c r="B430" s="1129"/>
      <c r="C430" s="1129"/>
      <c r="D430" s="1129"/>
      <c r="E430" s="1129"/>
      <c r="F430" s="1708"/>
      <c r="G430" s="1129"/>
      <c r="H430" s="1129"/>
      <c r="I430" s="1708"/>
      <c r="J430" s="1129"/>
      <c r="K430" s="1129"/>
      <c r="L430" s="1129"/>
      <c r="M430" s="1129"/>
      <c r="N430" s="1129"/>
      <c r="O430" s="2025" t="str">
        <f>Preferences.moneyunits&amp;" per thousand vehicle units"</f>
        <v>£m per thousand vehicle units</v>
      </c>
      <c r="P430" s="1726"/>
      <c r="R430" s="1954"/>
      <c r="T430" s="2072"/>
      <c r="U430" s="2072"/>
      <c r="V430" s="2072"/>
      <c r="W430" s="2072"/>
      <c r="X430" s="2072"/>
      <c r="Y430" s="2073"/>
      <c r="Z430" s="2073"/>
      <c r="AA430" s="2072"/>
      <c r="AB430" s="37"/>
      <c r="AC430" s="37"/>
      <c r="AD430" s="37"/>
      <c r="AE430" s="37"/>
      <c r="AF430" s="37"/>
      <c r="AG430" s="37"/>
      <c r="AH430" s="37"/>
      <c r="AI430" s="37"/>
      <c r="AJ430" s="37"/>
      <c r="AK430" s="1044"/>
      <c r="AL430" s="1044"/>
      <c r="AM430" s="1044"/>
      <c r="AN430" s="1044"/>
      <c r="AO430" s="1044"/>
      <c r="AP430" s="1044"/>
      <c r="AQ430" s="1044"/>
      <c r="AR430" s="1044"/>
      <c r="AS430" s="1044"/>
      <c r="AT430" s="1044"/>
      <c r="AU430" s="1044"/>
      <c r="AV430" s="1044"/>
      <c r="AW430" s="1044"/>
      <c r="AX430" s="1044"/>
      <c r="AY430" s="1044"/>
      <c r="AZ430" s="1044"/>
      <c r="BA430" s="1044"/>
      <c r="BB430" s="1044"/>
      <c r="BC430" s="1044"/>
      <c r="BD430" s="1044"/>
      <c r="BE430" s="1044"/>
      <c r="BF430" s="1044"/>
      <c r="BG430" s="1044"/>
      <c r="BH430" s="1044"/>
      <c r="BI430" s="1044"/>
      <c r="BJ430" s="1044"/>
      <c r="BK430" s="1044"/>
      <c r="BL430" s="1044"/>
      <c r="BM430" s="1044"/>
      <c r="BN430" s="1044"/>
      <c r="BO430" s="1044"/>
      <c r="BP430" s="1044"/>
      <c r="BQ430" s="1044"/>
      <c r="BR430" s="1044"/>
      <c r="BS430" s="1044"/>
      <c r="BT430" s="1044"/>
      <c r="BU430" s="1044"/>
      <c r="BV430" s="1044"/>
      <c r="BW430" s="1044"/>
      <c r="BX430" s="1044"/>
      <c r="BY430" s="1044"/>
      <c r="BZ430" s="1044"/>
      <c r="CA430" s="1044"/>
      <c r="CB430" s="1044"/>
      <c r="CC430" s="1044"/>
      <c r="CD430" s="1044"/>
      <c r="CE430" s="1044"/>
      <c r="CF430" s="1044"/>
      <c r="CG430" s="1044"/>
      <c r="CH430" s="1044"/>
      <c r="CI430" s="1044"/>
      <c r="CJ430" s="1044"/>
      <c r="CK430" s="1044"/>
      <c r="CL430" s="1044"/>
      <c r="CM430" s="1044"/>
      <c r="CN430" s="1044"/>
      <c r="CO430" s="1044"/>
      <c r="CP430" s="1044"/>
      <c r="CQ430" s="1044"/>
      <c r="CR430" s="1044"/>
      <c r="CS430" s="1044"/>
      <c r="CT430" s="1044"/>
      <c r="CU430" s="1044"/>
      <c r="CV430" s="1044"/>
      <c r="CW430" s="1044"/>
    </row>
    <row r="431" spans="1:101" s="1952" customFormat="1" ht="14">
      <c r="A431" s="1954"/>
      <c r="B431" s="1129"/>
      <c r="C431" s="1962" t="s">
        <v>1807</v>
      </c>
      <c r="D431" s="1950"/>
      <c r="E431" s="1961" t="s">
        <v>1413</v>
      </c>
      <c r="F431" s="1963">
        <v>2007</v>
      </c>
      <c r="G431" s="1963">
        <v>2010</v>
      </c>
      <c r="H431" s="1963">
        <v>2015</v>
      </c>
      <c r="I431" s="1963">
        <v>2020</v>
      </c>
      <c r="J431" s="1963">
        <v>2025</v>
      </c>
      <c r="K431" s="1963">
        <v>2030</v>
      </c>
      <c r="L431" s="1963">
        <v>2035</v>
      </c>
      <c r="M431" s="1963">
        <v>2040</v>
      </c>
      <c r="N431" s="1963">
        <v>2045</v>
      </c>
      <c r="O431" s="2026">
        <v>2050</v>
      </c>
      <c r="P431" s="1704"/>
      <c r="R431" s="1954"/>
      <c r="T431" s="2072"/>
      <c r="U431" s="2072"/>
      <c r="V431" s="2072"/>
      <c r="W431" s="2072"/>
      <c r="X431" s="2072"/>
      <c r="Y431" s="2073"/>
      <c r="Z431" s="2073"/>
      <c r="AA431" s="2072"/>
      <c r="AB431" s="37"/>
      <c r="AC431" s="37"/>
      <c r="AD431" s="37"/>
      <c r="AE431" s="37"/>
      <c r="AF431" s="37"/>
      <c r="AG431" s="2007"/>
      <c r="AH431" s="2007"/>
      <c r="AI431" s="2007"/>
      <c r="AJ431" s="2007"/>
      <c r="AK431" s="2006"/>
      <c r="AL431" s="2006"/>
      <c r="AM431" s="2006"/>
      <c r="AN431" s="2006"/>
      <c r="AO431" s="2006"/>
      <c r="AP431" s="2006"/>
      <c r="AQ431" s="2006"/>
      <c r="AR431" s="2006"/>
      <c r="AS431" s="2006"/>
      <c r="AT431" s="2006"/>
      <c r="AU431" s="2006"/>
      <c r="AV431" s="2006"/>
      <c r="AW431" s="2006"/>
      <c r="AX431" s="2006"/>
      <c r="AY431" s="2006"/>
      <c r="AZ431" s="2006"/>
      <c r="BA431" s="2006"/>
      <c r="BB431" s="2006"/>
      <c r="BC431" s="2006"/>
      <c r="BD431" s="2006"/>
      <c r="BE431" s="2006"/>
      <c r="BF431" s="2006"/>
      <c r="BG431" s="1044"/>
      <c r="BH431" s="1044"/>
      <c r="BI431" s="1044"/>
      <c r="BJ431" s="1044"/>
      <c r="BK431" s="1044"/>
      <c r="BL431" s="1044"/>
      <c r="BM431" s="1044"/>
      <c r="BN431" s="1044"/>
      <c r="BO431" s="1044"/>
      <c r="BP431" s="1044"/>
      <c r="BQ431" s="1044"/>
      <c r="BR431" s="1044"/>
      <c r="BS431" s="1044"/>
      <c r="BT431" s="1044"/>
      <c r="BU431" s="1044"/>
      <c r="BV431" s="1044"/>
      <c r="BW431" s="1044"/>
      <c r="BX431" s="1044"/>
      <c r="BY431" s="1044"/>
      <c r="BZ431" s="1044"/>
      <c r="CA431" s="1044"/>
      <c r="CB431" s="1044"/>
      <c r="CC431" s="1044"/>
      <c r="CD431" s="1044"/>
      <c r="CE431" s="1044"/>
      <c r="CF431" s="1044"/>
      <c r="CG431" s="1044"/>
      <c r="CH431" s="1044"/>
      <c r="CI431" s="1044"/>
      <c r="CJ431" s="1044"/>
      <c r="CK431" s="1044"/>
      <c r="CL431" s="1044"/>
      <c r="CM431" s="1044"/>
      <c r="CN431" s="1044"/>
      <c r="CO431" s="1044"/>
      <c r="CP431" s="1044"/>
      <c r="CQ431" s="1044"/>
      <c r="CR431" s="1044"/>
      <c r="CS431" s="1044"/>
      <c r="CT431" s="1044"/>
      <c r="CU431" s="1044"/>
      <c r="CV431" s="1044"/>
      <c r="CW431" s="1044"/>
    </row>
    <row r="432" spans="1:101" s="1952" customFormat="1" ht="14">
      <c r="A432" s="1954"/>
      <c r="B432" s="1129"/>
      <c r="C432" s="1947" t="s">
        <v>920</v>
      </c>
      <c r="D432" s="1947" t="s">
        <v>920</v>
      </c>
      <c r="E432" s="2018">
        <f>(O432-G432)/(O$431-G$431)</f>
        <v>-2.4999999999999995E-4</v>
      </c>
      <c r="F432" s="1965">
        <f>30*GBP*1000</f>
        <v>0.03</v>
      </c>
      <c r="G432" s="1965">
        <f>F432</f>
        <v>0.03</v>
      </c>
      <c r="H432" s="1965">
        <f>G432+$E432*(H$431-G$431)</f>
        <v>2.8749999999999998E-2</v>
      </c>
      <c r="I432" s="1965">
        <f t="shared" ref="I432:N432" si="116">H432+$E432*(I$431-H$431)</f>
        <v>2.7499999999999997E-2</v>
      </c>
      <c r="J432" s="1965">
        <f t="shared" si="116"/>
        <v>2.6249999999999996E-2</v>
      </c>
      <c r="K432" s="1965">
        <f t="shared" si="116"/>
        <v>2.4999999999999994E-2</v>
      </c>
      <c r="L432" s="1965">
        <f t="shared" si="116"/>
        <v>2.3749999999999993E-2</v>
      </c>
      <c r="M432" s="1965">
        <f t="shared" si="116"/>
        <v>2.2499999999999992E-2</v>
      </c>
      <c r="N432" s="1965">
        <f t="shared" si="116"/>
        <v>2.1249999999999991E-2</v>
      </c>
      <c r="O432" s="2051">
        <f>20*1000*GBP</f>
        <v>0.02</v>
      </c>
      <c r="P432" s="1704"/>
      <c r="Q432" s="1902"/>
      <c r="R432" s="1902"/>
      <c r="T432" s="2072"/>
      <c r="U432" s="2072"/>
      <c r="V432" s="2072"/>
      <c r="W432" s="2072"/>
      <c r="X432" s="2072"/>
      <c r="Y432" s="2073"/>
      <c r="Z432" s="2073"/>
      <c r="AA432" s="2072"/>
      <c r="AB432" s="37"/>
      <c r="AC432" s="37"/>
      <c r="AD432" s="37"/>
      <c r="AE432" s="37"/>
      <c r="AF432" s="37"/>
      <c r="AG432" s="2007"/>
      <c r="AH432" s="2007"/>
      <c r="AI432" s="2007"/>
      <c r="AJ432" s="2007"/>
      <c r="AK432" s="2006"/>
      <c r="AL432" s="2006"/>
      <c r="AM432" s="2006"/>
      <c r="AN432" s="2006"/>
      <c r="AO432" s="2006"/>
      <c r="AP432" s="2006"/>
      <c r="AQ432" s="2006"/>
      <c r="AR432" s="2006"/>
      <c r="AS432" s="2006"/>
      <c r="AT432" s="2006"/>
      <c r="AU432" s="2006"/>
      <c r="AV432" s="2006"/>
      <c r="AW432" s="2006"/>
      <c r="AX432" s="2006"/>
      <c r="AY432" s="2006"/>
      <c r="AZ432" s="2006"/>
      <c r="BA432" s="2006"/>
      <c r="BB432" s="2006"/>
      <c r="BC432" s="2006"/>
      <c r="BD432" s="2006"/>
      <c r="BE432" s="2006"/>
      <c r="BF432" s="2006"/>
      <c r="BG432" s="1044"/>
      <c r="BH432" s="1044"/>
      <c r="BI432" s="1044"/>
      <c r="BJ432" s="1044"/>
      <c r="BK432" s="1044"/>
      <c r="BL432" s="1044"/>
      <c r="BM432" s="1044"/>
      <c r="BN432" s="1044"/>
      <c r="BO432" s="1044"/>
      <c r="BP432" s="1044"/>
      <c r="BQ432" s="1044"/>
      <c r="BR432" s="1044"/>
      <c r="BS432" s="1044"/>
      <c r="BT432" s="1044"/>
      <c r="BU432" s="1044"/>
      <c r="BV432" s="1044"/>
      <c r="BW432" s="1044"/>
      <c r="BX432" s="1044"/>
      <c r="BY432" s="1044"/>
      <c r="BZ432" s="1044"/>
      <c r="CA432" s="1044"/>
      <c r="CB432" s="1044"/>
      <c r="CC432" s="1044"/>
      <c r="CD432" s="1044"/>
      <c r="CE432" s="1044"/>
      <c r="CF432" s="1044"/>
      <c r="CG432" s="1044"/>
      <c r="CH432" s="1044"/>
      <c r="CI432" s="1044"/>
      <c r="CJ432" s="1044"/>
      <c r="CK432" s="1044"/>
      <c r="CL432" s="1044"/>
      <c r="CM432" s="1044"/>
      <c r="CN432" s="1044"/>
      <c r="CO432" s="1044"/>
      <c r="CP432" s="1044"/>
      <c r="CQ432" s="1044"/>
      <c r="CR432" s="1044"/>
      <c r="CS432" s="1044"/>
      <c r="CT432" s="1044"/>
      <c r="CU432" s="1044"/>
      <c r="CV432" s="1044"/>
      <c r="CW432" s="1044"/>
    </row>
    <row r="433" spans="1:101" s="1952" customFormat="1" ht="14">
      <c r="A433" s="1954"/>
      <c r="B433" s="1129"/>
      <c r="C433" s="1477" t="s">
        <v>918</v>
      </c>
      <c r="D433" s="1477" t="s">
        <v>923</v>
      </c>
      <c r="E433" s="2017">
        <f t="shared" ref="E433:E443" si="117">(O433-G433)/(O$431-G$431)</f>
        <v>-3.3634802717982498E-2</v>
      </c>
      <c r="F433" s="1964">
        <f>1545.3921087193*GBP*1000</f>
        <v>1.5453921087192999</v>
      </c>
      <c r="G433" s="1964">
        <f>1545.3921087193*GBP*1000</f>
        <v>1.5453921087192999</v>
      </c>
      <c r="H433" s="1971">
        <f t="shared" ref="H433:N443" si="118">G433+$E433*(H$431-G$431)</f>
        <v>1.3772180951293873</v>
      </c>
      <c r="I433" s="1971">
        <f t="shared" si="118"/>
        <v>1.2090440815394747</v>
      </c>
      <c r="J433" s="1971">
        <f t="shared" si="118"/>
        <v>1.0408700679495622</v>
      </c>
      <c r="K433" s="1971">
        <f t="shared" si="118"/>
        <v>0.8726960543596497</v>
      </c>
      <c r="L433" s="1971">
        <f t="shared" si="118"/>
        <v>0.70452204076973723</v>
      </c>
      <c r="M433" s="1971">
        <f t="shared" si="118"/>
        <v>0.53634802717982477</v>
      </c>
      <c r="N433" s="1971">
        <f t="shared" si="118"/>
        <v>0.36817401358991231</v>
      </c>
      <c r="O433" s="2052">
        <f>200*1000*GBP</f>
        <v>0.19999999999999998</v>
      </c>
      <c r="P433" s="1704"/>
      <c r="Q433" s="1902"/>
      <c r="R433" s="1902"/>
      <c r="T433" s="2072"/>
      <c r="U433" s="2072"/>
      <c r="V433" s="2072"/>
      <c r="W433" s="2072"/>
      <c r="X433" s="2072"/>
      <c r="Y433" s="2073"/>
      <c r="Z433" s="2073"/>
      <c r="AA433" s="2072"/>
      <c r="AB433" s="37"/>
      <c r="AC433" s="37"/>
      <c r="AD433" s="37"/>
      <c r="AE433" s="37"/>
      <c r="AF433" s="37"/>
      <c r="AG433" s="37"/>
      <c r="AH433" s="37"/>
      <c r="AI433" s="37"/>
      <c r="AJ433" s="37"/>
      <c r="AK433" s="1044"/>
      <c r="AL433" s="1044"/>
      <c r="AM433" s="1044"/>
      <c r="AN433" s="1044"/>
      <c r="AO433" s="1044"/>
      <c r="AP433" s="1044"/>
      <c r="AQ433" s="1044"/>
      <c r="AR433" s="1044"/>
      <c r="AS433" s="1044"/>
      <c r="AT433" s="1044"/>
      <c r="AU433" s="1044"/>
      <c r="AV433" s="1044"/>
      <c r="AW433" s="1044"/>
      <c r="AX433" s="1044"/>
      <c r="AY433" s="1044"/>
      <c r="AZ433" s="1044"/>
      <c r="BA433" s="1044"/>
      <c r="BB433" s="1044"/>
      <c r="BC433" s="1044"/>
      <c r="BD433" s="1044"/>
      <c r="BE433" s="1044"/>
      <c r="BF433" s="1044"/>
      <c r="BG433" s="1044"/>
      <c r="BH433" s="1044"/>
      <c r="BI433" s="1044"/>
      <c r="BJ433" s="1044"/>
      <c r="BK433" s="1044"/>
      <c r="BL433" s="1044"/>
      <c r="BM433" s="1044"/>
      <c r="BN433" s="1044"/>
      <c r="BO433" s="1044"/>
      <c r="BP433" s="1044"/>
      <c r="BQ433" s="1044"/>
      <c r="BR433" s="1044"/>
      <c r="BS433" s="1044"/>
      <c r="BT433" s="1044"/>
      <c r="BU433" s="1044"/>
      <c r="BV433" s="1044"/>
      <c r="BW433" s="1044"/>
      <c r="BX433" s="1044"/>
      <c r="BY433" s="1044"/>
      <c r="BZ433" s="1044"/>
      <c r="CA433" s="1044"/>
      <c r="CB433" s="1044"/>
      <c r="CC433" s="1044"/>
      <c r="CD433" s="1044"/>
      <c r="CE433" s="1044"/>
      <c r="CF433" s="1044"/>
      <c r="CG433" s="1044"/>
      <c r="CH433" s="1044"/>
      <c r="CI433" s="1044"/>
      <c r="CJ433" s="1044"/>
      <c r="CK433" s="1044"/>
      <c r="CL433" s="1044"/>
      <c r="CM433" s="1044"/>
      <c r="CN433" s="1044"/>
      <c r="CO433" s="1044"/>
      <c r="CP433" s="1044"/>
      <c r="CQ433" s="1044"/>
      <c r="CR433" s="1044"/>
      <c r="CS433" s="1044"/>
      <c r="CT433" s="1044"/>
      <c r="CU433" s="1044"/>
      <c r="CV433" s="1044"/>
      <c r="CW433" s="1044"/>
    </row>
    <row r="434" spans="1:101" s="1952" customFormat="1" ht="14">
      <c r="A434" s="1954"/>
      <c r="B434" s="1129"/>
      <c r="C434" s="1721" t="s">
        <v>918</v>
      </c>
      <c r="D434" s="1721" t="s">
        <v>1116</v>
      </c>
      <c r="E434" s="2016">
        <f t="shared" si="117"/>
        <v>-6.5765271701118996E-2</v>
      </c>
      <c r="F434" s="1097">
        <f>2830.61086804476*GBP*1000</f>
        <v>2.8306108680447601</v>
      </c>
      <c r="G434" s="1097">
        <f>2830.61086804476*GBP*1000</f>
        <v>2.8306108680447601</v>
      </c>
      <c r="H434" s="1794">
        <f t="shared" si="118"/>
        <v>2.5017845095391653</v>
      </c>
      <c r="I434" s="1794">
        <f t="shared" si="118"/>
        <v>2.1729581510335705</v>
      </c>
      <c r="J434" s="1794">
        <f t="shared" si="118"/>
        <v>1.8441317925279754</v>
      </c>
      <c r="K434" s="1794">
        <f t="shared" si="118"/>
        <v>1.5153054340223804</v>
      </c>
      <c r="L434" s="1794">
        <f t="shared" si="118"/>
        <v>1.1864790755167853</v>
      </c>
      <c r="M434" s="1794">
        <f t="shared" si="118"/>
        <v>0.85765271701119028</v>
      </c>
      <c r="N434" s="1794">
        <f t="shared" si="118"/>
        <v>0.52882635850559523</v>
      </c>
      <c r="O434" s="2053">
        <f>200*1000*GBP</f>
        <v>0.19999999999999998</v>
      </c>
      <c r="P434" s="1704"/>
      <c r="Q434" s="1902"/>
      <c r="R434" s="1902"/>
      <c r="T434" s="2072"/>
      <c r="U434" s="2072"/>
      <c r="V434" s="2072"/>
      <c r="W434" s="2072"/>
      <c r="X434" s="2072"/>
      <c r="Y434" s="2073"/>
      <c r="Z434" s="2073"/>
      <c r="AA434" s="2072"/>
      <c r="AB434" s="37"/>
      <c r="AC434" s="37"/>
      <c r="AD434" s="37"/>
      <c r="AE434" s="37"/>
      <c r="AF434" s="37"/>
      <c r="AG434" s="37"/>
      <c r="AH434" s="37"/>
      <c r="AI434" s="37"/>
      <c r="AJ434" s="37"/>
      <c r="AK434" s="1044"/>
      <c r="AL434" s="1044"/>
      <c r="AM434" s="1044"/>
      <c r="AN434" s="1044"/>
      <c r="AO434" s="1044"/>
      <c r="AP434" s="1044"/>
      <c r="AQ434" s="1044"/>
      <c r="AR434" s="1044"/>
      <c r="AS434" s="1044"/>
      <c r="AT434" s="1044"/>
      <c r="AU434" s="1044"/>
      <c r="AV434" s="1044"/>
      <c r="AW434" s="1044"/>
      <c r="AX434" s="1044"/>
      <c r="AY434" s="1044"/>
      <c r="AZ434" s="1044"/>
      <c r="BA434" s="1044"/>
      <c r="BB434" s="1044"/>
      <c r="BC434" s="1044"/>
      <c r="BD434" s="1044"/>
      <c r="BE434" s="1044"/>
      <c r="BF434" s="1044"/>
      <c r="BG434" s="1044"/>
      <c r="BH434" s="1044"/>
      <c r="BI434" s="1044"/>
      <c r="BJ434" s="1044"/>
      <c r="BK434" s="1044"/>
      <c r="BL434" s="1044"/>
      <c r="BM434" s="1044"/>
      <c r="BN434" s="1044"/>
      <c r="BO434" s="1044"/>
      <c r="BP434" s="1044"/>
      <c r="BQ434" s="1044"/>
      <c r="BR434" s="1044"/>
      <c r="BS434" s="1044"/>
      <c r="BT434" s="1044"/>
      <c r="BU434" s="1044"/>
      <c r="BV434" s="1044"/>
      <c r="BW434" s="1044"/>
      <c r="BX434" s="1044"/>
      <c r="BY434" s="1044"/>
      <c r="BZ434" s="1044"/>
      <c r="CA434" s="1044"/>
      <c r="CB434" s="1044"/>
      <c r="CC434" s="1044"/>
      <c r="CD434" s="1044"/>
      <c r="CE434" s="1044"/>
      <c r="CF434" s="1044"/>
      <c r="CG434" s="1044"/>
      <c r="CH434" s="1044"/>
      <c r="CI434" s="1044"/>
      <c r="CJ434" s="1044"/>
      <c r="CK434" s="1044"/>
      <c r="CL434" s="1044"/>
      <c r="CM434" s="1044"/>
      <c r="CN434" s="1044"/>
      <c r="CO434" s="1044"/>
      <c r="CP434" s="1044"/>
      <c r="CQ434" s="1044"/>
      <c r="CR434" s="1044"/>
      <c r="CS434" s="1044"/>
      <c r="CT434" s="1044"/>
      <c r="CU434" s="1044"/>
      <c r="CV434" s="1044"/>
      <c r="CW434" s="1044"/>
    </row>
    <row r="435" spans="1:101" s="1952" customFormat="1" ht="14">
      <c r="A435" s="1954"/>
      <c r="B435" s="1129"/>
      <c r="C435" s="1721" t="s">
        <v>918</v>
      </c>
      <c r="D435" s="1721" t="s">
        <v>924</v>
      </c>
      <c r="E435" s="2016">
        <f t="shared" si="117"/>
        <v>-4.7288436237177496E-2</v>
      </c>
      <c r="F435" s="1097">
        <f>2091.5374494871*GBP*1000</f>
        <v>2.0915374494870997</v>
      </c>
      <c r="G435" s="1097">
        <f>2091.5374494871*GBP*1000</f>
        <v>2.0915374494870997</v>
      </c>
      <c r="H435" s="1794">
        <f t="shared" si="118"/>
        <v>1.8550952683012123</v>
      </c>
      <c r="I435" s="1794">
        <f t="shared" si="118"/>
        <v>1.6186530871153249</v>
      </c>
      <c r="J435" s="1794">
        <f t="shared" si="118"/>
        <v>1.3822109059294374</v>
      </c>
      <c r="K435" s="1794">
        <f t="shared" si="118"/>
        <v>1.14576872474355</v>
      </c>
      <c r="L435" s="1794">
        <f t="shared" si="118"/>
        <v>0.90932654355766251</v>
      </c>
      <c r="M435" s="1794">
        <f t="shared" si="118"/>
        <v>0.67288436237177507</v>
      </c>
      <c r="N435" s="1794">
        <f t="shared" si="118"/>
        <v>0.43644218118588762</v>
      </c>
      <c r="O435" s="2053">
        <f>200*1000*GBP</f>
        <v>0.19999999999999998</v>
      </c>
      <c r="P435" s="1704"/>
      <c r="Q435" s="1902"/>
      <c r="R435" s="1902"/>
      <c r="T435" s="2072"/>
      <c r="U435" s="2072"/>
      <c r="V435" s="2072"/>
      <c r="W435" s="2072"/>
      <c r="X435" s="2072"/>
      <c r="Y435" s="2073"/>
      <c r="Z435" s="2073"/>
      <c r="AA435" s="2072"/>
      <c r="AB435" s="37"/>
      <c r="AC435" s="37"/>
      <c r="AD435" s="37"/>
      <c r="AE435" s="37"/>
      <c r="AF435" s="37"/>
      <c r="AG435" s="37"/>
      <c r="AH435" s="37"/>
      <c r="AI435" s="37"/>
      <c r="AJ435" s="37"/>
      <c r="AK435" s="1044"/>
      <c r="AL435" s="1044"/>
      <c r="AM435" s="1044"/>
      <c r="AN435" s="1044"/>
      <c r="AO435" s="1044"/>
      <c r="AP435" s="1044"/>
      <c r="AQ435" s="1044"/>
      <c r="AR435" s="1044"/>
      <c r="AS435" s="1044"/>
      <c r="AT435" s="1044"/>
      <c r="AU435" s="1044"/>
      <c r="AV435" s="1044"/>
      <c r="AW435" s="1044"/>
      <c r="AX435" s="1044"/>
      <c r="AY435" s="1044"/>
      <c r="AZ435" s="1044"/>
      <c r="BA435" s="1044"/>
      <c r="BB435" s="1044"/>
      <c r="BC435" s="1044"/>
      <c r="BD435" s="1044"/>
      <c r="BE435" s="1044"/>
      <c r="BF435" s="1044"/>
      <c r="BG435" s="1044"/>
      <c r="BH435" s="1044"/>
      <c r="BI435" s="1044"/>
      <c r="BJ435" s="1044"/>
      <c r="BK435" s="1044"/>
      <c r="BL435" s="1044"/>
      <c r="BM435" s="1044"/>
      <c r="BN435" s="1044"/>
      <c r="BO435" s="1044"/>
      <c r="BP435" s="1044"/>
      <c r="BQ435" s="1044"/>
      <c r="BR435" s="1044"/>
      <c r="BS435" s="1044"/>
      <c r="BT435" s="1044"/>
      <c r="BU435" s="1044"/>
      <c r="BV435" s="1044"/>
      <c r="BW435" s="1044"/>
      <c r="BX435" s="1044"/>
      <c r="BY435" s="1044"/>
      <c r="BZ435" s="1044"/>
      <c r="CA435" s="1044"/>
      <c r="CB435" s="1044"/>
      <c r="CC435" s="1044"/>
      <c r="CD435" s="1044"/>
      <c r="CE435" s="1044"/>
      <c r="CF435" s="1044"/>
      <c r="CG435" s="1044"/>
      <c r="CH435" s="1044"/>
      <c r="CI435" s="1044"/>
      <c r="CJ435" s="1044"/>
      <c r="CK435" s="1044"/>
      <c r="CL435" s="1044"/>
      <c r="CM435" s="1044"/>
      <c r="CN435" s="1044"/>
      <c r="CO435" s="1044"/>
      <c r="CP435" s="1044"/>
      <c r="CQ435" s="1044"/>
      <c r="CR435" s="1044"/>
      <c r="CS435" s="1044"/>
      <c r="CT435" s="1044"/>
      <c r="CU435" s="1044"/>
      <c r="CV435" s="1044"/>
      <c r="CW435" s="1044"/>
    </row>
    <row r="436" spans="1:101" s="1952" customFormat="1" ht="14">
      <c r="A436" s="1954"/>
      <c r="B436" s="1129"/>
      <c r="C436" s="599" t="s">
        <v>918</v>
      </c>
      <c r="D436" s="599" t="s">
        <v>925</v>
      </c>
      <c r="E436" s="2010">
        <f t="shared" si="117"/>
        <v>-0.50866071485467745</v>
      </c>
      <c r="F436" s="1783">
        <f>20546.4285941871*GBP*1000</f>
        <v>20.546428594187098</v>
      </c>
      <c r="G436" s="1783">
        <f>20546.4285941871*GBP*1000</f>
        <v>20.546428594187098</v>
      </c>
      <c r="H436" s="1970">
        <f t="shared" si="118"/>
        <v>18.003125019913711</v>
      </c>
      <c r="I436" s="1970">
        <f t="shared" si="118"/>
        <v>15.459821445640323</v>
      </c>
      <c r="J436" s="1970">
        <f t="shared" si="118"/>
        <v>12.916517871366935</v>
      </c>
      <c r="K436" s="1970">
        <f t="shared" si="118"/>
        <v>10.373214297093547</v>
      </c>
      <c r="L436" s="1970">
        <f t="shared" si="118"/>
        <v>7.8299107228201592</v>
      </c>
      <c r="M436" s="1970">
        <f t="shared" si="118"/>
        <v>5.2866071485467714</v>
      </c>
      <c r="N436" s="1970">
        <f t="shared" si="118"/>
        <v>2.743303574273384</v>
      </c>
      <c r="O436" s="2054">
        <f>200*1000*GBP</f>
        <v>0.19999999999999998</v>
      </c>
      <c r="P436" s="1704"/>
      <c r="Q436" s="1902"/>
      <c r="R436" s="1902"/>
      <c r="T436" s="2072"/>
      <c r="U436" s="2072"/>
      <c r="V436" s="2072"/>
      <c r="W436" s="2072"/>
      <c r="X436" s="2072"/>
      <c r="Y436" s="2073"/>
      <c r="Z436" s="2073"/>
      <c r="AA436" s="2072"/>
      <c r="AB436" s="37"/>
      <c r="AC436" s="37"/>
      <c r="AD436" s="37"/>
      <c r="AE436" s="37"/>
      <c r="AF436" s="37"/>
      <c r="AG436" s="37"/>
      <c r="AH436" s="37"/>
      <c r="AI436" s="37"/>
      <c r="AJ436" s="37"/>
      <c r="AK436" s="1044"/>
      <c r="AL436" s="1044"/>
      <c r="AM436" s="1044"/>
      <c r="AN436" s="1044"/>
      <c r="AO436" s="1044"/>
      <c r="AP436" s="1044"/>
      <c r="AQ436" s="1044"/>
      <c r="AR436" s="1044"/>
      <c r="AS436" s="1044"/>
      <c r="AT436" s="1044"/>
      <c r="AU436" s="1044"/>
      <c r="AV436" s="1044"/>
      <c r="AW436" s="1044"/>
      <c r="AX436" s="1044"/>
      <c r="AY436" s="1044"/>
      <c r="AZ436" s="1044"/>
      <c r="BA436" s="1044"/>
      <c r="BB436" s="1044"/>
      <c r="BC436" s="1044"/>
      <c r="BD436" s="1044"/>
      <c r="BE436" s="1044"/>
      <c r="BF436" s="1044"/>
      <c r="BG436" s="1044"/>
      <c r="BH436" s="1044"/>
      <c r="BI436" s="1044"/>
      <c r="BJ436" s="1044"/>
      <c r="BK436" s="1044"/>
      <c r="BL436" s="1044"/>
      <c r="BM436" s="1044"/>
      <c r="BN436" s="1044"/>
      <c r="BO436" s="1044"/>
      <c r="BP436" s="1044"/>
      <c r="BQ436" s="1044"/>
      <c r="BR436" s="1044"/>
      <c r="BS436" s="1044"/>
      <c r="BT436" s="1044"/>
      <c r="BU436" s="1044"/>
      <c r="BV436" s="1044"/>
      <c r="BW436" s="1044"/>
      <c r="BX436" s="1044"/>
      <c r="BY436" s="1044"/>
      <c r="BZ436" s="1044"/>
      <c r="CA436" s="1044"/>
      <c r="CB436" s="1044"/>
      <c r="CC436" s="1044"/>
      <c r="CD436" s="1044"/>
      <c r="CE436" s="1044"/>
      <c r="CF436" s="1044"/>
      <c r="CG436" s="1044"/>
      <c r="CH436" s="1044"/>
      <c r="CI436" s="1044"/>
      <c r="CJ436" s="1044"/>
      <c r="CK436" s="1044"/>
      <c r="CL436" s="1044"/>
      <c r="CM436" s="1044"/>
      <c r="CN436" s="1044"/>
      <c r="CO436" s="1044"/>
      <c r="CP436" s="1044"/>
      <c r="CQ436" s="1044"/>
      <c r="CR436" s="1044"/>
      <c r="CS436" s="1044"/>
      <c r="CT436" s="1044"/>
      <c r="CU436" s="1044"/>
      <c r="CV436" s="1044"/>
      <c r="CW436" s="1044"/>
    </row>
    <row r="437" spans="1:101" s="1952" customFormat="1" ht="14">
      <c r="A437" s="1954"/>
      <c r="B437" s="1129"/>
      <c r="C437" s="1477" t="s">
        <v>919</v>
      </c>
      <c r="D437" s="1477" t="s">
        <v>923</v>
      </c>
      <c r="E437" s="2017">
        <f t="shared" si="117"/>
        <v>-0.59926637269777738</v>
      </c>
      <c r="F437" s="1964">
        <f>24970.6549079111*GBP*1000</f>
        <v>24.970654907911097</v>
      </c>
      <c r="G437" s="1964">
        <f>24970.6549079111*GBP*1000</f>
        <v>24.970654907911097</v>
      </c>
      <c r="H437" s="1971">
        <f t="shared" si="118"/>
        <v>21.97432304442221</v>
      </c>
      <c r="I437" s="1971">
        <f t="shared" si="118"/>
        <v>18.977991180933323</v>
      </c>
      <c r="J437" s="1971">
        <f t="shared" si="118"/>
        <v>15.981659317444436</v>
      </c>
      <c r="K437" s="1971">
        <f t="shared" si="118"/>
        <v>12.985327453955549</v>
      </c>
      <c r="L437" s="1971">
        <f t="shared" si="118"/>
        <v>9.9889955904666614</v>
      </c>
      <c r="M437" s="1971">
        <f t="shared" si="118"/>
        <v>6.9926637269777743</v>
      </c>
      <c r="N437" s="1971">
        <f t="shared" si="118"/>
        <v>3.9963318634888871</v>
      </c>
      <c r="O437" s="2052">
        <f>1000*1000*GBP</f>
        <v>1</v>
      </c>
      <c r="P437" s="1704"/>
      <c r="Q437" s="1902"/>
      <c r="R437" s="1902"/>
      <c r="T437" s="2072"/>
      <c r="U437" s="2072"/>
      <c r="V437" s="2072"/>
      <c r="W437" s="2072"/>
      <c r="X437" s="2072"/>
      <c r="Y437" s="2073"/>
      <c r="Z437" s="2073"/>
      <c r="AA437" s="2072"/>
      <c r="AB437" s="37"/>
      <c r="AC437" s="37"/>
      <c r="AD437" s="37"/>
      <c r="AE437" s="37"/>
      <c r="AF437" s="37"/>
      <c r="AG437" s="37"/>
      <c r="AH437" s="37"/>
      <c r="AI437" s="37"/>
      <c r="AJ437" s="37"/>
    </row>
    <row r="438" spans="1:101" s="1952" customFormat="1" ht="14">
      <c r="A438" s="1954"/>
      <c r="B438" s="1129"/>
      <c r="C438" s="1721" t="s">
        <v>919</v>
      </c>
      <c r="D438" s="1721" t="s">
        <v>1117</v>
      </c>
      <c r="E438" s="2016">
        <f>(O438-G438)/(O$431-G$431)</f>
        <v>-0.51660699947544253</v>
      </c>
      <c r="F438" s="1097">
        <f>25064.2799790177*GBP*1000</f>
        <v>25.064279979017698</v>
      </c>
      <c r="G438" s="1097">
        <f>25064.2799790177*GBP*1000</f>
        <v>25.064279979017698</v>
      </c>
      <c r="H438" s="1794">
        <f t="shared" si="118"/>
        <v>22.481244981640486</v>
      </c>
      <c r="I438" s="1794">
        <f t="shared" si="118"/>
        <v>19.898209984263275</v>
      </c>
      <c r="J438" s="1794">
        <f t="shared" si="118"/>
        <v>17.315174986886063</v>
      </c>
      <c r="K438" s="1794">
        <f t="shared" si="118"/>
        <v>14.732139989508852</v>
      </c>
      <c r="L438" s="1794">
        <f t="shared" si="118"/>
        <v>12.14910499213164</v>
      </c>
      <c r="M438" s="1794">
        <f t="shared" si="118"/>
        <v>9.5660699947544288</v>
      </c>
      <c r="N438" s="1794">
        <f t="shared" si="118"/>
        <v>6.9830349973772163</v>
      </c>
      <c r="O438" s="2053">
        <f>4400*1000*GBP</f>
        <v>4.3999999999999995</v>
      </c>
      <c r="P438" s="1704"/>
      <c r="Q438" s="1902"/>
      <c r="R438" s="1902"/>
      <c r="T438" s="2072"/>
      <c r="U438" s="2072"/>
      <c r="V438" s="2072"/>
      <c r="W438" s="2072"/>
      <c r="X438" s="2072"/>
      <c r="Y438" s="2073"/>
      <c r="Z438" s="2073"/>
      <c r="AA438" s="2072"/>
      <c r="AB438" s="37"/>
      <c r="AC438" s="37"/>
      <c r="AD438" s="37"/>
      <c r="AE438" s="37"/>
      <c r="AF438" s="37"/>
      <c r="AG438" s="37"/>
      <c r="AH438" s="37"/>
      <c r="AI438" s="37"/>
      <c r="AJ438" s="37"/>
    </row>
    <row r="439" spans="1:101" s="1952" customFormat="1" ht="14">
      <c r="A439" s="1954"/>
      <c r="B439" s="1129"/>
      <c r="C439" s="1721" t="s">
        <v>919</v>
      </c>
      <c r="D439" s="1721" t="s">
        <v>924</v>
      </c>
      <c r="E439" s="2016">
        <f t="shared" si="117"/>
        <v>-0.45088882921005508</v>
      </c>
      <c r="F439" s="1097">
        <f>37932.7361684022*GBP*1000</f>
        <v>37.932736168402201</v>
      </c>
      <c r="G439" s="1097">
        <f>37932.7361684022*GBP*1000</f>
        <v>37.932736168402201</v>
      </c>
      <c r="H439" s="1794">
        <f t="shared" si="118"/>
        <v>35.678292022351926</v>
      </c>
      <c r="I439" s="1794">
        <f t="shared" si="118"/>
        <v>33.42384787630165</v>
      </c>
      <c r="J439" s="1794">
        <f t="shared" si="118"/>
        <v>31.169403730251375</v>
      </c>
      <c r="K439" s="1794">
        <f t="shared" si="118"/>
        <v>28.9149595842011</v>
      </c>
      <c r="L439" s="1794">
        <f t="shared" si="118"/>
        <v>26.660515438150824</v>
      </c>
      <c r="M439" s="1794">
        <f t="shared" si="118"/>
        <v>24.406071292100549</v>
      </c>
      <c r="N439" s="1794">
        <f t="shared" si="118"/>
        <v>22.151627146050274</v>
      </c>
      <c r="O439" s="2053">
        <f>19897.183*1000*GBP</f>
        <v>19.897182999999998</v>
      </c>
      <c r="P439" s="1704"/>
      <c r="Q439" s="1902"/>
      <c r="R439" s="1902"/>
      <c r="T439" s="2072"/>
      <c r="U439" s="2072"/>
      <c r="V439" s="2072"/>
      <c r="W439" s="2072"/>
      <c r="X439" s="2072"/>
      <c r="Y439" s="2073"/>
      <c r="Z439" s="2073"/>
      <c r="AA439" s="2072"/>
      <c r="AB439" s="37"/>
      <c r="AC439" s="37"/>
      <c r="AD439" s="37"/>
      <c r="AE439" s="37"/>
      <c r="AF439" s="37"/>
      <c r="AG439" s="37"/>
      <c r="AH439" s="37"/>
      <c r="AI439" s="37"/>
      <c r="AJ439" s="37"/>
    </row>
    <row r="440" spans="1:101" s="1952" customFormat="1" ht="14">
      <c r="A440" s="1954"/>
      <c r="B440" s="1129"/>
      <c r="C440" s="599" t="s">
        <v>919</v>
      </c>
      <c r="D440" s="599" t="s">
        <v>925</v>
      </c>
      <c r="E440" s="2010">
        <f t="shared" si="117"/>
        <v>-2.2828064869249305</v>
      </c>
      <c r="F440" s="1783">
        <f>93722.2594769972*GBP*1000</f>
        <v>93.722259476997209</v>
      </c>
      <c r="G440" s="1783">
        <f>93722.2594769972*GBP*1000</f>
        <v>93.722259476997209</v>
      </c>
      <c r="H440" s="1970">
        <f t="shared" si="118"/>
        <v>82.30822704237255</v>
      </c>
      <c r="I440" s="1970">
        <f t="shared" si="118"/>
        <v>70.894194607747892</v>
      </c>
      <c r="J440" s="1970">
        <f t="shared" si="118"/>
        <v>59.48016217312324</v>
      </c>
      <c r="K440" s="1970">
        <f t="shared" si="118"/>
        <v>48.066129738498589</v>
      </c>
      <c r="L440" s="1970">
        <f t="shared" si="118"/>
        <v>36.652097303873937</v>
      </c>
      <c r="M440" s="1970">
        <f t="shared" si="118"/>
        <v>25.238064869249285</v>
      </c>
      <c r="N440" s="1970">
        <f t="shared" si="118"/>
        <v>13.824032434624634</v>
      </c>
      <c r="O440" s="2054">
        <f>2410*1000*GBP</f>
        <v>2.4099999999999997</v>
      </c>
      <c r="P440" s="1704"/>
      <c r="Q440" s="1902"/>
      <c r="R440" s="1902"/>
      <c r="T440" s="2072"/>
      <c r="U440" s="2072"/>
      <c r="V440" s="2072"/>
      <c r="W440" s="2072"/>
      <c r="X440" s="2072"/>
      <c r="Y440" s="2073"/>
      <c r="Z440" s="2073"/>
      <c r="AA440" s="2072"/>
      <c r="AB440" s="37"/>
      <c r="AC440" s="37"/>
      <c r="AD440" s="37"/>
      <c r="AE440" s="37"/>
      <c r="AF440" s="37"/>
      <c r="AG440" s="37"/>
      <c r="AH440" s="37"/>
      <c r="AI440" s="37"/>
      <c r="AJ440" s="37"/>
    </row>
    <row r="441" spans="1:101" s="1952" customFormat="1" ht="14">
      <c r="A441" s="1954"/>
      <c r="B441" s="1129"/>
      <c r="C441" s="1477" t="s">
        <v>921</v>
      </c>
      <c r="D441" s="1477" t="s">
        <v>962</v>
      </c>
      <c r="E441" s="2017">
        <f t="shared" si="117"/>
        <v>-8.2191374999999987</v>
      </c>
      <c r="F441" s="1964">
        <f>730590*GBP*1000</f>
        <v>730.58999999999992</v>
      </c>
      <c r="G441" s="1964">
        <f>730590*GBP*1000</f>
        <v>730.58999999999992</v>
      </c>
      <c r="H441" s="1971">
        <f t="shared" si="118"/>
        <v>689.49431249999998</v>
      </c>
      <c r="I441" s="1971">
        <f t="shared" si="118"/>
        <v>648.39862500000004</v>
      </c>
      <c r="J441" s="1971">
        <f t="shared" si="118"/>
        <v>607.3029375000001</v>
      </c>
      <c r="K441" s="1971">
        <f t="shared" si="118"/>
        <v>566.20725000000016</v>
      </c>
      <c r="L441" s="1971">
        <f t="shared" si="118"/>
        <v>525.11156250000022</v>
      </c>
      <c r="M441" s="1971">
        <f t="shared" si="118"/>
        <v>484.01587500000022</v>
      </c>
      <c r="N441" s="1971">
        <f t="shared" si="118"/>
        <v>442.92018750000022</v>
      </c>
      <c r="O441" s="2052">
        <f>401824.5*1000*GBP</f>
        <v>401.8245</v>
      </c>
      <c r="P441" s="1704"/>
      <c r="Q441" s="1902"/>
      <c r="R441" s="1902"/>
      <c r="T441" s="2072"/>
      <c r="U441" s="2072"/>
      <c r="V441" s="2072"/>
      <c r="W441" s="2072"/>
      <c r="X441" s="2072"/>
      <c r="Y441" s="2073"/>
      <c r="Z441" s="2073"/>
      <c r="AA441" s="2072"/>
      <c r="AB441" s="37"/>
      <c r="AC441" s="37"/>
      <c r="AD441" s="37"/>
      <c r="AE441" s="37"/>
      <c r="AF441" s="37"/>
      <c r="AG441" s="37"/>
      <c r="AH441" s="37"/>
      <c r="AI441" s="37"/>
      <c r="AJ441" s="37"/>
    </row>
    <row r="442" spans="1:101" s="1952" customFormat="1" ht="14">
      <c r="A442" s="1954"/>
      <c r="B442" s="1129"/>
      <c r="C442" s="599" t="s">
        <v>921</v>
      </c>
      <c r="D442" s="599" t="s">
        <v>963</v>
      </c>
      <c r="E442" s="2010">
        <f t="shared" si="117"/>
        <v>-8.2191374999999987</v>
      </c>
      <c r="F442" s="1783">
        <f>730590*GBP*1000</f>
        <v>730.58999999999992</v>
      </c>
      <c r="G442" s="1783">
        <f>730590*GBP*1000</f>
        <v>730.58999999999992</v>
      </c>
      <c r="H442" s="1970">
        <f t="shared" si="118"/>
        <v>689.49431249999998</v>
      </c>
      <c r="I442" s="1970">
        <f t="shared" si="118"/>
        <v>648.39862500000004</v>
      </c>
      <c r="J442" s="1970">
        <f t="shared" si="118"/>
        <v>607.3029375000001</v>
      </c>
      <c r="K442" s="1970">
        <f t="shared" si="118"/>
        <v>566.20725000000016</v>
      </c>
      <c r="L442" s="1970">
        <f>K442+$E442*(L$431-K$431)</f>
        <v>525.11156250000022</v>
      </c>
      <c r="M442" s="1970">
        <f t="shared" si="118"/>
        <v>484.01587500000022</v>
      </c>
      <c r="N442" s="1970">
        <f t="shared" si="118"/>
        <v>442.92018750000022</v>
      </c>
      <c r="O442" s="2054">
        <f>401824.5*1000*GBP</f>
        <v>401.8245</v>
      </c>
      <c r="P442" s="1704"/>
      <c r="Q442" s="1902"/>
      <c r="R442" s="1902"/>
      <c r="T442" s="2072"/>
      <c r="U442" s="2072"/>
      <c r="V442" s="2072"/>
      <c r="W442" s="2072"/>
      <c r="X442" s="2072"/>
      <c r="Y442" s="2073"/>
      <c r="Z442" s="2073"/>
      <c r="AA442" s="2072"/>
      <c r="AB442" s="37"/>
      <c r="AC442" s="37"/>
      <c r="AD442" s="37"/>
      <c r="AE442" s="37"/>
      <c r="AF442" s="37"/>
      <c r="AG442" s="37"/>
      <c r="AH442" s="37"/>
      <c r="AI442" s="37"/>
      <c r="AJ442" s="37"/>
    </row>
    <row r="443" spans="1:101" s="1952" customFormat="1" ht="14">
      <c r="A443" s="1954"/>
      <c r="B443" s="1129"/>
      <c r="C443" s="1947" t="s">
        <v>922</v>
      </c>
      <c r="D443" s="1947" t="s">
        <v>922</v>
      </c>
      <c r="E443" s="1585">
        <f t="shared" si="117"/>
        <v>0</v>
      </c>
      <c r="F443" s="1973">
        <f>1504958.03543674*GBP*1000</f>
        <v>1504.9580354367397</v>
      </c>
      <c r="G443" s="1973">
        <f>1504958.03543674*GBP*1000</f>
        <v>1504.9580354367397</v>
      </c>
      <c r="H443" s="1965">
        <f t="shared" si="118"/>
        <v>1504.9580354367397</v>
      </c>
      <c r="I443" s="1965">
        <f t="shared" si="118"/>
        <v>1504.9580354367397</v>
      </c>
      <c r="J443" s="1965">
        <f t="shared" si="118"/>
        <v>1504.9580354367397</v>
      </c>
      <c r="K443" s="1965">
        <f t="shared" si="118"/>
        <v>1504.9580354367397</v>
      </c>
      <c r="L443" s="1965">
        <f t="shared" si="118"/>
        <v>1504.9580354367397</v>
      </c>
      <c r="M443" s="1965">
        <f t="shared" si="118"/>
        <v>1504.9580354367397</v>
      </c>
      <c r="N443" s="1965">
        <f t="shared" si="118"/>
        <v>1504.9580354367397</v>
      </c>
      <c r="O443" s="2055">
        <f>1504958.03543674*GBP*1000</f>
        <v>1504.9580354367397</v>
      </c>
      <c r="P443" s="1704"/>
      <c r="Q443" s="1902"/>
      <c r="R443" s="1902"/>
      <c r="T443" s="2072"/>
      <c r="U443" s="2072"/>
      <c r="V443" s="2072"/>
      <c r="W443" s="2072"/>
      <c r="X443" s="2072"/>
      <c r="Y443" s="2073"/>
      <c r="Z443" s="2073"/>
      <c r="AA443" s="2072"/>
      <c r="AB443" s="37"/>
      <c r="AC443" s="37"/>
      <c r="AD443" s="37"/>
      <c r="AE443" s="37"/>
      <c r="AF443" s="37"/>
      <c r="AG443" s="37"/>
      <c r="AH443" s="37"/>
      <c r="AI443" s="37"/>
      <c r="AJ443" s="37"/>
    </row>
    <row r="444" spans="1:101" s="1952" customFormat="1">
      <c r="A444" s="1954"/>
      <c r="B444" s="1129"/>
      <c r="C444" s="1708"/>
      <c r="D444" s="1129"/>
      <c r="E444" s="1129"/>
      <c r="F444" s="1129"/>
      <c r="G444" s="1129"/>
      <c r="H444" s="1129"/>
      <c r="I444" s="1129"/>
      <c r="J444" s="1129"/>
      <c r="K444" s="1129"/>
      <c r="L444" s="1129"/>
      <c r="M444" s="1129"/>
      <c r="N444" s="1129"/>
      <c r="O444" s="1129"/>
      <c r="P444" s="1704"/>
      <c r="Q444" s="1954"/>
      <c r="T444" s="2072"/>
      <c r="U444" s="2072"/>
      <c r="V444" s="2072"/>
      <c r="W444" s="2072"/>
      <c r="X444" s="2072"/>
      <c r="Y444" s="2073"/>
      <c r="Z444" s="2073"/>
      <c r="AA444" s="2072"/>
      <c r="AB444" s="37"/>
      <c r="AC444" s="37"/>
      <c r="AD444" s="37"/>
      <c r="AE444" s="37"/>
      <c r="AF444" s="37"/>
      <c r="AG444" s="37"/>
      <c r="AH444" s="37"/>
      <c r="AI444" s="37"/>
      <c r="AJ444" s="37"/>
    </row>
    <row r="445" spans="1:101" s="1952" customFormat="1">
      <c r="A445" s="1954"/>
      <c r="B445" s="1129"/>
      <c r="C445" s="1722" t="s">
        <v>422</v>
      </c>
      <c r="D445" s="1722"/>
      <c r="E445" s="1722"/>
      <c r="F445" s="1722"/>
      <c r="G445" s="1722"/>
      <c r="H445" s="1722"/>
      <c r="I445" s="1722"/>
      <c r="J445" s="1722"/>
      <c r="K445" s="1722"/>
      <c r="L445" s="1722"/>
      <c r="M445" s="1722"/>
      <c r="N445" s="1722"/>
      <c r="O445" s="1722"/>
      <c r="P445" s="1704"/>
      <c r="Q445" s="1954"/>
      <c r="T445" s="2072"/>
      <c r="U445" s="2072"/>
      <c r="V445" s="2072"/>
      <c r="W445" s="2072"/>
      <c r="X445" s="2072"/>
      <c r="Y445" s="2073"/>
      <c r="Z445" s="2073"/>
      <c r="AA445" s="2072"/>
      <c r="AB445" s="37"/>
      <c r="AC445" s="37"/>
      <c r="AD445" s="37"/>
      <c r="AE445" s="37"/>
      <c r="AF445" s="37"/>
      <c r="AG445" s="37"/>
      <c r="AH445" s="37"/>
      <c r="AI445" s="37"/>
      <c r="AJ445" s="37"/>
    </row>
    <row r="446" spans="1:101" s="1952" customFormat="1">
      <c r="A446" s="1954"/>
      <c r="B446" s="1722"/>
      <c r="C446" s="847" t="s">
        <v>102</v>
      </c>
      <c r="D446" s="1707" t="s">
        <v>1597</v>
      </c>
      <c r="E446" s="1722"/>
      <c r="F446" s="1722"/>
      <c r="G446" s="1722"/>
      <c r="H446" s="1722"/>
      <c r="I446" s="1722"/>
      <c r="J446" s="1722"/>
      <c r="K446" s="1722"/>
      <c r="L446" s="1722"/>
      <c r="M446" s="1722"/>
      <c r="N446" s="1722"/>
      <c r="O446" s="1722"/>
      <c r="P446" s="1722"/>
      <c r="Q446" s="1953"/>
      <c r="T446" s="2072"/>
      <c r="U446" s="2072"/>
      <c r="V446" s="2072"/>
      <c r="W446" s="2072"/>
      <c r="X446" s="2072"/>
      <c r="Y446" s="2073"/>
      <c r="Z446" s="2073"/>
      <c r="AA446" s="2072"/>
      <c r="AB446" s="37"/>
      <c r="AC446" s="37"/>
      <c r="AD446" s="37"/>
      <c r="AE446" s="37"/>
      <c r="AF446" s="37"/>
      <c r="AG446" s="37"/>
      <c r="AH446" s="37"/>
      <c r="AI446" s="37"/>
      <c r="AJ446" s="37"/>
    </row>
    <row r="447" spans="1:101" s="1952" customFormat="1">
      <c r="A447" s="1954"/>
      <c r="B447" s="1722"/>
      <c r="C447" s="591" t="s">
        <v>108</v>
      </c>
      <c r="D447" s="1722" t="s">
        <v>1601</v>
      </c>
      <c r="E447" s="1722"/>
      <c r="F447" s="1722"/>
      <c r="G447" s="1722"/>
      <c r="H447" s="1722"/>
      <c r="I447" s="1722"/>
      <c r="J447" s="1722"/>
      <c r="K447" s="1722"/>
      <c r="L447" s="1722"/>
      <c r="M447" s="1722"/>
      <c r="N447" s="1722"/>
      <c r="O447" s="1722"/>
      <c r="P447" s="1722"/>
      <c r="Q447" s="1953"/>
      <c r="T447" s="2072"/>
      <c r="U447" s="2072"/>
      <c r="V447" s="2072"/>
      <c r="W447" s="2072"/>
      <c r="X447" s="2072"/>
      <c r="Y447" s="2073"/>
      <c r="Z447" s="2073"/>
      <c r="AA447" s="2072"/>
      <c r="AB447" s="37"/>
      <c r="AC447" s="37"/>
      <c r="AD447" s="37"/>
      <c r="AE447" s="37"/>
      <c r="AF447" s="37"/>
      <c r="AG447" s="37"/>
      <c r="AH447" s="37"/>
      <c r="AI447" s="37"/>
      <c r="AJ447" s="37"/>
    </row>
    <row r="448" spans="1:101" s="1952" customFormat="1">
      <c r="A448" s="1954"/>
      <c r="B448" s="1722"/>
      <c r="C448" s="591" t="s">
        <v>109</v>
      </c>
      <c r="D448" s="1722" t="s">
        <v>1680</v>
      </c>
      <c r="E448" s="1722"/>
      <c r="F448" s="1722"/>
      <c r="G448" s="1722"/>
      <c r="H448" s="1722"/>
      <c r="I448" s="1722"/>
      <c r="J448" s="1722"/>
      <c r="K448" s="1722"/>
      <c r="L448" s="1722"/>
      <c r="M448" s="1722"/>
      <c r="N448" s="1722"/>
      <c r="O448" s="1722"/>
      <c r="P448" s="1722"/>
      <c r="Q448" s="1953"/>
      <c r="T448" s="2072"/>
      <c r="U448" s="2072"/>
      <c r="V448" s="2072"/>
      <c r="W448" s="2072"/>
      <c r="X448" s="2072"/>
      <c r="Y448" s="2073"/>
      <c r="Z448" s="2073"/>
      <c r="AA448" s="2072"/>
      <c r="AB448" s="37"/>
      <c r="AC448" s="37"/>
      <c r="AD448" s="37"/>
      <c r="AE448" s="37"/>
      <c r="AF448" s="37"/>
      <c r="AG448" s="37"/>
      <c r="AH448" s="37"/>
      <c r="AI448" s="37"/>
      <c r="AJ448" s="37"/>
    </row>
    <row r="449" spans="1:36" s="1952" customFormat="1">
      <c r="A449" s="1954"/>
      <c r="B449" s="1722"/>
      <c r="C449" s="591" t="s">
        <v>421</v>
      </c>
      <c r="D449" s="1722" t="s">
        <v>1690</v>
      </c>
      <c r="E449" s="1722"/>
      <c r="F449" s="1722"/>
      <c r="G449" s="1722"/>
      <c r="H449" s="1722"/>
      <c r="I449" s="1722"/>
      <c r="J449" s="1722"/>
      <c r="K449" s="1722"/>
      <c r="L449" s="1722"/>
      <c r="M449" s="1722"/>
      <c r="N449" s="1722"/>
      <c r="O449" s="1722"/>
      <c r="P449" s="1722"/>
      <c r="Q449" s="1953"/>
      <c r="T449" s="2072"/>
      <c r="U449" s="2072"/>
      <c r="V449" s="2072"/>
      <c r="W449" s="2072"/>
      <c r="X449" s="2072"/>
      <c r="Y449" s="2073"/>
      <c r="Z449" s="2073"/>
      <c r="AA449" s="2072"/>
      <c r="AB449" s="37"/>
      <c r="AC449" s="37"/>
      <c r="AD449" s="37"/>
      <c r="AE449" s="37"/>
      <c r="AF449" s="37"/>
      <c r="AG449" s="37"/>
      <c r="AH449" s="37"/>
      <c r="AI449" s="37"/>
      <c r="AJ449" s="37"/>
    </row>
    <row r="450" spans="1:36" s="1952" customFormat="1">
      <c r="A450" s="1954"/>
      <c r="B450" s="1722"/>
      <c r="C450" s="591" t="s">
        <v>425</v>
      </c>
      <c r="D450" s="1722" t="s">
        <v>1691</v>
      </c>
      <c r="E450" s="1722"/>
      <c r="F450" s="1722"/>
      <c r="G450" s="1722"/>
      <c r="H450" s="1722"/>
      <c r="I450" s="1722"/>
      <c r="J450" s="1722"/>
      <c r="K450" s="1722"/>
      <c r="L450" s="1722"/>
      <c r="M450" s="1722"/>
      <c r="N450" s="1722"/>
      <c r="O450" s="1722"/>
      <c r="P450" s="1722"/>
      <c r="Q450" s="1953"/>
      <c r="T450" s="2072"/>
      <c r="U450" s="2072"/>
      <c r="V450" s="2072"/>
      <c r="W450" s="2072"/>
      <c r="X450" s="2072"/>
      <c r="Y450" s="2073"/>
      <c r="Z450" s="2073"/>
      <c r="AA450" s="2072"/>
      <c r="AB450" s="37"/>
      <c r="AC450" s="37"/>
      <c r="AD450" s="37"/>
      <c r="AE450" s="37"/>
      <c r="AF450" s="37"/>
      <c r="AG450" s="37"/>
      <c r="AH450" s="37"/>
      <c r="AI450" s="37"/>
      <c r="AJ450" s="37"/>
    </row>
    <row r="451" spans="1:36" s="1952" customFormat="1">
      <c r="A451" s="1954"/>
      <c r="B451" s="1722"/>
      <c r="C451" s="591" t="s">
        <v>427</v>
      </c>
      <c r="D451" s="1722" t="s">
        <v>1695</v>
      </c>
      <c r="E451" s="1722"/>
      <c r="F451" s="1722"/>
      <c r="G451" s="1722"/>
      <c r="H451" s="1722"/>
      <c r="I451" s="1722"/>
      <c r="J451" s="1722"/>
      <c r="K451" s="1722"/>
      <c r="L451" s="1722"/>
      <c r="M451" s="1722"/>
      <c r="N451" s="1722"/>
      <c r="O451" s="1722"/>
      <c r="P451" s="1726"/>
      <c r="Q451" s="1954"/>
      <c r="T451" s="2072"/>
      <c r="U451" s="2072"/>
      <c r="V451" s="2072"/>
      <c r="W451" s="2072"/>
      <c r="X451" s="2072"/>
      <c r="Y451" s="2073"/>
      <c r="Z451" s="2073"/>
      <c r="AA451" s="2072"/>
      <c r="AB451" s="37"/>
      <c r="AC451" s="37"/>
      <c r="AD451" s="37"/>
      <c r="AE451" s="37"/>
      <c r="AF451" s="37"/>
      <c r="AG451" s="37"/>
      <c r="AH451" s="37"/>
      <c r="AI451" s="37"/>
      <c r="AJ451" s="37"/>
    </row>
    <row r="452" spans="1:36" s="1952" customFormat="1">
      <c r="A452" s="1954"/>
      <c r="B452" s="1722"/>
      <c r="C452" s="591" t="s">
        <v>428</v>
      </c>
      <c r="D452" s="1722" t="s">
        <v>1697</v>
      </c>
      <c r="E452" s="1722"/>
      <c r="F452" s="1722"/>
      <c r="G452" s="1722"/>
      <c r="H452" s="1722"/>
      <c r="I452" s="1722"/>
      <c r="J452" s="1722"/>
      <c r="K452" s="1722"/>
      <c r="L452" s="1722"/>
      <c r="M452" s="1722"/>
      <c r="N452" s="1722"/>
      <c r="O452" s="1722"/>
      <c r="P452" s="1726"/>
      <c r="Q452" s="1954"/>
      <c r="T452" s="2072"/>
      <c r="U452" s="2072"/>
      <c r="V452" s="2072"/>
      <c r="W452" s="2072"/>
      <c r="X452" s="2072"/>
      <c r="Y452" s="2073"/>
      <c r="Z452" s="2073"/>
      <c r="AA452" s="2072"/>
      <c r="AB452" s="37"/>
      <c r="AC452" s="37"/>
      <c r="AD452" s="37"/>
      <c r="AE452" s="37"/>
      <c r="AF452" s="37"/>
      <c r="AG452" s="37"/>
      <c r="AH452" s="37"/>
      <c r="AI452" s="37"/>
      <c r="AJ452" s="37"/>
    </row>
    <row r="453" spans="1:36" s="1952" customFormat="1">
      <c r="A453" s="1954"/>
      <c r="B453" s="1722"/>
      <c r="C453" s="591" t="s">
        <v>432</v>
      </c>
      <c r="D453" s="1722" t="s">
        <v>1696</v>
      </c>
      <c r="E453" s="1722"/>
      <c r="F453" s="1722"/>
      <c r="G453" s="1722"/>
      <c r="H453" s="1722"/>
      <c r="I453" s="1722"/>
      <c r="J453" s="1722"/>
      <c r="K453" s="1722"/>
      <c r="L453" s="1722"/>
      <c r="M453" s="1722"/>
      <c r="N453" s="1722"/>
      <c r="O453" s="1722"/>
      <c r="P453" s="1726"/>
      <c r="Q453" s="1954"/>
      <c r="T453" s="2072"/>
      <c r="U453" s="2072"/>
      <c r="V453" s="2072"/>
      <c r="W453" s="2072"/>
      <c r="X453" s="2072"/>
      <c r="Y453" s="2073"/>
      <c r="Z453" s="2073"/>
      <c r="AA453" s="2072"/>
      <c r="AB453" s="37"/>
      <c r="AC453" s="37"/>
      <c r="AD453" s="37"/>
      <c r="AE453" s="37"/>
      <c r="AF453" s="37"/>
      <c r="AG453" s="37"/>
      <c r="AH453" s="37"/>
      <c r="AI453" s="37"/>
      <c r="AJ453" s="37"/>
    </row>
    <row r="454" spans="1:36" s="1952" customFormat="1">
      <c r="A454" s="1954"/>
      <c r="B454" s="1722"/>
      <c r="C454" s="1721"/>
      <c r="D454" s="1721"/>
      <c r="E454" s="603"/>
      <c r="F454" s="603"/>
      <c r="G454" s="603"/>
      <c r="H454" s="603"/>
      <c r="I454" s="603"/>
      <c r="J454" s="603"/>
      <c r="K454" s="603"/>
      <c r="L454" s="603"/>
      <c r="M454" s="1722"/>
      <c r="N454" s="603"/>
      <c r="O454" s="1722"/>
      <c r="P454" s="1726"/>
      <c r="Q454" s="1954"/>
      <c r="T454" s="2072"/>
      <c r="U454" s="2072"/>
      <c r="V454" s="2072"/>
      <c r="W454" s="2072"/>
      <c r="X454" s="2072"/>
      <c r="Y454" s="2073"/>
      <c r="Z454" s="2073"/>
      <c r="AA454" s="2072"/>
      <c r="AB454" s="37"/>
      <c r="AC454" s="37"/>
      <c r="AD454" s="37"/>
      <c r="AE454" s="37"/>
      <c r="AF454" s="37"/>
      <c r="AG454" s="37"/>
      <c r="AH454" s="37"/>
      <c r="AI454" s="37"/>
      <c r="AJ454" s="37"/>
    </row>
    <row r="455" spans="1:36" s="1952" customFormat="1">
      <c r="A455" s="1954"/>
      <c r="B455" s="1722"/>
      <c r="C455" s="1721"/>
      <c r="D455" s="1721"/>
      <c r="E455" s="603"/>
      <c r="F455" s="603"/>
      <c r="G455" s="603"/>
      <c r="H455" s="603"/>
      <c r="I455" s="603"/>
      <c r="J455" s="603"/>
      <c r="K455" s="603"/>
      <c r="L455" s="603"/>
      <c r="M455" s="1722"/>
      <c r="N455" s="603"/>
      <c r="O455" s="1722"/>
      <c r="P455" s="1726"/>
      <c r="Q455" s="1954"/>
      <c r="T455" s="2072"/>
      <c r="U455" s="2072"/>
      <c r="V455" s="2072"/>
      <c r="W455" s="2072"/>
      <c r="X455" s="2072"/>
      <c r="Y455" s="2073"/>
      <c r="Z455" s="2073"/>
      <c r="AA455" s="2072"/>
      <c r="AB455" s="37"/>
      <c r="AC455" s="37"/>
      <c r="AD455" s="37"/>
      <c r="AE455" s="37"/>
      <c r="AF455" s="37"/>
      <c r="AG455" s="37"/>
      <c r="AH455" s="37"/>
      <c r="AI455" s="37"/>
      <c r="AJ455" s="37"/>
    </row>
    <row r="456" spans="1:36" s="1952" customFormat="1">
      <c r="A456" s="1954"/>
      <c r="B456" s="1954"/>
      <c r="C456" s="1954"/>
      <c r="D456" s="1954"/>
      <c r="E456" s="1954"/>
      <c r="F456" s="1954"/>
      <c r="G456" s="1954"/>
      <c r="H456" s="1954"/>
      <c r="I456" s="1954"/>
      <c r="J456" s="1954"/>
      <c r="K456" s="1954"/>
      <c r="L456" s="1954"/>
      <c r="M456" s="1954"/>
      <c r="N456" s="1954"/>
      <c r="O456" s="1954"/>
      <c r="P456" s="1954"/>
      <c r="Q456" s="1954"/>
      <c r="T456" s="2072"/>
      <c r="U456" s="2072"/>
      <c r="V456" s="2072"/>
      <c r="W456" s="2072"/>
      <c r="X456" s="2072"/>
      <c r="Y456" s="2073"/>
      <c r="Z456" s="2073"/>
      <c r="AA456" s="2072"/>
      <c r="AB456" s="37"/>
      <c r="AC456" s="37"/>
      <c r="AD456" s="37"/>
      <c r="AE456" s="37"/>
      <c r="AF456" s="37"/>
      <c r="AG456" s="37"/>
      <c r="AH456" s="37"/>
      <c r="AI456" s="37"/>
      <c r="AJ456" s="37"/>
    </row>
    <row r="457" spans="1:36" s="1952" customFormat="1" ht="15">
      <c r="A457" s="1954"/>
      <c r="B457" s="561" t="s">
        <v>614</v>
      </c>
      <c r="C457" s="1954"/>
      <c r="D457" s="1954"/>
      <c r="E457" s="1954"/>
      <c r="F457" s="1954"/>
      <c r="G457" s="1954"/>
      <c r="H457" s="1954"/>
      <c r="I457" s="1954"/>
      <c r="J457" s="1954"/>
      <c r="K457" s="1954"/>
      <c r="L457" s="1954"/>
      <c r="M457" s="1954"/>
      <c r="N457" s="1954"/>
      <c r="O457" s="1954"/>
      <c r="P457" s="1954"/>
      <c r="Q457" s="1954"/>
      <c r="T457" s="2072"/>
      <c r="U457" s="2072"/>
      <c r="V457" s="2072"/>
      <c r="W457" s="2072"/>
      <c r="X457" s="2072"/>
      <c r="Y457" s="2073"/>
      <c r="Z457" s="2073"/>
      <c r="AA457" s="2072"/>
      <c r="AB457" s="37"/>
      <c r="AC457" s="37"/>
      <c r="AD457" s="37"/>
      <c r="AE457" s="37"/>
      <c r="AF457" s="37"/>
      <c r="AG457" s="37"/>
      <c r="AH457" s="37"/>
      <c r="AI457" s="37"/>
      <c r="AJ457" s="37"/>
    </row>
    <row r="458" spans="1:36" s="1952" customFormat="1">
      <c r="A458" s="1954"/>
      <c r="B458" s="1733">
        <v>1</v>
      </c>
      <c r="C458" s="1954" t="s">
        <v>967</v>
      </c>
      <c r="D458" s="20"/>
      <c r="E458" s="20"/>
      <c r="F458" s="20"/>
      <c r="G458" s="20"/>
      <c r="H458" s="20"/>
      <c r="I458" s="20"/>
      <c r="J458" s="20"/>
      <c r="K458" s="20"/>
      <c r="L458" s="20"/>
      <c r="M458" s="20"/>
      <c r="N458" s="20"/>
      <c r="O458" s="20"/>
      <c r="P458" s="20"/>
      <c r="Q458" s="1954"/>
      <c r="T458" s="2072"/>
      <c r="U458" s="2072"/>
      <c r="V458" s="2072"/>
      <c r="W458" s="2072"/>
      <c r="X458" s="2072"/>
      <c r="Y458" s="2073"/>
      <c r="Z458" s="2073"/>
      <c r="AA458" s="2072"/>
      <c r="AB458" s="37"/>
      <c r="AC458" s="37"/>
      <c r="AD458" s="37"/>
      <c r="AE458" s="37"/>
      <c r="AF458" s="37"/>
      <c r="AG458" s="37"/>
      <c r="AH458" s="37"/>
      <c r="AI458" s="37"/>
      <c r="AJ458" s="37"/>
    </row>
    <row r="459" spans="1:36" s="1952" customFormat="1">
      <c r="A459" s="1954"/>
      <c r="B459" s="1733">
        <v>2</v>
      </c>
      <c r="C459" s="1954" t="s">
        <v>968</v>
      </c>
      <c r="D459" s="1954"/>
      <c r="E459" s="1954"/>
      <c r="F459" s="1954"/>
      <c r="G459" s="1954"/>
      <c r="H459" s="1954"/>
      <c r="I459" s="1954"/>
      <c r="J459" s="1954"/>
      <c r="K459" s="1954"/>
      <c r="L459" s="1954"/>
      <c r="M459" s="1954"/>
      <c r="N459" s="1954"/>
      <c r="O459" s="1954"/>
      <c r="P459" s="1954"/>
      <c r="Q459" s="1954"/>
      <c r="T459" s="37"/>
      <c r="U459" s="37"/>
      <c r="V459" s="37"/>
      <c r="W459" s="37"/>
      <c r="X459" s="37"/>
      <c r="Y459" s="37"/>
      <c r="Z459" s="37"/>
      <c r="AA459" s="37"/>
      <c r="AB459" s="37"/>
      <c r="AC459" s="37"/>
      <c r="AD459" s="37"/>
      <c r="AE459" s="37"/>
      <c r="AF459" s="37"/>
      <c r="AG459" s="37"/>
      <c r="AH459" s="37"/>
      <c r="AI459" s="37"/>
      <c r="AJ459" s="37"/>
    </row>
    <row r="460" spans="1:36" s="1952" customFormat="1">
      <c r="A460" s="1954"/>
      <c r="B460" s="1733">
        <v>3</v>
      </c>
      <c r="C460" s="1954" t="s">
        <v>1666</v>
      </c>
      <c r="D460" s="1954"/>
      <c r="E460" s="1954"/>
      <c r="F460" s="1954"/>
      <c r="G460" s="1954"/>
      <c r="H460" s="1954"/>
      <c r="I460" s="1954"/>
      <c r="J460" s="1954"/>
      <c r="K460" s="1954"/>
      <c r="L460" s="1954"/>
      <c r="M460" s="1954"/>
      <c r="N460" s="1954"/>
      <c r="O460" s="1954"/>
      <c r="P460" s="1954"/>
      <c r="Q460" s="1954"/>
      <c r="T460" s="37"/>
      <c r="U460" s="37"/>
      <c r="V460" s="37"/>
      <c r="W460" s="37"/>
      <c r="X460" s="37"/>
      <c r="Y460" s="37"/>
      <c r="Z460" s="37"/>
      <c r="AA460" s="37"/>
      <c r="AB460" s="37"/>
      <c r="AC460" s="37"/>
      <c r="AD460" s="37"/>
      <c r="AE460" s="37"/>
      <c r="AF460" s="37"/>
      <c r="AG460" s="37"/>
      <c r="AH460" s="37"/>
      <c r="AI460" s="37"/>
      <c r="AJ460" s="37"/>
    </row>
    <row r="461" spans="1:36" s="1952" customFormat="1">
      <c r="A461" s="1954"/>
      <c r="B461" s="1733">
        <v>4</v>
      </c>
      <c r="C461" s="1954" t="s">
        <v>969</v>
      </c>
      <c r="D461" s="1954"/>
      <c r="E461" s="1954"/>
      <c r="F461" s="1954"/>
      <c r="G461" s="1954"/>
      <c r="H461" s="1954"/>
      <c r="I461" s="1954"/>
      <c r="J461" s="1954"/>
      <c r="K461" s="1954"/>
      <c r="L461" s="1954"/>
      <c r="M461" s="1954"/>
      <c r="N461" s="1954"/>
      <c r="O461" s="1954"/>
      <c r="P461" s="1954"/>
      <c r="Q461" s="1954"/>
      <c r="T461" s="37"/>
      <c r="U461" s="37"/>
      <c r="V461" s="37"/>
      <c r="W461" s="37"/>
      <c r="X461" s="37"/>
      <c r="Y461" s="37"/>
      <c r="Z461" s="37"/>
      <c r="AA461" s="37"/>
      <c r="AB461" s="37"/>
      <c r="AC461" s="37"/>
      <c r="AD461" s="37"/>
      <c r="AE461" s="37"/>
      <c r="AF461" s="37"/>
      <c r="AG461" s="37"/>
      <c r="AH461" s="37"/>
      <c r="AI461" s="37"/>
      <c r="AJ461" s="37"/>
    </row>
    <row r="462" spans="1:36" s="1952" customFormat="1">
      <c r="A462" s="1954"/>
      <c r="B462" s="1733">
        <v>5</v>
      </c>
      <c r="C462" s="1954" t="s">
        <v>973</v>
      </c>
      <c r="D462" s="1954"/>
      <c r="E462" s="1954"/>
      <c r="F462" s="1954"/>
      <c r="G462" s="1954"/>
      <c r="H462" s="1954"/>
      <c r="I462" s="1954"/>
      <c r="J462" s="1954"/>
      <c r="K462" s="1954"/>
      <c r="L462" s="1954"/>
      <c r="M462" s="1954"/>
      <c r="N462" s="1954"/>
      <c r="O462" s="1954"/>
      <c r="P462" s="1954"/>
      <c r="Q462" s="1954"/>
      <c r="T462" s="117"/>
      <c r="U462" s="117"/>
      <c r="V462" s="117"/>
      <c r="W462" s="117"/>
    </row>
    <row r="463" spans="1:36" s="1952" customFormat="1">
      <c r="A463" s="1954"/>
      <c r="B463" s="1954"/>
      <c r="C463" s="1954"/>
      <c r="D463" s="1954"/>
      <c r="E463" s="1954"/>
      <c r="F463" s="1954"/>
      <c r="G463" s="1954"/>
      <c r="H463" s="1954"/>
      <c r="I463" s="1954"/>
      <c r="J463" s="1954"/>
      <c r="K463" s="1954"/>
      <c r="L463" s="1954"/>
      <c r="M463" s="1954"/>
      <c r="N463" s="1954"/>
      <c r="O463" s="1954"/>
      <c r="P463" s="1954"/>
      <c r="Q463" s="1954"/>
      <c r="T463" s="117"/>
      <c r="U463" s="117"/>
      <c r="V463" s="117"/>
      <c r="W463" s="117"/>
    </row>
    <row r="464" spans="1:36" s="1952" customFormat="1" ht="14">
      <c r="A464" s="1954"/>
      <c r="B464" s="1954"/>
      <c r="C464" s="1954"/>
      <c r="D464" s="1954"/>
      <c r="E464" s="1954"/>
      <c r="F464" s="586">
        <v>2007</v>
      </c>
      <c r="G464" s="586">
        <v>2010</v>
      </c>
      <c r="H464" s="586">
        <v>2015</v>
      </c>
      <c r="I464" s="586">
        <v>2020</v>
      </c>
      <c r="J464" s="586">
        <v>2025</v>
      </c>
      <c r="K464" s="586">
        <v>2030</v>
      </c>
      <c r="L464" s="586">
        <v>2035</v>
      </c>
      <c r="M464" s="586">
        <v>2040</v>
      </c>
      <c r="N464" s="586">
        <v>2045</v>
      </c>
      <c r="O464" s="586">
        <v>2050</v>
      </c>
      <c r="P464" s="1954"/>
      <c r="Q464" s="1954"/>
      <c r="T464" s="117"/>
      <c r="U464" s="117"/>
      <c r="V464" s="117"/>
      <c r="W464" s="117"/>
    </row>
    <row r="465" spans="1:23" s="1952" customFormat="1" ht="14">
      <c r="A465" s="1954"/>
      <c r="B465" s="1733">
        <v>1</v>
      </c>
      <c r="C465" s="1733" t="s">
        <v>1171</v>
      </c>
      <c r="D465" s="1954"/>
      <c r="E465" s="1954"/>
      <c r="F465" s="586"/>
      <c r="G465" s="586"/>
      <c r="H465" s="586"/>
      <c r="I465" s="586"/>
      <c r="J465" s="586"/>
      <c r="K465" s="586"/>
      <c r="L465" s="586"/>
      <c r="M465" s="586"/>
      <c r="N465" s="586"/>
      <c r="O465" s="586"/>
      <c r="P465" s="1954"/>
      <c r="Q465" s="1954"/>
      <c r="T465" s="117"/>
      <c r="U465" s="117"/>
      <c r="V465" s="117"/>
      <c r="W465" s="117"/>
    </row>
    <row r="466" spans="1:23" s="1952" customFormat="1" ht="14">
      <c r="A466" s="1954"/>
      <c r="B466" s="1733"/>
      <c r="C466" s="1954"/>
      <c r="D466" s="1954"/>
      <c r="E466" s="1954"/>
      <c r="F466" s="586"/>
      <c r="G466" s="586"/>
      <c r="H466" s="586"/>
      <c r="I466" s="586"/>
      <c r="J466" s="586"/>
      <c r="K466" s="586"/>
      <c r="L466" s="586"/>
      <c r="M466" s="586"/>
      <c r="N466" s="586"/>
      <c r="O466" s="587"/>
      <c r="P466" s="1954"/>
      <c r="Q466" s="1954"/>
      <c r="T466" s="117"/>
      <c r="U466" s="117"/>
      <c r="V466" s="117"/>
      <c r="W466" s="117"/>
    </row>
    <row r="467" spans="1:23" s="1952" customFormat="1" ht="14">
      <c r="A467" s="1954"/>
      <c r="B467" s="1733"/>
      <c r="C467" s="1954" t="s">
        <v>930</v>
      </c>
      <c r="D467" s="1954"/>
      <c r="E467" s="1732" t="s">
        <v>932</v>
      </c>
      <c r="F467" s="619">
        <f t="shared" ref="F467:O467" si="119">INDEX(F$18:F$21, MATCH($E$8, $C$18:$C$21, 0))</f>
        <v>14104.004213212675</v>
      </c>
      <c r="G467" s="619">
        <f t="shared" si="119"/>
        <v>14077</v>
      </c>
      <c r="H467" s="619">
        <f t="shared" si="119"/>
        <v>13946</v>
      </c>
      <c r="I467" s="619">
        <f t="shared" si="119"/>
        <v>14150</v>
      </c>
      <c r="J467" s="619">
        <f t="shared" si="119"/>
        <v>14300</v>
      </c>
      <c r="K467" s="619">
        <f t="shared" si="119"/>
        <v>14300</v>
      </c>
      <c r="L467" s="619">
        <f t="shared" si="119"/>
        <v>14323</v>
      </c>
      <c r="M467" s="619">
        <f t="shared" si="119"/>
        <v>14231</v>
      </c>
      <c r="N467" s="619">
        <f t="shared" si="119"/>
        <v>14147</v>
      </c>
      <c r="O467" s="619">
        <f t="shared" si="119"/>
        <v>14076</v>
      </c>
      <c r="P467" s="1954"/>
      <c r="Q467" s="1954"/>
      <c r="T467" s="117"/>
      <c r="U467" s="117"/>
      <c r="V467" s="117"/>
      <c r="W467" s="117"/>
    </row>
    <row r="468" spans="1:23" s="1952" customFormat="1" ht="14">
      <c r="A468" s="1954"/>
      <c r="B468" s="20" t="s">
        <v>660</v>
      </c>
      <c r="C468" s="1954" t="s">
        <v>646</v>
      </c>
      <c r="D468" s="1954"/>
      <c r="E468" s="1732" t="s">
        <v>1138</v>
      </c>
      <c r="F468" s="609">
        <f>INDEX(Global.Assumptions[Population], MATCH(F$464,Global.Assumptions[Year], 0))/1000000</f>
        <v>60.972999999999999</v>
      </c>
      <c r="G468" s="609">
        <f>INDEX(Global.Assumptions[Population], MATCH(G$464,Global.Assumptions[Year], 0))/1000000</f>
        <v>62.222403</v>
      </c>
      <c r="H468" s="609">
        <f>INDEX(Global.Assumptions[Population], MATCH(H$464,Global.Assumptions[Year], 0))/1000000</f>
        <v>64.344155999999998</v>
      </c>
      <c r="I468" s="609">
        <f>INDEX(Global.Assumptions[Population], MATCH(I$464,Global.Assumptions[Year], 0))/1000000</f>
        <v>66.521962000000002</v>
      </c>
      <c r="J468" s="609">
        <f>INDEX(Global.Assumptions[Population], MATCH(J$464,Global.Assumptions[Year], 0))/1000000</f>
        <v>68.647527999999994</v>
      </c>
      <c r="K468" s="609">
        <f>INDEX(Global.Assumptions[Population], MATCH(K$464,Global.Assumptions[Year], 0))/1000000</f>
        <v>70.575665999999998</v>
      </c>
      <c r="L468" s="609">
        <f>INDEX(Global.Assumptions[Population], MATCH(L$464,Global.Assumptions[Year], 0))/1000000</f>
        <v>72.278230000000022</v>
      </c>
      <c r="M468" s="609">
        <f>INDEX(Global.Assumptions[Population], MATCH(M$464,Global.Assumptions[Year], 0))/1000000</f>
        <v>73.853252999999995</v>
      </c>
      <c r="N468" s="609">
        <f>INDEX(Global.Assumptions[Population], MATCH(N$464,Global.Assumptions[Year], 0))/1000000</f>
        <v>75.356458000000003</v>
      </c>
      <c r="O468" s="609">
        <f>INDEX(Global.Assumptions[Population], MATCH(O$464,Global.Assumptions[Year], 0))/1000000</f>
        <v>76.789483000000004</v>
      </c>
      <c r="P468" s="1954"/>
      <c r="Q468" s="1954"/>
      <c r="T468" s="117"/>
      <c r="U468" s="117"/>
      <c r="V468" s="117"/>
      <c r="W468" s="117"/>
    </row>
    <row r="469" spans="1:23" s="1952" customFormat="1" ht="14">
      <c r="A469" s="1954"/>
      <c r="B469" s="558" t="s">
        <v>661</v>
      </c>
      <c r="C469" s="1733" t="s">
        <v>914</v>
      </c>
      <c r="D469" s="1733"/>
      <c r="E469" s="587" t="s">
        <v>933</v>
      </c>
      <c r="F469" s="1062">
        <f>F467*F468/1000</f>
        <v>859.96344889221643</v>
      </c>
      <c r="G469" s="1062">
        <f t="shared" ref="G469:O469" si="120">G467*G468/1000</f>
        <v>875.90476703100001</v>
      </c>
      <c r="H469" s="1062">
        <f t="shared" si="120"/>
        <v>897.34359957599997</v>
      </c>
      <c r="I469" s="1062">
        <f t="shared" si="120"/>
        <v>941.2857623000001</v>
      </c>
      <c r="J469" s="1062">
        <f t="shared" si="120"/>
        <v>981.65965039999992</v>
      </c>
      <c r="K469" s="1062">
        <f t="shared" si="120"/>
        <v>1009.2320238</v>
      </c>
      <c r="L469" s="1062">
        <f t="shared" si="120"/>
        <v>1035.2410882900003</v>
      </c>
      <c r="M469" s="1062">
        <f t="shared" si="120"/>
        <v>1051.0056434430001</v>
      </c>
      <c r="N469" s="1062">
        <f t="shared" si="120"/>
        <v>1066.0678113260001</v>
      </c>
      <c r="O469" s="1062">
        <f t="shared" si="120"/>
        <v>1080.8887627080001</v>
      </c>
      <c r="P469" s="1954"/>
      <c r="Q469" s="1954"/>
      <c r="T469" s="117"/>
      <c r="U469" s="117"/>
      <c r="V469" s="117"/>
      <c r="W469" s="117"/>
    </row>
    <row r="470" spans="1:23" s="1952" customFormat="1" ht="14">
      <c r="A470" s="1954"/>
      <c r="B470" s="1954"/>
      <c r="C470" s="1733"/>
      <c r="D470" s="1733"/>
      <c r="E470" s="587"/>
      <c r="F470" s="1062"/>
      <c r="G470" s="1062"/>
      <c r="H470" s="1062"/>
      <c r="I470" s="1062"/>
      <c r="J470" s="1062"/>
      <c r="K470" s="1062"/>
      <c r="L470" s="1062"/>
      <c r="M470" s="1062"/>
      <c r="N470" s="1062"/>
      <c r="O470" s="1062"/>
      <c r="P470" s="1954"/>
      <c r="Q470" s="1954"/>
      <c r="T470" s="117"/>
      <c r="U470" s="117"/>
      <c r="V470" s="117"/>
      <c r="W470" s="117"/>
    </row>
    <row r="471" spans="1:23" s="1952" customFormat="1" ht="14">
      <c r="A471" s="1954"/>
      <c r="B471" s="20" t="s">
        <v>660</v>
      </c>
      <c r="C471" s="1954" t="s">
        <v>926</v>
      </c>
      <c r="D471" s="1954"/>
      <c r="E471" s="1732"/>
      <c r="F471" s="620"/>
      <c r="G471" s="609"/>
      <c r="H471" s="609"/>
      <c r="I471" s="609"/>
      <c r="J471" s="609"/>
      <c r="K471" s="609"/>
      <c r="L471" s="609"/>
      <c r="M471" s="609"/>
      <c r="N471" s="609"/>
      <c r="O471" s="609"/>
      <c r="P471" s="1954"/>
      <c r="Q471" s="1954"/>
      <c r="T471" s="117"/>
      <c r="U471" s="117"/>
      <c r="V471" s="117"/>
      <c r="W471" s="117"/>
    </row>
    <row r="472" spans="1:23" s="1952" customFormat="1">
      <c r="A472" s="1954"/>
      <c r="B472" s="20"/>
      <c r="C472" s="1732" t="s">
        <v>955</v>
      </c>
      <c r="D472" s="1954" t="s">
        <v>956</v>
      </c>
      <c r="E472" s="1732"/>
      <c r="F472" s="15">
        <f t="shared" ref="F472:O477" si="121">INDEX(F$270:F$275, MATCH($C472, $C$270:$C$275, 0))</f>
        <v>2.1680038900835603E-2</v>
      </c>
      <c r="G472" s="15">
        <f t="shared" si="121"/>
        <v>2.1702361768219165E-2</v>
      </c>
      <c r="H472" s="15">
        <f t="shared" si="121"/>
        <v>2.1739566547191769E-2</v>
      </c>
      <c r="I472" s="15">
        <f t="shared" si="121"/>
        <v>2.1776771326164374E-2</v>
      </c>
      <c r="J472" s="15">
        <f t="shared" si="121"/>
        <v>2.1813976105136978E-2</v>
      </c>
      <c r="K472" s="15">
        <f t="shared" si="121"/>
        <v>2.1851180884109582E-2</v>
      </c>
      <c r="L472" s="15">
        <f t="shared" si="121"/>
        <v>2.1888385663082186E-2</v>
      </c>
      <c r="M472" s="15">
        <f t="shared" si="121"/>
        <v>2.192559044205479E-2</v>
      </c>
      <c r="N472" s="15">
        <f t="shared" si="121"/>
        <v>2.1962795221027395E-2</v>
      </c>
      <c r="O472" s="15">
        <f t="shared" si="121"/>
        <v>2.1999999999999999E-2</v>
      </c>
      <c r="P472" s="1954"/>
      <c r="Q472" s="1954"/>
      <c r="T472" s="117"/>
      <c r="U472" s="117"/>
      <c r="V472" s="117"/>
      <c r="W472" s="117"/>
    </row>
    <row r="473" spans="1:23" s="1952" customFormat="1">
      <c r="A473" s="1954"/>
      <c r="B473" s="559"/>
      <c r="C473" s="1732" t="s">
        <v>920</v>
      </c>
      <c r="D473" s="1954" t="s">
        <v>913</v>
      </c>
      <c r="E473" s="587"/>
      <c r="F473" s="2197">
        <f t="shared" si="121"/>
        <v>5.084268859379436E-3</v>
      </c>
      <c r="G473" s="15">
        <f t="shared" si="121"/>
        <v>8.0086221947715686E-3</v>
      </c>
      <c r="H473" s="15">
        <f t="shared" si="121"/>
        <v>1.2882544420425121E-2</v>
      </c>
      <c r="I473" s="15">
        <f t="shared" si="121"/>
        <v>1.7756466646078675E-2</v>
      </c>
      <c r="J473" s="15">
        <f t="shared" si="121"/>
        <v>2.2630388871732229E-2</v>
      </c>
      <c r="K473" s="15">
        <f t="shared" si="121"/>
        <v>2.7504311097385784E-2</v>
      </c>
      <c r="L473" s="15">
        <f t="shared" si="121"/>
        <v>3.2378233323039338E-2</v>
      </c>
      <c r="M473" s="15">
        <f t="shared" si="121"/>
        <v>3.7252155548692892E-2</v>
      </c>
      <c r="N473" s="15">
        <f t="shared" si="121"/>
        <v>4.2126077774346446E-2</v>
      </c>
      <c r="O473" s="15">
        <f t="shared" si="121"/>
        <v>4.7E-2</v>
      </c>
      <c r="P473" s="1733"/>
      <c r="Q473" s="1954"/>
      <c r="T473" s="117"/>
      <c r="U473" s="117"/>
      <c r="V473" s="117"/>
      <c r="W473" s="117"/>
    </row>
    <row r="474" spans="1:23" s="1952" customFormat="1">
      <c r="A474" s="1733"/>
      <c r="B474" s="559"/>
      <c r="C474" s="1732" t="s">
        <v>918</v>
      </c>
      <c r="D474" s="1954" t="s">
        <v>957</v>
      </c>
      <c r="E474" s="587"/>
      <c r="F474" s="15">
        <f t="shared" si="121"/>
        <v>0.83210317944207202</v>
      </c>
      <c r="G474" s="15">
        <f t="shared" si="121"/>
        <v>0.81758435296936927</v>
      </c>
      <c r="H474" s="15">
        <f t="shared" si="121"/>
        <v>0.79338630884819816</v>
      </c>
      <c r="I474" s="15">
        <f t="shared" si="121"/>
        <v>0.76918826472702695</v>
      </c>
      <c r="J474" s="15">
        <f t="shared" si="121"/>
        <v>0.74499022060585585</v>
      </c>
      <c r="K474" s="15">
        <f t="shared" si="121"/>
        <v>0.72079217648468463</v>
      </c>
      <c r="L474" s="15">
        <f t="shared" si="121"/>
        <v>0.69659413236351353</v>
      </c>
      <c r="M474" s="15">
        <f t="shared" si="121"/>
        <v>0.67239608824234232</v>
      </c>
      <c r="N474" s="15">
        <f t="shared" si="121"/>
        <v>0.64819804412117121</v>
      </c>
      <c r="O474" s="15">
        <f t="shared" si="121"/>
        <v>0.624</v>
      </c>
      <c r="P474" s="1733"/>
      <c r="Q474" s="1733"/>
      <c r="T474" s="117"/>
      <c r="U474" s="117"/>
      <c r="V474" s="117"/>
      <c r="W474" s="117"/>
    </row>
    <row r="475" spans="1:23" s="1952" customFormat="1">
      <c r="A475" s="1733"/>
      <c r="B475" s="559"/>
      <c r="C475" s="1732" t="s">
        <v>919</v>
      </c>
      <c r="D475" s="1954" t="s">
        <v>958</v>
      </c>
      <c r="E475" s="587"/>
      <c r="F475" s="15">
        <f t="shared" si="121"/>
        <v>5.9627670922358024E-2</v>
      </c>
      <c r="G475" s="15">
        <f t="shared" si="121"/>
        <v>6.8514112485914436E-2</v>
      </c>
      <c r="H475" s="15">
        <f t="shared" si="121"/>
        <v>8.3324848425175138E-2</v>
      </c>
      <c r="I475" s="15">
        <f t="shared" si="121"/>
        <v>9.8135584364435841E-2</v>
      </c>
      <c r="J475" s="15">
        <f t="shared" si="121"/>
        <v>0.11294632030369653</v>
      </c>
      <c r="K475" s="15">
        <f t="shared" si="121"/>
        <v>0.12775705624295722</v>
      </c>
      <c r="L475" s="15">
        <f t="shared" si="121"/>
        <v>0.14256779218221793</v>
      </c>
      <c r="M475" s="15">
        <f t="shared" si="121"/>
        <v>0.15737852812147862</v>
      </c>
      <c r="N475" s="15">
        <f t="shared" si="121"/>
        <v>0.17218926406073931</v>
      </c>
      <c r="O475" s="15">
        <f t="shared" si="121"/>
        <v>0.187</v>
      </c>
      <c r="P475" s="1733"/>
      <c r="Q475" s="1733"/>
      <c r="T475" s="117"/>
      <c r="U475" s="117"/>
      <c r="V475" s="117"/>
      <c r="W475" s="117"/>
    </row>
    <row r="476" spans="1:23" s="1952" customFormat="1">
      <c r="A476" s="1733"/>
      <c r="B476" s="559"/>
      <c r="C476" s="1732" t="s">
        <v>921</v>
      </c>
      <c r="D476" s="1954" t="s">
        <v>959</v>
      </c>
      <c r="E476" s="587"/>
      <c r="F476" s="15">
        <f t="shared" si="121"/>
        <v>7.0097236274669239E-2</v>
      </c>
      <c r="G476" s="15">
        <f t="shared" si="121"/>
        <v>7.2043940720622549E-2</v>
      </c>
      <c r="H476" s="15">
        <f t="shared" si="121"/>
        <v>7.5288448130544736E-2</v>
      </c>
      <c r="I476" s="15">
        <f t="shared" si="121"/>
        <v>7.8532955540466909E-2</v>
      </c>
      <c r="J476" s="15">
        <f t="shared" si="121"/>
        <v>8.1777462950389096E-2</v>
      </c>
      <c r="K476" s="15">
        <f t="shared" si="121"/>
        <v>8.5021970360311283E-2</v>
      </c>
      <c r="L476" s="15">
        <f t="shared" si="121"/>
        <v>8.8266477770233456E-2</v>
      </c>
      <c r="M476" s="15">
        <f t="shared" si="121"/>
        <v>9.1510985180155643E-2</v>
      </c>
      <c r="N476" s="15">
        <f t="shared" si="121"/>
        <v>9.4755492590077817E-2</v>
      </c>
      <c r="O476" s="15">
        <f t="shared" si="121"/>
        <v>9.8000000000000004E-2</v>
      </c>
      <c r="P476" s="1733"/>
      <c r="Q476" s="1733"/>
      <c r="T476" s="117"/>
      <c r="U476" s="117"/>
      <c r="V476" s="117"/>
      <c r="W476" s="117"/>
    </row>
    <row r="477" spans="1:23" s="1952" customFormat="1">
      <c r="A477" s="1733"/>
      <c r="B477" s="559"/>
      <c r="C477" s="1732" t="s">
        <v>922</v>
      </c>
      <c r="D477" s="1954" t="s">
        <v>960</v>
      </c>
      <c r="E477" s="587"/>
      <c r="F477" s="15">
        <f t="shared" si="121"/>
        <v>1.1407605600685865E-2</v>
      </c>
      <c r="G477" s="15">
        <f t="shared" si="121"/>
        <v>1.2076842419242666E-2</v>
      </c>
      <c r="H477" s="15">
        <f t="shared" si="121"/>
        <v>1.3192237116837332E-2</v>
      </c>
      <c r="I477" s="15">
        <f t="shared" si="121"/>
        <v>1.4307631814431999E-2</v>
      </c>
      <c r="J477" s="15">
        <f t="shared" si="121"/>
        <v>1.5423026512026667E-2</v>
      </c>
      <c r="K477" s="15">
        <f t="shared" si="121"/>
        <v>1.6538421209621332E-2</v>
      </c>
      <c r="L477" s="15">
        <f t="shared" si="121"/>
        <v>1.7653815907216E-2</v>
      </c>
      <c r="M477" s="15">
        <f t="shared" si="121"/>
        <v>1.8769210604810668E-2</v>
      </c>
      <c r="N477" s="15">
        <f t="shared" si="121"/>
        <v>1.9884605302405337E-2</v>
      </c>
      <c r="O477" s="15">
        <f t="shared" si="121"/>
        <v>2.1000000000000001E-2</v>
      </c>
      <c r="P477" s="1733"/>
      <c r="Q477" s="1733"/>
      <c r="T477" s="117"/>
      <c r="U477" s="117"/>
      <c r="V477" s="117"/>
      <c r="W477" s="117"/>
    </row>
    <row r="478" spans="1:23" s="1952" customFormat="1" ht="14">
      <c r="A478" s="1733"/>
      <c r="B478" s="559"/>
      <c r="C478" s="1061"/>
      <c r="D478" s="20"/>
      <c r="E478" s="587"/>
      <c r="F478" s="15"/>
      <c r="G478" s="1059"/>
      <c r="H478" s="1059"/>
      <c r="I478" s="1059"/>
      <c r="J478" s="1059"/>
      <c r="K478" s="1059"/>
      <c r="L478" s="1059"/>
      <c r="M478" s="1059"/>
      <c r="N478" s="1059"/>
      <c r="O478" s="15"/>
      <c r="P478" s="1733"/>
      <c r="Q478" s="1733"/>
      <c r="T478" s="117"/>
      <c r="U478" s="117"/>
      <c r="V478" s="117"/>
      <c r="W478" s="117"/>
    </row>
    <row r="479" spans="1:23" s="1952" customFormat="1" ht="14">
      <c r="A479" s="1733"/>
      <c r="B479" s="595" t="s">
        <v>661</v>
      </c>
      <c r="C479" s="1954" t="s">
        <v>915</v>
      </c>
      <c r="D479" s="1733"/>
      <c r="E479" s="1733"/>
      <c r="F479" s="623"/>
      <c r="G479" s="623"/>
      <c r="H479" s="623"/>
      <c r="I479" s="623"/>
      <c r="J479" s="623"/>
      <c r="K479" s="623"/>
      <c r="L479" s="623"/>
      <c r="M479" s="623"/>
      <c r="N479" s="623"/>
      <c r="O479" s="1732" t="s">
        <v>907</v>
      </c>
      <c r="P479" s="1733"/>
      <c r="Q479" s="1733"/>
      <c r="T479" s="117"/>
      <c r="U479" s="117"/>
      <c r="V479" s="117"/>
      <c r="W479" s="117"/>
    </row>
    <row r="480" spans="1:23" s="1952" customFormat="1" ht="14">
      <c r="A480" s="1733"/>
      <c r="B480" s="595"/>
      <c r="C480" s="1732" t="s">
        <v>955</v>
      </c>
      <c r="D480" s="1954" t="s">
        <v>956</v>
      </c>
      <c r="E480" s="1733"/>
      <c r="F480" s="619">
        <f t="shared" ref="F480:O485" si="122">F472*F$469</f>
        <v>18.644041025280004</v>
      </c>
      <c r="G480" s="619">
        <f t="shared" si="122"/>
        <v>19.00920212861449</v>
      </c>
      <c r="H480" s="619">
        <f t="shared" si="122"/>
        <v>19.507860898679056</v>
      </c>
      <c r="I480" s="619">
        <f t="shared" si="122"/>
        <v>20.498164798181417</v>
      </c>
      <c r="J480" s="619">
        <f t="shared" si="122"/>
        <v>21.413900157202718</v>
      </c>
      <c r="K480" s="619">
        <f t="shared" si="122"/>
        <v>22.052911506089785</v>
      </c>
      <c r="L480" s="619">
        <f t="shared" si="122"/>
        <v>22.659756194760444</v>
      </c>
      <c r="M480" s="619">
        <f t="shared" si="122"/>
        <v>23.043919290419488</v>
      </c>
      <c r="N480" s="619">
        <f t="shared" si="122"/>
        <v>23.413829031881807</v>
      </c>
      <c r="O480" s="619">
        <f t="shared" si="122"/>
        <v>23.779552779576001</v>
      </c>
      <c r="P480" s="1733"/>
      <c r="Q480" s="1733"/>
      <c r="T480" s="117"/>
      <c r="U480" s="117"/>
      <c r="V480" s="117"/>
      <c r="W480" s="117"/>
    </row>
    <row r="481" spans="1:23" s="1952" customFormat="1" ht="14">
      <c r="A481" s="1733"/>
      <c r="B481" s="559"/>
      <c r="C481" s="1732" t="s">
        <v>920</v>
      </c>
      <c r="D481" s="1954" t="s">
        <v>913</v>
      </c>
      <c r="E481" s="587"/>
      <c r="F481" s="619">
        <f t="shared" si="122"/>
        <v>4.3722853834072355</v>
      </c>
      <c r="G481" s="619">
        <f t="shared" si="122"/>
        <v>7.0147903577506865</v>
      </c>
      <c r="H481" s="619">
        <f t="shared" si="122"/>
        <v>11.560068781921993</v>
      </c>
      <c r="I481" s="619">
        <f t="shared" si="122"/>
        <v>16.713909242708691</v>
      </c>
      <c r="J481" s="619">
        <f t="shared" si="122"/>
        <v>22.215339628240709</v>
      </c>
      <c r="K481" s="619">
        <f t="shared" si="122"/>
        <v>27.758231552039451</v>
      </c>
      <c r="L481" s="619">
        <f t="shared" si="122"/>
        <v>33.519277502250794</v>
      </c>
      <c r="M481" s="619">
        <f t="shared" si="122"/>
        <v>39.152225712092701</v>
      </c>
      <c r="N481" s="619">
        <f t="shared" si="122"/>
        <v>44.90925553264637</v>
      </c>
      <c r="O481" s="619">
        <f t="shared" si="122"/>
        <v>50.801771847276001</v>
      </c>
      <c r="P481" s="1733"/>
      <c r="Q481" s="1733"/>
      <c r="T481" s="117"/>
      <c r="U481" s="117"/>
      <c r="V481" s="117"/>
      <c r="W481" s="117"/>
    </row>
    <row r="482" spans="1:23" s="1952" customFormat="1" ht="14">
      <c r="A482" s="1733"/>
      <c r="B482" s="559"/>
      <c r="C482" s="1732" t="s">
        <v>918</v>
      </c>
      <c r="D482" s="1954" t="s">
        <v>957</v>
      </c>
      <c r="E482" s="587"/>
      <c r="F482" s="619">
        <f t="shared" si="122"/>
        <v>715.57832002718305</v>
      </c>
      <c r="G482" s="619">
        <f t="shared" si="122"/>
        <v>716.12603221582629</v>
      </c>
      <c r="H482" s="619">
        <f t="shared" si="122"/>
        <v>711.94012623615822</v>
      </c>
      <c r="I482" s="619">
        <f t="shared" si="122"/>
        <v>724.02596211579385</v>
      </c>
      <c r="J482" s="619">
        <f t="shared" si="122"/>
        <v>731.32683951136323</v>
      </c>
      <c r="K482" s="619">
        <f t="shared" si="122"/>
        <v>727.44654701284503</v>
      </c>
      <c r="L482" s="619">
        <f t="shared" si="122"/>
        <v>721.1428676844323</v>
      </c>
      <c r="M482" s="619">
        <f t="shared" si="122"/>
        <v>706.69208337169925</v>
      </c>
      <c r="N482" s="619">
        <f t="shared" si="122"/>
        <v>691.02307020205103</v>
      </c>
      <c r="O482" s="619">
        <f t="shared" si="122"/>
        <v>674.47458792979205</v>
      </c>
      <c r="P482" s="1733"/>
      <c r="Q482" s="1733"/>
      <c r="T482" s="117"/>
      <c r="U482" s="117"/>
      <c r="V482" s="117"/>
      <c r="W482" s="117"/>
    </row>
    <row r="483" spans="1:23" s="1952" customFormat="1" ht="14">
      <c r="A483" s="1733"/>
      <c r="B483" s="559"/>
      <c r="C483" s="1732" t="s">
        <v>919</v>
      </c>
      <c r="D483" s="1954" t="s">
        <v>958</v>
      </c>
      <c r="E483" s="587"/>
      <c r="F483" s="619">
        <f t="shared" si="122"/>
        <v>51.277617535801134</v>
      </c>
      <c r="G483" s="619">
        <f t="shared" si="122"/>
        <v>60.011837735310614</v>
      </c>
      <c r="H483" s="619">
        <f t="shared" si="122"/>
        <v>74.771019419971253</v>
      </c>
      <c r="I483" s="619">
        <f t="shared" si="122"/>
        <v>92.373628337233967</v>
      </c>
      <c r="J483" s="619">
        <f t="shared" si="122"/>
        <v>110.87484530329314</v>
      </c>
      <c r="K483" s="619">
        <f t="shared" si="122"/>
        <v>128.93651242681014</v>
      </c>
      <c r="L483" s="619">
        <f t="shared" si="122"/>
        <v>147.59203633382191</v>
      </c>
      <c r="M483" s="619">
        <f t="shared" si="122"/>
        <v>165.40572121242693</v>
      </c>
      <c r="N483" s="619">
        <f t="shared" si="122"/>
        <v>183.56543187106703</v>
      </c>
      <c r="O483" s="619">
        <f t="shared" si="122"/>
        <v>202.12619862639602</v>
      </c>
      <c r="P483" s="1733"/>
      <c r="Q483" s="1733"/>
      <c r="T483" s="117"/>
      <c r="U483" s="117"/>
      <c r="V483" s="117"/>
      <c r="W483" s="117"/>
    </row>
    <row r="484" spans="1:23" s="1952" customFormat="1" ht="14">
      <c r="A484" s="1733"/>
      <c r="B484" s="559"/>
      <c r="C484" s="1732" t="s">
        <v>921</v>
      </c>
      <c r="D484" s="1954" t="s">
        <v>959</v>
      </c>
      <c r="E484" s="587"/>
      <c r="F484" s="619">
        <f t="shared" si="122"/>
        <v>60.281061064577138</v>
      </c>
      <c r="G484" s="619">
        <f t="shared" si="122"/>
        <v>63.103631112892067</v>
      </c>
      <c r="H484" s="619">
        <f t="shared" si="122"/>
        <v>67.559607051953975</v>
      </c>
      <c r="I484" s="619">
        <f t="shared" si="122"/>
        <v>73.921952921580413</v>
      </c>
      <c r="J484" s="619">
        <f t="shared" si="122"/>
        <v>80.277635690477908</v>
      </c>
      <c r="K484" s="619">
        <f t="shared" si="122"/>
        <v>85.806895214200566</v>
      </c>
      <c r="L484" s="619">
        <f t="shared" si="122"/>
        <v>91.377084506381607</v>
      </c>
      <c r="M484" s="619">
        <f t="shared" si="122"/>
        <v>96.17856186137233</v>
      </c>
      <c r="N484" s="619">
        <f t="shared" si="122"/>
        <v>101.01578059662128</v>
      </c>
      <c r="O484" s="619">
        <f t="shared" si="122"/>
        <v>105.92709874538401</v>
      </c>
      <c r="P484" s="1733"/>
      <c r="Q484" s="1733"/>
      <c r="T484" s="117"/>
      <c r="U484" s="117"/>
      <c r="V484" s="117"/>
      <c r="W484" s="117"/>
    </row>
    <row r="485" spans="1:23" s="1952" customFormat="1" ht="14">
      <c r="A485" s="1733"/>
      <c r="B485" s="559"/>
      <c r="C485" s="1732" t="s">
        <v>922</v>
      </c>
      <c r="D485" s="1954" t="s">
        <v>960</v>
      </c>
      <c r="E485" s="587"/>
      <c r="F485" s="619">
        <f t="shared" si="122"/>
        <v>9.8101238559679818</v>
      </c>
      <c r="G485" s="619">
        <f t="shared" si="122"/>
        <v>10.578163845696846</v>
      </c>
      <c r="H485" s="619">
        <f t="shared" si="122"/>
        <v>11.837969540882924</v>
      </c>
      <c r="I485" s="619">
        <f t="shared" si="122"/>
        <v>13.467570119155358</v>
      </c>
      <c r="J485" s="619">
        <f t="shared" si="122"/>
        <v>15.140162813906029</v>
      </c>
      <c r="K485" s="619">
        <f t="shared" si="122"/>
        <v>16.691104307842981</v>
      </c>
      <c r="L485" s="619">
        <f t="shared" si="122"/>
        <v>18.27595559225761</v>
      </c>
      <c r="M485" s="619">
        <f t="shared" si="122"/>
        <v>19.726546268626215</v>
      </c>
      <c r="N485" s="619">
        <f t="shared" si="122"/>
        <v>21.198337653816633</v>
      </c>
      <c r="O485" s="619">
        <f t="shared" si="122"/>
        <v>22.698664016868001</v>
      </c>
      <c r="P485" s="1733"/>
      <c r="Q485" s="1733"/>
      <c r="T485" s="117"/>
      <c r="U485" s="117"/>
      <c r="V485" s="117"/>
      <c r="W485" s="117"/>
    </row>
    <row r="486" spans="1:23" s="1952" customFormat="1" ht="14">
      <c r="A486" s="1733"/>
      <c r="B486" s="559"/>
      <c r="C486" s="1732"/>
      <c r="D486" s="1954"/>
      <c r="E486" s="587"/>
      <c r="F486" s="1427">
        <f>SUM(F480:F485)</f>
        <v>859.96344889221655</v>
      </c>
      <c r="G486" s="1427">
        <f t="shared" ref="G486:O486" si="123">SUM(G480:G485)</f>
        <v>875.84365739609098</v>
      </c>
      <c r="H486" s="1427">
        <f t="shared" si="123"/>
        <v>897.17665192956747</v>
      </c>
      <c r="I486" s="1427">
        <f t="shared" si="123"/>
        <v>941.0011875346537</v>
      </c>
      <c r="J486" s="1427">
        <f t="shared" si="123"/>
        <v>981.24872310448382</v>
      </c>
      <c r="K486" s="1427">
        <f t="shared" si="123"/>
        <v>1008.6922020198281</v>
      </c>
      <c r="L486" s="1427">
        <f t="shared" si="123"/>
        <v>1034.5669778139047</v>
      </c>
      <c r="M486" s="1427">
        <f t="shared" si="123"/>
        <v>1050.1990577166368</v>
      </c>
      <c r="N486" s="1427">
        <f t="shared" si="123"/>
        <v>1065.1257048880841</v>
      </c>
      <c r="O486" s="1427">
        <f t="shared" si="123"/>
        <v>1079.8078739452919</v>
      </c>
      <c r="P486" s="1733"/>
      <c r="Q486" s="1733"/>
      <c r="T486" s="117"/>
      <c r="U486" s="117"/>
      <c r="V486" s="117"/>
      <c r="W486" s="117"/>
    </row>
    <row r="487" spans="1:23" s="1952" customFormat="1" ht="14">
      <c r="A487" s="1733"/>
      <c r="B487" s="559"/>
      <c r="C487" s="1733"/>
      <c r="D487" s="1733"/>
      <c r="E487" s="1733"/>
      <c r="F487" s="623"/>
      <c r="G487" s="623"/>
      <c r="H487" s="623"/>
      <c r="I487" s="623"/>
      <c r="J487" s="623"/>
      <c r="K487" s="623"/>
      <c r="L487" s="623"/>
      <c r="M487" s="623"/>
      <c r="N487" s="623"/>
      <c r="O487" s="623"/>
      <c r="P487" s="1733"/>
      <c r="Q487" s="1733"/>
      <c r="T487" s="117"/>
      <c r="U487" s="117"/>
      <c r="V487" s="117"/>
      <c r="W487" s="117"/>
    </row>
    <row r="488" spans="1:23" s="1952" customFormat="1" ht="14">
      <c r="A488" s="1733"/>
      <c r="B488" s="1733" t="s">
        <v>1585</v>
      </c>
      <c r="C488" s="1733" t="s">
        <v>1172</v>
      </c>
      <c r="D488" s="1733"/>
      <c r="E488" s="1733"/>
      <c r="F488" s="623"/>
      <c r="G488" s="623"/>
      <c r="H488" s="623"/>
      <c r="I488" s="623"/>
      <c r="J488" s="623"/>
      <c r="K488" s="623"/>
      <c r="L488" s="623"/>
      <c r="M488" s="623"/>
      <c r="N488" s="623"/>
      <c r="O488" s="623"/>
      <c r="P488" s="1733"/>
      <c r="Q488" s="1733"/>
      <c r="T488" s="117"/>
      <c r="U488" s="117"/>
      <c r="V488" s="117"/>
      <c r="W488" s="117"/>
    </row>
    <row r="489" spans="1:23" s="1952" customFormat="1" ht="14">
      <c r="A489" s="1733"/>
      <c r="B489" s="559"/>
      <c r="C489" s="1733"/>
      <c r="D489" s="1733"/>
      <c r="E489" s="1733"/>
      <c r="F489" s="623"/>
      <c r="G489" s="623"/>
      <c r="H489" s="623"/>
      <c r="I489" s="623"/>
      <c r="J489" s="623"/>
      <c r="K489" s="623"/>
      <c r="L489" s="623"/>
      <c r="M489" s="623"/>
      <c r="N489" s="623"/>
      <c r="O489" s="623"/>
      <c r="P489" s="1733"/>
      <c r="Q489" s="1733"/>
      <c r="T489" s="526"/>
      <c r="U489" s="526"/>
      <c r="V489" s="526"/>
      <c r="W489" s="526"/>
    </row>
    <row r="490" spans="1:23" s="1952" customFormat="1" ht="14">
      <c r="A490" s="1733"/>
      <c r="B490" s="1043"/>
      <c r="C490" s="17" t="s">
        <v>970</v>
      </c>
      <c r="D490" s="20"/>
      <c r="E490" s="1733"/>
      <c r="F490" s="623"/>
      <c r="G490" s="623"/>
      <c r="H490" s="623"/>
      <c r="I490" s="623"/>
      <c r="J490" s="623"/>
      <c r="K490" s="623"/>
      <c r="L490" s="623"/>
      <c r="M490" s="623"/>
      <c r="N490" s="623"/>
      <c r="O490" s="1732" t="s">
        <v>907</v>
      </c>
      <c r="P490" s="1733"/>
      <c r="Q490" s="1733"/>
      <c r="T490" s="526"/>
      <c r="U490" s="526"/>
      <c r="V490" s="526"/>
      <c r="W490" s="526"/>
    </row>
    <row r="491" spans="1:23" s="1952" customFormat="1" ht="14">
      <c r="A491" s="1733"/>
      <c r="B491" s="559"/>
      <c r="C491" s="1043" t="s">
        <v>906</v>
      </c>
      <c r="D491" s="1954" t="s">
        <v>657</v>
      </c>
      <c r="E491" s="1733"/>
      <c r="F491" s="623"/>
      <c r="G491" s="623"/>
      <c r="H491" s="623"/>
      <c r="I491" s="623"/>
      <c r="J491" s="623"/>
      <c r="K491" s="623"/>
      <c r="L491" s="623"/>
      <c r="M491" s="623"/>
      <c r="N491" s="623"/>
      <c r="O491" s="623"/>
      <c r="P491" s="1733"/>
      <c r="Q491" s="1733"/>
      <c r="T491" s="526"/>
      <c r="U491" s="526"/>
      <c r="V491" s="526"/>
      <c r="W491" s="526"/>
    </row>
    <row r="492" spans="1:23" s="1952" customFormat="1" ht="14">
      <c r="A492" s="1733"/>
      <c r="B492" s="559"/>
      <c r="C492" s="1732" t="s">
        <v>920</v>
      </c>
      <c r="D492" s="17" t="s">
        <v>920</v>
      </c>
      <c r="E492" s="1733"/>
      <c r="F492" s="619">
        <f t="shared" ref="F492:O503" si="124">SUMIFS(F$480:F$485, $C$480:$C$485, $C492)*SUMIFS(F$299:F$310, $C$299:$C$310, $C492, $D$299:$D$310, $D492)</f>
        <v>4.3722853834072355</v>
      </c>
      <c r="G492" s="619">
        <f t="shared" si="124"/>
        <v>7.0147903577506865</v>
      </c>
      <c r="H492" s="619">
        <f t="shared" si="124"/>
        <v>11.513828506794304</v>
      </c>
      <c r="I492" s="619">
        <f t="shared" si="124"/>
        <v>16.647053605737856</v>
      </c>
      <c r="J492" s="619">
        <f t="shared" si="124"/>
        <v>22.126478269727748</v>
      </c>
      <c r="K492" s="619">
        <f t="shared" si="124"/>
        <v>27.647198625831294</v>
      </c>
      <c r="L492" s="619">
        <f t="shared" si="124"/>
        <v>33.385200392241792</v>
      </c>
      <c r="M492" s="619">
        <f t="shared" si="124"/>
        <v>38.995616809244332</v>
      </c>
      <c r="N492" s="619">
        <f t="shared" si="124"/>
        <v>44.729618510515785</v>
      </c>
      <c r="O492" s="619">
        <f t="shared" si="124"/>
        <v>50.598564759886898</v>
      </c>
      <c r="P492" s="1733"/>
      <c r="Q492" s="1733"/>
      <c r="T492" s="1733"/>
      <c r="U492" s="1733"/>
      <c r="V492" s="1733"/>
      <c r="W492" s="1733"/>
    </row>
    <row r="493" spans="1:23" s="1952" customFormat="1" ht="14">
      <c r="A493" s="1733"/>
      <c r="B493" s="559"/>
      <c r="C493" s="1043" t="s">
        <v>918</v>
      </c>
      <c r="D493" s="1063" t="s">
        <v>923</v>
      </c>
      <c r="E493" s="1733"/>
      <c r="F493" s="619">
        <f t="shared" si="124"/>
        <v>715.57832002718305</v>
      </c>
      <c r="G493" s="619">
        <f t="shared" si="124"/>
        <v>716.12603221582629</v>
      </c>
      <c r="H493" s="619">
        <f t="shared" si="124"/>
        <v>701.26102434261588</v>
      </c>
      <c r="I493" s="619">
        <f t="shared" si="124"/>
        <v>702.30518325232003</v>
      </c>
      <c r="J493" s="619">
        <f t="shared" si="124"/>
        <v>515.58542185551107</v>
      </c>
      <c r="K493" s="619">
        <f t="shared" si="124"/>
        <v>320.0764806856518</v>
      </c>
      <c r="L493" s="619">
        <f t="shared" si="124"/>
        <v>295.66857575061726</v>
      </c>
      <c r="M493" s="619">
        <f t="shared" si="124"/>
        <v>268.54299168124572</v>
      </c>
      <c r="N493" s="619">
        <f t="shared" si="124"/>
        <v>200.39669035859481</v>
      </c>
      <c r="O493" s="619">
        <f t="shared" si="124"/>
        <v>134.89491758595841</v>
      </c>
      <c r="P493" s="1733"/>
      <c r="Q493" s="1733"/>
      <c r="T493" s="526"/>
      <c r="U493" s="526"/>
      <c r="V493" s="526"/>
      <c r="W493" s="526"/>
    </row>
    <row r="494" spans="1:23" s="1952" customFormat="1" ht="14">
      <c r="A494" s="1733"/>
      <c r="B494" s="559"/>
      <c r="C494" s="1043" t="s">
        <v>918</v>
      </c>
      <c r="D494" s="17" t="s">
        <v>1116</v>
      </c>
      <c r="E494" s="1733"/>
      <c r="F494" s="619">
        <f t="shared" si="124"/>
        <v>0</v>
      </c>
      <c r="G494" s="619">
        <f t="shared" si="124"/>
        <v>0</v>
      </c>
      <c r="H494" s="619">
        <f t="shared" si="124"/>
        <v>3.5597006311807911</v>
      </c>
      <c r="I494" s="619">
        <f t="shared" si="124"/>
        <v>7.2402596211579384</v>
      </c>
      <c r="J494" s="619">
        <f t="shared" si="124"/>
        <v>166.37685598883513</v>
      </c>
      <c r="K494" s="619">
        <f t="shared" si="124"/>
        <v>323.71371342071603</v>
      </c>
      <c r="L494" s="619">
        <f t="shared" si="124"/>
        <v>275.83714688929535</v>
      </c>
      <c r="M494" s="619">
        <f t="shared" si="124"/>
        <v>226.14146667894377</v>
      </c>
      <c r="N494" s="619">
        <f t="shared" si="124"/>
        <v>221.12738246465634</v>
      </c>
      <c r="O494" s="619">
        <f t="shared" si="124"/>
        <v>215.83186813753346</v>
      </c>
      <c r="P494" s="1733"/>
      <c r="Q494" s="1733"/>
      <c r="T494" s="526"/>
      <c r="U494" s="526"/>
      <c r="V494" s="526"/>
      <c r="W494" s="526"/>
    </row>
    <row r="495" spans="1:23" s="1952" customFormat="1" ht="14">
      <c r="A495" s="1733"/>
      <c r="B495" s="559"/>
      <c r="C495" s="1043" t="s">
        <v>918</v>
      </c>
      <c r="D495" s="1063" t="s">
        <v>924</v>
      </c>
      <c r="E495" s="1733"/>
      <c r="F495" s="619">
        <f t="shared" si="124"/>
        <v>0</v>
      </c>
      <c r="G495" s="619">
        <f t="shared" si="124"/>
        <v>0</v>
      </c>
      <c r="H495" s="619">
        <f t="shared" si="124"/>
        <v>7.1194012623615821</v>
      </c>
      <c r="I495" s="619">
        <f t="shared" si="124"/>
        <v>14.480519242315877</v>
      </c>
      <c r="J495" s="619">
        <f t="shared" si="124"/>
        <v>49.364561667017021</v>
      </c>
      <c r="K495" s="619">
        <f t="shared" si="124"/>
        <v>83.656352906477181</v>
      </c>
      <c r="L495" s="619">
        <f t="shared" si="124"/>
        <v>149.63714504451971</v>
      </c>
      <c r="M495" s="619">
        <f t="shared" si="124"/>
        <v>212.00762501150982</v>
      </c>
      <c r="N495" s="619">
        <f t="shared" si="124"/>
        <v>269.49899737879991</v>
      </c>
      <c r="O495" s="619">
        <f t="shared" si="124"/>
        <v>323.74780220630021</v>
      </c>
      <c r="P495" s="1733"/>
      <c r="Q495" s="1733"/>
      <c r="T495" s="526"/>
      <c r="U495" s="526"/>
      <c r="V495" s="526"/>
      <c r="W495" s="526"/>
    </row>
    <row r="496" spans="1:23" s="1952" customFormat="1" ht="14">
      <c r="A496" s="1733"/>
      <c r="B496" s="559"/>
      <c r="C496" s="1043" t="s">
        <v>918</v>
      </c>
      <c r="D496" s="1063" t="s">
        <v>925</v>
      </c>
      <c r="E496" s="1733"/>
      <c r="F496" s="619">
        <f t="shared" si="124"/>
        <v>0</v>
      </c>
      <c r="G496" s="619">
        <f t="shared" si="124"/>
        <v>0</v>
      </c>
      <c r="H496" s="619">
        <f t="shared" si="124"/>
        <v>0</v>
      </c>
      <c r="I496" s="619">
        <f t="shared" si="124"/>
        <v>0</v>
      </c>
      <c r="J496" s="619">
        <f t="shared" si="124"/>
        <v>0</v>
      </c>
      <c r="K496" s="619">
        <f t="shared" si="124"/>
        <v>0</v>
      </c>
      <c r="L496" s="619">
        <f t="shared" si="124"/>
        <v>0</v>
      </c>
      <c r="M496" s="619">
        <f t="shared" si="124"/>
        <v>0</v>
      </c>
      <c r="N496" s="619">
        <f t="shared" si="124"/>
        <v>0</v>
      </c>
      <c r="O496" s="619">
        <f t="shared" si="124"/>
        <v>0</v>
      </c>
      <c r="P496" s="1733"/>
      <c r="Q496" s="1733"/>
      <c r="T496" s="526"/>
      <c r="U496" s="526"/>
      <c r="V496" s="526"/>
      <c r="W496" s="526"/>
    </row>
    <row r="497" spans="1:23" s="1952" customFormat="1" ht="14">
      <c r="A497" s="1733"/>
      <c r="B497" s="559"/>
      <c r="C497" s="1043" t="s">
        <v>919</v>
      </c>
      <c r="D497" s="1063" t="s">
        <v>923</v>
      </c>
      <c r="E497" s="1733"/>
      <c r="F497" s="619">
        <f t="shared" si="124"/>
        <v>51.277617535801134</v>
      </c>
      <c r="G497" s="619">
        <f t="shared" si="124"/>
        <v>59.351707520222199</v>
      </c>
      <c r="H497" s="619">
        <f t="shared" si="124"/>
        <v>53.236965827019532</v>
      </c>
      <c r="I497" s="619">
        <f t="shared" si="124"/>
        <v>40.182528326696776</v>
      </c>
      <c r="J497" s="619">
        <f t="shared" si="124"/>
        <v>24.115278853466258</v>
      </c>
      <c r="K497" s="619">
        <f t="shared" si="124"/>
        <v>0</v>
      </c>
      <c r="L497" s="619">
        <f t="shared" si="124"/>
        <v>0</v>
      </c>
      <c r="M497" s="619">
        <f t="shared" si="124"/>
        <v>0</v>
      </c>
      <c r="N497" s="619">
        <f t="shared" si="124"/>
        <v>0</v>
      </c>
      <c r="O497" s="619">
        <f t="shared" si="124"/>
        <v>0</v>
      </c>
      <c r="P497" s="1733"/>
      <c r="Q497" s="1733"/>
      <c r="T497" s="526"/>
      <c r="U497" s="526"/>
      <c r="V497" s="526"/>
      <c r="W497" s="526"/>
    </row>
    <row r="498" spans="1:23" s="1952" customFormat="1" ht="14">
      <c r="A498" s="1733"/>
      <c r="B498" s="559"/>
      <c r="C498" s="1043" t="s">
        <v>919</v>
      </c>
      <c r="D498" s="17" t="s">
        <v>1117</v>
      </c>
      <c r="E498" s="1733"/>
      <c r="F498" s="619">
        <f t="shared" si="124"/>
        <v>0</v>
      </c>
      <c r="G498" s="619">
        <f t="shared" si="124"/>
        <v>0.66013021508841674</v>
      </c>
      <c r="H498" s="619">
        <f t="shared" si="124"/>
        <v>20.262946262812211</v>
      </c>
      <c r="I498" s="619">
        <f t="shared" si="124"/>
        <v>49.050396647071238</v>
      </c>
      <c r="J498" s="619">
        <f t="shared" si="124"/>
        <v>80.716887380797402</v>
      </c>
      <c r="K498" s="619">
        <f t="shared" si="124"/>
        <v>119.26627399479939</v>
      </c>
      <c r="L498" s="619">
        <f t="shared" si="124"/>
        <v>131.72589242793606</v>
      </c>
      <c r="M498" s="619">
        <f t="shared" si="124"/>
        <v>142.24892024268715</v>
      </c>
      <c r="N498" s="619">
        <f t="shared" si="124"/>
        <v>150.52365413427498</v>
      </c>
      <c r="O498" s="619">
        <f t="shared" si="124"/>
        <v>157.65843492858889</v>
      </c>
      <c r="P498" s="1733"/>
      <c r="Q498" s="1733"/>
      <c r="T498" s="526"/>
      <c r="U498" s="526"/>
      <c r="V498" s="526"/>
      <c r="W498" s="526"/>
    </row>
    <row r="499" spans="1:23" s="1952" customFormat="1" ht="14">
      <c r="A499" s="1733"/>
      <c r="B499" s="559"/>
      <c r="C499" s="1043" t="s">
        <v>919</v>
      </c>
      <c r="D499" s="1063" t="s">
        <v>924</v>
      </c>
      <c r="E499" s="1733"/>
      <c r="F499" s="619">
        <f t="shared" si="124"/>
        <v>0</v>
      </c>
      <c r="G499" s="619">
        <f t="shared" si="124"/>
        <v>0</v>
      </c>
      <c r="H499" s="619">
        <f t="shared" si="124"/>
        <v>1.2711073301395115</v>
      </c>
      <c r="I499" s="619">
        <f t="shared" si="124"/>
        <v>3.1407033634659549</v>
      </c>
      <c r="J499" s="619">
        <f t="shared" si="124"/>
        <v>6.042679069029476</v>
      </c>
      <c r="K499" s="619">
        <f t="shared" si="124"/>
        <v>9.6702384320107608</v>
      </c>
      <c r="L499" s="619">
        <f t="shared" si="124"/>
        <v>15.866143905885856</v>
      </c>
      <c r="M499" s="619">
        <f t="shared" si="124"/>
        <v>23.156800969739773</v>
      </c>
      <c r="N499" s="619">
        <f t="shared" si="124"/>
        <v>33.041777736792064</v>
      </c>
      <c r="O499" s="619">
        <f t="shared" si="124"/>
        <v>44.467763697807122</v>
      </c>
      <c r="P499" s="1733"/>
      <c r="Q499" s="1733"/>
      <c r="T499" s="526"/>
      <c r="U499" s="526"/>
      <c r="V499" s="526"/>
      <c r="W499" s="526"/>
    </row>
    <row r="500" spans="1:23" s="1952" customFormat="1" ht="14">
      <c r="A500" s="1733"/>
      <c r="B500" s="559"/>
      <c r="C500" s="1043" t="s">
        <v>919</v>
      </c>
      <c r="D500" s="17" t="s">
        <v>925</v>
      </c>
      <c r="E500" s="1733"/>
      <c r="F500" s="619">
        <f t="shared" si="124"/>
        <v>0</v>
      </c>
      <c r="G500" s="619">
        <f t="shared" si="124"/>
        <v>0</v>
      </c>
      <c r="H500" s="619">
        <f t="shared" si="124"/>
        <v>0</v>
      </c>
      <c r="I500" s="619">
        <f t="shared" si="124"/>
        <v>0</v>
      </c>
      <c r="J500" s="619">
        <f t="shared" si="124"/>
        <v>0</v>
      </c>
      <c r="K500" s="619">
        <f t="shared" si="124"/>
        <v>0</v>
      </c>
      <c r="L500" s="619">
        <f t="shared" si="124"/>
        <v>0</v>
      </c>
      <c r="M500" s="619">
        <f t="shared" si="124"/>
        <v>0</v>
      </c>
      <c r="N500" s="619">
        <f t="shared" si="124"/>
        <v>0</v>
      </c>
      <c r="O500" s="619">
        <f t="shared" si="124"/>
        <v>0</v>
      </c>
      <c r="P500" s="1733"/>
      <c r="Q500" s="1733"/>
      <c r="T500" s="526"/>
      <c r="U500" s="526"/>
      <c r="V500" s="526"/>
      <c r="W500" s="526"/>
    </row>
    <row r="501" spans="1:23" s="1952" customFormat="1" ht="14">
      <c r="A501" s="1733"/>
      <c r="B501" s="559"/>
      <c r="C501" s="1043" t="s">
        <v>921</v>
      </c>
      <c r="D501" s="1063" t="s">
        <v>962</v>
      </c>
      <c r="E501" s="1733"/>
      <c r="F501" s="619">
        <f t="shared" si="124"/>
        <v>21.098371372601996</v>
      </c>
      <c r="G501" s="619">
        <f t="shared" si="124"/>
        <v>22.928982890580606</v>
      </c>
      <c r="H501" s="619">
        <f t="shared" si="124"/>
        <v>24.548081415747976</v>
      </c>
      <c r="I501" s="619">
        <f t="shared" si="124"/>
        <v>21.976591604970771</v>
      </c>
      <c r="J501" s="619">
        <f t="shared" si="124"/>
        <v>22.718109351470005</v>
      </c>
      <c r="K501" s="619">
        <f t="shared" si="124"/>
        <v>20.750216561348399</v>
      </c>
      <c r="L501" s="619">
        <f t="shared" si="124"/>
        <v>19.641978007258835</v>
      </c>
      <c r="M501" s="619">
        <f t="shared" si="124"/>
        <v>18.089820398341331</v>
      </c>
      <c r="N501" s="619">
        <f t="shared" si="124"/>
        <v>16.285399273652278</v>
      </c>
      <c r="O501" s="619">
        <f t="shared" si="124"/>
        <v>14.230986871387465</v>
      </c>
      <c r="P501" s="1733"/>
      <c r="Q501" s="1733"/>
      <c r="T501" s="526"/>
      <c r="U501" s="526"/>
      <c r="V501" s="526"/>
      <c r="W501" s="526"/>
    </row>
    <row r="502" spans="1:23" s="1952" customFormat="1" ht="14">
      <c r="A502" s="1733"/>
      <c r="B502" s="559"/>
      <c r="C502" s="1732" t="s">
        <v>921</v>
      </c>
      <c r="D502" s="1063" t="s">
        <v>963</v>
      </c>
      <c r="E502" s="1733"/>
      <c r="F502" s="619">
        <f t="shared" si="124"/>
        <v>39.182689691975142</v>
      </c>
      <c r="G502" s="619">
        <f t="shared" si="124"/>
        <v>40.174648222311461</v>
      </c>
      <c r="H502" s="619">
        <f t="shared" si="124"/>
        <v>43.011525636205995</v>
      </c>
      <c r="I502" s="619">
        <f t="shared" si="124"/>
        <v>51.945361316609642</v>
      </c>
      <c r="J502" s="619">
        <f t="shared" si="124"/>
        <v>57.559526339007903</v>
      </c>
      <c r="K502" s="619">
        <f t="shared" si="124"/>
        <v>65.05667865285217</v>
      </c>
      <c r="L502" s="619">
        <f t="shared" si="124"/>
        <v>71.735106499122779</v>
      </c>
      <c r="M502" s="619">
        <f t="shared" si="124"/>
        <v>78.088741463030999</v>
      </c>
      <c r="N502" s="619">
        <f t="shared" si="124"/>
        <v>84.730381322969009</v>
      </c>
      <c r="O502" s="619">
        <f t="shared" si="124"/>
        <v>91.696111873996557</v>
      </c>
      <c r="P502" s="1733"/>
      <c r="Q502" s="1733"/>
      <c r="T502" s="526"/>
      <c r="U502" s="526"/>
      <c r="V502" s="526"/>
      <c r="W502" s="526"/>
    </row>
    <row r="503" spans="1:23" s="1952" customFormat="1" ht="14">
      <c r="A503" s="1733"/>
      <c r="B503" s="559"/>
      <c r="C503" s="1732" t="s">
        <v>922</v>
      </c>
      <c r="D503" s="1063" t="s">
        <v>922</v>
      </c>
      <c r="E503" s="1733"/>
      <c r="F503" s="619">
        <f t="shared" si="124"/>
        <v>9.8101238559679818</v>
      </c>
      <c r="G503" s="619">
        <f t="shared" si="124"/>
        <v>10.578163845696846</v>
      </c>
      <c r="H503" s="619">
        <f t="shared" si="124"/>
        <v>11.837969540882924</v>
      </c>
      <c r="I503" s="619">
        <f t="shared" si="124"/>
        <v>13.467570119155358</v>
      </c>
      <c r="J503" s="619">
        <f t="shared" si="124"/>
        <v>15.140162813906029</v>
      </c>
      <c r="K503" s="619">
        <f t="shared" si="124"/>
        <v>16.691104307842981</v>
      </c>
      <c r="L503" s="619">
        <f t="shared" si="124"/>
        <v>18.27595559225761</v>
      </c>
      <c r="M503" s="619">
        <f t="shared" si="124"/>
        <v>19.726546268626215</v>
      </c>
      <c r="N503" s="619">
        <f t="shared" si="124"/>
        <v>21.198337653816633</v>
      </c>
      <c r="O503" s="619">
        <f t="shared" si="124"/>
        <v>22.698664016868001</v>
      </c>
      <c r="P503" s="1733"/>
      <c r="Q503" s="1733"/>
      <c r="T503" s="526"/>
      <c r="U503" s="526"/>
      <c r="V503" s="526"/>
      <c r="W503" s="526"/>
    </row>
    <row r="504" spans="1:23" s="1952" customFormat="1" ht="14">
      <c r="A504" s="1733"/>
      <c r="B504" s="559"/>
      <c r="C504" s="1732"/>
      <c r="D504" s="1063"/>
      <c r="E504" s="1733"/>
      <c r="F504" s="619"/>
      <c r="G504" s="619"/>
      <c r="H504" s="619"/>
      <c r="I504" s="619"/>
      <c r="J504" s="619"/>
      <c r="K504" s="619"/>
      <c r="L504" s="619"/>
      <c r="M504" s="619"/>
      <c r="N504" s="619"/>
      <c r="O504" s="619"/>
      <c r="P504" s="1733"/>
      <c r="Q504" s="1733"/>
      <c r="T504" s="526"/>
      <c r="U504" s="526"/>
      <c r="V504" s="526"/>
      <c r="W504" s="526"/>
    </row>
    <row r="505" spans="1:23" s="1952" customFormat="1" ht="14">
      <c r="A505" s="1733"/>
      <c r="B505" s="1733" t="s">
        <v>1586</v>
      </c>
      <c r="C505" s="1733" t="s">
        <v>1588</v>
      </c>
      <c r="D505" s="1733"/>
      <c r="E505" s="1733"/>
      <c r="F505" s="623"/>
      <c r="G505" s="623"/>
      <c r="H505" s="623"/>
      <c r="I505" s="623"/>
      <c r="J505" s="623"/>
      <c r="K505" s="623"/>
      <c r="L505" s="623"/>
      <c r="M505" s="623"/>
      <c r="N505" s="623"/>
      <c r="O505" s="623"/>
      <c r="P505" s="1733"/>
      <c r="Q505" s="1733"/>
      <c r="T505" s="526"/>
      <c r="U505" s="526"/>
      <c r="V505" s="526"/>
      <c r="W505" s="526"/>
    </row>
    <row r="506" spans="1:23" s="1952" customFormat="1" ht="14">
      <c r="A506" s="1733"/>
      <c r="B506" s="559"/>
      <c r="C506" s="1733"/>
      <c r="D506" s="1733"/>
      <c r="E506" s="1733"/>
      <c r="F506" s="623"/>
      <c r="G506" s="623"/>
      <c r="H506" s="623"/>
      <c r="I506" s="623"/>
      <c r="J506" s="623"/>
      <c r="K506" s="623"/>
      <c r="L506" s="623"/>
      <c r="M506" s="623"/>
      <c r="N506" s="623"/>
      <c r="O506" s="623"/>
      <c r="P506" s="1733"/>
      <c r="Q506" s="1733"/>
      <c r="T506" s="526"/>
      <c r="U506" s="526"/>
      <c r="V506" s="526"/>
      <c r="W506" s="526"/>
    </row>
    <row r="507" spans="1:23" s="1952" customFormat="1" ht="14">
      <c r="A507" s="1733"/>
      <c r="B507" s="1043"/>
      <c r="C507" s="17" t="s">
        <v>970</v>
      </c>
      <c r="D507" s="20"/>
      <c r="E507" s="1733"/>
      <c r="F507" s="623"/>
      <c r="G507" s="623"/>
      <c r="H507" s="623"/>
      <c r="I507" s="623"/>
      <c r="J507" s="623"/>
      <c r="K507" s="623"/>
      <c r="L507" s="623"/>
      <c r="M507" s="623"/>
      <c r="N507" s="623"/>
      <c r="O507" s="1732" t="s">
        <v>1589</v>
      </c>
      <c r="P507" s="1733"/>
      <c r="Q507" s="1733"/>
      <c r="T507" s="526"/>
      <c r="U507" s="526"/>
      <c r="V507" s="526"/>
      <c r="W507" s="526"/>
    </row>
    <row r="508" spans="1:23" s="1952" customFormat="1" ht="14">
      <c r="A508" s="1733"/>
      <c r="B508" s="559"/>
      <c r="C508" s="1043" t="s">
        <v>906</v>
      </c>
      <c r="D508" s="1954" t="s">
        <v>657</v>
      </c>
      <c r="E508" s="1733"/>
      <c r="F508" s="623"/>
      <c r="G508" s="623"/>
      <c r="H508" s="623"/>
      <c r="I508" s="623"/>
      <c r="J508" s="623"/>
      <c r="K508" s="623"/>
      <c r="L508" s="623"/>
      <c r="M508" s="623"/>
      <c r="N508" s="623"/>
      <c r="O508" s="623"/>
      <c r="P508" s="1733"/>
      <c r="Q508" s="1733"/>
      <c r="T508" s="526"/>
      <c r="U508" s="526"/>
      <c r="V508" s="1206"/>
      <c r="W508" s="526"/>
    </row>
    <row r="509" spans="1:23" s="1952" customFormat="1" ht="14">
      <c r="A509" s="1733"/>
      <c r="B509" s="559"/>
      <c r="C509" s="1732" t="s">
        <v>920</v>
      </c>
      <c r="D509" s="17" t="s">
        <v>920</v>
      </c>
      <c r="E509" s="1733"/>
      <c r="F509" s="619">
        <f t="shared" ref="F509:O509" si="125">F492/F$315</f>
        <v>4.3722853834072355</v>
      </c>
      <c r="G509" s="619">
        <f t="shared" si="125"/>
        <v>7.0147903577506865</v>
      </c>
      <c r="H509" s="619">
        <f t="shared" si="125"/>
        <v>11.513828506794304</v>
      </c>
      <c r="I509" s="619">
        <f t="shared" si="125"/>
        <v>16.647053605737856</v>
      </c>
      <c r="J509" s="619">
        <f t="shared" si="125"/>
        <v>22.126478269727748</v>
      </c>
      <c r="K509" s="619">
        <f t="shared" si="125"/>
        <v>27.647198625831294</v>
      </c>
      <c r="L509" s="619">
        <f t="shared" si="125"/>
        <v>33.385200392241792</v>
      </c>
      <c r="M509" s="619">
        <f t="shared" si="125"/>
        <v>38.995616809244332</v>
      </c>
      <c r="N509" s="619">
        <f t="shared" si="125"/>
        <v>44.729618510515785</v>
      </c>
      <c r="O509" s="619">
        <f t="shared" si="125"/>
        <v>50.598564759886898</v>
      </c>
      <c r="P509" s="1733"/>
      <c r="Q509" s="1733"/>
      <c r="T509" s="1733"/>
      <c r="U509" s="1733"/>
      <c r="V509" s="2013"/>
      <c r="W509" s="1733"/>
    </row>
    <row r="510" spans="1:23" s="1952" customFormat="1" ht="14">
      <c r="A510" s="1733"/>
      <c r="B510" s="559"/>
      <c r="C510" s="1043" t="s">
        <v>918</v>
      </c>
      <c r="D510" s="1063" t="s">
        <v>923</v>
      </c>
      <c r="E510" s="1733"/>
      <c r="F510" s="619">
        <f t="shared" ref="F510:O513" si="126">F493/F$316</f>
        <v>492.28572176438809</v>
      </c>
      <c r="G510" s="619">
        <f t="shared" si="126"/>
        <v>490.60881182735494</v>
      </c>
      <c r="H510" s="619">
        <f t="shared" si="126"/>
        <v>477.11018470758125</v>
      </c>
      <c r="I510" s="619">
        <f t="shared" si="126"/>
        <v>474.54635016549599</v>
      </c>
      <c r="J510" s="619">
        <f t="shared" si="126"/>
        <v>346.00913472338141</v>
      </c>
      <c r="K510" s="619">
        <f t="shared" si="126"/>
        <v>213.35114914900419</v>
      </c>
      <c r="L510" s="619">
        <f t="shared" si="126"/>
        <v>195.75845372205268</v>
      </c>
      <c r="M510" s="619">
        <f t="shared" si="126"/>
        <v>176.61309155765579</v>
      </c>
      <c r="N510" s="619">
        <f t="shared" si="126"/>
        <v>130.92200496729077</v>
      </c>
      <c r="O510" s="619">
        <f t="shared" si="126"/>
        <v>87.548717270097114</v>
      </c>
      <c r="P510" s="1733"/>
      <c r="Q510" s="1733"/>
      <c r="T510" s="526"/>
      <c r="U510" s="526"/>
      <c r="V510" s="37"/>
      <c r="W510" s="526"/>
    </row>
    <row r="511" spans="1:23" s="1952" customFormat="1" ht="14">
      <c r="A511" s="1733"/>
      <c r="B511" s="559"/>
      <c r="C511" s="1043" t="s">
        <v>918</v>
      </c>
      <c r="D511" s="17" t="s">
        <v>1116</v>
      </c>
      <c r="E511" s="1733"/>
      <c r="F511" s="619">
        <f t="shared" si="126"/>
        <v>0</v>
      </c>
      <c r="G511" s="619">
        <f t="shared" si="126"/>
        <v>0</v>
      </c>
      <c r="H511" s="619">
        <f t="shared" si="126"/>
        <v>2.4218791101907677</v>
      </c>
      <c r="I511" s="619">
        <f t="shared" si="126"/>
        <v>4.8922304140772779</v>
      </c>
      <c r="J511" s="619">
        <f t="shared" si="126"/>
        <v>111.65542999938904</v>
      </c>
      <c r="K511" s="619">
        <f t="shared" si="126"/>
        <v>215.77559402569742</v>
      </c>
      <c r="L511" s="619">
        <f t="shared" si="126"/>
        <v>182.62831353337842</v>
      </c>
      <c r="M511" s="619">
        <f t="shared" si="126"/>
        <v>148.72681394328907</v>
      </c>
      <c r="N511" s="619">
        <f t="shared" si="126"/>
        <v>144.46566065356222</v>
      </c>
      <c r="O511" s="619">
        <f t="shared" si="126"/>
        <v>140.0779476321554</v>
      </c>
      <c r="P511" s="1733"/>
      <c r="Q511" s="1733"/>
      <c r="T511" s="526"/>
      <c r="U511" s="526"/>
      <c r="V511" s="1795"/>
      <c r="W511" s="526"/>
    </row>
    <row r="512" spans="1:23" s="1952" customFormat="1" ht="14">
      <c r="A512" s="1733"/>
      <c r="B512" s="559"/>
      <c r="C512" s="1043" t="s">
        <v>918</v>
      </c>
      <c r="D512" s="1063" t="s">
        <v>924</v>
      </c>
      <c r="E512" s="1733"/>
      <c r="F512" s="619">
        <f t="shared" si="126"/>
        <v>0</v>
      </c>
      <c r="G512" s="619">
        <f t="shared" si="126"/>
        <v>0</v>
      </c>
      <c r="H512" s="619">
        <f t="shared" si="126"/>
        <v>4.8437582203815355</v>
      </c>
      <c r="I512" s="619">
        <f t="shared" si="126"/>
        <v>9.7844608281545558</v>
      </c>
      <c r="J512" s="619">
        <f t="shared" si="126"/>
        <v>33.128534175642905</v>
      </c>
      <c r="K512" s="619">
        <f t="shared" si="126"/>
        <v>55.762232163944283</v>
      </c>
      <c r="L512" s="619">
        <f t="shared" si="126"/>
        <v>99.072875969087647</v>
      </c>
      <c r="M512" s="619">
        <f t="shared" si="126"/>
        <v>139.43138807183354</v>
      </c>
      <c r="N512" s="619">
        <f t="shared" si="126"/>
        <v>176.06752392152896</v>
      </c>
      <c r="O512" s="619">
        <f t="shared" si="126"/>
        <v>210.11692144823309</v>
      </c>
      <c r="P512" s="1733"/>
      <c r="Q512" s="1733"/>
      <c r="T512" s="526"/>
      <c r="U512" s="526"/>
      <c r="V512" s="526"/>
      <c r="W512" s="526"/>
    </row>
    <row r="513" spans="1:23" s="1952" customFormat="1" ht="14">
      <c r="A513" s="1733"/>
      <c r="B513" s="559"/>
      <c r="C513" s="1043" t="s">
        <v>918</v>
      </c>
      <c r="D513" s="1063" t="s">
        <v>925</v>
      </c>
      <c r="E513" s="1733"/>
      <c r="F513" s="619">
        <f t="shared" si="126"/>
        <v>0</v>
      </c>
      <c r="G513" s="619">
        <f t="shared" si="126"/>
        <v>0</v>
      </c>
      <c r="H513" s="619">
        <f t="shared" si="126"/>
        <v>0</v>
      </c>
      <c r="I513" s="619">
        <f t="shared" si="126"/>
        <v>0</v>
      </c>
      <c r="J513" s="619">
        <f t="shared" si="126"/>
        <v>0</v>
      </c>
      <c r="K513" s="619">
        <f t="shared" si="126"/>
        <v>0</v>
      </c>
      <c r="L513" s="619">
        <f t="shared" si="126"/>
        <v>0</v>
      </c>
      <c r="M513" s="619">
        <f t="shared" si="126"/>
        <v>0</v>
      </c>
      <c r="N513" s="619">
        <f t="shared" si="126"/>
        <v>0</v>
      </c>
      <c r="O513" s="619">
        <f t="shared" si="126"/>
        <v>0</v>
      </c>
      <c r="P513" s="1733"/>
      <c r="Q513" s="1733"/>
      <c r="T513" s="526"/>
      <c r="U513" s="526"/>
      <c r="V513" s="526"/>
      <c r="W513" s="526"/>
    </row>
    <row r="514" spans="1:23" s="1952" customFormat="1" ht="14">
      <c r="A514" s="1733"/>
      <c r="B514" s="559"/>
      <c r="C514" s="1043" t="s">
        <v>919</v>
      </c>
      <c r="D514" s="1063" t="s">
        <v>923</v>
      </c>
      <c r="E514" s="1733"/>
      <c r="F514" s="619">
        <f t="shared" ref="F514:O517" si="127">F497/F$317</f>
        <v>5.6631906917049442</v>
      </c>
      <c r="G514" s="619">
        <f t="shared" si="127"/>
        <v>6.1322319041208173</v>
      </c>
      <c r="H514" s="619">
        <f t="shared" si="127"/>
        <v>4.9666833996410729</v>
      </c>
      <c r="I514" s="619">
        <f t="shared" si="127"/>
        <v>3.4171765369520988</v>
      </c>
      <c r="J514" s="619">
        <f t="shared" si="127"/>
        <v>1.8841306405169373</v>
      </c>
      <c r="K514" s="619">
        <f t="shared" si="127"/>
        <v>0</v>
      </c>
      <c r="L514" s="619">
        <f t="shared" si="127"/>
        <v>0</v>
      </c>
      <c r="M514" s="619">
        <f t="shared" si="127"/>
        <v>0</v>
      </c>
      <c r="N514" s="619">
        <f t="shared" si="127"/>
        <v>0</v>
      </c>
      <c r="O514" s="619">
        <f t="shared" si="127"/>
        <v>0</v>
      </c>
      <c r="P514" s="1733"/>
      <c r="Q514" s="1733"/>
      <c r="T514" s="526"/>
      <c r="U514" s="526"/>
      <c r="V514" s="526"/>
      <c r="W514" s="526"/>
    </row>
    <row r="515" spans="1:23" s="1952" customFormat="1" ht="14">
      <c r="A515" s="1733"/>
      <c r="B515" s="559"/>
      <c r="C515" s="1043" t="s">
        <v>919</v>
      </c>
      <c r="D515" s="17" t="s">
        <v>1117</v>
      </c>
      <c r="E515" s="1733"/>
      <c r="F515" s="619">
        <f t="shared" si="127"/>
        <v>0</v>
      </c>
      <c r="G515" s="619">
        <f t="shared" si="127"/>
        <v>6.8204803786985832E-2</v>
      </c>
      <c r="H515" s="619">
        <f t="shared" si="127"/>
        <v>1.8904089905937229</v>
      </c>
      <c r="I515" s="619">
        <f t="shared" si="127"/>
        <v>4.171312048555321</v>
      </c>
      <c r="J515" s="619">
        <f t="shared" si="127"/>
        <v>6.3064234772245076</v>
      </c>
      <c r="K515" s="619">
        <f t="shared" si="127"/>
        <v>8.6179266116009963</v>
      </c>
      <c r="L515" s="619">
        <f t="shared" si="127"/>
        <v>8.8528484112551524</v>
      </c>
      <c r="M515" s="619">
        <f t="shared" si="127"/>
        <v>8.9354235424689268</v>
      </c>
      <c r="N515" s="619">
        <f t="shared" si="127"/>
        <v>8.8753039647858465</v>
      </c>
      <c r="O515" s="619">
        <f t="shared" si="127"/>
        <v>8.7588019404771611</v>
      </c>
      <c r="P515" s="1733"/>
      <c r="Q515" s="1733"/>
      <c r="T515" s="526"/>
      <c r="U515" s="526"/>
      <c r="V515" s="526"/>
      <c r="W515" s="526"/>
    </row>
    <row r="516" spans="1:23" s="1952" customFormat="1" ht="14">
      <c r="A516" s="1733"/>
      <c r="B516" s="559"/>
      <c r="C516" s="1043" t="s">
        <v>919</v>
      </c>
      <c r="D516" s="1063" t="s">
        <v>924</v>
      </c>
      <c r="E516" s="1733"/>
      <c r="F516" s="619">
        <f t="shared" si="127"/>
        <v>0</v>
      </c>
      <c r="G516" s="619">
        <f t="shared" si="127"/>
        <v>0</v>
      </c>
      <c r="H516" s="619">
        <f t="shared" si="127"/>
        <v>0.11858654184536271</v>
      </c>
      <c r="I516" s="619">
        <f t="shared" si="127"/>
        <v>0.2670896603594744</v>
      </c>
      <c r="J516" s="619">
        <f t="shared" si="127"/>
        <v>0.47211549383068085</v>
      </c>
      <c r="K516" s="619">
        <f t="shared" si="127"/>
        <v>0.6987508063460266</v>
      </c>
      <c r="L516" s="619">
        <f t="shared" si="127"/>
        <v>1.066309472504122</v>
      </c>
      <c r="M516" s="619">
        <f t="shared" si="127"/>
        <v>1.454603832494942</v>
      </c>
      <c r="N516" s="619">
        <f t="shared" si="127"/>
        <v>1.948237455684698</v>
      </c>
      <c r="O516" s="619">
        <f t="shared" si="127"/>
        <v>2.4704313165448402</v>
      </c>
      <c r="P516" s="1733"/>
      <c r="Q516" s="1733"/>
      <c r="T516" s="526"/>
      <c r="U516" s="526"/>
      <c r="V516" s="526"/>
      <c r="W516" s="526"/>
    </row>
    <row r="517" spans="1:23" s="1952" customFormat="1" ht="14">
      <c r="A517" s="1733"/>
      <c r="B517" s="559"/>
      <c r="C517" s="1043" t="s">
        <v>919</v>
      </c>
      <c r="D517" s="17" t="s">
        <v>925</v>
      </c>
      <c r="E517" s="1733"/>
      <c r="F517" s="619">
        <f t="shared" si="127"/>
        <v>0</v>
      </c>
      <c r="G517" s="619">
        <f t="shared" si="127"/>
        <v>0</v>
      </c>
      <c r="H517" s="619">
        <f t="shared" si="127"/>
        <v>0</v>
      </c>
      <c r="I517" s="619">
        <f t="shared" si="127"/>
        <v>0</v>
      </c>
      <c r="J517" s="619">
        <f t="shared" si="127"/>
        <v>0</v>
      </c>
      <c r="K517" s="619">
        <f t="shared" si="127"/>
        <v>0</v>
      </c>
      <c r="L517" s="619">
        <f t="shared" si="127"/>
        <v>0</v>
      </c>
      <c r="M517" s="619">
        <f t="shared" si="127"/>
        <v>0</v>
      </c>
      <c r="N517" s="619">
        <f t="shared" si="127"/>
        <v>0</v>
      </c>
      <c r="O517" s="619">
        <f t="shared" si="127"/>
        <v>0</v>
      </c>
      <c r="P517" s="1733"/>
      <c r="Q517" s="1733"/>
      <c r="T517" s="526"/>
      <c r="U517" s="526"/>
      <c r="V517" s="526"/>
      <c r="W517" s="526"/>
    </row>
    <row r="518" spans="1:23" s="1952" customFormat="1" ht="14">
      <c r="A518" s="1733"/>
      <c r="B518" s="559"/>
      <c r="C518" s="1043" t="s">
        <v>921</v>
      </c>
      <c r="D518" s="1063" t="s">
        <v>962</v>
      </c>
      <c r="E518" s="1733"/>
      <c r="F518" s="619">
        <f>F501/20</f>
        <v>1.0549185686300997</v>
      </c>
      <c r="G518" s="619">
        <f t="shared" ref="G518:O519" si="128">G501/20</f>
        <v>1.1464491445290304</v>
      </c>
      <c r="H518" s="619">
        <f t="shared" si="128"/>
        <v>1.2274040707873988</v>
      </c>
      <c r="I518" s="619">
        <f t="shared" si="128"/>
        <v>1.0988295802485386</v>
      </c>
      <c r="J518" s="619">
        <f t="shared" si="128"/>
        <v>1.1359054675735003</v>
      </c>
      <c r="K518" s="619">
        <f t="shared" si="128"/>
        <v>1.0375108280674199</v>
      </c>
      <c r="L518" s="619">
        <f t="shared" si="128"/>
        <v>0.98209890036294178</v>
      </c>
      <c r="M518" s="619">
        <f t="shared" si="128"/>
        <v>0.9044910199170666</v>
      </c>
      <c r="N518" s="619">
        <f t="shared" si="128"/>
        <v>0.81426996368261384</v>
      </c>
      <c r="O518" s="619">
        <f t="shared" si="128"/>
        <v>0.71154934356937327</v>
      </c>
      <c r="P518" s="619"/>
      <c r="Q518" s="1733"/>
      <c r="T518" s="526"/>
      <c r="U518" s="526"/>
      <c r="V518" s="526"/>
      <c r="W518" s="526"/>
    </row>
    <row r="519" spans="1:23" s="1952" customFormat="1" ht="14">
      <c r="A519" s="1733"/>
      <c r="B519" s="559"/>
      <c r="C519" s="1732" t="s">
        <v>921</v>
      </c>
      <c r="D519" s="1063" t="s">
        <v>963</v>
      </c>
      <c r="E519" s="1733"/>
      <c r="F519" s="619">
        <f>F502/20</f>
        <v>1.9591344845987571</v>
      </c>
      <c r="G519" s="619">
        <f t="shared" si="128"/>
        <v>2.0087324111155729</v>
      </c>
      <c r="H519" s="619">
        <f t="shared" si="128"/>
        <v>2.1505762818102996</v>
      </c>
      <c r="I519" s="619">
        <f t="shared" si="128"/>
        <v>2.5972680658304821</v>
      </c>
      <c r="J519" s="619">
        <f t="shared" si="128"/>
        <v>2.8779763169503951</v>
      </c>
      <c r="K519" s="619">
        <f t="shared" si="128"/>
        <v>3.2528339326426083</v>
      </c>
      <c r="L519" s="619">
        <f t="shared" si="128"/>
        <v>3.586755324956139</v>
      </c>
      <c r="M519" s="619">
        <f t="shared" si="128"/>
        <v>3.9044370731515499</v>
      </c>
      <c r="N519" s="619">
        <f t="shared" si="128"/>
        <v>4.2365190661484506</v>
      </c>
      <c r="O519" s="619">
        <f t="shared" si="128"/>
        <v>4.5848055936998282</v>
      </c>
      <c r="P519" s="619"/>
      <c r="Q519" s="1733"/>
      <c r="T519" s="526"/>
      <c r="U519" s="526"/>
      <c r="V519" s="526"/>
      <c r="W519" s="526"/>
    </row>
    <row r="520" spans="1:23" s="1952" customFormat="1" ht="14">
      <c r="A520" s="1733"/>
      <c r="B520" s="559"/>
      <c r="C520" s="1732" t="s">
        <v>922</v>
      </c>
      <c r="D520" s="1063" t="s">
        <v>922</v>
      </c>
      <c r="E520" s="1733"/>
      <c r="F520" s="619">
        <f>F503/64.8</f>
        <v>0.15139080024641949</v>
      </c>
      <c r="G520" s="619">
        <f t="shared" ref="G520:O520" si="129">G503/64.8</f>
        <v>0.16324326922371676</v>
      </c>
      <c r="H520" s="619">
        <f t="shared" si="129"/>
        <v>0.18268471513708215</v>
      </c>
      <c r="I520" s="619">
        <f t="shared" si="129"/>
        <v>0.20783287220918764</v>
      </c>
      <c r="J520" s="619">
        <f t="shared" si="129"/>
        <v>0.2336444878689202</v>
      </c>
      <c r="K520" s="619">
        <f t="shared" si="129"/>
        <v>0.25757877018276204</v>
      </c>
      <c r="L520" s="619">
        <f t="shared" si="129"/>
        <v>0.28203635173237052</v>
      </c>
      <c r="M520" s="619">
        <f t="shared" si="129"/>
        <v>0.30442201031830579</v>
      </c>
      <c r="N520" s="619">
        <f t="shared" si="129"/>
        <v>0.32713484033667645</v>
      </c>
      <c r="O520" s="619">
        <f t="shared" si="129"/>
        <v>0.35028802495166672</v>
      </c>
      <c r="P520" s="1733"/>
      <c r="Q520" s="1733"/>
      <c r="T520" s="526"/>
      <c r="U520" s="526"/>
      <c r="V520" s="526"/>
      <c r="W520" s="526"/>
    </row>
    <row r="521" spans="1:23" s="1952" customFormat="1" ht="14">
      <c r="A521" s="1733"/>
      <c r="B521" s="559"/>
      <c r="C521" s="1732"/>
      <c r="D521" s="1063"/>
      <c r="E521" s="1733"/>
      <c r="F521" s="619"/>
      <c r="G521" s="619"/>
      <c r="H521" s="619"/>
      <c r="I521" s="619"/>
      <c r="J521" s="619"/>
      <c r="K521" s="619"/>
      <c r="L521" s="619"/>
      <c r="M521" s="619"/>
      <c r="N521" s="619"/>
      <c r="O521" s="619"/>
      <c r="P521" s="1733"/>
      <c r="Q521" s="1733"/>
      <c r="T521" s="526"/>
      <c r="U521" s="526"/>
      <c r="V521" s="526"/>
      <c r="W521" s="526"/>
    </row>
    <row r="522" spans="1:23" s="1952" customFormat="1" ht="14">
      <c r="A522" s="1733"/>
      <c r="B522" s="1733" t="s">
        <v>1587</v>
      </c>
      <c r="C522" s="1733" t="s">
        <v>1663</v>
      </c>
      <c r="D522" s="1733"/>
      <c r="E522" s="1733"/>
      <c r="F522" s="623"/>
      <c r="G522" s="623"/>
      <c r="H522" s="623"/>
      <c r="I522" s="623"/>
      <c r="J522" s="623"/>
      <c r="K522" s="623"/>
      <c r="L522" s="623"/>
      <c r="M522" s="623"/>
      <c r="N522" s="623"/>
      <c r="O522" s="623"/>
      <c r="P522" s="1733"/>
      <c r="Q522" s="1733"/>
      <c r="T522" s="526"/>
      <c r="U522" s="526"/>
      <c r="V522" s="526"/>
      <c r="W522" s="526"/>
    </row>
    <row r="523" spans="1:23" s="1952" customFormat="1" ht="14">
      <c r="A523" s="1733"/>
      <c r="B523" s="559"/>
      <c r="C523" s="1733"/>
      <c r="D523" s="1733"/>
      <c r="E523" s="1733"/>
      <c r="F523" s="623"/>
      <c r="G523" s="623"/>
      <c r="H523" s="623"/>
      <c r="I523" s="623"/>
      <c r="J523" s="623"/>
      <c r="K523" s="623"/>
      <c r="L523" s="623"/>
      <c r="M523" s="623"/>
      <c r="N523" s="623"/>
      <c r="O523" s="623"/>
      <c r="P523" s="1733"/>
      <c r="Q523" s="1733"/>
      <c r="T523" s="526"/>
      <c r="U523" s="526"/>
      <c r="V523" s="526"/>
      <c r="W523" s="526"/>
    </row>
    <row r="524" spans="1:23" s="1952" customFormat="1" ht="14">
      <c r="A524" s="1733"/>
      <c r="B524" s="1043"/>
      <c r="C524" s="17" t="s">
        <v>970</v>
      </c>
      <c r="D524" s="20"/>
      <c r="E524" s="1733"/>
      <c r="F524" s="623"/>
      <c r="G524" s="623"/>
      <c r="H524" s="623"/>
      <c r="I524" s="623"/>
      <c r="J524" s="623"/>
      <c r="K524" s="623"/>
      <c r="L524" s="623"/>
      <c r="M524" s="623"/>
      <c r="N524" s="623"/>
      <c r="O524" s="1732" t="s">
        <v>1591</v>
      </c>
      <c r="P524" s="1733"/>
      <c r="Q524" s="1733"/>
      <c r="R524" s="526"/>
      <c r="S524" s="526"/>
      <c r="T524" s="526"/>
      <c r="U524" s="526"/>
    </row>
    <row r="525" spans="1:23" s="1952" customFormat="1" ht="14">
      <c r="A525" s="1733"/>
      <c r="B525" s="559"/>
      <c r="C525" s="1043" t="s">
        <v>906</v>
      </c>
      <c r="D525" s="1954" t="s">
        <v>657</v>
      </c>
      <c r="E525" s="1733"/>
      <c r="F525" s="1798">
        <v>2007</v>
      </c>
      <c r="G525" s="1798">
        <v>2010</v>
      </c>
      <c r="H525" s="1798">
        <v>2015</v>
      </c>
      <c r="I525" s="1798">
        <v>2020</v>
      </c>
      <c r="J525" s="1798">
        <v>2025</v>
      </c>
      <c r="K525" s="1798">
        <v>2030</v>
      </c>
      <c r="L525" s="1798">
        <v>2035</v>
      </c>
      <c r="M525" s="1798">
        <v>2040</v>
      </c>
      <c r="N525" s="1798">
        <v>2045</v>
      </c>
      <c r="O525" s="1798">
        <v>2050</v>
      </c>
      <c r="P525" s="1733"/>
      <c r="Q525" s="1733"/>
      <c r="R525" s="526"/>
      <c r="S525" s="526"/>
      <c r="T525" s="526"/>
      <c r="U525" s="526"/>
    </row>
    <row r="526" spans="1:23" s="1952" customFormat="1" ht="14">
      <c r="A526" s="1733"/>
      <c r="B526" s="559"/>
      <c r="C526" s="1732" t="s">
        <v>920</v>
      </c>
      <c r="D526" s="17" t="s">
        <v>920</v>
      </c>
      <c r="E526" s="1733"/>
      <c r="F526" s="619">
        <f>F325/1000</f>
        <v>24389.200000000001</v>
      </c>
      <c r="G526" s="619">
        <f t="shared" ref="G526:O526" si="130">G325/1000</f>
        <v>24888.961200000002</v>
      </c>
      <c r="H526" s="619">
        <f t="shared" si="130"/>
        <v>30563.474100000003</v>
      </c>
      <c r="I526" s="619">
        <f t="shared" si="130"/>
        <v>38675.559302325586</v>
      </c>
      <c r="J526" s="619">
        <f t="shared" si="130"/>
        <v>44700.715906976744</v>
      </c>
      <c r="K526" s="619">
        <f t="shared" si="130"/>
        <v>50880.131302325579</v>
      </c>
      <c r="L526" s="619">
        <f t="shared" si="130"/>
        <v>57150.228372093035</v>
      </c>
      <c r="M526" s="619">
        <f t="shared" si="130"/>
        <v>63548.147930232553</v>
      </c>
      <c r="N526" s="619">
        <f t="shared" si="130"/>
        <v>70099.030697674418</v>
      </c>
      <c r="O526" s="619">
        <f t="shared" si="130"/>
        <v>76789.482999999993</v>
      </c>
      <c r="P526" s="1733"/>
      <c r="Q526" s="1733"/>
      <c r="R526" s="1733"/>
      <c r="S526" s="1733"/>
      <c r="T526" s="1733"/>
      <c r="U526" s="1733"/>
    </row>
    <row r="527" spans="1:23" s="1952" customFormat="1" ht="14">
      <c r="A527" s="1733"/>
      <c r="B527" s="559"/>
      <c r="C527" s="1043" t="s">
        <v>918</v>
      </c>
      <c r="D527" s="1063" t="s">
        <v>923</v>
      </c>
      <c r="E527" s="1733"/>
      <c r="F527" s="619">
        <f t="shared" ref="F527:O534" si="131">F510*1000000/INDEX(F$140:F$144,MATCH($C527,$C$140:$C$144,0))</f>
        <v>33995.284977859825</v>
      </c>
      <c r="G527" s="619">
        <f t="shared" si="131"/>
        <v>33879.484277836818</v>
      </c>
      <c r="H527" s="619">
        <f t="shared" si="131"/>
        <v>32947.323023795405</v>
      </c>
      <c r="I527" s="619">
        <f t="shared" si="131"/>
        <v>32770.274854326082</v>
      </c>
      <c r="J527" s="619">
        <f t="shared" si="131"/>
        <v>23894.00833667436</v>
      </c>
      <c r="K527" s="619">
        <f t="shared" si="131"/>
        <v>14733.177898557018</v>
      </c>
      <c r="L527" s="619">
        <f t="shared" si="131"/>
        <v>13518.296645401055</v>
      </c>
      <c r="M527" s="619">
        <f t="shared" si="131"/>
        <v>12196.194431161921</v>
      </c>
      <c r="N527" s="619">
        <f t="shared" si="131"/>
        <v>9040.9505536420675</v>
      </c>
      <c r="O527" s="619">
        <f t="shared" si="131"/>
        <v>6045.7646067327614</v>
      </c>
      <c r="P527" s="1733"/>
      <c r="Q527" s="1733"/>
      <c r="R527" s="526"/>
      <c r="S527" s="526"/>
      <c r="T527" s="526"/>
      <c r="U527" s="526"/>
    </row>
    <row r="528" spans="1:23" s="1779" customFormat="1" ht="14">
      <c r="A528" s="1733"/>
      <c r="B528" s="559"/>
      <c r="C528" s="1043" t="s">
        <v>918</v>
      </c>
      <c r="D528" s="17" t="s">
        <v>1116</v>
      </c>
      <c r="E528" s="1733"/>
      <c r="F528" s="619">
        <f t="shared" si="131"/>
        <v>0</v>
      </c>
      <c r="G528" s="619">
        <f t="shared" si="131"/>
        <v>0</v>
      </c>
      <c r="H528" s="619">
        <f t="shared" si="131"/>
        <v>167.24529453703252</v>
      </c>
      <c r="I528" s="619">
        <f t="shared" si="131"/>
        <v>337.83788509614516</v>
      </c>
      <c r="J528" s="619">
        <f t="shared" si="131"/>
        <v>7710.4778675083926</v>
      </c>
      <c r="K528" s="619">
        <f t="shared" si="131"/>
        <v>14900.600374676984</v>
      </c>
      <c r="L528" s="619">
        <f t="shared" si="131"/>
        <v>12611.581626502204</v>
      </c>
      <c r="M528" s="619">
        <f t="shared" si="131"/>
        <v>10270.479520978459</v>
      </c>
      <c r="N528" s="619">
        <f t="shared" si="131"/>
        <v>9976.2213005705562</v>
      </c>
      <c r="O528" s="619">
        <f t="shared" si="131"/>
        <v>9673.223370772419</v>
      </c>
      <c r="P528" s="1733"/>
      <c r="Q528" s="1733"/>
      <c r="R528" s="526"/>
      <c r="S528" s="526"/>
      <c r="T528" s="526"/>
      <c r="U528" s="526"/>
    </row>
    <row r="529" spans="1:21" s="1711" customFormat="1" ht="14">
      <c r="A529" s="1733"/>
      <c r="B529" s="559"/>
      <c r="C529" s="1043" t="s">
        <v>918</v>
      </c>
      <c r="D529" s="1063" t="s">
        <v>924</v>
      </c>
      <c r="E529" s="1733"/>
      <c r="F529" s="619">
        <f t="shared" si="131"/>
        <v>0</v>
      </c>
      <c r="G529" s="619">
        <f t="shared" si="131"/>
        <v>0</v>
      </c>
      <c r="H529" s="619">
        <f t="shared" si="131"/>
        <v>334.49058907406504</v>
      </c>
      <c r="I529" s="619">
        <f t="shared" si="131"/>
        <v>675.67577019229032</v>
      </c>
      <c r="J529" s="619">
        <f t="shared" si="131"/>
        <v>2287.7242024475454</v>
      </c>
      <c r="K529" s="619">
        <f t="shared" si="131"/>
        <v>3850.7169507592212</v>
      </c>
      <c r="L529" s="619">
        <f t="shared" si="131"/>
        <v>6841.5769607822422</v>
      </c>
      <c r="M529" s="619">
        <f t="shared" si="131"/>
        <v>9628.5745509173084</v>
      </c>
      <c r="N529" s="619">
        <f t="shared" si="131"/>
        <v>12158.519710070366</v>
      </c>
      <c r="O529" s="619">
        <f t="shared" si="131"/>
        <v>14509.835056158629</v>
      </c>
      <c r="P529" s="1733"/>
      <c r="Q529" s="1733"/>
      <c r="R529" s="526"/>
      <c r="S529" s="526"/>
      <c r="T529" s="526"/>
      <c r="U529" s="526"/>
    </row>
    <row r="530" spans="1:21" s="1711" customFormat="1" ht="14">
      <c r="A530" s="1733"/>
      <c r="B530" s="559"/>
      <c r="C530" s="1043" t="s">
        <v>918</v>
      </c>
      <c r="D530" s="1063" t="s">
        <v>925</v>
      </c>
      <c r="E530" s="1733"/>
      <c r="F530" s="619">
        <f t="shared" si="131"/>
        <v>0</v>
      </c>
      <c r="G530" s="619">
        <f t="shared" si="131"/>
        <v>0</v>
      </c>
      <c r="H530" s="619">
        <f t="shared" si="131"/>
        <v>0</v>
      </c>
      <c r="I530" s="619">
        <f t="shared" si="131"/>
        <v>0</v>
      </c>
      <c r="J530" s="619">
        <f t="shared" si="131"/>
        <v>0</v>
      </c>
      <c r="K530" s="619">
        <f t="shared" si="131"/>
        <v>0</v>
      </c>
      <c r="L530" s="619">
        <f t="shared" si="131"/>
        <v>0</v>
      </c>
      <c r="M530" s="619">
        <f t="shared" si="131"/>
        <v>0</v>
      </c>
      <c r="N530" s="619">
        <f t="shared" si="131"/>
        <v>0</v>
      </c>
      <c r="O530" s="619">
        <f t="shared" si="131"/>
        <v>0</v>
      </c>
      <c r="P530" s="1733"/>
      <c r="Q530" s="1733"/>
      <c r="R530" s="526"/>
      <c r="S530" s="526"/>
      <c r="T530" s="526"/>
      <c r="U530" s="526"/>
    </row>
    <row r="531" spans="1:21" s="1780" customFormat="1" ht="14">
      <c r="A531" s="1733"/>
      <c r="B531" s="559"/>
      <c r="C531" s="1043" t="s">
        <v>919</v>
      </c>
      <c r="D531" s="1063" t="s">
        <v>923</v>
      </c>
      <c r="E531" s="1733"/>
      <c r="F531" s="619">
        <f t="shared" si="131"/>
        <v>89.132170100963904</v>
      </c>
      <c r="G531" s="619">
        <f t="shared" si="131"/>
        <v>96.514344462609458</v>
      </c>
      <c r="H531" s="619">
        <f t="shared" si="131"/>
        <v>78.169938770182313</v>
      </c>
      <c r="I531" s="619">
        <f t="shared" si="131"/>
        <v>53.782465916742979</v>
      </c>
      <c r="J531" s="619">
        <f t="shared" si="131"/>
        <v>29.65406992015577</v>
      </c>
      <c r="K531" s="619">
        <f t="shared" si="131"/>
        <v>0</v>
      </c>
      <c r="L531" s="619">
        <f t="shared" si="131"/>
        <v>0</v>
      </c>
      <c r="M531" s="619">
        <f t="shared" si="131"/>
        <v>0</v>
      </c>
      <c r="N531" s="619">
        <f t="shared" si="131"/>
        <v>0</v>
      </c>
      <c r="O531" s="619">
        <f t="shared" si="131"/>
        <v>0</v>
      </c>
      <c r="P531" s="1733"/>
      <c r="Q531" s="1733"/>
      <c r="R531" s="526"/>
      <c r="S531" s="526"/>
      <c r="T531" s="526"/>
      <c r="U531" s="526"/>
    </row>
    <row r="532" spans="1:21" s="1810" customFormat="1" ht="14">
      <c r="A532" s="1733"/>
      <c r="B532" s="559"/>
      <c r="C532" s="1043" t="s">
        <v>919</v>
      </c>
      <c r="D532" s="17" t="s">
        <v>1117</v>
      </c>
      <c r="E532" s="1733"/>
      <c r="F532" s="619">
        <f t="shared" si="131"/>
        <v>0</v>
      </c>
      <c r="G532" s="619">
        <f t="shared" si="131"/>
        <v>1.0734659141442913</v>
      </c>
      <c r="H532" s="619">
        <f t="shared" si="131"/>
        <v>29.752883998201412</v>
      </c>
      <c r="I532" s="619">
        <f t="shared" si="131"/>
        <v>65.651699774231091</v>
      </c>
      <c r="J532" s="619">
        <f t="shared" si="131"/>
        <v>99.255921387923692</v>
      </c>
      <c r="K532" s="619">
        <f t="shared" si="131"/>
        <v>135.63634750776708</v>
      </c>
      <c r="L532" s="619">
        <f t="shared" si="131"/>
        <v>139.33374901640229</v>
      </c>
      <c r="M532" s="619">
        <f t="shared" si="131"/>
        <v>140.63338751387263</v>
      </c>
      <c r="N532" s="619">
        <f t="shared" si="131"/>
        <v>139.6871738480861</v>
      </c>
      <c r="O532" s="619">
        <f t="shared" si="131"/>
        <v>137.85356470209737</v>
      </c>
      <c r="P532" s="1733"/>
      <c r="Q532" s="1733"/>
      <c r="R532" s="526"/>
      <c r="S532" s="526"/>
      <c r="T532" s="526"/>
      <c r="U532" s="526"/>
    </row>
    <row r="533" spans="1:21" s="1810" customFormat="1" ht="14">
      <c r="A533" s="1733"/>
      <c r="B533" s="559"/>
      <c r="C533" s="1043" t="s">
        <v>919</v>
      </c>
      <c r="D533" s="1063" t="s">
        <v>924</v>
      </c>
      <c r="E533" s="1733"/>
      <c r="F533" s="619">
        <f t="shared" si="131"/>
        <v>0</v>
      </c>
      <c r="G533" s="619">
        <f t="shared" si="131"/>
        <v>0</v>
      </c>
      <c r="H533" s="619">
        <f t="shared" si="131"/>
        <v>1.8664170773779487</v>
      </c>
      <c r="I533" s="619">
        <f t="shared" si="131"/>
        <v>4.2036869911937051</v>
      </c>
      <c r="J533" s="619">
        <f t="shared" si="131"/>
        <v>7.430560048958573</v>
      </c>
      <c r="K533" s="619">
        <f t="shared" si="131"/>
        <v>10.99754168981895</v>
      </c>
      <c r="L533" s="619">
        <f t="shared" si="131"/>
        <v>16.782496380126886</v>
      </c>
      <c r="M533" s="619">
        <f t="shared" si="131"/>
        <v>22.893807269700208</v>
      </c>
      <c r="N533" s="619">
        <f t="shared" si="131"/>
        <v>30.663038161774995</v>
      </c>
      <c r="O533" s="619">
        <f t="shared" si="131"/>
        <v>38.881774659565927</v>
      </c>
      <c r="P533" s="1733"/>
      <c r="Q533" s="1733"/>
      <c r="R533" s="526"/>
      <c r="S533" s="526"/>
      <c r="T533" s="526"/>
      <c r="U533" s="526"/>
    </row>
    <row r="534" spans="1:21" s="1811" customFormat="1" ht="14">
      <c r="A534" s="1733"/>
      <c r="B534" s="559"/>
      <c r="C534" s="1043" t="s">
        <v>919</v>
      </c>
      <c r="D534" s="17" t="s">
        <v>925</v>
      </c>
      <c r="E534" s="1733"/>
      <c r="F534" s="619">
        <f t="shared" si="131"/>
        <v>0</v>
      </c>
      <c r="G534" s="619">
        <f t="shared" si="131"/>
        <v>0</v>
      </c>
      <c r="H534" s="619">
        <f t="shared" si="131"/>
        <v>0</v>
      </c>
      <c r="I534" s="619">
        <f t="shared" si="131"/>
        <v>0</v>
      </c>
      <c r="J534" s="619">
        <f t="shared" si="131"/>
        <v>0</v>
      </c>
      <c r="K534" s="619">
        <f t="shared" si="131"/>
        <v>0</v>
      </c>
      <c r="L534" s="619">
        <f t="shared" si="131"/>
        <v>0</v>
      </c>
      <c r="M534" s="619">
        <f t="shared" si="131"/>
        <v>0</v>
      </c>
      <c r="N534" s="619">
        <f t="shared" si="131"/>
        <v>0</v>
      </c>
      <c r="O534" s="619">
        <f t="shared" si="131"/>
        <v>0</v>
      </c>
      <c r="P534" s="1733"/>
      <c r="Q534" s="1733"/>
      <c r="R534" s="526"/>
      <c r="S534" s="526"/>
      <c r="T534" s="526"/>
      <c r="U534" s="526"/>
    </row>
    <row r="535" spans="1:21" s="1815" customFormat="1" ht="14">
      <c r="A535" s="1733"/>
      <c r="B535" s="559"/>
      <c r="C535" s="1043" t="s">
        <v>921</v>
      </c>
      <c r="D535" s="1063" t="s">
        <v>962</v>
      </c>
      <c r="E535" s="1733"/>
      <c r="F535" s="619">
        <f t="shared" ref="F535:O536" si="132">F518*1000000/INDEX(F$140:F$144,MATCH($C535,$C$140:$C$144,0))*0.8</f>
        <v>3.9252783949026973</v>
      </c>
      <c r="G535" s="619">
        <f t="shared" si="132"/>
        <v>4.2658572819684855</v>
      </c>
      <c r="H535" s="619">
        <f t="shared" si="132"/>
        <v>4.5670849145577632</v>
      </c>
      <c r="I535" s="619">
        <f t="shared" si="132"/>
        <v>4.0886682055759582</v>
      </c>
      <c r="J535" s="619">
        <f t="shared" si="132"/>
        <v>4.2266249956223261</v>
      </c>
      <c r="K535" s="619">
        <f t="shared" si="132"/>
        <v>3.8605054067624929</v>
      </c>
      <c r="L535" s="619">
        <f t="shared" si="132"/>
        <v>3.654321489722574</v>
      </c>
      <c r="M535" s="619">
        <f t="shared" si="132"/>
        <v>3.3655479810867592</v>
      </c>
      <c r="N535" s="619">
        <f t="shared" si="132"/>
        <v>3.0298417253306562</v>
      </c>
      <c r="O535" s="619">
        <f t="shared" si="132"/>
        <v>2.6476254644441797</v>
      </c>
      <c r="P535" s="1733"/>
      <c r="Q535" s="1733"/>
      <c r="R535" s="526"/>
      <c r="S535" s="526"/>
      <c r="T535" s="526"/>
      <c r="U535" s="526"/>
    </row>
    <row r="536" spans="1:21" s="1815" customFormat="1" ht="14">
      <c r="A536" s="1733"/>
      <c r="B536" s="559"/>
      <c r="C536" s="1732" t="s">
        <v>921</v>
      </c>
      <c r="D536" s="1063" t="s">
        <v>963</v>
      </c>
      <c r="E536" s="1733"/>
      <c r="F536" s="619">
        <f t="shared" si="132"/>
        <v>7.289802733390724</v>
      </c>
      <c r="G536" s="619">
        <f t="shared" si="132"/>
        <v>7.4743531576393414</v>
      </c>
      <c r="H536" s="619">
        <f t="shared" si="132"/>
        <v>8.0021443044104181</v>
      </c>
      <c r="I536" s="619">
        <f t="shared" si="132"/>
        <v>9.6642532682064459</v>
      </c>
      <c r="J536" s="619">
        <f t="shared" si="132"/>
        <v>10.708749086327053</v>
      </c>
      <c r="K536" s="619">
        <f t="shared" si="132"/>
        <v>12.103568121460869</v>
      </c>
      <c r="L536" s="619">
        <f t="shared" si="132"/>
        <v>13.346066325418192</v>
      </c>
      <c r="M536" s="619">
        <f t="shared" si="132"/>
        <v>14.528137946610418</v>
      </c>
      <c r="N536" s="619">
        <f t="shared" si="132"/>
        <v>15.763791874040747</v>
      </c>
      <c r="O536" s="619">
        <f t="shared" si="132"/>
        <v>17.059741743999361</v>
      </c>
      <c r="P536" s="1733"/>
      <c r="Q536" s="1733"/>
      <c r="R536" s="526"/>
      <c r="S536" s="526"/>
      <c r="T536" s="526"/>
      <c r="U536" s="526"/>
    </row>
    <row r="537" spans="1:21" ht="14">
      <c r="A537" s="1733"/>
      <c r="B537" s="559"/>
      <c r="C537" s="1732" t="s">
        <v>922</v>
      </c>
      <c r="D537" s="1063" t="s">
        <v>922</v>
      </c>
      <c r="E537" s="1733"/>
      <c r="F537" s="619">
        <f t="shared" ref="F537:O537" si="133">F520*1000000/INDEX(F$140:F$144,MATCH($C537,$C$140:$C$144,0))</f>
        <v>0.15139080024641949</v>
      </c>
      <c r="G537" s="619">
        <f t="shared" si="133"/>
        <v>0.16324326922371676</v>
      </c>
      <c r="H537" s="619">
        <f t="shared" si="133"/>
        <v>0.18268471513708215</v>
      </c>
      <c r="I537" s="619">
        <f t="shared" si="133"/>
        <v>0.20783287220918767</v>
      </c>
      <c r="J537" s="619">
        <f t="shared" si="133"/>
        <v>0.2336444878689202</v>
      </c>
      <c r="K537" s="619">
        <f t="shared" si="133"/>
        <v>0.25757877018276204</v>
      </c>
      <c r="L537" s="619">
        <f t="shared" si="133"/>
        <v>0.28203635173237052</v>
      </c>
      <c r="M537" s="619">
        <f t="shared" si="133"/>
        <v>0.30442201031830579</v>
      </c>
      <c r="N537" s="619">
        <f t="shared" si="133"/>
        <v>0.32713484033667645</v>
      </c>
      <c r="O537" s="619">
        <f t="shared" si="133"/>
        <v>0.35028802495166672</v>
      </c>
      <c r="P537" s="1733"/>
      <c r="Q537" s="1733"/>
      <c r="R537" s="526"/>
      <c r="S537" s="526"/>
      <c r="T537" s="526"/>
      <c r="U537" s="526"/>
    </row>
    <row r="538" spans="1:21" ht="14" collapsed="1">
      <c r="A538" s="1733"/>
      <c r="B538" s="559"/>
      <c r="C538" s="1732"/>
      <c r="D538" s="1063"/>
      <c r="E538" s="1733"/>
      <c r="F538" s="619"/>
      <c r="G538" s="619"/>
      <c r="H538" s="619"/>
      <c r="I538" s="619"/>
      <c r="J538" s="619"/>
      <c r="K538" s="619"/>
      <c r="L538" s="619"/>
      <c r="M538" s="619"/>
      <c r="N538" s="619"/>
      <c r="O538" s="619"/>
      <c r="P538" s="1733"/>
      <c r="Q538" s="1733"/>
      <c r="R538" s="1733"/>
      <c r="S538" s="1733"/>
      <c r="T538" s="1733"/>
      <c r="U538" s="1733"/>
    </row>
    <row r="539" spans="1:21" s="1711" customFormat="1">
      <c r="A539" s="1795"/>
      <c r="B539" s="1795" t="s">
        <v>1592</v>
      </c>
      <c r="C539" s="1795" t="s">
        <v>1664</v>
      </c>
      <c r="D539" s="1795"/>
      <c r="E539" s="1795"/>
      <c r="F539" s="1795"/>
      <c r="G539" s="1795"/>
      <c r="H539" s="1795"/>
      <c r="I539" s="1795"/>
      <c r="J539" s="1795"/>
      <c r="K539" s="1795"/>
      <c r="L539" s="1795"/>
      <c r="M539" s="1795"/>
      <c r="N539" s="1795"/>
      <c r="O539" s="1795"/>
      <c r="P539" s="1795"/>
      <c r="Q539" s="1795"/>
      <c r="R539" s="1795"/>
      <c r="S539" s="1795"/>
      <c r="T539" s="1795"/>
      <c r="U539" s="1795"/>
    </row>
    <row r="540" spans="1:21" s="1711" customFormat="1">
      <c r="A540" s="1795"/>
      <c r="B540" s="1797"/>
      <c r="C540" s="1795"/>
      <c r="D540" s="1795"/>
      <c r="E540" s="1795"/>
      <c r="F540" s="1795"/>
      <c r="G540" s="1795"/>
      <c r="H540" s="1795"/>
      <c r="I540" s="1795"/>
      <c r="J540" s="1795"/>
      <c r="K540" s="1795"/>
      <c r="L540" s="1795"/>
      <c r="M540" s="1795"/>
      <c r="N540" s="1795"/>
      <c r="O540" s="1795"/>
      <c r="P540" s="1795"/>
      <c r="Q540" s="1795"/>
      <c r="R540" s="1795"/>
      <c r="S540" s="1795"/>
      <c r="T540" s="1795"/>
      <c r="U540" s="1795"/>
    </row>
    <row r="541" spans="1:21" s="1711" customFormat="1" ht="14">
      <c r="A541" s="1795"/>
      <c r="B541" s="1799"/>
      <c r="C541" s="1800" t="s">
        <v>970</v>
      </c>
      <c r="D541" s="1206"/>
      <c r="E541" s="1795"/>
      <c r="F541" s="1796"/>
      <c r="G541" s="1796"/>
      <c r="H541" s="1796"/>
      <c r="I541" s="1796"/>
      <c r="J541" s="1796"/>
      <c r="K541" s="1796"/>
      <c r="L541" s="1796"/>
      <c r="M541" s="1796"/>
      <c r="N541" s="1796"/>
      <c r="O541" s="1518" t="s">
        <v>1671</v>
      </c>
      <c r="P541" s="1795"/>
      <c r="Q541" s="1795"/>
      <c r="R541" s="1795"/>
      <c r="S541" s="1795"/>
      <c r="T541" s="1795"/>
      <c r="U541" s="1795"/>
    </row>
    <row r="542" spans="1:21" s="1780" customFormat="1" ht="14">
      <c r="A542" s="1795"/>
      <c r="B542" s="1797"/>
      <c r="C542" s="1799" t="s">
        <v>906</v>
      </c>
      <c r="D542" s="1044" t="s">
        <v>657</v>
      </c>
      <c r="E542" s="1795"/>
      <c r="F542" s="1798">
        <v>2007</v>
      </c>
      <c r="G542" s="1798">
        <v>2010</v>
      </c>
      <c r="H542" s="1798">
        <v>2015</v>
      </c>
      <c r="I542" s="1798">
        <v>2020</v>
      </c>
      <c r="J542" s="1798">
        <v>2025</v>
      </c>
      <c r="K542" s="1798">
        <v>2030</v>
      </c>
      <c r="L542" s="1798">
        <v>2035</v>
      </c>
      <c r="M542" s="1798">
        <v>2040</v>
      </c>
      <c r="N542" s="1798">
        <v>2045</v>
      </c>
      <c r="O542" s="1798">
        <v>2050</v>
      </c>
      <c r="P542" s="1795"/>
      <c r="Q542" s="1795"/>
      <c r="R542" s="1795"/>
      <c r="S542" s="1795"/>
      <c r="T542" s="1795"/>
      <c r="U542" s="1795"/>
    </row>
    <row r="543" spans="1:21" s="1779" customFormat="1" ht="14">
      <c r="A543" s="1733"/>
      <c r="B543" s="559"/>
      <c r="C543" s="1732" t="s">
        <v>920</v>
      </c>
      <c r="D543" s="17" t="s">
        <v>920</v>
      </c>
      <c r="E543" s="1733"/>
      <c r="F543" s="619"/>
      <c r="G543" s="619">
        <f t="shared" ref="G543:O543" si="134">F526/$E251</f>
        <v>3484.1714285714288</v>
      </c>
      <c r="H543" s="619">
        <f t="shared" si="134"/>
        <v>3555.5658857142857</v>
      </c>
      <c r="I543" s="619">
        <f t="shared" si="134"/>
        <v>4366.210585714286</v>
      </c>
      <c r="J543" s="619">
        <f t="shared" si="134"/>
        <v>5525.0799003322263</v>
      </c>
      <c r="K543" s="619">
        <f t="shared" si="134"/>
        <v>6385.8165581395351</v>
      </c>
      <c r="L543" s="619">
        <f t="shared" si="134"/>
        <v>7268.590186046511</v>
      </c>
      <c r="M543" s="619">
        <f t="shared" si="134"/>
        <v>8164.3183388704338</v>
      </c>
      <c r="N543" s="619">
        <f t="shared" si="134"/>
        <v>9078.3068471760798</v>
      </c>
      <c r="O543" s="619">
        <f t="shared" si="134"/>
        <v>10014.147242524918</v>
      </c>
      <c r="P543" s="1733"/>
      <c r="Q543" s="1733"/>
      <c r="R543" s="1733"/>
      <c r="S543" s="1733"/>
      <c r="T543" s="1733"/>
      <c r="U543" s="1733"/>
    </row>
    <row r="544" spans="1:21" s="1780" customFormat="1" ht="14">
      <c r="A544" s="1795"/>
      <c r="B544" s="1797"/>
      <c r="C544" s="1799" t="s">
        <v>918</v>
      </c>
      <c r="D544" s="1801" t="s">
        <v>923</v>
      </c>
      <c r="E544" s="1795"/>
      <c r="F544" s="619"/>
      <c r="G544" s="619">
        <f t="shared" ref="G544:O544" si="135">F527/$E252</f>
        <v>2832.9404148216522</v>
      </c>
      <c r="H544" s="619">
        <f t="shared" si="135"/>
        <v>2823.2903564864014</v>
      </c>
      <c r="I544" s="619">
        <f t="shared" si="135"/>
        <v>2745.6102519829506</v>
      </c>
      <c r="J544" s="619">
        <f t="shared" si="135"/>
        <v>2730.856237860507</v>
      </c>
      <c r="K544" s="619">
        <f t="shared" si="135"/>
        <v>1991.16736138953</v>
      </c>
      <c r="L544" s="619">
        <f t="shared" si="135"/>
        <v>1227.7648248797516</v>
      </c>
      <c r="M544" s="619">
        <f t="shared" si="135"/>
        <v>1126.5247204500879</v>
      </c>
      <c r="N544" s="619">
        <f t="shared" si="135"/>
        <v>1016.3495359301601</v>
      </c>
      <c r="O544" s="619">
        <f t="shared" si="135"/>
        <v>753.41254613683896</v>
      </c>
      <c r="P544" s="1795"/>
      <c r="Q544" s="1795"/>
      <c r="R544" s="1795"/>
      <c r="S544" s="1795"/>
      <c r="T544" s="1795"/>
      <c r="U544" s="1795"/>
    </row>
    <row r="545" spans="1:21" s="1779" customFormat="1" ht="14">
      <c r="A545" s="1795"/>
      <c r="B545" s="1797"/>
      <c r="C545" s="1799" t="s">
        <v>918</v>
      </c>
      <c r="D545" s="1800" t="s">
        <v>1116</v>
      </c>
      <c r="E545" s="1795"/>
      <c r="F545" s="619"/>
      <c r="G545" s="619">
        <f t="shared" ref="G545:O545" si="136">F528/$E253</f>
        <v>0</v>
      </c>
      <c r="H545" s="619">
        <f t="shared" si="136"/>
        <v>0</v>
      </c>
      <c r="I545" s="619">
        <f t="shared" si="136"/>
        <v>13.937107878086044</v>
      </c>
      <c r="J545" s="619">
        <f t="shared" si="136"/>
        <v>28.153157091345431</v>
      </c>
      <c r="K545" s="619">
        <f t="shared" si="136"/>
        <v>642.53982229236601</v>
      </c>
      <c r="L545" s="619">
        <f t="shared" si="136"/>
        <v>1241.7166978897487</v>
      </c>
      <c r="M545" s="619">
        <f t="shared" si="136"/>
        <v>1050.9651355418503</v>
      </c>
      <c r="N545" s="619">
        <f t="shared" si="136"/>
        <v>855.87329341487157</v>
      </c>
      <c r="O545" s="619">
        <f t="shared" si="136"/>
        <v>831.35177504754631</v>
      </c>
      <c r="P545" s="1795"/>
      <c r="Q545" s="1795"/>
      <c r="R545" s="1795"/>
      <c r="S545" s="1795"/>
      <c r="T545" s="1795"/>
      <c r="U545" s="1795"/>
    </row>
    <row r="546" spans="1:21" s="1779" customFormat="1" ht="14">
      <c r="A546" s="1795"/>
      <c r="B546" s="1797"/>
      <c r="C546" s="1799" t="s">
        <v>918</v>
      </c>
      <c r="D546" s="1801" t="s">
        <v>924</v>
      </c>
      <c r="E546" s="1795"/>
      <c r="F546" s="619"/>
      <c r="G546" s="619">
        <f t="shared" ref="G546:O546" si="137">F529/$E254</f>
        <v>0</v>
      </c>
      <c r="H546" s="619">
        <f t="shared" si="137"/>
        <v>0</v>
      </c>
      <c r="I546" s="619">
        <f t="shared" si="137"/>
        <v>27.874215756172088</v>
      </c>
      <c r="J546" s="619">
        <f t="shared" si="137"/>
        <v>56.306314182690862</v>
      </c>
      <c r="K546" s="619">
        <f t="shared" si="137"/>
        <v>190.64368353729546</v>
      </c>
      <c r="L546" s="619">
        <f t="shared" si="137"/>
        <v>320.8930792299351</v>
      </c>
      <c r="M546" s="619">
        <f t="shared" si="137"/>
        <v>570.13141339852018</v>
      </c>
      <c r="N546" s="619">
        <f t="shared" si="137"/>
        <v>802.38121257644241</v>
      </c>
      <c r="O546" s="619">
        <f t="shared" si="137"/>
        <v>1013.2099758391972</v>
      </c>
      <c r="P546" s="1795"/>
      <c r="Q546" s="1795"/>
      <c r="R546" s="1795"/>
      <c r="S546" s="1795"/>
      <c r="T546" s="1795"/>
      <c r="U546" s="1795"/>
    </row>
    <row r="547" spans="1:21" s="1779" customFormat="1" ht="14">
      <c r="A547" s="1795"/>
      <c r="B547" s="1797"/>
      <c r="C547" s="1799" t="s">
        <v>918</v>
      </c>
      <c r="D547" s="1801" t="s">
        <v>925</v>
      </c>
      <c r="E547" s="1795"/>
      <c r="F547" s="619"/>
      <c r="G547" s="619">
        <f t="shared" ref="G547:O547" si="138">F530/$E255</f>
        <v>0</v>
      </c>
      <c r="H547" s="619">
        <f t="shared" si="138"/>
        <v>0</v>
      </c>
      <c r="I547" s="619">
        <f t="shared" si="138"/>
        <v>0</v>
      </c>
      <c r="J547" s="619">
        <f t="shared" si="138"/>
        <v>0</v>
      </c>
      <c r="K547" s="619">
        <f t="shared" si="138"/>
        <v>0</v>
      </c>
      <c r="L547" s="619">
        <f t="shared" si="138"/>
        <v>0</v>
      </c>
      <c r="M547" s="619">
        <f t="shared" si="138"/>
        <v>0</v>
      </c>
      <c r="N547" s="619">
        <f t="shared" si="138"/>
        <v>0</v>
      </c>
      <c r="O547" s="619">
        <f t="shared" si="138"/>
        <v>0</v>
      </c>
      <c r="P547" s="1795"/>
      <c r="Q547" s="1795"/>
      <c r="R547" s="1795"/>
      <c r="S547" s="1795"/>
      <c r="T547" s="1795"/>
      <c r="U547" s="1795"/>
    </row>
    <row r="548" spans="1:21" s="1779" customFormat="1" ht="14">
      <c r="A548" s="1795"/>
      <c r="B548" s="1797"/>
      <c r="C548" s="1799" t="s">
        <v>919</v>
      </c>
      <c r="D548" s="1801" t="s">
        <v>923</v>
      </c>
      <c r="E548" s="1795"/>
      <c r="F548" s="619"/>
      <c r="G548" s="619">
        <f t="shared" ref="G548:O548" si="139">F531/$E256</f>
        <v>5.9421446733975936</v>
      </c>
      <c r="H548" s="619">
        <f t="shared" si="139"/>
        <v>6.4342896308406301</v>
      </c>
      <c r="I548" s="619">
        <f t="shared" si="139"/>
        <v>5.2113292513454876</v>
      </c>
      <c r="J548" s="619">
        <f t="shared" si="139"/>
        <v>3.5854977277828652</v>
      </c>
      <c r="K548" s="619">
        <f t="shared" si="139"/>
        <v>1.9769379946770513</v>
      </c>
      <c r="L548" s="619">
        <f t="shared" si="139"/>
        <v>0</v>
      </c>
      <c r="M548" s="619">
        <f t="shared" si="139"/>
        <v>0</v>
      </c>
      <c r="N548" s="619">
        <f t="shared" si="139"/>
        <v>0</v>
      </c>
      <c r="O548" s="619">
        <f t="shared" si="139"/>
        <v>0</v>
      </c>
      <c r="P548" s="1795"/>
      <c r="Q548" s="1795"/>
      <c r="R548" s="1795"/>
      <c r="S548" s="1795"/>
      <c r="T548" s="1795"/>
      <c r="U548" s="1795"/>
    </row>
    <row r="549" spans="1:21" s="1779" customFormat="1" ht="14">
      <c r="A549" s="1795"/>
      <c r="B549" s="1797"/>
      <c r="C549" s="1799" t="s">
        <v>919</v>
      </c>
      <c r="D549" s="1800" t="s">
        <v>1117</v>
      </c>
      <c r="E549" s="1795"/>
      <c r="F549" s="619"/>
      <c r="G549" s="619">
        <f t="shared" ref="G549:O549" si="140">F532/$E257</f>
        <v>0</v>
      </c>
      <c r="H549" s="619">
        <f t="shared" si="140"/>
        <v>7.1564394276286081E-2</v>
      </c>
      <c r="I549" s="619">
        <f t="shared" si="140"/>
        <v>1.983525599880094</v>
      </c>
      <c r="J549" s="619">
        <f t="shared" si="140"/>
        <v>4.3767799849487394</v>
      </c>
      <c r="K549" s="619">
        <f t="shared" si="140"/>
        <v>6.6170614258615794</v>
      </c>
      <c r="L549" s="619">
        <f t="shared" si="140"/>
        <v>9.0424231671844719</v>
      </c>
      <c r="M549" s="619">
        <f t="shared" si="140"/>
        <v>9.2889166010934865</v>
      </c>
      <c r="N549" s="619">
        <f t="shared" si="140"/>
        <v>9.3755591675915095</v>
      </c>
      <c r="O549" s="619">
        <f t="shared" si="140"/>
        <v>9.3124782565390731</v>
      </c>
      <c r="P549" s="1795"/>
      <c r="Q549" s="1795"/>
      <c r="R549" s="1795"/>
      <c r="S549" s="1795"/>
      <c r="T549" s="1795"/>
      <c r="U549" s="1795"/>
    </row>
    <row r="550" spans="1:21" s="1779" customFormat="1" ht="14">
      <c r="A550" s="1795"/>
      <c r="B550" s="1797"/>
      <c r="C550" s="1799" t="s">
        <v>919</v>
      </c>
      <c r="D550" s="1801" t="s">
        <v>924</v>
      </c>
      <c r="E550" s="1795"/>
      <c r="F550" s="619"/>
      <c r="G550" s="619">
        <f t="shared" ref="G550:O550" si="141">F533/$E258</f>
        <v>0</v>
      </c>
      <c r="H550" s="619">
        <f t="shared" si="141"/>
        <v>0</v>
      </c>
      <c r="I550" s="619">
        <f t="shared" si="141"/>
        <v>0.12442780515852991</v>
      </c>
      <c r="J550" s="619">
        <f t="shared" si="141"/>
        <v>0.28024579941291367</v>
      </c>
      <c r="K550" s="619">
        <f t="shared" si="141"/>
        <v>0.49537066993057155</v>
      </c>
      <c r="L550" s="619">
        <f t="shared" si="141"/>
        <v>0.73316944598792999</v>
      </c>
      <c r="M550" s="619">
        <f t="shared" si="141"/>
        <v>1.118833092008459</v>
      </c>
      <c r="N550" s="619">
        <f t="shared" si="141"/>
        <v>1.5262538179800138</v>
      </c>
      <c r="O550" s="619">
        <f t="shared" si="141"/>
        <v>2.0442025441183329</v>
      </c>
      <c r="P550" s="1795"/>
      <c r="Q550" s="1795"/>
      <c r="R550" s="1795"/>
      <c r="S550" s="1795"/>
      <c r="T550" s="1795"/>
      <c r="U550" s="1795"/>
    </row>
    <row r="551" spans="1:21" s="1779" customFormat="1" ht="14">
      <c r="A551" s="1795"/>
      <c r="B551" s="1797"/>
      <c r="C551" s="1799" t="s">
        <v>919</v>
      </c>
      <c r="D551" s="1800" t="s">
        <v>925</v>
      </c>
      <c r="E551" s="1795"/>
      <c r="F551" s="619"/>
      <c r="G551" s="619">
        <f t="shared" ref="G551:O551" si="142">F534/$E259</f>
        <v>0</v>
      </c>
      <c r="H551" s="619">
        <f t="shared" si="142"/>
        <v>0</v>
      </c>
      <c r="I551" s="619">
        <f t="shared" si="142"/>
        <v>0</v>
      </c>
      <c r="J551" s="619">
        <f t="shared" si="142"/>
        <v>0</v>
      </c>
      <c r="K551" s="619">
        <f t="shared" si="142"/>
        <v>0</v>
      </c>
      <c r="L551" s="619">
        <f t="shared" si="142"/>
        <v>0</v>
      </c>
      <c r="M551" s="619">
        <f t="shared" si="142"/>
        <v>0</v>
      </c>
      <c r="N551" s="619">
        <f t="shared" si="142"/>
        <v>0</v>
      </c>
      <c r="O551" s="619">
        <f t="shared" si="142"/>
        <v>0</v>
      </c>
      <c r="P551" s="1795"/>
      <c r="Q551" s="1795"/>
      <c r="R551" s="1795"/>
      <c r="S551" s="1795"/>
      <c r="T551" s="1795"/>
      <c r="U551" s="1795"/>
    </row>
    <row r="552" spans="1:21" s="1779" customFormat="1" ht="14">
      <c r="A552" s="1795"/>
      <c r="B552" s="1797"/>
      <c r="C552" s="1799" t="s">
        <v>921</v>
      </c>
      <c r="D552" s="1801" t="s">
        <v>962</v>
      </c>
      <c r="E552" s="1795"/>
      <c r="F552" s="619"/>
      <c r="G552" s="619">
        <f t="shared" ref="G552:O552" si="143">F535/$E260</f>
        <v>9.8131959872567426E-2</v>
      </c>
      <c r="H552" s="619">
        <f t="shared" si="143"/>
        <v>0.10664643204921213</v>
      </c>
      <c r="I552" s="619">
        <f t="shared" si="143"/>
        <v>0.11417712286394407</v>
      </c>
      <c r="J552" s="619">
        <f t="shared" si="143"/>
        <v>0.10221670513939896</v>
      </c>
      <c r="K552" s="619">
        <f t="shared" si="143"/>
        <v>0.10566562489055815</v>
      </c>
      <c r="L552" s="619">
        <f t="shared" si="143"/>
        <v>9.6512635169062319E-2</v>
      </c>
      <c r="M552" s="619">
        <f t="shared" si="143"/>
        <v>9.1358037243064349E-2</v>
      </c>
      <c r="N552" s="619">
        <f t="shared" si="143"/>
        <v>8.4138699527168986E-2</v>
      </c>
      <c r="O552" s="619">
        <f t="shared" si="143"/>
        <v>7.5746043133266411E-2</v>
      </c>
      <c r="P552" s="1795"/>
      <c r="Q552" s="1795"/>
      <c r="R552" s="1795"/>
      <c r="S552" s="1795"/>
      <c r="T552" s="1795"/>
      <c r="U552" s="1795"/>
    </row>
    <row r="553" spans="1:21" s="1779" customFormat="1" ht="14">
      <c r="A553" s="1795"/>
      <c r="B553" s="1797"/>
      <c r="C553" s="1518" t="s">
        <v>921</v>
      </c>
      <c r="D553" s="1801" t="s">
        <v>963</v>
      </c>
      <c r="E553" s="1795"/>
      <c r="F553" s="619"/>
      <c r="G553" s="619">
        <f t="shared" ref="G553:O553" si="144">F536/$E261</f>
        <v>0.18224506833476811</v>
      </c>
      <c r="H553" s="619">
        <f t="shared" si="144"/>
        <v>0.18685882894098355</v>
      </c>
      <c r="I553" s="619">
        <f t="shared" si="144"/>
        <v>0.20005360761026045</v>
      </c>
      <c r="J553" s="619">
        <f t="shared" si="144"/>
        <v>0.24160633170516116</v>
      </c>
      <c r="K553" s="619">
        <f t="shared" si="144"/>
        <v>0.26771872715817635</v>
      </c>
      <c r="L553" s="619">
        <f t="shared" si="144"/>
        <v>0.3025892030365217</v>
      </c>
      <c r="M553" s="619">
        <f t="shared" si="144"/>
        <v>0.33365165813545483</v>
      </c>
      <c r="N553" s="619">
        <f t="shared" si="144"/>
        <v>0.36320344866526044</v>
      </c>
      <c r="O553" s="619">
        <f t="shared" si="144"/>
        <v>0.39409479685101867</v>
      </c>
      <c r="P553" s="1795"/>
      <c r="Q553" s="1795"/>
      <c r="R553" s="1795"/>
      <c r="S553" s="1795"/>
      <c r="T553" s="1795"/>
      <c r="U553" s="1795"/>
    </row>
    <row r="554" spans="1:21" s="1779" customFormat="1" ht="14">
      <c r="A554" s="1795"/>
      <c r="B554" s="1797"/>
      <c r="C554" s="1518" t="s">
        <v>922</v>
      </c>
      <c r="D554" s="1801" t="s">
        <v>922</v>
      </c>
      <c r="E554" s="1795"/>
      <c r="F554" s="619"/>
      <c r="G554" s="619">
        <f t="shared" ref="G554:O554" si="145">F537/$E262</f>
        <v>5.046360008213983E-3</v>
      </c>
      <c r="H554" s="619">
        <f t="shared" si="145"/>
        <v>5.4414423074572258E-3</v>
      </c>
      <c r="I554" s="619">
        <f t="shared" si="145"/>
        <v>6.0894905045694048E-3</v>
      </c>
      <c r="J554" s="619">
        <f t="shared" si="145"/>
        <v>6.927762406972922E-3</v>
      </c>
      <c r="K554" s="619">
        <f t="shared" si="145"/>
        <v>7.7881495956306735E-3</v>
      </c>
      <c r="L554" s="619">
        <f t="shared" si="145"/>
        <v>8.5859590060920685E-3</v>
      </c>
      <c r="M554" s="619">
        <f t="shared" si="145"/>
        <v>9.4012117244123509E-3</v>
      </c>
      <c r="N554" s="619">
        <f t="shared" si="145"/>
        <v>1.0147400343943526E-2</v>
      </c>
      <c r="O554" s="619">
        <f t="shared" si="145"/>
        <v>1.0904494677889214E-2</v>
      </c>
      <c r="P554" s="1795"/>
      <c r="Q554" s="1795"/>
      <c r="R554" s="1795"/>
      <c r="S554" s="1795"/>
      <c r="T554" s="1795"/>
      <c r="U554" s="1795"/>
    </row>
    <row r="555" spans="1:21" s="1779" customFormat="1" ht="14">
      <c r="A555" s="1795"/>
      <c r="B555" s="1797"/>
      <c r="C555" s="1518"/>
      <c r="D555" s="1801"/>
      <c r="E555" s="1795"/>
      <c r="F555" s="1803"/>
      <c r="G555" s="1803"/>
      <c r="H555" s="1803"/>
      <c r="I555" s="1803"/>
      <c r="J555" s="1803"/>
      <c r="K555" s="1803"/>
      <c r="L555" s="1803"/>
      <c r="M555" s="1803"/>
      <c r="N555" s="1803"/>
      <c r="O555" s="1803"/>
      <c r="P555" s="1795"/>
      <c r="Q555" s="1795"/>
      <c r="R555" s="1795"/>
      <c r="S555" s="1795"/>
      <c r="T555" s="1795"/>
      <c r="U555" s="1795"/>
    </row>
    <row r="556" spans="1:21" s="1780" customFormat="1" ht="14">
      <c r="A556" s="1795"/>
      <c r="B556" s="1795" t="s">
        <v>1593</v>
      </c>
      <c r="C556" s="1795" t="s">
        <v>1665</v>
      </c>
      <c r="D556" s="1795"/>
      <c r="E556" s="1795"/>
      <c r="F556" s="1796"/>
      <c r="G556" s="1796"/>
      <c r="H556" s="1796"/>
      <c r="I556" s="1796"/>
      <c r="J556" s="1796"/>
      <c r="K556" s="1796"/>
      <c r="L556" s="1796"/>
      <c r="M556" s="1796"/>
      <c r="N556" s="1796"/>
      <c r="O556" s="1796"/>
      <c r="P556" s="1795"/>
      <c r="Q556" s="1795"/>
      <c r="R556" s="1795"/>
      <c r="S556" s="1795"/>
      <c r="T556" s="1795"/>
      <c r="U556" s="1795"/>
    </row>
    <row r="557" spans="1:21" s="1780" customFormat="1">
      <c r="A557" s="1795"/>
      <c r="B557" s="1797"/>
      <c r="C557" s="1795"/>
      <c r="D557" s="1795"/>
      <c r="E557" s="1795"/>
      <c r="F557" s="1795"/>
      <c r="G557" s="1795"/>
      <c r="H557" s="1795"/>
      <c r="I557" s="1795"/>
      <c r="J557" s="1795"/>
      <c r="K557" s="1795"/>
      <c r="L557" s="1795"/>
      <c r="M557" s="1795"/>
      <c r="N557" s="1795"/>
      <c r="O557" s="1795"/>
      <c r="P557" s="1795"/>
      <c r="Q557" s="1795"/>
      <c r="R557" s="1795"/>
      <c r="S557" s="1795"/>
      <c r="T557" s="1795"/>
      <c r="U557" s="1795"/>
    </row>
    <row r="558" spans="1:21" s="1780" customFormat="1" ht="14">
      <c r="A558" s="1795"/>
      <c r="B558" s="1799"/>
      <c r="C558" s="1800" t="s">
        <v>970</v>
      </c>
      <c r="D558" s="1206"/>
      <c r="E558" s="1795"/>
      <c r="F558" s="1796"/>
      <c r="G558" s="1796"/>
      <c r="H558" s="1796"/>
      <c r="I558" s="1796"/>
      <c r="J558" s="1796"/>
      <c r="K558" s="1796"/>
      <c r="L558" s="1796"/>
      <c r="M558" s="1796"/>
      <c r="N558" s="1796"/>
      <c r="O558" s="1518" t="s">
        <v>1673</v>
      </c>
      <c r="P558" s="1795"/>
      <c r="Q558" s="1795"/>
      <c r="R558" s="1795"/>
      <c r="S558" s="1795"/>
      <c r="T558" s="1795"/>
      <c r="U558" s="1795"/>
    </row>
    <row r="559" spans="1:21" s="1780" customFormat="1" ht="14">
      <c r="A559" s="1795"/>
      <c r="B559" s="1797"/>
      <c r="C559" s="1799" t="s">
        <v>906</v>
      </c>
      <c r="D559" s="1044" t="s">
        <v>657</v>
      </c>
      <c r="E559" s="1795"/>
      <c r="F559" s="1798">
        <v>2007</v>
      </c>
      <c r="G559" s="1798">
        <v>2010</v>
      </c>
      <c r="H559" s="1798">
        <v>2015</v>
      </c>
      <c r="I559" s="1798">
        <v>2020</v>
      </c>
      <c r="J559" s="1798">
        <v>2025</v>
      </c>
      <c r="K559" s="1798">
        <v>2030</v>
      </c>
      <c r="L559" s="1798">
        <v>2035</v>
      </c>
      <c r="M559" s="1798">
        <v>2040</v>
      </c>
      <c r="N559" s="1798">
        <v>2045</v>
      </c>
      <c r="O559" s="1798">
        <v>2050</v>
      </c>
      <c r="P559" s="1795"/>
      <c r="Q559" s="1795"/>
      <c r="R559" s="1795"/>
      <c r="S559" s="1795"/>
      <c r="T559" s="1795"/>
      <c r="U559" s="1795"/>
    </row>
    <row r="560" spans="1:21" s="1780" customFormat="1" ht="14">
      <c r="A560" s="1733"/>
      <c r="B560" s="559"/>
      <c r="C560" s="1732" t="s">
        <v>920</v>
      </c>
      <c r="D560" s="17" t="s">
        <v>920</v>
      </c>
      <c r="E560" s="1733"/>
      <c r="F560" s="619"/>
      <c r="G560" s="619">
        <f t="shared" ref="G560:O571" si="146">MAX(((G526-F526)/(G$525-F$525))+G543,0)</f>
        <v>3650.7584952380957</v>
      </c>
      <c r="H560" s="619">
        <f t="shared" si="146"/>
        <v>4690.4684657142861</v>
      </c>
      <c r="I560" s="619">
        <f t="shared" si="146"/>
        <v>5988.6276261794028</v>
      </c>
      <c r="J560" s="619">
        <f t="shared" si="146"/>
        <v>6730.1112212624575</v>
      </c>
      <c r="K560" s="619">
        <f t="shared" si="146"/>
        <v>7621.6996372093017</v>
      </c>
      <c r="L560" s="619">
        <f t="shared" si="146"/>
        <v>8522.6096000000016</v>
      </c>
      <c r="M560" s="619">
        <f t="shared" si="146"/>
        <v>9443.9022504983368</v>
      </c>
      <c r="N560" s="619">
        <f t="shared" si="146"/>
        <v>10388.483400664452</v>
      </c>
      <c r="O560" s="619">
        <f t="shared" si="146"/>
        <v>11352.237702990033</v>
      </c>
      <c r="P560" s="1733"/>
      <c r="Q560" s="1733"/>
      <c r="R560" s="1733"/>
      <c r="S560" s="1733"/>
      <c r="T560" s="1733"/>
      <c r="U560" s="1733"/>
    </row>
    <row r="561" spans="1:21" s="1780" customFormat="1" ht="14">
      <c r="A561" s="1795"/>
      <c r="B561" s="1797"/>
      <c r="C561" s="1799" t="s">
        <v>918</v>
      </c>
      <c r="D561" s="1801" t="s">
        <v>923</v>
      </c>
      <c r="E561" s="1795"/>
      <c r="F561" s="1802"/>
      <c r="G561" s="619">
        <f t="shared" si="146"/>
        <v>2794.3401814806502</v>
      </c>
      <c r="H561" s="619">
        <f t="shared" si="146"/>
        <v>2636.8581056781186</v>
      </c>
      <c r="I561" s="619">
        <f t="shared" si="146"/>
        <v>2710.2006180890862</v>
      </c>
      <c r="J561" s="619">
        <f t="shared" si="146"/>
        <v>955.6029343301625</v>
      </c>
      <c r="K561" s="619">
        <f t="shared" si="146"/>
        <v>159.00127376606156</v>
      </c>
      <c r="L561" s="619">
        <f t="shared" si="146"/>
        <v>984.78857424855892</v>
      </c>
      <c r="M561" s="619">
        <f t="shared" si="146"/>
        <v>862.10427760226116</v>
      </c>
      <c r="N561" s="619">
        <f t="shared" si="146"/>
        <v>385.30076042618941</v>
      </c>
      <c r="O561" s="619">
        <f t="shared" si="146"/>
        <v>154.3753567549777</v>
      </c>
      <c r="P561" s="1795"/>
      <c r="Q561" s="1795"/>
      <c r="R561" s="1795"/>
      <c r="S561" s="1795"/>
      <c r="T561" s="1795"/>
      <c r="U561" s="1795"/>
    </row>
    <row r="562" spans="1:21" s="1780" customFormat="1" ht="14">
      <c r="A562" s="1795"/>
      <c r="B562" s="1797"/>
      <c r="C562" s="1799" t="s">
        <v>918</v>
      </c>
      <c r="D562" s="1800" t="s">
        <v>1116</v>
      </c>
      <c r="E562" s="1795"/>
      <c r="F562" s="1802"/>
      <c r="G562" s="619">
        <f t="shared" si="146"/>
        <v>0</v>
      </c>
      <c r="H562" s="619">
        <f t="shared" si="146"/>
        <v>33.449058907406503</v>
      </c>
      <c r="I562" s="619">
        <f t="shared" si="146"/>
        <v>48.05562598990857</v>
      </c>
      <c r="J562" s="619">
        <f t="shared" si="146"/>
        <v>1502.681153573795</v>
      </c>
      <c r="K562" s="619">
        <f t="shared" si="146"/>
        <v>2080.5643237260842</v>
      </c>
      <c r="L562" s="619">
        <f t="shared" si="146"/>
        <v>783.91294825479281</v>
      </c>
      <c r="M562" s="619">
        <f t="shared" si="146"/>
        <v>582.74471443710127</v>
      </c>
      <c r="N562" s="619">
        <f t="shared" si="146"/>
        <v>797.02164933329107</v>
      </c>
      <c r="O562" s="619">
        <f t="shared" si="146"/>
        <v>770.75218908791885</v>
      </c>
      <c r="P562" s="1795"/>
      <c r="Q562" s="1795"/>
      <c r="R562" s="1795"/>
      <c r="S562" s="1795"/>
      <c r="T562" s="1795"/>
      <c r="U562" s="1795"/>
    </row>
    <row r="563" spans="1:21" s="1780" customFormat="1" ht="14">
      <c r="A563" s="1795"/>
      <c r="B563" s="1797"/>
      <c r="C563" s="1799" t="s">
        <v>918</v>
      </c>
      <c r="D563" s="1801" t="s">
        <v>924</v>
      </c>
      <c r="E563" s="1795"/>
      <c r="F563" s="1802"/>
      <c r="G563" s="619">
        <f t="shared" si="146"/>
        <v>0</v>
      </c>
      <c r="H563" s="619">
        <f t="shared" si="146"/>
        <v>66.898117814813006</v>
      </c>
      <c r="I563" s="619">
        <f t="shared" si="146"/>
        <v>96.111251979817141</v>
      </c>
      <c r="J563" s="619">
        <f t="shared" si="146"/>
        <v>378.71600063374188</v>
      </c>
      <c r="K563" s="619">
        <f t="shared" si="146"/>
        <v>503.24223319963062</v>
      </c>
      <c r="L563" s="619">
        <f t="shared" si="146"/>
        <v>919.06508123453932</v>
      </c>
      <c r="M563" s="619">
        <f t="shared" si="146"/>
        <v>1127.5309314255335</v>
      </c>
      <c r="N563" s="619">
        <f t="shared" si="146"/>
        <v>1308.3702444070541</v>
      </c>
      <c r="O563" s="619">
        <f t="shared" si="146"/>
        <v>1483.4730450568497</v>
      </c>
      <c r="P563" s="1795"/>
      <c r="Q563" s="1795"/>
      <c r="R563" s="1795"/>
      <c r="S563" s="1795"/>
      <c r="T563" s="1795"/>
      <c r="U563" s="1795"/>
    </row>
    <row r="564" spans="1:21" s="1780" customFormat="1" ht="14">
      <c r="A564" s="1795"/>
      <c r="B564" s="1797"/>
      <c r="C564" s="1799" t="s">
        <v>918</v>
      </c>
      <c r="D564" s="1801" t="s">
        <v>925</v>
      </c>
      <c r="E564" s="1795"/>
      <c r="F564" s="1802"/>
      <c r="G564" s="619">
        <f t="shared" si="146"/>
        <v>0</v>
      </c>
      <c r="H564" s="619">
        <f t="shared" si="146"/>
        <v>0</v>
      </c>
      <c r="I564" s="619">
        <f t="shared" si="146"/>
        <v>0</v>
      </c>
      <c r="J564" s="619">
        <f t="shared" si="146"/>
        <v>0</v>
      </c>
      <c r="K564" s="619">
        <f t="shared" si="146"/>
        <v>0</v>
      </c>
      <c r="L564" s="619">
        <f t="shared" si="146"/>
        <v>0</v>
      </c>
      <c r="M564" s="619">
        <f t="shared" si="146"/>
        <v>0</v>
      </c>
      <c r="N564" s="619">
        <f t="shared" si="146"/>
        <v>0</v>
      </c>
      <c r="O564" s="619">
        <f t="shared" si="146"/>
        <v>0</v>
      </c>
      <c r="P564" s="1795"/>
      <c r="Q564" s="1795"/>
      <c r="R564" s="1795"/>
      <c r="S564" s="1795"/>
      <c r="T564" s="1795"/>
      <c r="U564" s="1795"/>
    </row>
    <row r="565" spans="1:21" s="1780" customFormat="1" ht="14">
      <c r="A565" s="1795"/>
      <c r="B565" s="1797"/>
      <c r="C565" s="1799" t="s">
        <v>919</v>
      </c>
      <c r="D565" s="1801" t="s">
        <v>923</v>
      </c>
      <c r="E565" s="1795"/>
      <c r="F565" s="1802"/>
      <c r="G565" s="619">
        <f t="shared" si="146"/>
        <v>8.4028694606127772</v>
      </c>
      <c r="H565" s="619">
        <f t="shared" si="146"/>
        <v>2.7654084923552009</v>
      </c>
      <c r="I565" s="619">
        <f t="shared" si="146"/>
        <v>0.33383468065762045</v>
      </c>
      <c r="J565" s="619">
        <f t="shared" si="146"/>
        <v>0</v>
      </c>
      <c r="K565" s="619">
        <f t="shared" si="146"/>
        <v>0</v>
      </c>
      <c r="L565" s="619">
        <f t="shared" si="146"/>
        <v>0</v>
      </c>
      <c r="M565" s="619">
        <f t="shared" si="146"/>
        <v>0</v>
      </c>
      <c r="N565" s="619">
        <f t="shared" si="146"/>
        <v>0</v>
      </c>
      <c r="O565" s="619">
        <f t="shared" si="146"/>
        <v>0</v>
      </c>
      <c r="P565" s="1795"/>
      <c r="Q565" s="1795"/>
      <c r="R565" s="1795"/>
      <c r="S565" s="1795"/>
      <c r="T565" s="1795"/>
      <c r="U565" s="1795"/>
    </row>
    <row r="566" spans="1:21" s="1780" customFormat="1" ht="14">
      <c r="A566" s="1795"/>
      <c r="B566" s="1797"/>
      <c r="C566" s="1799" t="s">
        <v>919</v>
      </c>
      <c r="D566" s="1800" t="s">
        <v>1117</v>
      </c>
      <c r="E566" s="1795"/>
      <c r="F566" s="1802"/>
      <c r="G566" s="619">
        <f t="shared" si="146"/>
        <v>0.3578219713814304</v>
      </c>
      <c r="H566" s="619">
        <f t="shared" si="146"/>
        <v>5.8074480110877102</v>
      </c>
      <c r="I566" s="619">
        <f t="shared" si="146"/>
        <v>9.1632887550860289</v>
      </c>
      <c r="J566" s="619">
        <f t="shared" si="146"/>
        <v>11.097624307687258</v>
      </c>
      <c r="K566" s="619">
        <f t="shared" si="146"/>
        <v>13.893146649830257</v>
      </c>
      <c r="L566" s="619">
        <f t="shared" si="146"/>
        <v>9.7819034689115139</v>
      </c>
      <c r="M566" s="619">
        <f t="shared" si="146"/>
        <v>9.5488443005875538</v>
      </c>
      <c r="N566" s="619">
        <f t="shared" si="146"/>
        <v>9.1863164344342039</v>
      </c>
      <c r="O566" s="619">
        <f t="shared" si="146"/>
        <v>8.9457564273413261</v>
      </c>
      <c r="P566" s="1795"/>
      <c r="Q566" s="1795"/>
      <c r="R566" s="1795"/>
      <c r="S566" s="1795"/>
      <c r="T566" s="1795"/>
      <c r="U566" s="1795"/>
    </row>
    <row r="567" spans="1:21" s="1780" customFormat="1" ht="14">
      <c r="A567" s="1795"/>
      <c r="B567" s="1797"/>
      <c r="C567" s="1799" t="s">
        <v>919</v>
      </c>
      <c r="D567" s="1801" t="s">
        <v>924</v>
      </c>
      <c r="E567" s="1795"/>
      <c r="F567" s="1802"/>
      <c r="G567" s="619">
        <f t="shared" si="146"/>
        <v>0</v>
      </c>
      <c r="H567" s="619">
        <f t="shared" si="146"/>
        <v>0.37328341547558974</v>
      </c>
      <c r="I567" s="619">
        <f t="shared" si="146"/>
        <v>0.59188178792168122</v>
      </c>
      <c r="J567" s="619">
        <f t="shared" si="146"/>
        <v>0.92562041096588721</v>
      </c>
      <c r="K567" s="619">
        <f t="shared" si="146"/>
        <v>1.208766998102647</v>
      </c>
      <c r="L567" s="619">
        <f t="shared" si="146"/>
        <v>1.8901603840495174</v>
      </c>
      <c r="M567" s="619">
        <f t="shared" si="146"/>
        <v>2.3410952699231231</v>
      </c>
      <c r="N567" s="619">
        <f t="shared" si="146"/>
        <v>3.0800999963949716</v>
      </c>
      <c r="O567" s="619">
        <f t="shared" si="146"/>
        <v>3.6879498436765195</v>
      </c>
      <c r="P567" s="1795"/>
      <c r="Q567" s="1795"/>
      <c r="R567" s="1795"/>
      <c r="S567" s="1795"/>
      <c r="T567" s="1795"/>
      <c r="U567" s="1795"/>
    </row>
    <row r="568" spans="1:21" s="1780" customFormat="1" ht="14">
      <c r="A568" s="1795"/>
      <c r="B568" s="1797"/>
      <c r="C568" s="1799" t="s">
        <v>919</v>
      </c>
      <c r="D568" s="1800" t="s">
        <v>925</v>
      </c>
      <c r="E568" s="1795"/>
      <c r="F568" s="1802"/>
      <c r="G568" s="619">
        <f t="shared" si="146"/>
        <v>0</v>
      </c>
      <c r="H568" s="619">
        <f t="shared" si="146"/>
        <v>0</v>
      </c>
      <c r="I568" s="619">
        <f t="shared" si="146"/>
        <v>0</v>
      </c>
      <c r="J568" s="619">
        <f t="shared" si="146"/>
        <v>0</v>
      </c>
      <c r="K568" s="619">
        <f t="shared" si="146"/>
        <v>0</v>
      </c>
      <c r="L568" s="619">
        <f t="shared" si="146"/>
        <v>0</v>
      </c>
      <c r="M568" s="619">
        <f t="shared" si="146"/>
        <v>0</v>
      </c>
      <c r="N568" s="619">
        <f t="shared" si="146"/>
        <v>0</v>
      </c>
      <c r="O568" s="619">
        <f t="shared" si="146"/>
        <v>0</v>
      </c>
      <c r="P568" s="1795"/>
      <c r="Q568" s="1795"/>
      <c r="R568" s="1795"/>
      <c r="S568" s="1795"/>
      <c r="T568" s="1795"/>
      <c r="U568" s="1795"/>
    </row>
    <row r="569" spans="1:21" s="1780" customFormat="1" ht="14">
      <c r="A569" s="1795"/>
      <c r="B569" s="1797"/>
      <c r="C569" s="1799" t="s">
        <v>921</v>
      </c>
      <c r="D569" s="1801" t="s">
        <v>962</v>
      </c>
      <c r="E569" s="1795"/>
      <c r="F569" s="1802"/>
      <c r="G569" s="619">
        <f t="shared" si="146"/>
        <v>0.21165825556116349</v>
      </c>
      <c r="H569" s="619">
        <f t="shared" si="146"/>
        <v>0.16689195856706768</v>
      </c>
      <c r="I569" s="619">
        <f t="shared" si="146"/>
        <v>1.8493781067583079E-2</v>
      </c>
      <c r="J569" s="619">
        <f t="shared" si="146"/>
        <v>0.12980806314867252</v>
      </c>
      <c r="K569" s="619">
        <f t="shared" si="146"/>
        <v>3.2441707118591512E-2</v>
      </c>
      <c r="L569" s="619">
        <f t="shared" si="146"/>
        <v>5.5275851761078541E-2</v>
      </c>
      <c r="M569" s="619">
        <f t="shared" si="146"/>
        <v>3.3603335515901403E-2</v>
      </c>
      <c r="N569" s="619">
        <f t="shared" si="146"/>
        <v>1.6997448375948382E-2</v>
      </c>
      <c r="O569" s="619">
        <f t="shared" si="146"/>
        <v>0</v>
      </c>
      <c r="P569" s="1795"/>
      <c r="Q569" s="1795"/>
      <c r="R569" s="1795"/>
      <c r="S569" s="1795"/>
      <c r="T569" s="1795"/>
      <c r="U569" s="1795"/>
    </row>
    <row r="570" spans="1:21" s="1780" customFormat="1" ht="14">
      <c r="A570" s="1795"/>
      <c r="B570" s="1797"/>
      <c r="C570" s="1518" t="s">
        <v>921</v>
      </c>
      <c r="D570" s="1801" t="s">
        <v>963</v>
      </c>
      <c r="E570" s="1795"/>
      <c r="F570" s="1802"/>
      <c r="G570" s="619">
        <f t="shared" si="146"/>
        <v>0.24376187641764055</v>
      </c>
      <c r="H570" s="619">
        <f t="shared" si="146"/>
        <v>0.29241705829519893</v>
      </c>
      <c r="I570" s="619">
        <f t="shared" si="146"/>
        <v>0.53247540036946606</v>
      </c>
      <c r="J570" s="619">
        <f t="shared" si="146"/>
        <v>0.45050549532928263</v>
      </c>
      <c r="K570" s="619">
        <f t="shared" si="146"/>
        <v>0.54668253418493951</v>
      </c>
      <c r="L570" s="619">
        <f t="shared" si="146"/>
        <v>0.5510888438279864</v>
      </c>
      <c r="M570" s="619">
        <f t="shared" si="146"/>
        <v>0.57006598237389983</v>
      </c>
      <c r="N570" s="619">
        <f t="shared" si="146"/>
        <v>0.61033423415132626</v>
      </c>
      <c r="O570" s="619">
        <f t="shared" si="146"/>
        <v>0.65328477084274139</v>
      </c>
      <c r="P570" s="1795"/>
      <c r="Q570" s="1795"/>
      <c r="R570" s="1795"/>
      <c r="S570" s="1795"/>
      <c r="T570" s="1795"/>
      <c r="U570" s="1795"/>
    </row>
    <row r="571" spans="1:21" s="1713" customFormat="1" ht="14">
      <c r="A571" s="1795"/>
      <c r="B571" s="1797"/>
      <c r="C571" s="1518" t="s">
        <v>922</v>
      </c>
      <c r="D571" s="1801" t="s">
        <v>922</v>
      </c>
      <c r="E571" s="1795"/>
      <c r="F571" s="1802"/>
      <c r="G571" s="619">
        <f t="shared" si="146"/>
        <v>8.9971830006464089E-3</v>
      </c>
      <c r="H571" s="619">
        <f t="shared" si="146"/>
        <v>9.3297314901303018E-3</v>
      </c>
      <c r="I571" s="619">
        <f t="shared" si="146"/>
        <v>1.1119121918990508E-2</v>
      </c>
      <c r="J571" s="619">
        <f t="shared" si="146"/>
        <v>1.2090085538919427E-2</v>
      </c>
      <c r="K571" s="619">
        <f t="shared" si="146"/>
        <v>1.2575006058399042E-2</v>
      </c>
      <c r="L571" s="619">
        <f t="shared" si="146"/>
        <v>1.3477475316013763E-2</v>
      </c>
      <c r="M571" s="619">
        <f t="shared" si="146"/>
        <v>1.3878343441599406E-2</v>
      </c>
      <c r="N571" s="619">
        <f t="shared" si="146"/>
        <v>1.4689966347617656E-2</v>
      </c>
      <c r="O571" s="619">
        <f t="shared" si="146"/>
        <v>1.5535131600887269E-2</v>
      </c>
      <c r="P571" s="1795"/>
      <c r="Q571" s="1795"/>
      <c r="R571" s="1795"/>
      <c r="S571" s="1795"/>
      <c r="T571" s="1795"/>
      <c r="U571" s="1795"/>
    </row>
    <row r="572" spans="1:21" s="1780" customFormat="1" ht="14">
      <c r="A572" s="1795"/>
      <c r="B572" s="1797"/>
      <c r="C572" s="1518"/>
      <c r="D572" s="1801"/>
      <c r="E572" s="1795"/>
      <c r="F572" s="1802"/>
      <c r="G572" s="619"/>
      <c r="H572" s="619"/>
      <c r="I572" s="619"/>
      <c r="J572" s="619"/>
      <c r="K572" s="619"/>
      <c r="L572" s="619"/>
      <c r="M572" s="619"/>
      <c r="N572" s="619"/>
      <c r="O572" s="619"/>
      <c r="P572" s="1795"/>
      <c r="Q572" s="1795"/>
      <c r="R572" s="1795"/>
      <c r="S572" s="1795"/>
      <c r="T572" s="1795"/>
      <c r="U572" s="1795"/>
    </row>
    <row r="573" spans="1:21" s="1780" customFormat="1" ht="14">
      <c r="A573" s="1733"/>
      <c r="B573" s="1733" t="s">
        <v>1667</v>
      </c>
      <c r="C573" s="1733" t="s">
        <v>1674</v>
      </c>
      <c r="D573" s="1733"/>
      <c r="E573" s="1733"/>
      <c r="F573" s="623"/>
      <c r="G573" s="623"/>
      <c r="H573" s="623"/>
      <c r="I573" s="623"/>
      <c r="J573" s="623"/>
      <c r="K573" s="623"/>
      <c r="L573" s="623"/>
      <c r="M573" s="623"/>
      <c r="N573" s="623"/>
      <c r="O573" s="623"/>
      <c r="P573" s="1733"/>
      <c r="Q573" s="1954"/>
      <c r="R573" s="526"/>
      <c r="S573" s="526"/>
      <c r="T573" s="526"/>
      <c r="U573" s="526"/>
    </row>
    <row r="574" spans="1:21" s="1780" customFormat="1" ht="14">
      <c r="A574" s="1733"/>
      <c r="B574" s="559"/>
      <c r="C574" s="1733"/>
      <c r="D574" s="1733"/>
      <c r="E574" s="1733"/>
      <c r="F574" s="623"/>
      <c r="G574" s="623"/>
      <c r="H574" s="623"/>
      <c r="I574" s="623"/>
      <c r="J574" s="623"/>
      <c r="K574" s="623"/>
      <c r="L574" s="623"/>
      <c r="M574" s="623"/>
      <c r="N574" s="623"/>
      <c r="O574" s="623"/>
      <c r="P574" s="1733"/>
      <c r="Q574" s="1954"/>
      <c r="R574" s="526"/>
      <c r="S574" s="526"/>
      <c r="T574" s="526"/>
      <c r="U574" s="526"/>
    </row>
    <row r="575" spans="1:21" s="1780" customFormat="1" ht="14">
      <c r="A575" s="1733"/>
      <c r="B575" s="1043"/>
      <c r="C575" s="17" t="s">
        <v>970</v>
      </c>
      <c r="D575" s="20"/>
      <c r="E575" s="1733"/>
      <c r="F575" s="623"/>
      <c r="G575" s="623"/>
      <c r="H575" s="623"/>
      <c r="I575" s="623"/>
      <c r="J575" s="623"/>
      <c r="K575" s="623"/>
      <c r="L575" s="623"/>
      <c r="M575" s="623"/>
      <c r="N575" s="623"/>
      <c r="O575" s="1732" t="str">
        <f>Preferences.moneyunits&amp;"/yr, preceeding 5 years"</f>
        <v>£m/yr, preceeding 5 years</v>
      </c>
      <c r="P575" s="1733"/>
      <c r="Q575" s="1954"/>
      <c r="R575" s="526"/>
      <c r="S575" s="526"/>
      <c r="T575" s="526"/>
      <c r="U575" s="526"/>
    </row>
    <row r="576" spans="1:21" s="1780" customFormat="1" ht="14">
      <c r="A576" s="1733"/>
      <c r="B576" s="559"/>
      <c r="C576" s="1043" t="s">
        <v>906</v>
      </c>
      <c r="D576" s="1954" t="s">
        <v>657</v>
      </c>
      <c r="E576" s="1733"/>
      <c r="F576" s="1798">
        <v>2007</v>
      </c>
      <c r="G576" s="1798">
        <v>2010</v>
      </c>
      <c r="H576" s="1798">
        <v>2015</v>
      </c>
      <c r="I576" s="1798">
        <v>2020</v>
      </c>
      <c r="J576" s="1798">
        <v>2025</v>
      </c>
      <c r="K576" s="1798">
        <v>2030</v>
      </c>
      <c r="L576" s="1798">
        <v>2035</v>
      </c>
      <c r="M576" s="1798">
        <v>2040</v>
      </c>
      <c r="N576" s="1798">
        <v>2045</v>
      </c>
      <c r="O576" s="1798">
        <v>2050</v>
      </c>
      <c r="P576" s="1733"/>
      <c r="Q576" s="1954"/>
      <c r="R576" s="526"/>
      <c r="S576" s="526"/>
      <c r="T576" s="526"/>
      <c r="U576" s="526"/>
    </row>
    <row r="577" spans="1:21" s="1780" customFormat="1" ht="14">
      <c r="A577" s="1733"/>
      <c r="B577" s="559"/>
      <c r="C577" s="1732" t="s">
        <v>920</v>
      </c>
      <c r="D577" s="17" t="s">
        <v>920</v>
      </c>
      <c r="E577" s="1733"/>
      <c r="F577" s="1798"/>
      <c r="G577" s="1803">
        <f t="shared" ref="G577:O577" si="147">G560*G357</f>
        <v>912.68962380952394</v>
      </c>
      <c r="H577" s="1803">
        <f t="shared" si="147"/>
        <v>1377.8251118035716</v>
      </c>
      <c r="I577" s="1803">
        <f t="shared" si="147"/>
        <v>2021.1618238355486</v>
      </c>
      <c r="J577" s="1803">
        <f t="shared" si="147"/>
        <v>2565.8549031063121</v>
      </c>
      <c r="K577" s="1803">
        <f t="shared" si="147"/>
        <v>3239.2223458139538</v>
      </c>
      <c r="L577" s="1803">
        <f t="shared" si="147"/>
        <v>3994.9732500000014</v>
      </c>
      <c r="M577" s="1803">
        <f t="shared" si="147"/>
        <v>4839.9999033803979</v>
      </c>
      <c r="N577" s="1803">
        <f t="shared" si="147"/>
        <v>5778.5938916196019</v>
      </c>
      <c r="O577" s="1803">
        <f t="shared" si="147"/>
        <v>6811.3426217940196</v>
      </c>
      <c r="P577" s="1733"/>
      <c r="Q577" s="1954"/>
      <c r="R577" s="1733"/>
      <c r="S577" s="1733"/>
      <c r="T577" s="1733"/>
      <c r="U577" s="1733"/>
    </row>
    <row r="578" spans="1:21" s="1780" customFormat="1" ht="14">
      <c r="A578" s="1733"/>
      <c r="B578" s="559"/>
      <c r="C578" s="1043" t="s">
        <v>918</v>
      </c>
      <c r="D578" s="1063" t="s">
        <v>923</v>
      </c>
      <c r="E578" s="1733"/>
      <c r="F578" s="619"/>
      <c r="G578" s="1803">
        <f>G561*G358</f>
        <v>55886.803629613001</v>
      </c>
      <c r="H578" s="1803">
        <f t="shared" ref="H578:O578" si="148">H561*H358</f>
        <v>52737.162113562372</v>
      </c>
      <c r="I578" s="1803">
        <f t="shared" si="148"/>
        <v>54204.012361781723</v>
      </c>
      <c r="J578" s="1803">
        <f t="shared" si="148"/>
        <v>19112.05868660325</v>
      </c>
      <c r="K578" s="1803">
        <f t="shared" si="148"/>
        <v>3180.0254753212312</v>
      </c>
      <c r="L578" s="1803">
        <f t="shared" si="148"/>
        <v>19695.771484971177</v>
      </c>
      <c r="M578" s="1803">
        <f t="shared" si="148"/>
        <v>17242.085552045224</v>
      </c>
      <c r="N578" s="1803">
        <f t="shared" si="148"/>
        <v>7706.0152085237878</v>
      </c>
      <c r="O578" s="1803">
        <f t="shared" si="148"/>
        <v>3087.507135099554</v>
      </c>
      <c r="P578" s="1733"/>
      <c r="Q578" s="1954"/>
      <c r="R578" s="526"/>
      <c r="S578" s="526"/>
      <c r="T578" s="526"/>
      <c r="U578" s="526"/>
    </row>
    <row r="579" spans="1:21" s="1780" customFormat="1" ht="14">
      <c r="A579" s="1733"/>
      <c r="B579" s="559"/>
      <c r="C579" s="1043" t="s">
        <v>918</v>
      </c>
      <c r="D579" s="17" t="s">
        <v>1116</v>
      </c>
      <c r="E579" s="1733"/>
      <c r="F579" s="619"/>
      <c r="G579" s="1803">
        <f t="shared" ref="G579:O579" si="149">G562*G359</f>
        <v>0</v>
      </c>
      <c r="H579" s="1803">
        <f t="shared" si="149"/>
        <v>1404.8604741110728</v>
      </c>
      <c r="I579" s="1803">
        <f t="shared" si="149"/>
        <v>2018.3362915761595</v>
      </c>
      <c r="J579" s="1803">
        <f t="shared" si="149"/>
        <v>63112.608450099375</v>
      </c>
      <c r="K579" s="1803">
        <f t="shared" si="149"/>
        <v>87383.701596495521</v>
      </c>
      <c r="L579" s="1803">
        <f t="shared" si="149"/>
        <v>32924.34382670129</v>
      </c>
      <c r="M579" s="1803">
        <f t="shared" si="149"/>
        <v>24475.27800635825</v>
      </c>
      <c r="N579" s="1803">
        <f t="shared" si="149"/>
        <v>33474.909271998222</v>
      </c>
      <c r="O579" s="1803">
        <f t="shared" si="149"/>
        <v>32371.591941692586</v>
      </c>
      <c r="P579" s="1733"/>
      <c r="Q579" s="1954"/>
      <c r="R579" s="526"/>
      <c r="S579" s="526"/>
      <c r="T579" s="526"/>
      <c r="U579" s="526"/>
    </row>
    <row r="580" spans="1:21" s="1780" customFormat="1" ht="14">
      <c r="A580" s="1733"/>
      <c r="B580" s="559"/>
      <c r="C580" s="1043" t="s">
        <v>918</v>
      </c>
      <c r="D580" s="1063" t="s">
        <v>924</v>
      </c>
      <c r="E580" s="1733"/>
      <c r="F580" s="619"/>
      <c r="G580" s="1803">
        <f t="shared" ref="G580:O580" si="150">G563*G360</f>
        <v>0</v>
      </c>
      <c r="H580" s="1803">
        <f t="shared" si="150"/>
        <v>3976.424122912485</v>
      </c>
      <c r="I580" s="1803">
        <f t="shared" si="150"/>
        <v>5712.8528176803302</v>
      </c>
      <c r="J580" s="1803">
        <f t="shared" si="150"/>
        <v>22510.879077669615</v>
      </c>
      <c r="K580" s="1803">
        <f t="shared" si="150"/>
        <v>29912.718341386044</v>
      </c>
      <c r="L580" s="1803">
        <f t="shared" si="150"/>
        <v>54629.228428581016</v>
      </c>
      <c r="M580" s="1803">
        <f t="shared" si="150"/>
        <v>67020.438563933712</v>
      </c>
      <c r="N580" s="1803">
        <f t="shared" si="150"/>
        <v>77769.52732755529</v>
      </c>
      <c r="O580" s="1803">
        <f t="shared" si="150"/>
        <v>88177.637798179145</v>
      </c>
      <c r="P580" s="1733"/>
      <c r="Q580" s="1954"/>
      <c r="R580" s="526"/>
      <c r="S580" s="526"/>
      <c r="T580" s="526"/>
      <c r="U580" s="526"/>
    </row>
    <row r="581" spans="1:21" s="1780" customFormat="1" ht="14">
      <c r="A581" s="1733"/>
      <c r="B581" s="559"/>
      <c r="C581" s="1043" t="s">
        <v>918</v>
      </c>
      <c r="D581" s="1063" t="s">
        <v>925</v>
      </c>
      <c r="E581" s="1733"/>
      <c r="F581" s="619"/>
      <c r="G581" s="1803">
        <f t="shared" ref="G581:O581" si="151">G564*G361</f>
        <v>0</v>
      </c>
      <c r="H581" s="1803">
        <f t="shared" si="151"/>
        <v>0</v>
      </c>
      <c r="I581" s="1803">
        <f t="shared" si="151"/>
        <v>0</v>
      </c>
      <c r="J581" s="1803">
        <f t="shared" si="151"/>
        <v>0</v>
      </c>
      <c r="K581" s="1803">
        <f t="shared" si="151"/>
        <v>0</v>
      </c>
      <c r="L581" s="1803">
        <f t="shared" si="151"/>
        <v>0</v>
      </c>
      <c r="M581" s="1803">
        <f t="shared" si="151"/>
        <v>0</v>
      </c>
      <c r="N581" s="1803">
        <f t="shared" si="151"/>
        <v>0</v>
      </c>
      <c r="O581" s="1803">
        <f t="shared" si="151"/>
        <v>0</v>
      </c>
      <c r="P581" s="1733"/>
      <c r="Q581" s="1954"/>
      <c r="R581" s="526"/>
      <c r="S581" s="526"/>
      <c r="T581" s="526"/>
      <c r="U581" s="526"/>
    </row>
    <row r="582" spans="1:21" s="1780" customFormat="1" ht="14">
      <c r="A582" s="1733"/>
      <c r="B582" s="559"/>
      <c r="C582" s="1043" t="s">
        <v>919</v>
      </c>
      <c r="D582" s="1063" t="s">
        <v>923</v>
      </c>
      <c r="E582" s="1733"/>
      <c r="F582" s="619"/>
      <c r="G582" s="1803">
        <f t="shared" ref="G582:O582" si="152">G565*G362</f>
        <v>1980.469353273581</v>
      </c>
      <c r="H582" s="1803">
        <f t="shared" si="152"/>
        <v>651.77815674320595</v>
      </c>
      <c r="I582" s="1803">
        <f t="shared" si="152"/>
        <v>78.681378688712357</v>
      </c>
      <c r="J582" s="1803">
        <f t="shared" si="152"/>
        <v>0</v>
      </c>
      <c r="K582" s="1803">
        <f t="shared" si="152"/>
        <v>0</v>
      </c>
      <c r="L582" s="1803">
        <f t="shared" si="152"/>
        <v>0</v>
      </c>
      <c r="M582" s="1803">
        <f t="shared" si="152"/>
        <v>0</v>
      </c>
      <c r="N582" s="1803">
        <f t="shared" si="152"/>
        <v>0</v>
      </c>
      <c r="O582" s="1803">
        <f t="shared" si="152"/>
        <v>0</v>
      </c>
      <c r="P582" s="1733"/>
      <c r="Q582" s="1954"/>
      <c r="R582" s="526"/>
      <c r="S582" s="526"/>
      <c r="T582" s="526"/>
      <c r="U582" s="526"/>
    </row>
    <row r="583" spans="1:21" s="1780" customFormat="1" ht="14">
      <c r="A583" s="1733"/>
      <c r="B583" s="559"/>
      <c r="C583" s="1043" t="s">
        <v>919</v>
      </c>
      <c r="D583" s="17" t="s">
        <v>1117</v>
      </c>
      <c r="E583" s="1733"/>
      <c r="F583" s="619"/>
      <c r="G583" s="1803">
        <f t="shared" ref="G583:O583" si="153">G566*G363</f>
        <v>97.325237342520609</v>
      </c>
      <c r="H583" s="1803">
        <f t="shared" si="153"/>
        <v>1579.5878991202521</v>
      </c>
      <c r="I583" s="1803">
        <f t="shared" si="153"/>
        <v>2492.3546463169478</v>
      </c>
      <c r="J583" s="1803">
        <f t="shared" si="153"/>
        <v>3018.4812730027911</v>
      </c>
      <c r="K583" s="1803">
        <f t="shared" si="153"/>
        <v>3778.8450773689588</v>
      </c>
      <c r="L583" s="1803">
        <f t="shared" si="153"/>
        <v>2660.6138049544188</v>
      </c>
      <c r="M583" s="1803">
        <f t="shared" si="153"/>
        <v>2597.2232345419588</v>
      </c>
      <c r="N583" s="1803">
        <f t="shared" si="153"/>
        <v>2498.6180245811615</v>
      </c>
      <c r="O583" s="1803">
        <f t="shared" si="153"/>
        <v>2433.1872750521575</v>
      </c>
      <c r="P583" s="1733"/>
      <c r="Q583" s="1954"/>
      <c r="R583" s="526"/>
      <c r="S583" s="526"/>
      <c r="T583" s="526"/>
      <c r="U583" s="526"/>
    </row>
    <row r="584" spans="1:21" s="1780" customFormat="1" ht="14">
      <c r="A584" s="1733"/>
      <c r="B584" s="559"/>
      <c r="C584" s="1043" t="s">
        <v>919</v>
      </c>
      <c r="D584" s="1063" t="s">
        <v>924</v>
      </c>
      <c r="E584" s="1733"/>
      <c r="F584" s="619"/>
      <c r="G584" s="1803">
        <f t="shared" ref="G584:O584" si="154">G567*G364</f>
        <v>0</v>
      </c>
      <c r="H584" s="1803">
        <f t="shared" si="154"/>
        <v>164.85959474345364</v>
      </c>
      <c r="I584" s="1803">
        <f t="shared" si="154"/>
        <v>261.40296527366093</v>
      </c>
      <c r="J584" s="1803">
        <f t="shared" si="154"/>
        <v>408.79771110025121</v>
      </c>
      <c r="K584" s="1803">
        <f t="shared" si="154"/>
        <v>533.84862328418865</v>
      </c>
      <c r="L584" s="1803">
        <f t="shared" si="154"/>
        <v>834.78413986734267</v>
      </c>
      <c r="M584" s="1803">
        <f t="shared" si="154"/>
        <v>1033.9382931427901</v>
      </c>
      <c r="N584" s="1803">
        <f t="shared" si="154"/>
        <v>1360.3176999654133</v>
      </c>
      <c r="O584" s="1803">
        <f t="shared" si="154"/>
        <v>1628.7729147786179</v>
      </c>
      <c r="P584" s="1733"/>
      <c r="Q584" s="1954"/>
      <c r="R584" s="526"/>
      <c r="S584" s="526"/>
      <c r="T584" s="526"/>
      <c r="U584" s="526"/>
    </row>
    <row r="585" spans="1:21" s="1780" customFormat="1" ht="14">
      <c r="A585" s="1733"/>
      <c r="B585" s="559"/>
      <c r="C585" s="1043" t="s">
        <v>919</v>
      </c>
      <c r="D585" s="17" t="s">
        <v>925</v>
      </c>
      <c r="E585" s="1733"/>
      <c r="F585" s="619"/>
      <c r="G585" s="1803">
        <f t="shared" ref="G585:O585" si="155">G568*G365</f>
        <v>0</v>
      </c>
      <c r="H585" s="1803">
        <f t="shared" si="155"/>
        <v>0</v>
      </c>
      <c r="I585" s="1803">
        <f t="shared" si="155"/>
        <v>0</v>
      </c>
      <c r="J585" s="1803">
        <f t="shared" si="155"/>
        <v>0</v>
      </c>
      <c r="K585" s="1803">
        <f t="shared" si="155"/>
        <v>0</v>
      </c>
      <c r="L585" s="1803">
        <f t="shared" si="155"/>
        <v>0</v>
      </c>
      <c r="M585" s="1803">
        <f t="shared" si="155"/>
        <v>0</v>
      </c>
      <c r="N585" s="1803">
        <f t="shared" si="155"/>
        <v>0</v>
      </c>
      <c r="O585" s="1803">
        <f t="shared" si="155"/>
        <v>0</v>
      </c>
      <c r="P585" s="1733"/>
      <c r="Q585" s="1954"/>
      <c r="R585" s="526"/>
      <c r="S585" s="526"/>
      <c r="T585" s="526"/>
      <c r="U585" s="526"/>
    </row>
    <row r="586" spans="1:21" s="1780" customFormat="1" ht="14">
      <c r="A586" s="1733"/>
      <c r="B586" s="559"/>
      <c r="C586" s="1043" t="s">
        <v>921</v>
      </c>
      <c r="D586" s="1063" t="s">
        <v>962</v>
      </c>
      <c r="E586" s="1733"/>
      <c r="F586" s="619"/>
      <c r="G586" s="1803">
        <f t="shared" ref="G586:O586" si="156">G569*G366</f>
        <v>26.266154540373705</v>
      </c>
      <c r="H586" s="1803">
        <f t="shared" si="156"/>
        <v>20.710791382297398</v>
      </c>
      <c r="I586" s="1803">
        <f t="shared" si="156"/>
        <v>2.2950227491438571</v>
      </c>
      <c r="J586" s="1803">
        <f t="shared" si="156"/>
        <v>16.108791212560813</v>
      </c>
      <c r="K586" s="1803">
        <f t="shared" si="156"/>
        <v>4.0259185282958505</v>
      </c>
      <c r="L586" s="1803">
        <f t="shared" si="156"/>
        <v>6.8595673759945637</v>
      </c>
      <c r="M586" s="1803">
        <f t="shared" si="156"/>
        <v>4.1700731275168161</v>
      </c>
      <c r="N586" s="1803">
        <f t="shared" si="156"/>
        <v>2.1093323511100661</v>
      </c>
      <c r="O586" s="1803">
        <f t="shared" si="156"/>
        <v>0</v>
      </c>
      <c r="P586" s="1733"/>
      <c r="Q586" s="1954"/>
      <c r="R586" s="526"/>
      <c r="S586" s="526"/>
      <c r="T586" s="526"/>
      <c r="U586" s="526"/>
    </row>
    <row r="587" spans="1:21" s="1780" customFormat="1" ht="14">
      <c r="A587" s="1733"/>
      <c r="B587" s="559"/>
      <c r="C587" s="1732" t="s">
        <v>921</v>
      </c>
      <c r="D587" s="1063" t="s">
        <v>963</v>
      </c>
      <c r="E587" s="1733"/>
      <c r="F587" s="619"/>
      <c r="G587" s="1803">
        <f t="shared" ref="G587:O587" si="157">G570*G367</f>
        <v>81.269234550135678</v>
      </c>
      <c r="H587" s="1803">
        <f t="shared" si="157"/>
        <v>97.490677567386129</v>
      </c>
      <c r="I587" s="1803">
        <f>I570*I367</f>
        <v>177.52516858157847</v>
      </c>
      <c r="J587" s="1803">
        <f t="shared" si="157"/>
        <v>150.1967301208015</v>
      </c>
      <c r="K587" s="1803">
        <f t="shared" si="157"/>
        <v>182.26177016712208</v>
      </c>
      <c r="L587" s="1803">
        <f t="shared" si="157"/>
        <v>183.73081617687532</v>
      </c>
      <c r="M587" s="1803">
        <f t="shared" si="157"/>
        <v>190.05771825952868</v>
      </c>
      <c r="N587" s="1803">
        <f t="shared" si="157"/>
        <v>203.48299232911555</v>
      </c>
      <c r="O587" s="1803">
        <f t="shared" si="157"/>
        <v>217.80252945988659</v>
      </c>
      <c r="P587" s="1733"/>
      <c r="Q587" s="1954"/>
      <c r="R587" s="526"/>
      <c r="S587" s="526"/>
      <c r="T587" s="526"/>
      <c r="U587" s="526"/>
    </row>
    <row r="588" spans="1:21" s="1780" customFormat="1" ht="14">
      <c r="A588" s="1733"/>
      <c r="B588" s="559"/>
      <c r="C588" s="1732" t="s">
        <v>922</v>
      </c>
      <c r="D588" s="1063" t="s">
        <v>922</v>
      </c>
      <c r="E588" s="1733"/>
      <c r="F588" s="619"/>
      <c r="G588" s="1803">
        <f t="shared" ref="G588:O588" si="158">G571*G368</f>
        <v>515.87691371884398</v>
      </c>
      <c r="H588" s="1803">
        <f t="shared" si="158"/>
        <v>534.94444723511117</v>
      </c>
      <c r="I588" s="1803">
        <f t="shared" si="158"/>
        <v>637.54380659149194</v>
      </c>
      <c r="J588" s="1803">
        <f t="shared" si="158"/>
        <v>693.21653388249183</v>
      </c>
      <c r="K588" s="1803">
        <f t="shared" si="158"/>
        <v>721.02071447658557</v>
      </c>
      <c r="L588" s="1803">
        <f t="shared" si="158"/>
        <v>772.76613916239774</v>
      </c>
      <c r="M588" s="1803">
        <f t="shared" si="158"/>
        <v>795.7509569015192</v>
      </c>
      <c r="N588" s="1803">
        <f t="shared" si="158"/>
        <v>842.287469477748</v>
      </c>
      <c r="O588" s="1803">
        <f t="shared" si="158"/>
        <v>890.74721986937709</v>
      </c>
      <c r="P588" s="1733"/>
      <c r="Q588" s="1954"/>
      <c r="R588" s="526"/>
      <c r="S588" s="526"/>
      <c r="T588" s="526"/>
      <c r="U588" s="526"/>
    </row>
    <row r="589" spans="1:21" s="1780" customFormat="1" ht="14">
      <c r="A589" s="1733"/>
      <c r="B589" s="559"/>
      <c r="C589" s="1732" t="s">
        <v>1675</v>
      </c>
      <c r="D589" s="17" t="s">
        <v>1675</v>
      </c>
      <c r="E589" s="1733"/>
      <c r="F589" s="619"/>
      <c r="G589" s="1803">
        <f t="shared" ref="G589:O589" si="159">SUM(G577:G588)</f>
        <v>59500.700146847979</v>
      </c>
      <c r="H589" s="1803">
        <f t="shared" si="159"/>
        <v>62545.643389181205</v>
      </c>
      <c r="I589" s="1803">
        <f t="shared" si="159"/>
        <v>67606.16628307529</v>
      </c>
      <c r="J589" s="1803">
        <f t="shared" si="159"/>
        <v>111588.20215679746</v>
      </c>
      <c r="K589" s="1803">
        <f t="shared" si="159"/>
        <v>128935.6698628419</v>
      </c>
      <c r="L589" s="1803">
        <f t="shared" si="159"/>
        <v>115703.07145779053</v>
      </c>
      <c r="M589" s="1803">
        <f t="shared" si="159"/>
        <v>118198.94230169091</v>
      </c>
      <c r="N589" s="1803">
        <f t="shared" si="159"/>
        <v>129635.86121840143</v>
      </c>
      <c r="O589" s="1803">
        <f t="shared" si="159"/>
        <v>135618.58943592533</v>
      </c>
      <c r="P589" s="1733"/>
      <c r="Q589" s="1954"/>
      <c r="R589" s="1733"/>
      <c r="S589" s="1733"/>
      <c r="T589" s="1733"/>
      <c r="U589" s="1733"/>
    </row>
    <row r="590" spans="1:21" s="1780" customFormat="1" ht="14">
      <c r="A590" s="1733"/>
      <c r="B590" s="559"/>
      <c r="C590" s="1732"/>
      <c r="D590" s="17"/>
      <c r="E590" s="1733"/>
      <c r="F590" s="619"/>
      <c r="G590" s="1803"/>
      <c r="H590" s="1803"/>
      <c r="I590" s="1803"/>
      <c r="J590" s="1803"/>
      <c r="K590" s="1803"/>
      <c r="L590" s="1803"/>
      <c r="M590" s="1803"/>
      <c r="N590" s="1803"/>
      <c r="O590" s="1803"/>
      <c r="P590" s="1733"/>
      <c r="Q590" s="1954"/>
      <c r="R590" s="526"/>
      <c r="S590" s="526"/>
      <c r="T590" s="526"/>
      <c r="U590" s="526"/>
    </row>
    <row r="591" spans="1:21" s="1780" customFormat="1" ht="14">
      <c r="A591" s="1733"/>
      <c r="B591" s="559"/>
      <c r="C591" s="1732"/>
      <c r="D591" s="17"/>
      <c r="E591" s="1733"/>
      <c r="F591" s="619"/>
      <c r="G591" s="1803"/>
      <c r="H591" s="1803"/>
      <c r="I591" s="1803"/>
      <c r="J591" s="1803"/>
      <c r="K591" s="1803"/>
      <c r="L591" s="1803"/>
      <c r="M591" s="1803"/>
      <c r="N591" s="1803"/>
      <c r="O591" s="1803"/>
      <c r="P591" s="1733"/>
      <c r="Q591" s="1954"/>
      <c r="R591" s="526"/>
      <c r="S591" s="526"/>
      <c r="T591" s="526"/>
      <c r="U591" s="526"/>
    </row>
    <row r="592" spans="1:21" s="1780" customFormat="1" ht="14">
      <c r="A592" s="1733"/>
      <c r="B592" s="1733" t="s">
        <v>1668</v>
      </c>
      <c r="C592" s="1733" t="s">
        <v>1808</v>
      </c>
      <c r="D592" s="1733"/>
      <c r="E592" s="1733"/>
      <c r="F592" s="623"/>
      <c r="G592" s="623"/>
      <c r="H592" s="623"/>
      <c r="I592" s="623"/>
      <c r="J592" s="623"/>
      <c r="K592" s="623"/>
      <c r="L592" s="623"/>
      <c r="M592" s="623"/>
      <c r="N592" s="623"/>
      <c r="O592" s="623"/>
      <c r="P592" s="1733"/>
      <c r="Q592" s="1954"/>
      <c r="R592" s="526"/>
      <c r="S592" s="526"/>
      <c r="T592" s="526"/>
      <c r="U592" s="526"/>
    </row>
    <row r="593" spans="1:21" s="1780" customFormat="1" ht="14">
      <c r="A593" s="1733"/>
      <c r="B593" s="559"/>
      <c r="C593" s="1733"/>
      <c r="D593" s="1733"/>
      <c r="E593" s="1733"/>
      <c r="F593" s="623"/>
      <c r="G593" s="623"/>
      <c r="H593" s="623"/>
      <c r="I593" s="623"/>
      <c r="J593" s="623"/>
      <c r="K593" s="623"/>
      <c r="L593" s="623"/>
      <c r="M593" s="623"/>
      <c r="N593" s="623"/>
      <c r="O593" s="623"/>
      <c r="P593" s="1733"/>
      <c r="Q593" s="1954"/>
      <c r="R593" s="526"/>
      <c r="S593" s="526"/>
      <c r="T593" s="526"/>
      <c r="U593" s="526"/>
    </row>
    <row r="594" spans="1:21" s="1780" customFormat="1" ht="14">
      <c r="A594" s="1733"/>
      <c r="B594" s="559"/>
      <c r="C594" s="17" t="s">
        <v>970</v>
      </c>
      <c r="D594" s="20"/>
      <c r="E594" s="1733"/>
      <c r="F594" s="623"/>
      <c r="G594" s="623"/>
      <c r="H594" s="623"/>
      <c r="I594" s="623"/>
      <c r="J594" s="623"/>
      <c r="K594" s="623"/>
      <c r="L594" s="623"/>
      <c r="M594" s="623"/>
      <c r="N594" s="623"/>
      <c r="O594" s="1732" t="str">
        <f>Preferences.moneyunits&amp;"/yr, preceeding 5 years"</f>
        <v>£m/yr, preceeding 5 years</v>
      </c>
      <c r="P594" s="1733"/>
      <c r="Q594" s="1954"/>
      <c r="R594" s="526"/>
      <c r="S594" s="526"/>
      <c r="T594" s="526"/>
      <c r="U594" s="526"/>
    </row>
    <row r="595" spans="1:21" s="1780" customFormat="1" ht="14">
      <c r="A595" s="1733"/>
      <c r="B595" s="559"/>
      <c r="C595" s="1043" t="s">
        <v>906</v>
      </c>
      <c r="D595" s="1954" t="s">
        <v>657</v>
      </c>
      <c r="E595" s="1733"/>
      <c r="F595" s="1798">
        <v>2007</v>
      </c>
      <c r="G595" s="1798">
        <v>2010</v>
      </c>
      <c r="H595" s="1798">
        <v>2015</v>
      </c>
      <c r="I595" s="1798">
        <v>2020</v>
      </c>
      <c r="J595" s="1798">
        <v>2025</v>
      </c>
      <c r="K595" s="1798">
        <v>2030</v>
      </c>
      <c r="L595" s="1798">
        <v>2035</v>
      </c>
      <c r="M595" s="1798">
        <v>2040</v>
      </c>
      <c r="N595" s="1798">
        <v>2045</v>
      </c>
      <c r="O595" s="1798">
        <v>2050</v>
      </c>
      <c r="P595" s="1733"/>
      <c r="Q595" s="1954"/>
      <c r="R595" s="1733"/>
      <c r="S595" s="1733"/>
      <c r="T595" s="1733"/>
      <c r="U595" s="1733"/>
    </row>
    <row r="596" spans="1:21" s="1780" customFormat="1" ht="14">
      <c r="A596" s="1733"/>
      <c r="B596" s="559"/>
      <c r="C596" s="1732" t="s">
        <v>920</v>
      </c>
      <c r="D596" s="17" t="s">
        <v>920</v>
      </c>
      <c r="E596" s="1733"/>
      <c r="F596" s="1798"/>
      <c r="G596" s="1803">
        <f>G560*G372</f>
        <v>912.68962380952394</v>
      </c>
      <c r="H596" s="1803">
        <f t="shared" ref="H596:O596" si="160">H560*H372</f>
        <v>1172.6171164285715</v>
      </c>
      <c r="I596" s="1803">
        <f t="shared" si="160"/>
        <v>1497.1569065448507</v>
      </c>
      <c r="J596" s="1803">
        <f t="shared" si="160"/>
        <v>1682.5278053156144</v>
      </c>
      <c r="K596" s="1803">
        <f t="shared" si="160"/>
        <v>1905.4249093023254</v>
      </c>
      <c r="L596" s="1803">
        <f t="shared" si="160"/>
        <v>2130.6524000000004</v>
      </c>
      <c r="M596" s="1803">
        <f t="shared" si="160"/>
        <v>2360.9755626245842</v>
      </c>
      <c r="N596" s="1803">
        <f t="shared" si="160"/>
        <v>2597.1208501661131</v>
      </c>
      <c r="O596" s="1803">
        <f t="shared" si="160"/>
        <v>2838.0594257475082</v>
      </c>
      <c r="P596" s="1733"/>
      <c r="Q596" s="1954"/>
      <c r="R596" s="526"/>
      <c r="S596" s="526"/>
      <c r="T596" s="526"/>
      <c r="U596" s="526"/>
    </row>
    <row r="597" spans="1:21" s="1780" customFormat="1" ht="14">
      <c r="A597" s="1733"/>
      <c r="B597" s="559"/>
      <c r="C597" s="1043" t="s">
        <v>918</v>
      </c>
      <c r="D597" s="1063" t="s">
        <v>923</v>
      </c>
      <c r="E597" s="1733"/>
      <c r="F597" s="619"/>
      <c r="G597" s="1803">
        <f t="shared" ref="G597:O607" si="161">G561*G373</f>
        <v>45577.420314491123</v>
      </c>
      <c r="H597" s="1803">
        <f t="shared" si="161"/>
        <v>42328.680793104963</v>
      </c>
      <c r="I597" s="1803">
        <f t="shared" si="161"/>
        <v>42806.999769260816</v>
      </c>
      <c r="J597" s="1803">
        <f t="shared" si="161"/>
        <v>14847.057066048725</v>
      </c>
      <c r="K597" s="1803">
        <f t="shared" si="161"/>
        <v>2429.3682830141438</v>
      </c>
      <c r="L597" s="1803">
        <f t="shared" si="161"/>
        <v>14792.508487408801</v>
      </c>
      <c r="M597" s="1803">
        <f t="shared" si="161"/>
        <v>12727.310282219056</v>
      </c>
      <c r="N597" s="1803">
        <f t="shared" si="161"/>
        <v>5588.8457493145343</v>
      </c>
      <c r="O597" s="1803">
        <f t="shared" si="161"/>
        <v>2199.4207508941504</v>
      </c>
      <c r="P597" s="1733"/>
      <c r="Q597" s="1954"/>
      <c r="R597" s="526"/>
      <c r="S597" s="526"/>
      <c r="T597" s="526"/>
      <c r="U597" s="526"/>
    </row>
    <row r="598" spans="1:21" s="1780" customFormat="1" ht="14">
      <c r="A598" s="1733"/>
      <c r="B598" s="559"/>
      <c r="C598" s="1043" t="s">
        <v>918</v>
      </c>
      <c r="D598" s="17" t="s">
        <v>1116</v>
      </c>
      <c r="E598" s="1733"/>
      <c r="F598" s="619"/>
      <c r="G598" s="1803">
        <f t="shared" si="161"/>
        <v>0</v>
      </c>
      <c r="H598" s="1803">
        <f t="shared" si="161"/>
        <v>978.54520065252575</v>
      </c>
      <c r="I598" s="1803">
        <f t="shared" si="161"/>
        <v>1319.5678519420085</v>
      </c>
      <c r="J598" s="1803">
        <f t="shared" si="161"/>
        <v>38564.148157997748</v>
      </c>
      <c r="K598" s="1803">
        <f t="shared" si="161"/>
        <v>49658.795082908277</v>
      </c>
      <c r="L598" s="1803">
        <f t="shared" si="161"/>
        <v>17302.785351631192</v>
      </c>
      <c r="M598" s="1803">
        <f t="shared" si="161"/>
        <v>11816.148525343307</v>
      </c>
      <c r="N598" s="1803">
        <f t="shared" si="161"/>
        <v>14729.836826023531</v>
      </c>
      <c r="O598" s="1803">
        <f t="shared" si="161"/>
        <v>12860.374089743633</v>
      </c>
      <c r="P598" s="1733"/>
      <c r="Q598" s="1954"/>
      <c r="R598" s="526"/>
      <c r="S598" s="526"/>
      <c r="T598" s="526"/>
      <c r="U598" s="526"/>
    </row>
    <row r="599" spans="1:21" s="1780" customFormat="1" ht="14">
      <c r="A599" s="1733"/>
      <c r="B599" s="559"/>
      <c r="C599" s="1043" t="s">
        <v>918</v>
      </c>
      <c r="D599" s="1063" t="s">
        <v>924</v>
      </c>
      <c r="E599" s="1733"/>
      <c r="F599" s="619"/>
      <c r="G599" s="1803">
        <f t="shared" si="161"/>
        <v>0</v>
      </c>
      <c r="H599" s="1803">
        <f t="shared" si="161"/>
        <v>2370.568655215513</v>
      </c>
      <c r="I599" s="1803">
        <f t="shared" si="161"/>
        <v>3234.2408937078499</v>
      </c>
      <c r="J599" s="1803">
        <f t="shared" si="161"/>
        <v>12068.360251083146</v>
      </c>
      <c r="K599" s="1803">
        <f t="shared" si="161"/>
        <v>15138.544936924884</v>
      </c>
      <c r="L599" s="1803">
        <f t="shared" si="161"/>
        <v>26007.27170818681</v>
      </c>
      <c r="M599" s="1803">
        <f t="shared" si="161"/>
        <v>29894.268175998699</v>
      </c>
      <c r="N599" s="1803">
        <f t="shared" si="161"/>
        <v>32354.088540370103</v>
      </c>
      <c r="O599" s="1803">
        <f>O563*O375</f>
        <v>34036.87675249052</v>
      </c>
      <c r="P599" s="1733"/>
      <c r="Q599" s="1954"/>
      <c r="R599" s="526"/>
      <c r="S599" s="1554"/>
      <c r="T599" s="526"/>
      <c r="U599" s="526"/>
    </row>
    <row r="600" spans="1:21" s="1780" customFormat="1" ht="14">
      <c r="A600" s="1733"/>
      <c r="B600" s="559"/>
      <c r="C600" s="1043" t="s">
        <v>918</v>
      </c>
      <c r="D600" s="1063" t="s">
        <v>925</v>
      </c>
      <c r="E600" s="1733"/>
      <c r="F600" s="619"/>
      <c r="G600" s="1803">
        <f t="shared" si="161"/>
        <v>0</v>
      </c>
      <c r="H600" s="1803">
        <f t="shared" si="161"/>
        <v>0</v>
      </c>
      <c r="I600" s="1803">
        <f t="shared" si="161"/>
        <v>0</v>
      </c>
      <c r="J600" s="1803">
        <f t="shared" si="161"/>
        <v>0</v>
      </c>
      <c r="K600" s="1803">
        <f t="shared" si="161"/>
        <v>0</v>
      </c>
      <c r="L600" s="1803">
        <f t="shared" si="161"/>
        <v>0</v>
      </c>
      <c r="M600" s="1803">
        <f t="shared" si="161"/>
        <v>0</v>
      </c>
      <c r="N600" s="1803">
        <f t="shared" si="161"/>
        <v>0</v>
      </c>
      <c r="O600" s="1803">
        <f>O564*O376</f>
        <v>0</v>
      </c>
      <c r="P600" s="1733"/>
      <c r="Q600" s="1954"/>
      <c r="R600" s="526"/>
      <c r="S600" s="526"/>
      <c r="T600" s="526"/>
      <c r="U600" s="526"/>
    </row>
    <row r="601" spans="1:21" s="1780" customFormat="1" ht="14">
      <c r="A601" s="1733"/>
      <c r="B601" s="559"/>
      <c r="C601" s="1043" t="s">
        <v>919</v>
      </c>
      <c r="D601" s="1063" t="s">
        <v>923</v>
      </c>
      <c r="E601" s="1733"/>
      <c r="F601" s="619"/>
      <c r="G601" s="1803">
        <f t="shared" si="161"/>
        <v>1980.469353273581</v>
      </c>
      <c r="H601" s="1803">
        <f t="shared" si="161"/>
        <v>628.50974526654352</v>
      </c>
      <c r="I601" s="1803">
        <f t="shared" si="161"/>
        <v>73.06354484160056</v>
      </c>
      <c r="J601" s="1803">
        <f t="shared" si="161"/>
        <v>0</v>
      </c>
      <c r="K601" s="1803">
        <f t="shared" si="161"/>
        <v>0</v>
      </c>
      <c r="L601" s="1803">
        <f t="shared" si="161"/>
        <v>0</v>
      </c>
      <c r="M601" s="1803">
        <f t="shared" si="161"/>
        <v>0</v>
      </c>
      <c r="N601" s="1803">
        <f t="shared" si="161"/>
        <v>0</v>
      </c>
      <c r="O601" s="1803">
        <f t="shared" si="161"/>
        <v>0</v>
      </c>
      <c r="P601" s="1733"/>
      <c r="Q601" s="1954"/>
      <c r="R601" s="526"/>
      <c r="S601" s="526"/>
      <c r="T601" s="526"/>
      <c r="U601" s="526"/>
    </row>
    <row r="602" spans="1:21" s="1711" customFormat="1" ht="14">
      <c r="A602" s="1733"/>
      <c r="B602" s="559"/>
      <c r="C602" s="1043" t="s">
        <v>919</v>
      </c>
      <c r="D602" s="17" t="s">
        <v>1117</v>
      </c>
      <c r="E602" s="1733"/>
      <c r="F602" s="619"/>
      <c r="G602" s="1803">
        <f t="shared" si="161"/>
        <v>97.325237342520609</v>
      </c>
      <c r="H602" s="1803">
        <f t="shared" si="161"/>
        <v>1512.6929053894473</v>
      </c>
      <c r="I602" s="1803">
        <f t="shared" si="161"/>
        <v>2281.253955392217</v>
      </c>
      <c r="J602" s="1803">
        <f t="shared" si="161"/>
        <v>2634.98640206867</v>
      </c>
      <c r="K602" s="1803">
        <f t="shared" si="161"/>
        <v>3138.7140206520321</v>
      </c>
      <c r="L602" s="1803">
        <f t="shared" si="161"/>
        <v>2097.2334957559078</v>
      </c>
      <c r="M602" s="1803">
        <f t="shared" si="161"/>
        <v>1937.2742740987319</v>
      </c>
      <c r="N602" s="1803">
        <f t="shared" si="161"/>
        <v>1757.9088432295775</v>
      </c>
      <c r="O602" s="1803">
        <f t="shared" si="161"/>
        <v>1608.830250787074</v>
      </c>
      <c r="P602" s="1733"/>
      <c r="Q602" s="1954"/>
      <c r="R602" s="526"/>
      <c r="S602" s="526"/>
      <c r="T602" s="526"/>
      <c r="U602" s="526"/>
    </row>
    <row r="603" spans="1:21" s="1711" customFormat="1" ht="14">
      <c r="A603" s="1733"/>
      <c r="B603" s="559"/>
      <c r="C603" s="1043" t="s">
        <v>919</v>
      </c>
      <c r="D603" s="1063" t="s">
        <v>924</v>
      </c>
      <c r="E603" s="1733"/>
      <c r="F603" s="619"/>
      <c r="G603" s="1803">
        <f t="shared" si="161"/>
        <v>0</v>
      </c>
      <c r="H603" s="1803">
        <f t="shared" si="161"/>
        <v>153.82992434502319</v>
      </c>
      <c r="I603" s="1803">
        <f t="shared" si="161"/>
        <v>226.42546150595467</v>
      </c>
      <c r="J603" s="1803">
        <f t="shared" si="161"/>
        <v>326.74781852193155</v>
      </c>
      <c r="K603" s="1803">
        <f t="shared" si="161"/>
        <v>390.98343265592467</v>
      </c>
      <c r="L603" s="1803">
        <f t="shared" si="161"/>
        <v>555.53457811444196</v>
      </c>
      <c r="M603" s="1803">
        <f t="shared" si="161"/>
        <v>618.89425751621695</v>
      </c>
      <c r="N603" s="1803">
        <f t="shared" si="161"/>
        <v>723.24837295521195</v>
      </c>
      <c r="O603" s="1803">
        <f>O567*O378</f>
        <v>663.251377352291</v>
      </c>
      <c r="P603" s="1733"/>
      <c r="Q603" s="1954"/>
      <c r="R603" s="526"/>
      <c r="S603" s="526"/>
      <c r="T603" s="526"/>
      <c r="U603" s="526"/>
    </row>
    <row r="604" spans="1:21" s="1711" customFormat="1" ht="14">
      <c r="A604" s="1733"/>
      <c r="B604" s="559"/>
      <c r="C604" s="1043" t="s">
        <v>919</v>
      </c>
      <c r="D604" s="17" t="s">
        <v>925</v>
      </c>
      <c r="E604" s="1733"/>
      <c r="F604" s="619"/>
      <c r="G604" s="1803">
        <f t="shared" si="161"/>
        <v>0</v>
      </c>
      <c r="H604" s="1803">
        <f t="shared" si="161"/>
        <v>0</v>
      </c>
      <c r="I604" s="1803">
        <f t="shared" si="161"/>
        <v>0</v>
      </c>
      <c r="J604" s="1803">
        <f t="shared" si="161"/>
        <v>0</v>
      </c>
      <c r="K604" s="1803">
        <f t="shared" si="161"/>
        <v>0</v>
      </c>
      <c r="L604" s="1803">
        <f t="shared" si="161"/>
        <v>0</v>
      </c>
      <c r="M604" s="1803">
        <f t="shared" si="161"/>
        <v>0</v>
      </c>
      <c r="N604" s="1803">
        <f t="shared" si="161"/>
        <v>0</v>
      </c>
      <c r="O604" s="1803">
        <f t="shared" si="161"/>
        <v>0</v>
      </c>
      <c r="P604" s="1733"/>
      <c r="Q604" s="1954"/>
      <c r="R604" s="526"/>
      <c r="S604" s="526"/>
      <c r="T604" s="526"/>
      <c r="U604" s="526"/>
    </row>
    <row r="605" spans="1:21" ht="14">
      <c r="A605" s="1733"/>
      <c r="B605" s="559"/>
      <c r="C605" s="1043" t="s">
        <v>921</v>
      </c>
      <c r="D605" s="1063" t="s">
        <v>962</v>
      </c>
      <c r="E605" s="1733"/>
      <c r="F605" s="619"/>
      <c r="G605" s="1803">
        <f>G569*G382</f>
        <v>70.566015771069658</v>
      </c>
      <c r="H605" s="1803">
        <f t="shared" si="161"/>
        <v>19.953560843288969</v>
      </c>
      <c r="I605" s="1803">
        <f t="shared" si="161"/>
        <v>2.1272009328460744</v>
      </c>
      <c r="J605" s="1803">
        <f t="shared" si="161"/>
        <v>14.34187630899687</v>
      </c>
      <c r="K605" s="1803">
        <f t="shared" si="161"/>
        <v>3.4371339858005334</v>
      </c>
      <c r="L605" s="1803">
        <f t="shared" si="161"/>
        <v>5.6055655839797955</v>
      </c>
      <c r="M605" s="1803">
        <f t="shared" si="161"/>
        <v>3.2552727230996745</v>
      </c>
      <c r="N605" s="1803">
        <f t="shared" si="161"/>
        <v>1.5694806426036636</v>
      </c>
      <c r="O605" s="1803">
        <f>O569*O382</f>
        <v>0</v>
      </c>
      <c r="P605" s="1733"/>
      <c r="Q605" s="1954"/>
      <c r="R605" s="526"/>
      <c r="S605" s="526"/>
      <c r="T605" s="526"/>
      <c r="U605" s="526"/>
    </row>
    <row r="606" spans="1:21" ht="14">
      <c r="A606" s="1733"/>
      <c r="B606" s="559"/>
      <c r="C606" s="1732" t="s">
        <v>921</v>
      </c>
      <c r="D606" s="1063" t="s">
        <v>963</v>
      </c>
      <c r="E606" s="1733"/>
      <c r="F606" s="619"/>
      <c r="G606" s="1803">
        <f>G570*G382</f>
        <v>81.269234550135678</v>
      </c>
      <c r="H606" s="1803">
        <f t="shared" si="161"/>
        <v>93.926186731032232</v>
      </c>
      <c r="I606" s="1803">
        <f t="shared" si="161"/>
        <v>164.54368455827108</v>
      </c>
      <c r="J606" s="1803">
        <f t="shared" si="161"/>
        <v>133.72208203573112</v>
      </c>
      <c r="K606" s="1803">
        <f t="shared" si="161"/>
        <v>155.60607648279858</v>
      </c>
      <c r="L606" s="1803">
        <f t="shared" si="161"/>
        <v>150.14264000661433</v>
      </c>
      <c r="M606" s="1803">
        <f t="shared" si="161"/>
        <v>148.3639474076752</v>
      </c>
      <c r="N606" s="1803">
        <f t="shared" si="161"/>
        <v>151.40424021389262</v>
      </c>
      <c r="O606" s="1803">
        <f t="shared" si="161"/>
        <v>154.09550517684414</v>
      </c>
      <c r="P606" s="1733"/>
      <c r="Q606" s="1954"/>
      <c r="R606" s="526"/>
      <c r="S606" s="526"/>
      <c r="T606" s="526"/>
      <c r="U606" s="526"/>
    </row>
    <row r="607" spans="1:21" s="1780" customFormat="1" ht="14">
      <c r="A607" s="1733"/>
      <c r="B607" s="559"/>
      <c r="C607" s="1732" t="s">
        <v>922</v>
      </c>
      <c r="D607" s="1063" t="s">
        <v>922</v>
      </c>
      <c r="E607" s="1733"/>
      <c r="F607" s="619"/>
      <c r="G607" s="1803">
        <f>G571*G383</f>
        <v>515.87691371884398</v>
      </c>
      <c r="H607" s="1803">
        <f t="shared" si="161"/>
        <v>509.82479543972704</v>
      </c>
      <c r="I607" s="1803">
        <f t="shared" si="161"/>
        <v>577.66888496680474</v>
      </c>
      <c r="J607" s="1803">
        <f t="shared" si="161"/>
        <v>595.56139582133551</v>
      </c>
      <c r="K607" s="1803">
        <f t="shared" si="161"/>
        <v>585.5914049210038</v>
      </c>
      <c r="L607" s="1803">
        <f t="shared" si="161"/>
        <v>591.33032432823404</v>
      </c>
      <c r="M607" s="1803">
        <f t="shared" si="161"/>
        <v>571.55212216429777</v>
      </c>
      <c r="N607" s="1803">
        <f t="shared" si="161"/>
        <v>565.42549552930154</v>
      </c>
      <c r="O607" s="1803">
        <f t="shared" si="161"/>
        <v>556.12914703623869</v>
      </c>
      <c r="P607" s="1733"/>
      <c r="Q607" s="1954"/>
      <c r="R607" s="1733"/>
      <c r="S607" s="1733"/>
      <c r="T607" s="1733"/>
      <c r="U607" s="1733"/>
    </row>
    <row r="608" spans="1:21" ht="14">
      <c r="A608" s="1733"/>
      <c r="B608" s="559"/>
      <c r="C608" s="1732" t="s">
        <v>1675</v>
      </c>
      <c r="D608" s="17" t="s">
        <v>1675</v>
      </c>
      <c r="E608" s="1733"/>
      <c r="F608" s="619"/>
      <c r="G608" s="1803">
        <f t="shared" ref="G608:O608" si="162">SUM(G596:G607)</f>
        <v>49235.616692956792</v>
      </c>
      <c r="H608" s="1803">
        <f t="shared" si="162"/>
        <v>49769.148883416645</v>
      </c>
      <c r="I608" s="1803">
        <f t="shared" si="162"/>
        <v>52183.048153653224</v>
      </c>
      <c r="J608" s="1803">
        <f t="shared" si="162"/>
        <v>70867.452855201904</v>
      </c>
      <c r="K608" s="1803">
        <f t="shared" si="162"/>
        <v>73406.465280847173</v>
      </c>
      <c r="L608" s="1803">
        <f t="shared" si="162"/>
        <v>63633.064551015981</v>
      </c>
      <c r="M608" s="1803">
        <f t="shared" si="162"/>
        <v>60078.04242009567</v>
      </c>
      <c r="N608" s="1803">
        <f t="shared" si="162"/>
        <v>58469.448398444867</v>
      </c>
      <c r="O608" s="1803">
        <f t="shared" si="162"/>
        <v>54917.037299228265</v>
      </c>
      <c r="P608" s="1733"/>
      <c r="Q608" s="1954"/>
      <c r="R608" s="526"/>
      <c r="S608" s="526"/>
      <c r="T608" s="526"/>
      <c r="U608" s="526"/>
    </row>
    <row r="609" spans="1:21" ht="14">
      <c r="A609" s="1733"/>
      <c r="B609" s="559"/>
      <c r="C609" s="1732"/>
      <c r="D609" s="17"/>
      <c r="E609" s="1733"/>
      <c r="F609" s="619"/>
      <c r="G609" s="1803"/>
      <c r="H609" s="1803"/>
      <c r="I609" s="1803"/>
      <c r="J609" s="1803"/>
      <c r="K609" s="1803"/>
      <c r="L609" s="1803"/>
      <c r="M609" s="1803"/>
      <c r="N609" s="1803"/>
      <c r="O609" s="1803"/>
      <c r="P609" s="1733"/>
      <c r="Q609" s="1954"/>
      <c r="R609" s="526"/>
      <c r="S609" s="526"/>
      <c r="T609" s="526"/>
      <c r="U609" s="526"/>
    </row>
    <row r="610" spans="1:21">
      <c r="A610" s="1733"/>
      <c r="B610" s="1954"/>
      <c r="C610" s="1954"/>
      <c r="D610" s="1954"/>
      <c r="E610" s="1954"/>
      <c r="F610" s="1954"/>
      <c r="G610" s="1954"/>
      <c r="H610" s="1954"/>
      <c r="I610" s="1954"/>
      <c r="J610" s="1954"/>
      <c r="K610" s="1954"/>
      <c r="L610" s="1954"/>
      <c r="M610" s="1954"/>
      <c r="N610" s="1954"/>
      <c r="O610" s="1954"/>
      <c r="P610" s="1954"/>
      <c r="Q610" s="1954"/>
      <c r="R610" s="526"/>
      <c r="S610" s="526"/>
      <c r="T610" s="526"/>
      <c r="U610" s="526"/>
    </row>
    <row r="611" spans="1:21" ht="14">
      <c r="A611" s="1733"/>
      <c r="B611" s="1733" t="s">
        <v>1677</v>
      </c>
      <c r="C611" s="1733" t="s">
        <v>1672</v>
      </c>
      <c r="D611" s="1733"/>
      <c r="E611" s="1733"/>
      <c r="F611" s="623"/>
      <c r="G611" s="623"/>
      <c r="H611" s="623"/>
      <c r="I611" s="623"/>
      <c r="J611" s="623"/>
      <c r="K611" s="623"/>
      <c r="L611" s="623"/>
      <c r="M611" s="623"/>
      <c r="N611" s="623"/>
      <c r="O611" s="623"/>
      <c r="P611" s="1954"/>
      <c r="Q611" s="1733"/>
      <c r="R611" s="526"/>
      <c r="S611" s="526"/>
      <c r="T611" s="526"/>
      <c r="U611" s="526"/>
    </row>
    <row r="612" spans="1:21" ht="14">
      <c r="A612" s="1733"/>
      <c r="B612" s="1954"/>
      <c r="C612" s="1733"/>
      <c r="D612" s="1733"/>
      <c r="E612" s="1733"/>
      <c r="F612" s="623"/>
      <c r="G612" s="623"/>
      <c r="H612" s="623"/>
      <c r="I612" s="623"/>
      <c r="J612" s="623"/>
      <c r="K612" s="623"/>
      <c r="L612" s="623"/>
      <c r="M612" s="623"/>
      <c r="N612" s="623"/>
      <c r="O612" s="623"/>
      <c r="P612" s="1954"/>
      <c r="Q612" s="1733"/>
      <c r="R612" s="526"/>
      <c r="S612" s="526"/>
      <c r="T612" s="526"/>
      <c r="U612" s="526"/>
    </row>
    <row r="613" spans="1:21" ht="14">
      <c r="A613" s="1733"/>
      <c r="B613" s="1954"/>
      <c r="C613" s="17" t="s">
        <v>970</v>
      </c>
      <c r="D613" s="20"/>
      <c r="E613" s="1733"/>
      <c r="F613" s="623"/>
      <c r="G613" s="623"/>
      <c r="H613" s="623"/>
      <c r="I613" s="623"/>
      <c r="J613" s="623"/>
      <c r="K613" s="623"/>
      <c r="L613" s="623"/>
      <c r="M613" s="623"/>
      <c r="N613" s="623"/>
      <c r="O613" s="1732" t="str">
        <f>Preferences.moneyunits&amp;"/yr, preceeding 5 years"</f>
        <v>£m/yr, preceeding 5 years</v>
      </c>
      <c r="P613" s="1954"/>
      <c r="Q613" s="1733"/>
      <c r="R613" s="1733"/>
      <c r="S613" s="1733"/>
      <c r="T613" s="1733"/>
      <c r="U613" s="1733"/>
    </row>
    <row r="614" spans="1:21" ht="14">
      <c r="A614" s="1733"/>
      <c r="B614" s="1954"/>
      <c r="C614" s="1043" t="s">
        <v>906</v>
      </c>
      <c r="D614" s="1954" t="s">
        <v>657</v>
      </c>
      <c r="E614" s="1733"/>
      <c r="F614" s="1798">
        <v>2007</v>
      </c>
      <c r="G614" s="1798">
        <v>2010</v>
      </c>
      <c r="H614" s="1798">
        <v>2015</v>
      </c>
      <c r="I614" s="1798">
        <v>2020</v>
      </c>
      <c r="J614" s="1798">
        <v>2025</v>
      </c>
      <c r="K614" s="1798">
        <v>2030</v>
      </c>
      <c r="L614" s="1798">
        <v>2035</v>
      </c>
      <c r="M614" s="1798">
        <v>2040</v>
      </c>
      <c r="N614" s="1798">
        <v>2045</v>
      </c>
      <c r="O614" s="1798">
        <v>2050</v>
      </c>
      <c r="P614" s="1954"/>
      <c r="Q614" s="1733"/>
      <c r="R614" s="526"/>
      <c r="S614" s="526"/>
      <c r="T614" s="526"/>
      <c r="U614" s="526"/>
    </row>
    <row r="615" spans="1:21" ht="14">
      <c r="A615" s="1733"/>
      <c r="B615" s="1954"/>
      <c r="C615" s="1732" t="s">
        <v>920</v>
      </c>
      <c r="D615" s="17" t="s">
        <v>920</v>
      </c>
      <c r="E615" s="1733"/>
      <c r="F615" s="1798"/>
      <c r="G615" s="1803">
        <f t="shared" ref="G615:O615" si="163">G560*G387</f>
        <v>912.68962380952394</v>
      </c>
      <c r="H615" s="1803">
        <f t="shared" si="163"/>
        <v>1119.8493461892858</v>
      </c>
      <c r="I615" s="1803">
        <f t="shared" si="163"/>
        <v>1362.412784955814</v>
      </c>
      <c r="J615" s="1803">
        <f t="shared" si="163"/>
        <v>1455.3865515980062</v>
      </c>
      <c r="K615" s="1803">
        <f t="shared" si="163"/>
        <v>1562.4484256279065</v>
      </c>
      <c r="L615" s="1803">
        <f t="shared" si="163"/>
        <v>1651.2556099999999</v>
      </c>
      <c r="M615" s="1803">
        <f t="shared" si="163"/>
        <v>1723.5121607159458</v>
      </c>
      <c r="N615" s="1803">
        <f t="shared" si="163"/>
        <v>1779.0277823637866</v>
      </c>
      <c r="O615" s="1803">
        <f t="shared" si="163"/>
        <v>1816.358032478405</v>
      </c>
      <c r="P615" s="1954"/>
      <c r="Q615" s="1733"/>
      <c r="R615" s="526"/>
      <c r="S615" s="526"/>
      <c r="T615" s="526"/>
      <c r="U615" s="526"/>
    </row>
    <row r="616" spans="1:21" ht="14">
      <c r="A616" s="1733"/>
      <c r="B616" s="1954"/>
      <c r="C616" s="1043" t="s">
        <v>918</v>
      </c>
      <c r="D616" s="1063" t="s">
        <v>923</v>
      </c>
      <c r="E616" s="1733"/>
      <c r="F616" s="619"/>
      <c r="G616" s="1803">
        <f t="shared" ref="G616:O616" si="164">G561*G388</f>
        <v>42518.680201409574</v>
      </c>
      <c r="H616" s="1803">
        <f t="shared" si="164"/>
        <v>39556.826872330297</v>
      </c>
      <c r="I616" s="1803">
        <f t="shared" si="164"/>
        <v>40075.736539683319</v>
      </c>
      <c r="J616" s="1803">
        <f t="shared" si="164"/>
        <v>13925.523760526294</v>
      </c>
      <c r="K616" s="1803">
        <f t="shared" si="164"/>
        <v>2282.9402887331121</v>
      </c>
      <c r="L616" s="1803">
        <f t="shared" si="164"/>
        <v>13928.357199884496</v>
      </c>
      <c r="M616" s="1803">
        <f t="shared" si="164"/>
        <v>12008.250482721898</v>
      </c>
      <c r="N616" s="1803">
        <f t="shared" si="164"/>
        <v>5284.2072788649766</v>
      </c>
      <c r="O616" s="1803">
        <f t="shared" si="164"/>
        <v>2084.0673161921991</v>
      </c>
      <c r="P616" s="1954"/>
      <c r="Q616" s="1733"/>
      <c r="R616" s="526"/>
      <c r="S616" s="526"/>
      <c r="T616" s="526"/>
      <c r="U616" s="526"/>
    </row>
    <row r="617" spans="1:21" ht="14">
      <c r="A617" s="1733"/>
      <c r="B617" s="1954"/>
      <c r="C617" s="1043" t="s">
        <v>918</v>
      </c>
      <c r="D617" s="17" t="s">
        <v>1116</v>
      </c>
      <c r="E617" s="1733"/>
      <c r="F617" s="619"/>
      <c r="G617" s="1803">
        <f t="shared" ref="G617:O617" si="165">G562*G389</f>
        <v>0</v>
      </c>
      <c r="H617" s="1803">
        <f t="shared" si="165"/>
        <v>737.95731874756564</v>
      </c>
      <c r="I617" s="1803">
        <f t="shared" si="165"/>
        <v>1005.720154623304</v>
      </c>
      <c r="J617" s="1803">
        <f t="shared" si="165"/>
        <v>29744.634259272287</v>
      </c>
      <c r="K617" s="1803">
        <f t="shared" si="165"/>
        <v>38824.370562890595</v>
      </c>
      <c r="L617" s="1803">
        <f t="shared" si="165"/>
        <v>13739.348276706158</v>
      </c>
      <c r="M617" s="1803">
        <f t="shared" si="165"/>
        <v>9552.7884175887921</v>
      </c>
      <c r="N617" s="1803">
        <f t="shared" si="165"/>
        <v>12161.653719470522</v>
      </c>
      <c r="O617" s="1803">
        <f t="shared" si="165"/>
        <v>10886.874670866853</v>
      </c>
      <c r="P617" s="1954"/>
      <c r="Q617" s="1733"/>
      <c r="R617" s="526"/>
      <c r="S617" s="526"/>
      <c r="T617" s="526"/>
      <c r="U617" s="526"/>
    </row>
    <row r="618" spans="1:21" ht="14">
      <c r="A618" s="1733"/>
      <c r="B618" s="1954"/>
      <c r="C618" s="1043" t="s">
        <v>918</v>
      </c>
      <c r="D618" s="1063" t="s">
        <v>924</v>
      </c>
      <c r="E618" s="1733"/>
      <c r="F618" s="619"/>
      <c r="G618" s="1803">
        <f t="shared" ref="G618:O618" si="166">G563*G390</f>
        <v>0</v>
      </c>
      <c r="H618" s="1803">
        <f t="shared" si="166"/>
        <v>1815.0713702867795</v>
      </c>
      <c r="I618" s="1803">
        <f t="shared" si="166"/>
        <v>2429.0917547249032</v>
      </c>
      <c r="J618" s="1803">
        <f t="shared" si="166"/>
        <v>8867.87185233946</v>
      </c>
      <c r="K618" s="1803">
        <f t="shared" si="166"/>
        <v>10848.644442201034</v>
      </c>
      <c r="L618" s="1803">
        <f t="shared" si="166"/>
        <v>18105.007684644646</v>
      </c>
      <c r="M618" s="1803">
        <f t="shared" si="166"/>
        <v>20116.561230295789</v>
      </c>
      <c r="N618" s="1803">
        <f t="shared" si="166"/>
        <v>20911.845162638485</v>
      </c>
      <c r="O618" s="1803">
        <f t="shared" si="166"/>
        <v>20954.056761428001</v>
      </c>
      <c r="P618" s="1954"/>
      <c r="Q618" s="1733"/>
      <c r="R618" s="526"/>
      <c r="S618" s="526"/>
      <c r="T618" s="526"/>
      <c r="U618" s="526"/>
    </row>
    <row r="619" spans="1:21" ht="14">
      <c r="A619" s="1733"/>
      <c r="B619" s="1954"/>
      <c r="C619" s="1043" t="s">
        <v>918</v>
      </c>
      <c r="D619" s="1063" t="s">
        <v>925</v>
      </c>
      <c r="E619" s="1733"/>
      <c r="F619" s="619"/>
      <c r="G619" s="1803">
        <f t="shared" ref="G619:O619" si="167">G564*G391</f>
        <v>0</v>
      </c>
      <c r="H619" s="1803">
        <f t="shared" si="167"/>
        <v>0</v>
      </c>
      <c r="I619" s="1803">
        <f t="shared" si="167"/>
        <v>0</v>
      </c>
      <c r="J619" s="1803">
        <f t="shared" si="167"/>
        <v>0</v>
      </c>
      <c r="K619" s="1803">
        <f t="shared" si="167"/>
        <v>0</v>
      </c>
      <c r="L619" s="1803">
        <f t="shared" si="167"/>
        <v>0</v>
      </c>
      <c r="M619" s="1803">
        <f t="shared" si="167"/>
        <v>0</v>
      </c>
      <c r="N619" s="1803">
        <f t="shared" si="167"/>
        <v>0</v>
      </c>
      <c r="O619" s="1803">
        <f t="shared" si="167"/>
        <v>0</v>
      </c>
      <c r="P619" s="1954"/>
      <c r="Q619" s="1733"/>
      <c r="R619" s="526"/>
      <c r="S619" s="1554"/>
      <c r="T619" s="526"/>
      <c r="U619" s="526"/>
    </row>
    <row r="620" spans="1:21" ht="14">
      <c r="A620" s="1733"/>
      <c r="B620" s="1954"/>
      <c r="C620" s="1043" t="s">
        <v>919</v>
      </c>
      <c r="D620" s="1063" t="s">
        <v>923</v>
      </c>
      <c r="E620" s="1733"/>
      <c r="F620" s="619"/>
      <c r="G620" s="1803">
        <f t="shared" ref="G620:O620" si="168">G565*G392</f>
        <v>1980.469353273581</v>
      </c>
      <c r="H620" s="1803">
        <f t="shared" si="168"/>
        <v>611.78701453563326</v>
      </c>
      <c r="I620" s="1803">
        <f t="shared" si="168"/>
        <v>69.026074436262888</v>
      </c>
      <c r="J620" s="1803">
        <f t="shared" si="168"/>
        <v>0</v>
      </c>
      <c r="K620" s="1803">
        <f t="shared" si="168"/>
        <v>0</v>
      </c>
      <c r="L620" s="1803">
        <f t="shared" si="168"/>
        <v>0</v>
      </c>
      <c r="M620" s="1803">
        <f t="shared" si="168"/>
        <v>0</v>
      </c>
      <c r="N620" s="1803">
        <f t="shared" si="168"/>
        <v>0</v>
      </c>
      <c r="O620" s="1803">
        <f t="shared" si="168"/>
        <v>0</v>
      </c>
      <c r="P620" s="1954"/>
      <c r="Q620" s="1733"/>
      <c r="R620" s="526"/>
      <c r="S620" s="526"/>
      <c r="T620" s="526"/>
      <c r="U620" s="526"/>
    </row>
    <row r="621" spans="1:21" ht="14">
      <c r="A621" s="1733"/>
      <c r="B621" s="1954"/>
      <c r="C621" s="1043" t="s">
        <v>919</v>
      </c>
      <c r="D621" s="17" t="s">
        <v>1117</v>
      </c>
      <c r="E621" s="1733"/>
      <c r="F621" s="619"/>
      <c r="G621" s="1803">
        <f t="shared" ref="G621:O621" si="169">G566*G393</f>
        <v>97.325237342520609</v>
      </c>
      <c r="H621" s="1803">
        <f t="shared" si="169"/>
        <v>1476.5104419103959</v>
      </c>
      <c r="I621" s="1803">
        <f t="shared" si="169"/>
        <v>2167.0728692780067</v>
      </c>
      <c r="J621" s="1803">
        <f t="shared" si="169"/>
        <v>2427.5599806264981</v>
      </c>
      <c r="K621" s="1803">
        <f t="shared" si="169"/>
        <v>2792.4770709234463</v>
      </c>
      <c r="L621" s="1803">
        <f t="shared" si="169"/>
        <v>1792.5098337069676</v>
      </c>
      <c r="M621" s="1803">
        <f t="shared" si="169"/>
        <v>1580.3181279427761</v>
      </c>
      <c r="N621" s="1803">
        <f t="shared" si="169"/>
        <v>1357.2707474895358</v>
      </c>
      <c r="O621" s="1803">
        <f t="shared" si="169"/>
        <v>1162.9483355543723</v>
      </c>
      <c r="P621" s="1954"/>
      <c r="Q621" s="1733"/>
      <c r="R621" s="526"/>
      <c r="S621" s="526"/>
      <c r="T621" s="526"/>
      <c r="U621" s="526"/>
    </row>
    <row r="622" spans="1:21" ht="14">
      <c r="A622" s="1733"/>
      <c r="B622" s="1954"/>
      <c r="C622" s="1043" t="s">
        <v>919</v>
      </c>
      <c r="D622" s="1063" t="s">
        <v>924</v>
      </c>
      <c r="E622" s="1733"/>
      <c r="F622" s="619"/>
      <c r="G622" s="1803">
        <f t="shared" ref="G622:O622" si="170">G567*G394</f>
        <v>0</v>
      </c>
      <c r="H622" s="1803">
        <f t="shared" si="170"/>
        <v>153.82992435063275</v>
      </c>
      <c r="I622" s="1803">
        <f t="shared" si="170"/>
        <v>226.42546152374385</v>
      </c>
      <c r="J622" s="1803">
        <f t="shared" si="170"/>
        <v>326.74781856366121</v>
      </c>
      <c r="K622" s="1803">
        <f t="shared" si="170"/>
        <v>390.98343272858432</v>
      </c>
      <c r="L622" s="1803">
        <f t="shared" si="170"/>
        <v>555.53457825646524</v>
      </c>
      <c r="M622" s="1803">
        <f t="shared" si="170"/>
        <v>618.89425772730374</v>
      </c>
      <c r="N622" s="1803">
        <f t="shared" si="170"/>
        <v>723.2483732792183</v>
      </c>
      <c r="O622" s="1803">
        <f t="shared" si="170"/>
        <v>757.0091124852413</v>
      </c>
      <c r="P622" s="1954"/>
      <c r="Q622" s="1733"/>
      <c r="R622" s="526"/>
      <c r="S622" s="526"/>
      <c r="T622" s="526"/>
      <c r="U622" s="526"/>
    </row>
    <row r="623" spans="1:21" ht="14">
      <c r="A623" s="1733"/>
      <c r="B623" s="1954"/>
      <c r="C623" s="1043" t="s">
        <v>919</v>
      </c>
      <c r="D623" s="17" t="s">
        <v>925</v>
      </c>
      <c r="E623" s="1733"/>
      <c r="F623" s="619"/>
      <c r="G623" s="1803">
        <f t="shared" ref="G623:O623" si="171">G568*G395</f>
        <v>0</v>
      </c>
      <c r="H623" s="1803">
        <f t="shared" si="171"/>
        <v>0</v>
      </c>
      <c r="I623" s="1803">
        <f t="shared" si="171"/>
        <v>0</v>
      </c>
      <c r="J623" s="1803">
        <f t="shared" si="171"/>
        <v>0</v>
      </c>
      <c r="K623" s="1803">
        <f t="shared" si="171"/>
        <v>0</v>
      </c>
      <c r="L623" s="1803">
        <f t="shared" si="171"/>
        <v>0</v>
      </c>
      <c r="M623" s="1803">
        <f t="shared" si="171"/>
        <v>0</v>
      </c>
      <c r="N623" s="1803">
        <f t="shared" si="171"/>
        <v>0</v>
      </c>
      <c r="O623" s="1803">
        <f t="shared" si="171"/>
        <v>0</v>
      </c>
      <c r="P623" s="1954"/>
      <c r="Q623" s="1733"/>
      <c r="R623" s="526"/>
      <c r="S623" s="526"/>
      <c r="T623" s="526"/>
      <c r="U623" s="526"/>
    </row>
    <row r="624" spans="1:21" ht="14">
      <c r="A624" s="1733"/>
      <c r="B624" s="1954"/>
      <c r="C624" s="1043" t="s">
        <v>921</v>
      </c>
      <c r="D624" s="1063" t="s">
        <v>962</v>
      </c>
      <c r="E624" s="1733"/>
      <c r="F624" s="619"/>
      <c r="G624" s="1803">
        <f t="shared" ref="G624:O624" si="172">G569*G396</f>
        <v>26.266154540373705</v>
      </c>
      <c r="H624" s="1803">
        <f t="shared" si="172"/>
        <v>19.545809367043166</v>
      </c>
      <c r="I624" s="1803">
        <f t="shared" si="172"/>
        <v>2.036832689865173</v>
      </c>
      <c r="J624" s="1803">
        <f t="shared" si="172"/>
        <v>13.390432695441174</v>
      </c>
      <c r="K624" s="1803">
        <f t="shared" si="172"/>
        <v>3.1200868594292839</v>
      </c>
      <c r="L624" s="1803">
        <f t="shared" si="172"/>
        <v>4.9303140514960919</v>
      </c>
      <c r="M624" s="1803">
        <f t="shared" si="172"/>
        <v>2.7626734469798899</v>
      </c>
      <c r="N624" s="1803">
        <f t="shared" si="172"/>
        <v>1.2787827378604772</v>
      </c>
      <c r="O624" s="1803">
        <f t="shared" si="172"/>
        <v>0</v>
      </c>
      <c r="P624" s="1954"/>
      <c r="Q624" s="1733"/>
      <c r="R624" s="526"/>
      <c r="S624" s="526"/>
      <c r="T624" s="526"/>
      <c r="U624" s="526"/>
    </row>
    <row r="625" spans="1:23" ht="14">
      <c r="A625" s="1733"/>
      <c r="B625" s="1954"/>
      <c r="C625" s="1732" t="s">
        <v>921</v>
      </c>
      <c r="D625" s="1063" t="s">
        <v>963</v>
      </c>
      <c r="E625" s="1733"/>
      <c r="F625" s="619"/>
      <c r="G625" s="1803">
        <f t="shared" ref="G625:O625" si="173">G570*G397</f>
        <v>81.269234550135678</v>
      </c>
      <c r="H625" s="1803">
        <f t="shared" si="173"/>
        <v>92.006826954220656</v>
      </c>
      <c r="I625" s="1803">
        <f t="shared" si="173"/>
        <v>157.55358711615088</v>
      </c>
      <c r="J625" s="1803">
        <f t="shared" si="173"/>
        <v>124.85103191291621</v>
      </c>
      <c r="K625" s="1803">
        <f t="shared" si="173"/>
        <v>141.25287187951955</v>
      </c>
      <c r="L625" s="1803">
        <f t="shared" si="173"/>
        <v>132.05652412712908</v>
      </c>
      <c r="M625" s="1803">
        <f t="shared" si="173"/>
        <v>125.91323834693769</v>
      </c>
      <c r="N625" s="1803">
        <f t="shared" si="173"/>
        <v>123.36156409952623</v>
      </c>
      <c r="O625" s="1803">
        <f t="shared" si="173"/>
        <v>119.7913912029376</v>
      </c>
      <c r="P625" s="1954"/>
      <c r="Q625" s="1733"/>
      <c r="R625" s="1733"/>
      <c r="S625" s="1733"/>
      <c r="T625" s="1733"/>
      <c r="U625" s="1733"/>
    </row>
    <row r="626" spans="1:23" ht="14">
      <c r="A626" s="1733"/>
      <c r="B626" s="1954"/>
      <c r="C626" s="1732" t="s">
        <v>922</v>
      </c>
      <c r="D626" s="1063" t="s">
        <v>922</v>
      </c>
      <c r="E626" s="1733"/>
      <c r="F626" s="619"/>
      <c r="G626" s="1803">
        <f t="shared" ref="G626:O626" si="174">G571*G398</f>
        <v>515.87691371884398</v>
      </c>
      <c r="H626" s="1803">
        <f t="shared" si="174"/>
        <v>496.2988290883664</v>
      </c>
      <c r="I626" s="1803">
        <f t="shared" si="174"/>
        <v>545.42854255351153</v>
      </c>
      <c r="J626" s="1803">
        <f t="shared" si="174"/>
        <v>542.97785994225114</v>
      </c>
      <c r="K626" s="1803">
        <f t="shared" si="174"/>
        <v>512.66793054492109</v>
      </c>
      <c r="L626" s="1803">
        <f t="shared" si="174"/>
        <v>493.63411634060714</v>
      </c>
      <c r="M626" s="1803">
        <f t="shared" si="174"/>
        <v>450.82967269040881</v>
      </c>
      <c r="N626" s="1803">
        <f t="shared" si="174"/>
        <v>416.3459710955222</v>
      </c>
      <c r="O626" s="1803">
        <f t="shared" si="174"/>
        <v>375.9501847414719</v>
      </c>
      <c r="P626" s="1954"/>
      <c r="Q626" s="1733"/>
      <c r="R626" s="526"/>
      <c r="S626" s="526"/>
      <c r="T626" s="526"/>
      <c r="U626" s="526"/>
    </row>
    <row r="627" spans="1:23" ht="14">
      <c r="A627" s="1733"/>
      <c r="B627" s="1954"/>
      <c r="C627" s="1732" t="s">
        <v>1675</v>
      </c>
      <c r="D627" s="17" t="s">
        <v>1675</v>
      </c>
      <c r="E627" s="1733"/>
      <c r="F627" s="619"/>
      <c r="G627" s="1803">
        <f>SUM(G615:G626)</f>
        <v>46132.576718644552</v>
      </c>
      <c r="H627" s="1803">
        <f t="shared" ref="H627:O627" si="175">SUM(H615:H626)</f>
        <v>46079.683753760226</v>
      </c>
      <c r="I627" s="1803">
        <f t="shared" si="175"/>
        <v>48040.504601584886</v>
      </c>
      <c r="J627" s="1803">
        <f t="shared" si="175"/>
        <v>57428.943547476818</v>
      </c>
      <c r="K627" s="1803">
        <f t="shared" si="175"/>
        <v>57358.905112388551</v>
      </c>
      <c r="L627" s="1803">
        <f t="shared" si="175"/>
        <v>50402.634137717971</v>
      </c>
      <c r="M627" s="1803">
        <f t="shared" si="175"/>
        <v>46179.830261476833</v>
      </c>
      <c r="N627" s="1803">
        <f t="shared" si="175"/>
        <v>42758.239382039435</v>
      </c>
      <c r="O627" s="1803">
        <f t="shared" si="175"/>
        <v>38157.055804949479</v>
      </c>
      <c r="P627" s="1954"/>
      <c r="Q627" s="1733"/>
      <c r="R627" s="526"/>
      <c r="S627" s="526"/>
      <c r="T627" s="526"/>
      <c r="U627" s="526"/>
    </row>
    <row r="628" spans="1:23">
      <c r="A628" s="1733"/>
      <c r="B628" s="1954"/>
      <c r="C628" s="1954"/>
      <c r="D628" s="1954"/>
      <c r="E628" s="1954"/>
      <c r="F628" s="1954"/>
      <c r="G628" s="1954"/>
      <c r="H628" s="1954"/>
      <c r="I628" s="1954"/>
      <c r="J628" s="1954"/>
      <c r="K628" s="1954"/>
      <c r="L628" s="1954"/>
      <c r="M628" s="1954"/>
      <c r="N628" s="1954"/>
      <c r="O628" s="1954"/>
      <c r="P628" s="1954"/>
      <c r="Q628" s="1954"/>
      <c r="R628" s="526"/>
      <c r="S628" s="526"/>
      <c r="T628" s="526"/>
      <c r="U628" s="526"/>
    </row>
    <row r="629" spans="1:23" ht="14">
      <c r="A629" s="1733"/>
      <c r="B629" s="1733" t="s">
        <v>1678</v>
      </c>
      <c r="C629" s="1733" t="s">
        <v>1679</v>
      </c>
      <c r="D629" s="1733"/>
      <c r="E629" s="1733"/>
      <c r="F629" s="623"/>
      <c r="G629" s="623"/>
      <c r="H629" s="623"/>
      <c r="I629" s="623"/>
      <c r="J629" s="623"/>
      <c r="K629" s="623"/>
      <c r="L629" s="623"/>
      <c r="M629" s="623"/>
      <c r="N629" s="623"/>
      <c r="O629" s="623"/>
      <c r="P629" s="1733"/>
      <c r="Q629" s="1733"/>
      <c r="R629" s="526"/>
      <c r="S629" s="526"/>
      <c r="T629" s="526"/>
      <c r="U629" s="526"/>
    </row>
    <row r="630" spans="1:23" ht="14">
      <c r="A630" s="1733"/>
      <c r="B630" s="559"/>
      <c r="C630" s="1733"/>
      <c r="D630" s="1733"/>
      <c r="E630" s="1733"/>
      <c r="F630" s="623"/>
      <c r="G630" s="623"/>
      <c r="H630" s="623"/>
      <c r="I630" s="623"/>
      <c r="J630" s="623"/>
      <c r="K630" s="623"/>
      <c r="L630" s="623"/>
      <c r="M630" s="623"/>
      <c r="N630" s="623"/>
      <c r="O630" s="623"/>
      <c r="P630" s="1733"/>
      <c r="Q630" s="1733"/>
      <c r="R630" s="526"/>
      <c r="S630" s="526"/>
      <c r="T630" s="526"/>
      <c r="U630" s="526"/>
    </row>
    <row r="631" spans="1:23" ht="14">
      <c r="A631" s="1733"/>
      <c r="B631" s="1043"/>
      <c r="C631" s="17" t="s">
        <v>970</v>
      </c>
      <c r="D631" s="20"/>
      <c r="E631" s="1733"/>
      <c r="F631" s="623"/>
      <c r="G631" s="623"/>
      <c r="H631" s="623"/>
      <c r="I631" s="623"/>
      <c r="J631" s="623"/>
      <c r="K631" s="623"/>
      <c r="L631" s="623"/>
      <c r="M631" s="623"/>
      <c r="N631" s="623"/>
      <c r="O631" s="1732" t="str">
        <f>Preferences.moneyunits&amp;"/yr"</f>
        <v>£m/yr</v>
      </c>
      <c r="P631" s="1733"/>
      <c r="Q631" s="1733"/>
      <c r="R631" s="1733"/>
      <c r="S631" s="1733"/>
      <c r="T631" s="1733"/>
      <c r="U631" s="1733"/>
    </row>
    <row r="632" spans="1:23" ht="14">
      <c r="A632" s="1733"/>
      <c r="B632" s="559"/>
      <c r="C632" s="1043" t="s">
        <v>906</v>
      </c>
      <c r="D632" s="1954" t="s">
        <v>657</v>
      </c>
      <c r="E632" s="1733"/>
      <c r="F632" s="1798">
        <v>2007</v>
      </c>
      <c r="G632" s="1798">
        <v>2010</v>
      </c>
      <c r="H632" s="1798">
        <v>2015</v>
      </c>
      <c r="I632" s="1798">
        <v>2020</v>
      </c>
      <c r="J632" s="1798">
        <v>2025</v>
      </c>
      <c r="K632" s="1798">
        <v>2030</v>
      </c>
      <c r="L632" s="1798">
        <v>2035</v>
      </c>
      <c r="M632" s="1798">
        <v>2040</v>
      </c>
      <c r="N632" s="1798">
        <v>2045</v>
      </c>
      <c r="O632" s="1798">
        <v>2050</v>
      </c>
      <c r="P632" s="1733"/>
      <c r="Q632" s="1733"/>
      <c r="R632" s="526"/>
      <c r="S632" s="526"/>
      <c r="T632" s="526"/>
      <c r="U632" s="526"/>
    </row>
    <row r="633" spans="1:23" ht="14">
      <c r="A633" s="1733"/>
      <c r="B633" s="559"/>
      <c r="C633" s="1732" t="s">
        <v>920</v>
      </c>
      <c r="D633" s="17" t="s">
        <v>920</v>
      </c>
      <c r="E633" s="1733"/>
      <c r="F633" s="619"/>
      <c r="G633" s="619">
        <f t="shared" ref="G633:O633" si="176">G526*G402</f>
        <v>746.66883600000006</v>
      </c>
      <c r="H633" s="619">
        <f t="shared" si="176"/>
        <v>993.31290825000008</v>
      </c>
      <c r="I633" s="619">
        <f t="shared" si="176"/>
        <v>1353.6445755813957</v>
      </c>
      <c r="J633" s="619">
        <f t="shared" si="176"/>
        <v>1676.276846511628</v>
      </c>
      <c r="K633" s="619">
        <f t="shared" si="176"/>
        <v>2035.2052520930235</v>
      </c>
      <c r="L633" s="619">
        <f t="shared" si="176"/>
        <v>2428.8847058139545</v>
      </c>
      <c r="M633" s="619">
        <f t="shared" si="176"/>
        <v>2859.6666568604655</v>
      </c>
      <c r="N633" s="619">
        <f t="shared" si="176"/>
        <v>3329.7039581395356</v>
      </c>
      <c r="O633" s="619">
        <f t="shared" si="176"/>
        <v>3839.4741499999991</v>
      </c>
      <c r="P633" s="1733"/>
      <c r="Q633" s="1733"/>
      <c r="R633" s="526"/>
      <c r="S633" s="526"/>
      <c r="T633" s="526"/>
      <c r="U633" s="526"/>
    </row>
    <row r="634" spans="1:23" ht="14">
      <c r="A634" s="1733"/>
      <c r="B634" s="559"/>
      <c r="C634" s="1043" t="s">
        <v>918</v>
      </c>
      <c r="D634" s="1063" t="s">
        <v>923</v>
      </c>
      <c r="E634" s="1733"/>
      <c r="F634" s="619"/>
      <c r="G634" s="619">
        <f t="shared" ref="G634:O634" si="177">G527*G403</f>
        <v>52357.087650448608</v>
      </c>
      <c r="H634" s="619">
        <f t="shared" si="177"/>
        <v>50915.935386418074</v>
      </c>
      <c r="I634" s="619">
        <f t="shared" si="177"/>
        <v>50641.73534728423</v>
      </c>
      <c r="J634" s="619">
        <f t="shared" si="177"/>
        <v>36924.311718313962</v>
      </c>
      <c r="K634" s="619">
        <f t="shared" si="177"/>
        <v>22767.467904499576</v>
      </c>
      <c r="L634" s="619">
        <f t="shared" si="177"/>
        <v>20889.842944933542</v>
      </c>
      <c r="M634" s="619">
        <f t="shared" si="177"/>
        <v>18846.575299708224</v>
      </c>
      <c r="N634" s="619">
        <f t="shared" si="177"/>
        <v>13970.665710258254</v>
      </c>
      <c r="O634" s="619">
        <f t="shared" si="177"/>
        <v>9342.1996212599788</v>
      </c>
      <c r="P634" s="1733"/>
      <c r="Q634" s="1733"/>
      <c r="R634" s="526"/>
      <c r="S634" s="526"/>
      <c r="T634" s="526"/>
      <c r="U634" s="526"/>
    </row>
    <row r="635" spans="1:23" ht="14">
      <c r="A635" s="1733"/>
      <c r="B635" s="559"/>
      <c r="C635" s="1043" t="s">
        <v>918</v>
      </c>
      <c r="D635" s="17" t="s">
        <v>1116</v>
      </c>
      <c r="E635" s="1733"/>
      <c r="F635" s="619"/>
      <c r="G635" s="619">
        <f t="shared" ref="G635:O635" si="178">G528*G404</f>
        <v>0</v>
      </c>
      <c r="H635" s="619">
        <f t="shared" si="178"/>
        <v>473.40634834587121</v>
      </c>
      <c r="I635" s="619">
        <f t="shared" si="178"/>
        <v>956.28758919040536</v>
      </c>
      <c r="J635" s="619">
        <f t="shared" si="178"/>
        <v>21825.362449587843</v>
      </c>
      <c r="K635" s="619">
        <f t="shared" si="178"/>
        <v>42177.801360952493</v>
      </c>
      <c r="L635" s="619">
        <f t="shared" si="178"/>
        <v>35698.480015210749</v>
      </c>
      <c r="M635" s="619">
        <f t="shared" si="178"/>
        <v>29071.730952112768</v>
      </c>
      <c r="N635" s="619">
        <f t="shared" si="178"/>
        <v>28238.800435414647</v>
      </c>
      <c r="O635" s="619">
        <f t="shared" si="178"/>
        <v>27381.131202332977</v>
      </c>
      <c r="P635" s="1733"/>
      <c r="Q635" s="1733"/>
      <c r="R635" s="526"/>
      <c r="S635" s="526"/>
      <c r="T635" s="526"/>
      <c r="U635" s="526"/>
      <c r="W635" s="525"/>
    </row>
    <row r="636" spans="1:23" s="526" customFormat="1" ht="14">
      <c r="A636" s="1733"/>
      <c r="B636" s="559"/>
      <c r="C636" s="1043" t="s">
        <v>918</v>
      </c>
      <c r="D636" s="1063" t="s">
        <v>924</v>
      </c>
      <c r="E636" s="1733"/>
      <c r="F636" s="619"/>
      <c r="G636" s="619">
        <f t="shared" ref="G636:O636" si="179">G529*G405</f>
        <v>0</v>
      </c>
      <c r="H636" s="619">
        <f t="shared" si="179"/>
        <v>699.59959354940759</v>
      </c>
      <c r="I636" s="619">
        <f t="shared" si="179"/>
        <v>1413.2011770682145</v>
      </c>
      <c r="J636" s="619">
        <f t="shared" si="179"/>
        <v>4784.8608435170481</v>
      </c>
      <c r="K636" s="619">
        <f t="shared" si="179"/>
        <v>8053.9187098876837</v>
      </c>
      <c r="L636" s="619">
        <f t="shared" si="179"/>
        <v>14309.414427024194</v>
      </c>
      <c r="M636" s="619">
        <f t="shared" si="179"/>
        <v>20138.524258421985</v>
      </c>
      <c r="N636" s="619">
        <f t="shared" si="179"/>
        <v>25429.999303939207</v>
      </c>
      <c r="O636" s="619">
        <f t="shared" si="179"/>
        <v>30347.863405836528</v>
      </c>
      <c r="P636" s="1733"/>
      <c r="Q636" s="1733"/>
    </row>
    <row r="637" spans="1:23" s="526" customFormat="1" ht="14">
      <c r="A637" s="1733"/>
      <c r="B637" s="559"/>
      <c r="C637" s="1043" t="s">
        <v>918</v>
      </c>
      <c r="D637" s="1063" t="s">
        <v>925</v>
      </c>
      <c r="E637" s="1733"/>
      <c r="F637" s="619"/>
      <c r="G637" s="619">
        <f t="shared" ref="G637:O637" si="180">G530*G406</f>
        <v>0</v>
      </c>
      <c r="H637" s="619">
        <f t="shared" si="180"/>
        <v>0</v>
      </c>
      <c r="I637" s="619">
        <f t="shared" si="180"/>
        <v>0</v>
      </c>
      <c r="J637" s="619">
        <f t="shared" si="180"/>
        <v>0</v>
      </c>
      <c r="K637" s="619">
        <f t="shared" si="180"/>
        <v>0</v>
      </c>
      <c r="L637" s="619">
        <f t="shared" si="180"/>
        <v>0</v>
      </c>
      <c r="M637" s="619">
        <f t="shared" si="180"/>
        <v>0</v>
      </c>
      <c r="N637" s="619">
        <f t="shared" si="180"/>
        <v>0</v>
      </c>
      <c r="O637" s="619">
        <f t="shared" si="180"/>
        <v>0</v>
      </c>
      <c r="P637" s="1733"/>
      <c r="Q637" s="1733"/>
    </row>
    <row r="638" spans="1:23" s="526" customFormat="1" ht="14">
      <c r="A638" s="1733"/>
      <c r="B638" s="559"/>
      <c r="C638" s="1043" t="s">
        <v>919</v>
      </c>
      <c r="D638" s="1063" t="s">
        <v>923</v>
      </c>
      <c r="E638" s="1733"/>
      <c r="F638" s="619"/>
      <c r="G638" s="619">
        <f t="shared" ref="G638:O638" si="181">G531*G407</f>
        <v>2410.0263892390813</v>
      </c>
      <c r="H638" s="619">
        <f t="shared" si="181"/>
        <v>1951.954565202763</v>
      </c>
      <c r="I638" s="619">
        <f t="shared" si="181"/>
        <v>1342.9833965034793</v>
      </c>
      <c r="J638" s="619">
        <f t="shared" si="181"/>
        <v>740.48154659127647</v>
      </c>
      <c r="K638" s="619">
        <f t="shared" si="181"/>
        <v>0</v>
      </c>
      <c r="L638" s="619">
        <f t="shared" si="181"/>
        <v>0</v>
      </c>
      <c r="M638" s="619">
        <f t="shared" si="181"/>
        <v>0</v>
      </c>
      <c r="N638" s="619">
        <f t="shared" si="181"/>
        <v>0</v>
      </c>
      <c r="O638" s="619">
        <f t="shared" si="181"/>
        <v>0</v>
      </c>
      <c r="P638" s="1733"/>
      <c r="Q638" s="1733"/>
    </row>
    <row r="639" spans="1:23" s="1733" customFormat="1" ht="14">
      <c r="B639" s="559"/>
      <c r="C639" s="1043" t="s">
        <v>919</v>
      </c>
      <c r="D639" s="17" t="s">
        <v>1117</v>
      </c>
      <c r="F639" s="619"/>
      <c r="G639" s="619">
        <f t="shared" ref="G639:O639" si="182">G532*G408</f>
        <v>26.905650220044691</v>
      </c>
      <c r="H639" s="619">
        <f t="shared" si="182"/>
        <v>745.73461471415567</v>
      </c>
      <c r="I639" s="619">
        <f t="shared" si="182"/>
        <v>1645.512584239741</v>
      </c>
      <c r="J639" s="619">
        <f t="shared" si="182"/>
        <v>2487.7782032422901</v>
      </c>
      <c r="K639" s="619">
        <f t="shared" si="182"/>
        <v>3399.6273892660138</v>
      </c>
      <c r="L639" s="619">
        <f t="shared" si="182"/>
        <v>3492.3000958732887</v>
      </c>
      <c r="M639" s="619">
        <f t="shared" si="182"/>
        <v>3524.8745990453954</v>
      </c>
      <c r="N639" s="619">
        <f t="shared" si="182"/>
        <v>3501.1584348061492</v>
      </c>
      <c r="O639" s="619">
        <f t="shared" si="182"/>
        <v>3455.2003417989999</v>
      </c>
      <c r="R639" s="526"/>
      <c r="S639" s="526"/>
      <c r="T639" s="526"/>
      <c r="U639" s="526"/>
    </row>
    <row r="640" spans="1:23" s="526" customFormat="1" ht="14">
      <c r="A640" s="1733"/>
      <c r="B640" s="559"/>
      <c r="C640" s="1043" t="s">
        <v>919</v>
      </c>
      <c r="D640" s="1063" t="s">
        <v>924</v>
      </c>
      <c r="E640" s="1733"/>
      <c r="F640" s="619"/>
      <c r="G640" s="619">
        <f t="shared" ref="G640:O640" si="183">G533*G409</f>
        <v>0</v>
      </c>
      <c r="H640" s="619">
        <f t="shared" si="183"/>
        <v>70.798306576378039</v>
      </c>
      <c r="I640" s="619">
        <f t="shared" si="183"/>
        <v>159.45734957149529</v>
      </c>
      <c r="J640" s="619">
        <f t="shared" si="183"/>
        <v>281.86147392061531</v>
      </c>
      <c r="K640" s="619">
        <f t="shared" si="183"/>
        <v>417.16684742090638</v>
      </c>
      <c r="L640" s="619">
        <f t="shared" si="183"/>
        <v>636.60600743451812</v>
      </c>
      <c r="M640" s="619">
        <f t="shared" si="183"/>
        <v>868.4247510517863</v>
      </c>
      <c r="N640" s="619">
        <f t="shared" si="183"/>
        <v>1163.1329367122594</v>
      </c>
      <c r="O640" s="619">
        <f t="shared" si="183"/>
        <v>1474.8920999205807</v>
      </c>
      <c r="P640" s="1733"/>
      <c r="Q640" s="1733"/>
    </row>
    <row r="641" spans="1:21" s="526" customFormat="1" ht="14">
      <c r="A641" s="1733"/>
      <c r="B641" s="559"/>
      <c r="C641" s="1043" t="s">
        <v>919</v>
      </c>
      <c r="D641" s="17" t="s">
        <v>925</v>
      </c>
      <c r="E641" s="1733"/>
      <c r="F641" s="619"/>
      <c r="G641" s="619">
        <f t="shared" ref="G641:O641" si="184">G534*G410</f>
        <v>0</v>
      </c>
      <c r="H641" s="619">
        <f t="shared" si="184"/>
        <v>0</v>
      </c>
      <c r="I641" s="619">
        <f t="shared" si="184"/>
        <v>0</v>
      </c>
      <c r="J641" s="619">
        <f t="shared" si="184"/>
        <v>0</v>
      </c>
      <c r="K641" s="619">
        <f t="shared" si="184"/>
        <v>0</v>
      </c>
      <c r="L641" s="619">
        <f t="shared" si="184"/>
        <v>0</v>
      </c>
      <c r="M641" s="619">
        <f t="shared" si="184"/>
        <v>0</v>
      </c>
      <c r="N641" s="619">
        <f t="shared" si="184"/>
        <v>0</v>
      </c>
      <c r="O641" s="619">
        <f t="shared" si="184"/>
        <v>0</v>
      </c>
      <c r="P641" s="1733"/>
      <c r="Q641" s="1733"/>
    </row>
    <row r="642" spans="1:21" s="526" customFormat="1" ht="14">
      <c r="A642" s="1733"/>
      <c r="B642" s="559"/>
      <c r="C642" s="1043" t="s">
        <v>921</v>
      </c>
      <c r="D642" s="1063" t="s">
        <v>962</v>
      </c>
      <c r="E642" s="1733"/>
      <c r="F642" s="619"/>
      <c r="G642" s="619">
        <f t="shared" ref="G642:O642" si="185">G535*G411</f>
        <v>3116.5926716333556</v>
      </c>
      <c r="H642" s="619">
        <f t="shared" si="185"/>
        <v>3336.6665677267561</v>
      </c>
      <c r="I642" s="619">
        <f t="shared" si="185"/>
        <v>2987.1401043117389</v>
      </c>
      <c r="J642" s="619">
        <f t="shared" si="185"/>
        <v>3087.929955551715</v>
      </c>
      <c r="K642" s="619">
        <f t="shared" si="185"/>
        <v>2820.4466451266094</v>
      </c>
      <c r="L642" s="619">
        <f t="shared" si="185"/>
        <v>2669.8107371764149</v>
      </c>
      <c r="M642" s="619">
        <f t="shared" si="185"/>
        <v>2458.835699502175</v>
      </c>
      <c r="N642" s="619">
        <f t="shared" si="185"/>
        <v>2213.5720661093237</v>
      </c>
      <c r="O642" s="619">
        <f t="shared" si="185"/>
        <v>1934.3286880682731</v>
      </c>
      <c r="P642" s="1733"/>
      <c r="Q642" s="1733"/>
    </row>
    <row r="643" spans="1:21" s="526" customFormat="1" ht="14">
      <c r="A643" s="1733"/>
      <c r="B643" s="559"/>
      <c r="C643" s="1732" t="s">
        <v>921</v>
      </c>
      <c r="D643" s="1063" t="s">
        <v>963</v>
      </c>
      <c r="E643" s="1733"/>
      <c r="F643" s="619"/>
      <c r="G643" s="619">
        <f t="shared" ref="G643:O643" si="186">G536*G412</f>
        <v>5460.6876734397256</v>
      </c>
      <c r="H643" s="619">
        <f t="shared" si="186"/>
        <v>5846.2866073592068</v>
      </c>
      <c r="I643" s="619">
        <f t="shared" si="186"/>
        <v>7060.6067952189469</v>
      </c>
      <c r="J643" s="619">
        <f t="shared" si="186"/>
        <v>7823.704994979681</v>
      </c>
      <c r="K643" s="619">
        <f t="shared" si="186"/>
        <v>8842.7458338580946</v>
      </c>
      <c r="L643" s="619">
        <f t="shared" si="186"/>
        <v>9750.5025966872763</v>
      </c>
      <c r="M643" s="619">
        <f t="shared" si="186"/>
        <v>10614.112302414103</v>
      </c>
      <c r="N643" s="619">
        <f t="shared" si="186"/>
        <v>11516.868705255429</v>
      </c>
      <c r="O643" s="619">
        <f t="shared" si="186"/>
        <v>12463.676720748492</v>
      </c>
      <c r="P643" s="1733"/>
      <c r="Q643" s="1733"/>
      <c r="R643" s="1733"/>
      <c r="S643" s="1733"/>
      <c r="T643" s="1733"/>
      <c r="U643" s="1733"/>
    </row>
    <row r="644" spans="1:21" s="526" customFormat="1" ht="14">
      <c r="A644" s="1733"/>
      <c r="B644" s="559"/>
      <c r="C644" s="1732" t="s">
        <v>922</v>
      </c>
      <c r="D644" s="1063" t="s">
        <v>922</v>
      </c>
      <c r="E644" s="1733"/>
      <c r="F644" s="619"/>
      <c r="G644" s="619">
        <f t="shared" ref="G644:O644" si="187">G537*G413</f>
        <v>245.67426974919556</v>
      </c>
      <c r="H644" s="619">
        <f t="shared" si="187"/>
        <v>274.93282999702359</v>
      </c>
      <c r="I644" s="619">
        <f t="shared" si="187"/>
        <v>312.77975105911406</v>
      </c>
      <c r="J644" s="619">
        <f t="shared" si="187"/>
        <v>351.62514945383327</v>
      </c>
      <c r="K644" s="619">
        <f t="shared" si="187"/>
        <v>387.64523994446103</v>
      </c>
      <c r="L644" s="619">
        <f t="shared" si="187"/>
        <v>424.45287382489363</v>
      </c>
      <c r="M644" s="619">
        <f t="shared" si="187"/>
        <v>458.14235059234039</v>
      </c>
      <c r="N644" s="619">
        <f t="shared" si="187"/>
        <v>492.32420663599612</v>
      </c>
      <c r="O644" s="619">
        <f t="shared" si="187"/>
        <v>527.16877786827604</v>
      </c>
      <c r="P644" s="1733"/>
      <c r="Q644" s="1733"/>
    </row>
    <row r="645" spans="1:21" s="526" customFormat="1" ht="14">
      <c r="A645" s="1733"/>
      <c r="B645" s="559"/>
      <c r="C645" s="1732" t="s">
        <v>1675</v>
      </c>
      <c r="D645" s="17" t="s">
        <v>1675</v>
      </c>
      <c r="E645" s="1733"/>
      <c r="F645" s="619"/>
      <c r="G645" s="1803">
        <f t="shared" ref="G645:O645" si="188">SUM(G633:G644)</f>
        <v>64363.643140730004</v>
      </c>
      <c r="H645" s="1803">
        <f t="shared" si="188"/>
        <v>65308.627728139647</v>
      </c>
      <c r="I645" s="1803">
        <f t="shared" si="188"/>
        <v>67873.348670028761</v>
      </c>
      <c r="J645" s="1803">
        <f t="shared" si="188"/>
        <v>79984.193181669893</v>
      </c>
      <c r="K645" s="1803">
        <f t="shared" si="188"/>
        <v>90902.025183048856</v>
      </c>
      <c r="L645" s="1803">
        <f t="shared" si="188"/>
        <v>90300.294403978827</v>
      </c>
      <c r="M645" s="1803">
        <f t="shared" si="188"/>
        <v>88840.88686970924</v>
      </c>
      <c r="N645" s="1803">
        <f t="shared" si="188"/>
        <v>89856.225757270789</v>
      </c>
      <c r="O645" s="1803">
        <f t="shared" si="188"/>
        <v>90765.935007834123</v>
      </c>
      <c r="P645" s="1733"/>
      <c r="Q645" s="1733"/>
    </row>
    <row r="646" spans="1:21" s="526" customFormat="1" ht="14">
      <c r="A646" s="1733"/>
      <c r="B646" s="559"/>
      <c r="C646" s="1732"/>
      <c r="D646" s="1063"/>
      <c r="E646" s="1733"/>
      <c r="F646" s="619"/>
      <c r="G646" s="619"/>
      <c r="H646" s="619"/>
      <c r="I646" s="619"/>
      <c r="J646" s="619"/>
      <c r="K646" s="619"/>
      <c r="L646" s="619"/>
      <c r="M646" s="619"/>
      <c r="N646" s="619"/>
      <c r="O646" s="619"/>
      <c r="P646" s="1733"/>
      <c r="Q646" s="1733"/>
    </row>
    <row r="647" spans="1:21" s="526" customFormat="1" ht="14">
      <c r="A647" s="1733"/>
      <c r="B647" s="1733" t="s">
        <v>1809</v>
      </c>
      <c r="C647" s="1733" t="s">
        <v>1810</v>
      </c>
      <c r="D647" s="1733"/>
      <c r="E647" s="1733"/>
      <c r="F647" s="623"/>
      <c r="G647" s="623"/>
      <c r="H647" s="623"/>
      <c r="I647" s="623"/>
      <c r="J647" s="623"/>
      <c r="K647" s="623"/>
      <c r="L647" s="623"/>
      <c r="M647" s="623"/>
      <c r="N647" s="623"/>
      <c r="O647" s="623"/>
      <c r="P647" s="1733"/>
      <c r="Q647" s="1733"/>
    </row>
    <row r="648" spans="1:21" s="526" customFormat="1" ht="14">
      <c r="A648" s="1733"/>
      <c r="B648" s="559"/>
      <c r="C648" s="1733"/>
      <c r="D648" s="1733"/>
      <c r="E648" s="1733"/>
      <c r="F648" s="623"/>
      <c r="G648" s="623"/>
      <c r="H648" s="623"/>
      <c r="I648" s="623"/>
      <c r="J648" s="623"/>
      <c r="K648" s="623"/>
      <c r="L648" s="623"/>
      <c r="M648" s="623"/>
      <c r="N648" s="623"/>
      <c r="O648" s="623"/>
      <c r="P648" s="1733"/>
      <c r="Q648" s="1733"/>
    </row>
    <row r="649" spans="1:21" s="526" customFormat="1" ht="14">
      <c r="A649" s="1733"/>
      <c r="B649" s="1043"/>
      <c r="C649" s="17" t="s">
        <v>970</v>
      </c>
      <c r="D649" s="20"/>
      <c r="E649" s="1733"/>
      <c r="F649" s="623"/>
      <c r="G649" s="623"/>
      <c r="H649" s="623"/>
      <c r="I649" s="623"/>
      <c r="J649" s="623"/>
      <c r="K649" s="623"/>
      <c r="L649" s="623"/>
      <c r="M649" s="623"/>
      <c r="N649" s="623"/>
      <c r="O649" s="1732" t="str">
        <f>Preferences.moneyunits&amp;"/yr"</f>
        <v>£m/yr</v>
      </c>
      <c r="P649" s="1733"/>
      <c r="Q649" s="1733"/>
      <c r="R649" s="609"/>
    </row>
    <row r="650" spans="1:21" s="526" customFormat="1" ht="14">
      <c r="A650" s="1733"/>
      <c r="B650" s="559"/>
      <c r="C650" s="1043" t="s">
        <v>906</v>
      </c>
      <c r="D650" s="1954" t="s">
        <v>657</v>
      </c>
      <c r="E650" s="1733"/>
      <c r="F650" s="1798">
        <v>2007</v>
      </c>
      <c r="G650" s="1798">
        <v>2010</v>
      </c>
      <c r="H650" s="1798">
        <v>2015</v>
      </c>
      <c r="I650" s="1798">
        <v>2020</v>
      </c>
      <c r="J650" s="1798">
        <v>2025</v>
      </c>
      <c r="K650" s="1798">
        <v>2030</v>
      </c>
      <c r="L650" s="1798">
        <v>2035</v>
      </c>
      <c r="M650" s="1798">
        <v>2040</v>
      </c>
      <c r="N650" s="1798">
        <v>2045</v>
      </c>
      <c r="O650" s="1798">
        <v>2050</v>
      </c>
      <c r="P650" s="1733"/>
      <c r="Q650" s="1733"/>
    </row>
    <row r="651" spans="1:21" s="526" customFormat="1" ht="14">
      <c r="A651" s="1733"/>
      <c r="B651" s="559"/>
      <c r="C651" s="1732" t="s">
        <v>920</v>
      </c>
      <c r="D651" s="17" t="s">
        <v>920</v>
      </c>
      <c r="E651" s="1733"/>
      <c r="F651" s="619"/>
      <c r="G651" s="619">
        <f>G526*G417</f>
        <v>746.66883600000006</v>
      </c>
      <c r="H651" s="619">
        <f t="shared" ref="H651:O651" si="189">H526*H417</f>
        <v>916.90422300000012</v>
      </c>
      <c r="I651" s="619">
        <f t="shared" si="189"/>
        <v>1160.2667790697676</v>
      </c>
      <c r="J651" s="619">
        <f t="shared" si="189"/>
        <v>1341.0214772093022</v>
      </c>
      <c r="K651" s="619">
        <f t="shared" si="189"/>
        <v>1526.4039390697674</v>
      </c>
      <c r="L651" s="619">
        <f t="shared" si="189"/>
        <v>1714.506851162791</v>
      </c>
      <c r="M651" s="619">
        <f t="shared" si="189"/>
        <v>1906.4444379069764</v>
      </c>
      <c r="N651" s="619">
        <f t="shared" si="189"/>
        <v>2102.9709209302323</v>
      </c>
      <c r="O651" s="619">
        <f t="shared" si="189"/>
        <v>2303.6844899999996</v>
      </c>
      <c r="P651" s="1733"/>
      <c r="Q651" s="1733"/>
    </row>
    <row r="652" spans="1:21" s="526" customFormat="1" ht="14">
      <c r="A652" s="1733"/>
      <c r="B652" s="559"/>
      <c r="C652" s="1043" t="s">
        <v>918</v>
      </c>
      <c r="D652" s="1063" t="s">
        <v>923</v>
      </c>
      <c r="E652" s="1733"/>
      <c r="F652" s="619"/>
      <c r="G652" s="619">
        <f t="shared" ref="G652:O662" si="190">G527*G418</f>
        <v>52357.087650448608</v>
      </c>
      <c r="H652" s="619">
        <f t="shared" si="190"/>
        <v>50875.348850619375</v>
      </c>
      <c r="I652" s="619">
        <f t="shared" si="190"/>
        <v>50560.998473302221</v>
      </c>
      <c r="J652" s="619">
        <f t="shared" si="190"/>
        <v>36836.009397907197</v>
      </c>
      <c r="K652" s="619">
        <f t="shared" si="190"/>
        <v>22694.870971294829</v>
      </c>
      <c r="L652" s="619">
        <f t="shared" si="190"/>
        <v>20806.57960509562</v>
      </c>
      <c r="M652" s="619">
        <f t="shared" si="190"/>
        <v>18756.43117209019</v>
      </c>
      <c r="N652" s="619">
        <f t="shared" si="190"/>
        <v>13892.70532357547</v>
      </c>
      <c r="O652" s="619">
        <f t="shared" si="190"/>
        <v>9282.6192683519239</v>
      </c>
      <c r="P652" s="1733"/>
      <c r="Q652" s="1733"/>
    </row>
    <row r="653" spans="1:21" s="526" customFormat="1" ht="14">
      <c r="A653" s="1733"/>
      <c r="B653" s="559"/>
      <c r="C653" s="1043" t="s">
        <v>918</v>
      </c>
      <c r="D653" s="17" t="s">
        <v>1116</v>
      </c>
      <c r="E653" s="1733"/>
      <c r="F653" s="619"/>
      <c r="G653" s="619">
        <f t="shared" si="190"/>
        <v>0</v>
      </c>
      <c r="H653" s="619">
        <f t="shared" si="190"/>
        <v>444.55860745736459</v>
      </c>
      <c r="I653" s="619">
        <f t="shared" si="190"/>
        <v>839.74189146476112</v>
      </c>
      <c r="J653" s="619">
        <f t="shared" si="190"/>
        <v>17835.476786182313</v>
      </c>
      <c r="K653" s="619">
        <f t="shared" si="190"/>
        <v>31897.125665250067</v>
      </c>
      <c r="L653" s="619">
        <f t="shared" si="190"/>
        <v>24821.772244068412</v>
      </c>
      <c r="M653" s="619">
        <f t="shared" si="190"/>
        <v>18442.548247437182</v>
      </c>
      <c r="N653" s="619">
        <f t="shared" si="190"/>
        <v>16193.378557008698</v>
      </c>
      <c r="O653" s="619">
        <f t="shared" si="190"/>
        <v>14033.041876213256</v>
      </c>
      <c r="P653" s="1733"/>
      <c r="Q653" s="1733"/>
      <c r="R653" s="1554"/>
    </row>
    <row r="654" spans="1:21" s="526" customFormat="1" ht="14">
      <c r="A654" s="1733"/>
      <c r="B654" s="559"/>
      <c r="C654" s="1043" t="s">
        <v>918</v>
      </c>
      <c r="D654" s="1063" t="s">
        <v>924</v>
      </c>
      <c r="E654" s="1733"/>
      <c r="F654" s="619"/>
      <c r="G654" s="619">
        <f t="shared" si="190"/>
        <v>0</v>
      </c>
      <c r="H654" s="619">
        <f t="shared" si="190"/>
        <v>660.00345685896548</v>
      </c>
      <c r="I654" s="619">
        <f t="shared" si="190"/>
        <v>1253.2316530883959</v>
      </c>
      <c r="J654" s="619">
        <f t="shared" si="190"/>
        <v>3972.4161004744783</v>
      </c>
      <c r="K654" s="619">
        <f t="shared" si="190"/>
        <v>6230.5667864683637</v>
      </c>
      <c r="L654" s="619">
        <f t="shared" si="190"/>
        <v>10259.972897634432</v>
      </c>
      <c r="M654" s="619">
        <f t="shared" si="190"/>
        <v>13299.688730505582</v>
      </c>
      <c r="N654" s="619">
        <f t="shared" si="190"/>
        <v>15354.938991831434</v>
      </c>
      <c r="O654" s="619">
        <f t="shared" si="190"/>
        <v>16606.767398804561</v>
      </c>
      <c r="P654" s="1733"/>
      <c r="Q654" s="1733"/>
      <c r="R654" s="1553"/>
    </row>
    <row r="655" spans="1:21" s="526" customFormat="1" ht="14">
      <c r="A655" s="1733"/>
      <c r="B655" s="559"/>
      <c r="C655" s="1043" t="s">
        <v>918</v>
      </c>
      <c r="D655" s="1063" t="s">
        <v>925</v>
      </c>
      <c r="E655" s="1733"/>
      <c r="F655" s="619"/>
      <c r="G655" s="619">
        <f t="shared" si="190"/>
        <v>0</v>
      </c>
      <c r="H655" s="619">
        <f t="shared" si="190"/>
        <v>0</v>
      </c>
      <c r="I655" s="619">
        <f t="shared" si="190"/>
        <v>0</v>
      </c>
      <c r="J655" s="619">
        <f t="shared" si="190"/>
        <v>0</v>
      </c>
      <c r="K655" s="619">
        <f t="shared" si="190"/>
        <v>0</v>
      </c>
      <c r="L655" s="619">
        <f t="shared" si="190"/>
        <v>0</v>
      </c>
      <c r="M655" s="619">
        <f t="shared" si="190"/>
        <v>0</v>
      </c>
      <c r="N655" s="619">
        <f t="shared" si="190"/>
        <v>0</v>
      </c>
      <c r="O655" s="619">
        <f t="shared" si="190"/>
        <v>0</v>
      </c>
      <c r="P655" s="1733"/>
      <c r="Q655" s="1733"/>
      <c r="S655" s="1554"/>
    </row>
    <row r="656" spans="1:21" s="1733" customFormat="1" ht="14">
      <c r="B656" s="559"/>
      <c r="C656" s="1043" t="s">
        <v>919</v>
      </c>
      <c r="D656" s="1063" t="s">
        <v>923</v>
      </c>
      <c r="F656" s="619"/>
      <c r="G656" s="619">
        <f t="shared" si="190"/>
        <v>2410.0263892390813</v>
      </c>
      <c r="H656" s="619">
        <f t="shared" si="190"/>
        <v>1949.9529759641634</v>
      </c>
      <c r="I656" s="619">
        <f t="shared" si="190"/>
        <v>1340.2291304339924</v>
      </c>
      <c r="J656" s="619">
        <f t="shared" si="190"/>
        <v>738.20361463303254</v>
      </c>
      <c r="K656" s="619">
        <f t="shared" si="190"/>
        <v>0</v>
      </c>
      <c r="L656" s="619">
        <f t="shared" si="190"/>
        <v>0</v>
      </c>
      <c r="M656" s="619">
        <f t="shared" si="190"/>
        <v>0</v>
      </c>
      <c r="N656" s="619">
        <f t="shared" si="190"/>
        <v>0</v>
      </c>
      <c r="O656" s="619">
        <f t="shared" si="190"/>
        <v>0</v>
      </c>
      <c r="R656" s="1795"/>
      <c r="S656" s="1795"/>
      <c r="T656" s="1795"/>
      <c r="U656" s="526"/>
    </row>
    <row r="657" spans="1:21" s="526" customFormat="1" ht="14">
      <c r="A657" s="1733"/>
      <c r="B657" s="559"/>
      <c r="C657" s="1043" t="s">
        <v>919</v>
      </c>
      <c r="D657" s="17" t="s">
        <v>1117</v>
      </c>
      <c r="E657" s="1733"/>
      <c r="F657" s="619"/>
      <c r="G657" s="619">
        <f t="shared" si="190"/>
        <v>26.905650220044691</v>
      </c>
      <c r="H657" s="619">
        <f t="shared" si="190"/>
        <v>744.62457188132328</v>
      </c>
      <c r="I657" s="619">
        <f t="shared" si="190"/>
        <v>1640.6138188762181</v>
      </c>
      <c r="J657" s="619">
        <f t="shared" si="190"/>
        <v>2476.6688609520265</v>
      </c>
      <c r="K657" s="619">
        <f t="shared" si="190"/>
        <v>3379.3857003686726</v>
      </c>
      <c r="L657" s="619">
        <f t="shared" si="190"/>
        <v>3466.3082576574234</v>
      </c>
      <c r="M657" s="619">
        <f t="shared" si="190"/>
        <v>3493.393465880054</v>
      </c>
      <c r="N657" s="619">
        <f t="shared" si="190"/>
        <v>3464.677560439603</v>
      </c>
      <c r="O657" s="619">
        <f t="shared" si="190"/>
        <v>3414.0551912348501</v>
      </c>
      <c r="P657" s="1733"/>
      <c r="Q657" s="1733"/>
      <c r="R657" s="1795"/>
      <c r="S657" s="1795"/>
      <c r="T657" s="1795"/>
    </row>
    <row r="658" spans="1:21" s="526" customFormat="1" ht="14">
      <c r="A658" s="1733"/>
      <c r="B658" s="559"/>
      <c r="C658" s="1043" t="s">
        <v>919</v>
      </c>
      <c r="D658" s="1063" t="s">
        <v>924</v>
      </c>
      <c r="E658" s="1733"/>
      <c r="F658" s="619"/>
      <c r="G658" s="619">
        <f t="shared" si="190"/>
        <v>0</v>
      </c>
      <c r="H658" s="619">
        <f t="shared" si="190"/>
        <v>66.590573522195058</v>
      </c>
      <c r="I658" s="619">
        <f t="shared" si="190"/>
        <v>140.5033945132466</v>
      </c>
      <c r="J658" s="619">
        <f t="shared" si="190"/>
        <v>231.60612610786617</v>
      </c>
      <c r="K658" s="619">
        <f t="shared" si="190"/>
        <v>317.99347348668164</v>
      </c>
      <c r="L658" s="619">
        <f t="shared" si="190"/>
        <v>447.43000383308316</v>
      </c>
      <c r="M658" s="619">
        <f t="shared" si="190"/>
        <v>558.74789237191305</v>
      </c>
      <c r="N658" s="619">
        <f t="shared" si="190"/>
        <v>679.23618852475045</v>
      </c>
      <c r="O658" s="619">
        <f t="shared" si="190"/>
        <v>773.63778576614584</v>
      </c>
      <c r="P658" s="1733"/>
      <c r="Q658" s="1733"/>
      <c r="R658" s="1795"/>
      <c r="S658" s="1795"/>
      <c r="T658" s="1795"/>
    </row>
    <row r="659" spans="1:21" s="526" customFormat="1" ht="14">
      <c r="A659" s="1733"/>
      <c r="B659" s="559"/>
      <c r="C659" s="1043" t="s">
        <v>919</v>
      </c>
      <c r="D659" s="17" t="s">
        <v>925</v>
      </c>
      <c r="E659" s="1733"/>
      <c r="F659" s="619"/>
      <c r="G659" s="619">
        <f t="shared" si="190"/>
        <v>0</v>
      </c>
      <c r="H659" s="619">
        <f t="shared" si="190"/>
        <v>0</v>
      </c>
      <c r="I659" s="619">
        <f t="shared" si="190"/>
        <v>0</v>
      </c>
      <c r="J659" s="619">
        <f t="shared" si="190"/>
        <v>0</v>
      </c>
      <c r="K659" s="619">
        <f t="shared" si="190"/>
        <v>0</v>
      </c>
      <c r="L659" s="619">
        <f t="shared" si="190"/>
        <v>0</v>
      </c>
      <c r="M659" s="619">
        <f t="shared" si="190"/>
        <v>0</v>
      </c>
      <c r="N659" s="619">
        <f t="shared" si="190"/>
        <v>0</v>
      </c>
      <c r="O659" s="619">
        <f t="shared" si="190"/>
        <v>0</v>
      </c>
      <c r="P659" s="1733"/>
      <c r="Q659" s="1733"/>
      <c r="R659" s="1795"/>
      <c r="S659" s="1795"/>
      <c r="T659" s="1795"/>
    </row>
    <row r="660" spans="1:21" s="526" customFormat="1" ht="14">
      <c r="A660" s="1733"/>
      <c r="B660" s="559"/>
      <c r="C660" s="1043" t="s">
        <v>921</v>
      </c>
      <c r="D660" s="1063" t="s">
        <v>962</v>
      </c>
      <c r="E660" s="1733"/>
      <c r="F660" s="619"/>
      <c r="G660" s="619">
        <f t="shared" si="190"/>
        <v>3116.5926716333556</v>
      </c>
      <c r="H660" s="619">
        <f t="shared" si="190"/>
        <v>3214.6696963442464</v>
      </c>
      <c r="I660" s="619">
        <f t="shared" si="190"/>
        <v>2768.7054841839431</v>
      </c>
      <c r="J660" s="619">
        <f t="shared" si="190"/>
        <v>2749.2226385521358</v>
      </c>
      <c r="K660" s="619">
        <f t="shared" si="190"/>
        <v>2407.9563232768423</v>
      </c>
      <c r="L660" s="619">
        <f t="shared" si="190"/>
        <v>2181.7359617863513</v>
      </c>
      <c r="M660" s="619">
        <f t="shared" si="190"/>
        <v>1919.428617923885</v>
      </c>
      <c r="N660" s="619">
        <f t="shared" si="190"/>
        <v>1647.0359654394683</v>
      </c>
      <c r="O660" s="619">
        <f t="shared" si="190"/>
        <v>1368.5375468083032</v>
      </c>
      <c r="P660" s="1733"/>
      <c r="Q660" s="1733"/>
      <c r="R660" s="1795"/>
      <c r="S660" s="1795"/>
      <c r="T660" s="1795"/>
    </row>
    <row r="661" spans="1:21" s="526" customFormat="1" ht="14">
      <c r="A661" s="1733"/>
      <c r="B661" s="559"/>
      <c r="C661" s="1732" t="s">
        <v>921</v>
      </c>
      <c r="D661" s="1063" t="s">
        <v>963</v>
      </c>
      <c r="E661" s="1733"/>
      <c r="F661" s="619"/>
      <c r="G661" s="619">
        <f>G536*G427</f>
        <v>5460.6876734397256</v>
      </c>
      <c r="H661" s="619">
        <f t="shared" si="190"/>
        <v>5632.5317532776353</v>
      </c>
      <c r="I661" s="619">
        <f t="shared" si="190"/>
        <v>6544.299923318561</v>
      </c>
      <c r="J661" s="619">
        <f t="shared" si="190"/>
        <v>6965.5423533428466</v>
      </c>
      <c r="K661" s="619">
        <f t="shared" si="190"/>
        <v>7549.4942556563483</v>
      </c>
      <c r="L661" s="619">
        <f t="shared" si="190"/>
        <v>7967.9888407303824</v>
      </c>
      <c r="M661" s="619">
        <f t="shared" si="190"/>
        <v>8285.6414160720087</v>
      </c>
      <c r="N661" s="619">
        <f t="shared" si="190"/>
        <v>8569.2701210041141</v>
      </c>
      <c r="O661" s="619">
        <f>O536*O427</f>
        <v>8818.0512799295593</v>
      </c>
      <c r="P661" s="1733"/>
      <c r="Q661" s="1733"/>
      <c r="R661" s="1795"/>
      <c r="S661" s="1795"/>
      <c r="T661" s="1795"/>
    </row>
    <row r="662" spans="1:21" s="526" customFormat="1" ht="14">
      <c r="A662" s="1733"/>
      <c r="B662" s="559"/>
      <c r="C662" s="1732" t="s">
        <v>922</v>
      </c>
      <c r="D662" s="1063" t="s">
        <v>922</v>
      </c>
      <c r="E662" s="1733"/>
      <c r="F662" s="619"/>
      <c r="G662" s="619">
        <f t="shared" si="190"/>
        <v>245.67426974919556</v>
      </c>
      <c r="H662" s="619">
        <f t="shared" si="190"/>
        <v>274.93282999702359</v>
      </c>
      <c r="I662" s="619">
        <f t="shared" si="190"/>
        <v>312.77975105911406</v>
      </c>
      <c r="J662" s="619">
        <f t="shared" si="190"/>
        <v>351.62514945383327</v>
      </c>
      <c r="K662" s="619">
        <f t="shared" si="190"/>
        <v>387.64523994446103</v>
      </c>
      <c r="L662" s="619">
        <f t="shared" si="190"/>
        <v>424.45287382489363</v>
      </c>
      <c r="M662" s="619">
        <f t="shared" si="190"/>
        <v>458.14235059234039</v>
      </c>
      <c r="N662" s="619">
        <f t="shared" si="190"/>
        <v>492.32420663599612</v>
      </c>
      <c r="O662" s="619">
        <f t="shared" si="190"/>
        <v>527.16877786827604</v>
      </c>
      <c r="P662" s="1733"/>
      <c r="Q662" s="1733"/>
      <c r="R662" s="1795"/>
      <c r="S662" s="1795"/>
      <c r="T662" s="1795"/>
    </row>
    <row r="663" spans="1:21" s="526" customFormat="1" ht="14">
      <c r="A663" s="1733"/>
      <c r="B663" s="559"/>
      <c r="C663" s="1732" t="s">
        <v>1675</v>
      </c>
      <c r="D663" s="17" t="s">
        <v>1675</v>
      </c>
      <c r="E663" s="1733"/>
      <c r="F663" s="619"/>
      <c r="G663" s="1803">
        <f t="shared" ref="G663:O663" si="191">SUM(G651:G662)</f>
        <v>64363.643140730004</v>
      </c>
      <c r="H663" s="1803">
        <f t="shared" si="191"/>
        <v>64780.117538922292</v>
      </c>
      <c r="I663" s="1803">
        <f t="shared" si="191"/>
        <v>66561.370299310234</v>
      </c>
      <c r="J663" s="1803">
        <f t="shared" si="191"/>
        <v>73497.792504815021</v>
      </c>
      <c r="K663" s="1803">
        <f t="shared" si="191"/>
        <v>76391.442354816041</v>
      </c>
      <c r="L663" s="1803">
        <f t="shared" si="191"/>
        <v>72090.747535793387</v>
      </c>
      <c r="M663" s="1803">
        <f t="shared" si="191"/>
        <v>67120.466330780138</v>
      </c>
      <c r="N663" s="1803">
        <f t="shared" si="191"/>
        <v>62396.537835389769</v>
      </c>
      <c r="O663" s="1803">
        <f t="shared" si="191"/>
        <v>57127.563614976869</v>
      </c>
      <c r="P663" s="1733"/>
      <c r="Q663" s="1733"/>
      <c r="R663" s="1795"/>
      <c r="S663" s="1795"/>
      <c r="T663" s="1795"/>
    </row>
    <row r="664" spans="1:21" s="526" customFormat="1" ht="14">
      <c r="A664" s="1733"/>
      <c r="B664" s="559"/>
      <c r="C664" s="1732"/>
      <c r="D664" s="1063"/>
      <c r="E664" s="1733"/>
      <c r="F664" s="619"/>
      <c r="G664" s="619"/>
      <c r="H664" s="619"/>
      <c r="I664" s="619"/>
      <c r="J664" s="619"/>
      <c r="K664" s="619"/>
      <c r="L664" s="619"/>
      <c r="M664" s="619"/>
      <c r="N664" s="619"/>
      <c r="O664" s="619"/>
      <c r="P664" s="1733"/>
      <c r="Q664" s="1733"/>
      <c r="R664" s="1795"/>
      <c r="S664" s="1795"/>
      <c r="T664" s="1795"/>
      <c r="U664" s="609">
        <f t="array" ref="U664">W$493:W$503*SUMIFS(U$334:U$337, $C$340:$C$343, $C664:$C674, $D$340:$D$343, $D664:$D674)</f>
        <v>0</v>
      </c>
    </row>
    <row r="665" spans="1:21" s="526" customFormat="1" ht="14">
      <c r="A665" s="1733"/>
      <c r="B665" s="1733" t="s">
        <v>1811</v>
      </c>
      <c r="C665" s="1733" t="s">
        <v>1676</v>
      </c>
      <c r="D665" s="1733"/>
      <c r="E665" s="1733"/>
      <c r="F665" s="623"/>
      <c r="G665" s="623"/>
      <c r="H665" s="623"/>
      <c r="I665" s="623"/>
      <c r="J665" s="623"/>
      <c r="K665" s="623"/>
      <c r="L665" s="623"/>
      <c r="M665" s="623"/>
      <c r="N665" s="623"/>
      <c r="O665" s="623"/>
      <c r="P665" s="1733"/>
      <c r="Q665" s="1733"/>
      <c r="R665" s="1355"/>
      <c r="S665" s="1355"/>
      <c r="T665" s="1355"/>
      <c r="U665" s="609"/>
    </row>
    <row r="666" spans="1:21" s="526" customFormat="1" ht="14">
      <c r="A666" s="1733"/>
      <c r="B666" s="559"/>
      <c r="C666" s="1733"/>
      <c r="D666" s="1733"/>
      <c r="E666" s="1733"/>
      <c r="F666" s="623"/>
      <c r="G666" s="623"/>
      <c r="H666" s="623"/>
      <c r="I666" s="623"/>
      <c r="J666" s="623"/>
      <c r="K666" s="623"/>
      <c r="L666" s="623"/>
      <c r="M666" s="623"/>
      <c r="N666" s="623"/>
      <c r="O666" s="623"/>
      <c r="P666" s="1733"/>
      <c r="Q666" s="1733"/>
      <c r="R666" s="1355"/>
      <c r="S666" s="1355"/>
      <c r="T666" s="1355"/>
      <c r="U666" s="609"/>
    </row>
    <row r="667" spans="1:21" s="526" customFormat="1" ht="14">
      <c r="A667" s="1733"/>
      <c r="B667" s="1043"/>
      <c r="C667" s="17" t="s">
        <v>970</v>
      </c>
      <c r="D667" s="20"/>
      <c r="E667" s="1733"/>
      <c r="F667" s="623"/>
      <c r="G667" s="623"/>
      <c r="H667" s="623"/>
      <c r="I667" s="623"/>
      <c r="J667" s="623"/>
      <c r="K667" s="623"/>
      <c r="L667" s="623"/>
      <c r="M667" s="623"/>
      <c r="N667" s="623"/>
      <c r="O667" s="1732" t="str">
        <f>Preferences.moneyunits&amp;"/yr"</f>
        <v>£m/yr</v>
      </c>
      <c r="P667" s="1733"/>
      <c r="Q667" s="1733"/>
      <c r="R667" s="1795"/>
      <c r="S667" s="1795"/>
      <c r="T667" s="1795"/>
      <c r="U667" s="609"/>
    </row>
    <row r="668" spans="1:21" s="526" customFormat="1" ht="14">
      <c r="A668" s="1733"/>
      <c r="B668" s="559"/>
      <c r="C668" s="1043" t="s">
        <v>906</v>
      </c>
      <c r="D668" s="1954" t="s">
        <v>657</v>
      </c>
      <c r="E668" s="1733"/>
      <c r="F668" s="1798">
        <v>2007</v>
      </c>
      <c r="G668" s="1798">
        <v>2010</v>
      </c>
      <c r="H668" s="1798">
        <v>2015</v>
      </c>
      <c r="I668" s="1798">
        <v>2020</v>
      </c>
      <c r="J668" s="1798">
        <v>2025</v>
      </c>
      <c r="K668" s="1798">
        <v>2030</v>
      </c>
      <c r="L668" s="1798">
        <v>2035</v>
      </c>
      <c r="M668" s="1798">
        <v>2040</v>
      </c>
      <c r="N668" s="1798">
        <v>2045</v>
      </c>
      <c r="O668" s="1798">
        <v>2050</v>
      </c>
      <c r="P668" s="1733"/>
      <c r="Q668" s="1733"/>
      <c r="R668" s="1795"/>
      <c r="S668" s="1795"/>
      <c r="T668" s="1795"/>
      <c r="U668" s="609"/>
    </row>
    <row r="669" spans="1:21" s="526" customFormat="1" ht="14">
      <c r="A669" s="1733"/>
      <c r="B669" s="559"/>
      <c r="C669" s="1732" t="s">
        <v>920</v>
      </c>
      <c r="D669" s="17" t="s">
        <v>920</v>
      </c>
      <c r="E669" s="1733"/>
      <c r="F669" s="1798"/>
      <c r="G669" s="1803">
        <f t="shared" ref="G669:O669" si="192">G526*G432</f>
        <v>746.66883600000006</v>
      </c>
      <c r="H669" s="1803">
        <f t="shared" si="192"/>
        <v>878.69988037500002</v>
      </c>
      <c r="I669" s="1803">
        <f t="shared" si="192"/>
        <v>1063.5778808139535</v>
      </c>
      <c r="J669" s="1803">
        <f t="shared" si="192"/>
        <v>1173.3937925581392</v>
      </c>
      <c r="K669" s="1803">
        <f t="shared" si="192"/>
        <v>1272.0032825581393</v>
      </c>
      <c r="L669" s="1803">
        <f t="shared" si="192"/>
        <v>1357.3179238372093</v>
      </c>
      <c r="M669" s="1803">
        <f t="shared" si="192"/>
        <v>1429.8333284302319</v>
      </c>
      <c r="N669" s="1803">
        <f t="shared" si="192"/>
        <v>1489.6044023255808</v>
      </c>
      <c r="O669" s="1803">
        <f t="shared" si="192"/>
        <v>1535.7896599999999</v>
      </c>
      <c r="P669" s="1733"/>
      <c r="Q669" s="1733"/>
      <c r="R669" s="1795"/>
      <c r="S669" s="1795"/>
      <c r="T669" s="1795"/>
      <c r="U669" s="609"/>
    </row>
    <row r="670" spans="1:21" s="526" customFormat="1" ht="14">
      <c r="A670" s="1733"/>
      <c r="B670" s="559"/>
      <c r="C670" s="1043" t="s">
        <v>918</v>
      </c>
      <c r="D670" s="1063" t="s">
        <v>923</v>
      </c>
      <c r="E670" s="1733"/>
      <c r="F670" s="619"/>
      <c r="G670" s="1803">
        <f t="shared" ref="G670:O670" si="193">G527*G433</f>
        <v>52357.087650448608</v>
      </c>
      <c r="H670" s="1803">
        <f t="shared" si="193"/>
        <v>45375.649454444116</v>
      </c>
      <c r="I670" s="1803">
        <f t="shared" si="193"/>
        <v>39620.706863044819</v>
      </c>
      <c r="J670" s="1803">
        <f t="shared" si="193"/>
        <v>24870.558080981646</v>
      </c>
      <c r="K670" s="1803">
        <f t="shared" si="193"/>
        <v>12857.586220249505</v>
      </c>
      <c r="L670" s="1803">
        <f t="shared" si="193"/>
        <v>9523.9379403486437</v>
      </c>
      <c r="M670" s="1803">
        <f t="shared" si="193"/>
        <v>6541.404822255261</v>
      </c>
      <c r="N670" s="1803">
        <f t="shared" si="193"/>
        <v>3328.6430520023396</v>
      </c>
      <c r="O670" s="1803">
        <f t="shared" si="193"/>
        <v>1209.1529213465521</v>
      </c>
      <c r="P670" s="1733"/>
      <c r="Q670" s="1733"/>
      <c r="R670" s="1044"/>
      <c r="S670" s="1044"/>
      <c r="T670" s="1044"/>
      <c r="U670" s="609"/>
    </row>
    <row r="671" spans="1:21" s="526" customFormat="1" ht="14">
      <c r="A671" s="1733"/>
      <c r="B671" s="559"/>
      <c r="C671" s="1043" t="s">
        <v>918</v>
      </c>
      <c r="D671" s="17" t="s">
        <v>1116</v>
      </c>
      <c r="E671" s="1733"/>
      <c r="F671" s="619"/>
      <c r="G671" s="1803">
        <f t="shared" ref="G671:O671" si="194">G528*G434</f>
        <v>0</v>
      </c>
      <c r="H671" s="1803">
        <f t="shared" si="194"/>
        <v>418.41168716606313</v>
      </c>
      <c r="I671" s="1803">
        <f t="shared" si="194"/>
        <v>734.10758614761141</v>
      </c>
      <c r="J671" s="1803">
        <f t="shared" si="194"/>
        <v>14219.137371055533</v>
      </c>
      <c r="K671" s="1803">
        <f t="shared" si="194"/>
        <v>22578.960717943952</v>
      </c>
      <c r="L671" s="1803">
        <f t="shared" si="194"/>
        <v>14963.377709016811</v>
      </c>
      <c r="M671" s="1803">
        <f t="shared" si="194"/>
        <v>8808.5046661749639</v>
      </c>
      <c r="N671" s="1803">
        <f t="shared" si="194"/>
        <v>5275.6887820266802</v>
      </c>
      <c r="O671" s="1803">
        <f t="shared" si="194"/>
        <v>1934.6446741544837</v>
      </c>
      <c r="P671" s="1733"/>
      <c r="Q671" s="1733"/>
      <c r="R671" s="1044"/>
      <c r="S671" s="1044"/>
      <c r="T671" s="1044"/>
      <c r="U671" s="609"/>
    </row>
    <row r="672" spans="1:21" s="526" customFormat="1" ht="14">
      <c r="A672" s="1733"/>
      <c r="B672" s="559"/>
      <c r="C672" s="1043" t="s">
        <v>918</v>
      </c>
      <c r="D672" s="1063" t="s">
        <v>924</v>
      </c>
      <c r="E672" s="1733"/>
      <c r="F672" s="619"/>
      <c r="G672" s="1803">
        <f t="shared" ref="G672:O672" si="195">G529*G435</f>
        <v>0</v>
      </c>
      <c r="H672" s="1803">
        <f t="shared" si="195"/>
        <v>620.5119090825832</v>
      </c>
      <c r="I672" s="1803">
        <f t="shared" si="195"/>
        <v>1093.6846713107755</v>
      </c>
      <c r="J672" s="1803">
        <f t="shared" si="195"/>
        <v>3162.1173423817213</v>
      </c>
      <c r="K672" s="1803">
        <f t="shared" si="195"/>
        <v>4412.0310500197638</v>
      </c>
      <c r="L672" s="1803">
        <f t="shared" si="195"/>
        <v>6221.227530231854</v>
      </c>
      <c r="M672" s="1803">
        <f t="shared" si="195"/>
        <v>6478.9172472430937</v>
      </c>
      <c r="N672" s="1803">
        <f t="shared" si="195"/>
        <v>5306.4908622547164</v>
      </c>
      <c r="O672" s="1803">
        <f t="shared" si="195"/>
        <v>2901.9670112317253</v>
      </c>
      <c r="P672" s="1733"/>
      <c r="Q672" s="1733"/>
      <c r="R672" s="1044"/>
      <c r="S672" s="1044"/>
      <c r="T672" s="1044"/>
      <c r="U672" s="609"/>
    </row>
    <row r="673" spans="1:21" s="1733" customFormat="1" ht="14">
      <c r="B673" s="559"/>
      <c r="C673" s="1043" t="s">
        <v>918</v>
      </c>
      <c r="D673" s="1063" t="s">
        <v>925</v>
      </c>
      <c r="F673" s="619"/>
      <c r="G673" s="1803">
        <f t="shared" ref="G673:O673" si="196">G530*G436</f>
        <v>0</v>
      </c>
      <c r="H673" s="1803">
        <f t="shared" si="196"/>
        <v>0</v>
      </c>
      <c r="I673" s="1803">
        <f t="shared" si="196"/>
        <v>0</v>
      </c>
      <c r="J673" s="1803">
        <f t="shared" si="196"/>
        <v>0</v>
      </c>
      <c r="K673" s="1803">
        <f t="shared" si="196"/>
        <v>0</v>
      </c>
      <c r="L673" s="1803">
        <f t="shared" si="196"/>
        <v>0</v>
      </c>
      <c r="M673" s="1803">
        <f t="shared" si="196"/>
        <v>0</v>
      </c>
      <c r="N673" s="1803">
        <f t="shared" si="196"/>
        <v>0</v>
      </c>
      <c r="O673" s="1803">
        <f t="shared" si="196"/>
        <v>0</v>
      </c>
      <c r="R673" s="117"/>
      <c r="S673" s="117"/>
      <c r="T673" s="117"/>
      <c r="U673" s="609"/>
    </row>
    <row r="674" spans="1:21" s="526" customFormat="1" ht="14">
      <c r="A674" s="1733"/>
      <c r="B674" s="559"/>
      <c r="C674" s="1043" t="s">
        <v>919</v>
      </c>
      <c r="D674" s="1063" t="s">
        <v>923</v>
      </c>
      <c r="E674" s="1733"/>
      <c r="F674" s="619"/>
      <c r="G674" s="1803">
        <f t="shared" ref="G674:O674" si="197">G531*G437</f>
        <v>2410.0263892390813</v>
      </c>
      <c r="H674" s="1803">
        <f t="shared" si="197"/>
        <v>1717.7314868986903</v>
      </c>
      <c r="I674" s="1803">
        <f t="shared" si="197"/>
        <v>1020.6831638567953</v>
      </c>
      <c r="J674" s="1803">
        <f t="shared" si="197"/>
        <v>473.92124283960624</v>
      </c>
      <c r="K674" s="1803">
        <f t="shared" si="197"/>
        <v>0</v>
      </c>
      <c r="L674" s="1803">
        <f t="shared" si="197"/>
        <v>0</v>
      </c>
      <c r="M674" s="1803">
        <f t="shared" si="197"/>
        <v>0</v>
      </c>
      <c r="N674" s="1803">
        <f t="shared" si="197"/>
        <v>0</v>
      </c>
      <c r="O674" s="1803">
        <f t="shared" si="197"/>
        <v>0</v>
      </c>
      <c r="P674" s="1733"/>
      <c r="Q674" s="1733"/>
      <c r="R674" s="117"/>
      <c r="S674" s="117"/>
      <c r="T674" s="117"/>
      <c r="U674" s="609"/>
    </row>
    <row r="675" spans="1:21" s="526" customFormat="1" ht="14">
      <c r="A675" s="1733"/>
      <c r="B675" s="559"/>
      <c r="C675" s="1043" t="s">
        <v>919</v>
      </c>
      <c r="D675" s="17" t="s">
        <v>1117</v>
      </c>
      <c r="E675" s="1733"/>
      <c r="F675" s="619"/>
      <c r="G675" s="1803">
        <f t="shared" ref="G675:O675" si="198">G532*G438</f>
        <v>26.905650220044691</v>
      </c>
      <c r="H675" s="1803">
        <f t="shared" si="198"/>
        <v>668.88187407389705</v>
      </c>
      <c r="I675" s="1803">
        <f t="shared" si="198"/>
        <v>1306.35130793146</v>
      </c>
      <c r="J675" s="1803">
        <f t="shared" si="198"/>
        <v>1718.6336473165059</v>
      </c>
      <c r="K675" s="1803">
        <f t="shared" si="198"/>
        <v>1998.2136591500948</v>
      </c>
      <c r="L675" s="1803">
        <f t="shared" si="198"/>
        <v>1692.7803457475902</v>
      </c>
      <c r="M675" s="1803">
        <f t="shared" si="198"/>
        <v>1345.3088285571291</v>
      </c>
      <c r="N675" s="1803">
        <f t="shared" si="198"/>
        <v>975.44042366590077</v>
      </c>
      <c r="O675" s="1803">
        <f t="shared" si="198"/>
        <v>606.55568468922831</v>
      </c>
      <c r="P675" s="1733"/>
      <c r="Q675" s="1733"/>
      <c r="R675" s="117"/>
      <c r="S675" s="117"/>
      <c r="T675" s="117"/>
      <c r="U675" s="117"/>
    </row>
    <row r="676" spans="1:21" s="526" customFormat="1" ht="14">
      <c r="A676" s="1733"/>
      <c r="B676" s="559"/>
      <c r="C676" s="1043" t="s">
        <v>919</v>
      </c>
      <c r="D676" s="1063" t="s">
        <v>924</v>
      </c>
      <c r="E676" s="1733"/>
      <c r="F676" s="619"/>
      <c r="G676" s="1803">
        <f t="shared" ref="G676:O676" si="199">G533*G439</f>
        <v>0</v>
      </c>
      <c r="H676" s="1803">
        <f t="shared" si="199"/>
        <v>66.590573522195058</v>
      </c>
      <c r="I676" s="1803">
        <f t="shared" si="199"/>
        <v>140.5033945132466</v>
      </c>
      <c r="J676" s="1803">
        <f t="shared" si="199"/>
        <v>231.60612610786617</v>
      </c>
      <c r="K676" s="1803">
        <f t="shared" si="199"/>
        <v>317.99347348668164</v>
      </c>
      <c r="L676" s="1803">
        <f t="shared" si="199"/>
        <v>447.43000383308316</v>
      </c>
      <c r="M676" s="1803">
        <f t="shared" si="199"/>
        <v>558.74789237191305</v>
      </c>
      <c r="N676" s="1803">
        <f t="shared" si="199"/>
        <v>679.23618852475045</v>
      </c>
      <c r="O676" s="1803">
        <f t="shared" si="199"/>
        <v>773.63778576614584</v>
      </c>
      <c r="P676" s="1733"/>
      <c r="Q676" s="1733"/>
      <c r="R676" s="117"/>
      <c r="S676" s="117"/>
      <c r="T676" s="117"/>
      <c r="U676" s="117"/>
    </row>
    <row r="677" spans="1:21" s="526" customFormat="1" ht="14">
      <c r="A677" s="1733"/>
      <c r="B677" s="559"/>
      <c r="C677" s="1043" t="s">
        <v>919</v>
      </c>
      <c r="D677" s="17" t="s">
        <v>925</v>
      </c>
      <c r="E677" s="1733"/>
      <c r="F677" s="619"/>
      <c r="G677" s="1803">
        <f t="shared" ref="G677:O677" si="200">G534*G440</f>
        <v>0</v>
      </c>
      <c r="H677" s="1803">
        <f t="shared" si="200"/>
        <v>0</v>
      </c>
      <c r="I677" s="1803">
        <f t="shared" si="200"/>
        <v>0</v>
      </c>
      <c r="J677" s="1803">
        <f t="shared" si="200"/>
        <v>0</v>
      </c>
      <c r="K677" s="1803">
        <f t="shared" si="200"/>
        <v>0</v>
      </c>
      <c r="L677" s="1803">
        <f t="shared" si="200"/>
        <v>0</v>
      </c>
      <c r="M677" s="1803">
        <f t="shared" si="200"/>
        <v>0</v>
      </c>
      <c r="N677" s="1803">
        <f t="shared" si="200"/>
        <v>0</v>
      </c>
      <c r="O677" s="1803">
        <f t="shared" si="200"/>
        <v>0</v>
      </c>
      <c r="P677" s="1733"/>
      <c r="Q677" s="1733"/>
      <c r="R677" s="117"/>
      <c r="S677" s="117"/>
      <c r="T677" s="117"/>
      <c r="U677" s="117"/>
    </row>
    <row r="678" spans="1:21" s="526" customFormat="1" ht="14">
      <c r="A678" s="1733"/>
      <c r="B678" s="559"/>
      <c r="C678" s="1043" t="s">
        <v>921</v>
      </c>
      <c r="D678" s="1063" t="s">
        <v>962</v>
      </c>
      <c r="E678" s="1733"/>
      <c r="F678" s="619"/>
      <c r="G678" s="1803">
        <f t="shared" ref="G678:O678" si="201">G535*G441</f>
        <v>3116.5926716333556</v>
      </c>
      <c r="H678" s="1803">
        <f t="shared" si="201"/>
        <v>3148.979073292126</v>
      </c>
      <c r="I678" s="1803">
        <f t="shared" si="201"/>
        <v>2651.0868425766689</v>
      </c>
      <c r="J678" s="1803">
        <f t="shared" si="201"/>
        <v>2566.8417755523637</v>
      </c>
      <c r="K678" s="1803">
        <f t="shared" si="201"/>
        <v>2185.8461499731229</v>
      </c>
      <c r="L678" s="1803">
        <f t="shared" si="201"/>
        <v>1918.9264673455493</v>
      </c>
      <c r="M678" s="1803">
        <f t="shared" si="201"/>
        <v>1628.978650920192</v>
      </c>
      <c r="N678" s="1803">
        <f t="shared" si="201"/>
        <v>1341.9780650787784</v>
      </c>
      <c r="O678" s="1803">
        <f t="shared" si="201"/>
        <v>1063.8807784375504</v>
      </c>
      <c r="P678" s="1733"/>
      <c r="Q678" s="1733"/>
    </row>
    <row r="679" spans="1:21" s="526" customFormat="1" ht="14">
      <c r="A679" s="1733"/>
      <c r="B679" s="559"/>
      <c r="C679" s="1732" t="s">
        <v>921</v>
      </c>
      <c r="D679" s="1063" t="s">
        <v>963</v>
      </c>
      <c r="E679" s="1733"/>
      <c r="F679" s="619"/>
      <c r="G679" s="1803">
        <f t="shared" ref="G679:O679" si="202">G536*G442</f>
        <v>5460.6876734397256</v>
      </c>
      <c r="H679" s="1803">
        <f t="shared" si="202"/>
        <v>5517.4329856952518</v>
      </c>
      <c r="I679" s="1803">
        <f t="shared" si="202"/>
        <v>6266.2885307568158</v>
      </c>
      <c r="J679" s="1803">
        <f t="shared" si="202"/>
        <v>6503.4547770768613</v>
      </c>
      <c r="K679" s="1803">
        <f t="shared" si="202"/>
        <v>6853.1280212400261</v>
      </c>
      <c r="L679" s="1803">
        <f t="shared" si="202"/>
        <v>7008.1737413689834</v>
      </c>
      <c r="M679" s="1803">
        <f t="shared" si="202"/>
        <v>7031.8494003493479</v>
      </c>
      <c r="N679" s="1803">
        <f t="shared" si="202"/>
        <v>6982.1016525611076</v>
      </c>
      <c r="O679" s="1803">
        <f t="shared" si="202"/>
        <v>6855.0221964116708</v>
      </c>
      <c r="P679" s="1733"/>
      <c r="Q679" s="1733"/>
    </row>
    <row r="680" spans="1:21" s="526" customFormat="1" ht="14">
      <c r="A680" s="1733"/>
      <c r="B680" s="559"/>
      <c r="C680" s="1732" t="s">
        <v>922</v>
      </c>
      <c r="D680" s="1063" t="s">
        <v>922</v>
      </c>
      <c r="E680" s="1733"/>
      <c r="F680" s="619"/>
      <c r="G680" s="1803">
        <f t="shared" ref="G680:O680" si="203">G537*G443</f>
        <v>245.67426974919556</v>
      </c>
      <c r="H680" s="1803">
        <f t="shared" si="203"/>
        <v>274.93282999702359</v>
      </c>
      <c r="I680" s="1803">
        <f t="shared" si="203"/>
        <v>312.77975105911406</v>
      </c>
      <c r="J680" s="1803">
        <f t="shared" si="203"/>
        <v>351.62514945383327</v>
      </c>
      <c r="K680" s="1803">
        <f t="shared" si="203"/>
        <v>387.64523994446103</v>
      </c>
      <c r="L680" s="1803">
        <f t="shared" si="203"/>
        <v>424.45287382489363</v>
      </c>
      <c r="M680" s="1803">
        <f t="shared" si="203"/>
        <v>458.14235059234039</v>
      </c>
      <c r="N680" s="1803">
        <f t="shared" si="203"/>
        <v>492.32420663599612</v>
      </c>
      <c r="O680" s="1803">
        <f t="shared" si="203"/>
        <v>527.16877786827604</v>
      </c>
      <c r="P680" s="1733"/>
      <c r="Q680" s="1733"/>
    </row>
    <row r="681" spans="1:21" s="526" customFormat="1" ht="14">
      <c r="A681" s="1733"/>
      <c r="B681" s="559"/>
      <c r="C681" s="1732" t="s">
        <v>1675</v>
      </c>
      <c r="D681" s="17" t="s">
        <v>1675</v>
      </c>
      <c r="E681" s="1733"/>
      <c r="F681" s="619"/>
      <c r="G681" s="1803">
        <f t="shared" ref="G681:O681" si="204">SUM(G669:G680)</f>
        <v>64363.643140730004</v>
      </c>
      <c r="H681" s="1803">
        <f t="shared" si="204"/>
        <v>58687.821754546945</v>
      </c>
      <c r="I681" s="1803">
        <f t="shared" si="204"/>
        <v>54209.76999201125</v>
      </c>
      <c r="J681" s="1803">
        <f t="shared" si="204"/>
        <v>55271.28930532407</v>
      </c>
      <c r="K681" s="1803">
        <f t="shared" si="204"/>
        <v>52863.407814565748</v>
      </c>
      <c r="L681" s="1803">
        <f t="shared" si="204"/>
        <v>43557.624535554613</v>
      </c>
      <c r="M681" s="1803">
        <f t="shared" si="204"/>
        <v>34281.687186894473</v>
      </c>
      <c r="N681" s="1803">
        <f t="shared" si="204"/>
        <v>25871.507635075854</v>
      </c>
      <c r="O681" s="1803">
        <f t="shared" si="204"/>
        <v>17407.819489905633</v>
      </c>
      <c r="P681" s="1733"/>
      <c r="Q681" s="1733"/>
    </row>
    <row r="682" spans="1:21" s="526" customFormat="1">
      <c r="A682" s="1733"/>
      <c r="B682" s="1733"/>
      <c r="C682" s="1733"/>
      <c r="D682" s="1733"/>
      <c r="E682" s="1733"/>
      <c r="F682" s="1733"/>
      <c r="G682" s="1733"/>
      <c r="H682" s="1733"/>
      <c r="I682" s="1733"/>
      <c r="J682" s="1733"/>
      <c r="K682" s="1733"/>
      <c r="L682" s="1733"/>
      <c r="M682" s="1733"/>
      <c r="N682" s="1733"/>
      <c r="O682" s="1733"/>
      <c r="P682" s="1733"/>
      <c r="Q682" s="1733"/>
    </row>
    <row r="683" spans="1:21" s="526" customFormat="1" ht="14">
      <c r="A683" s="1733"/>
      <c r="B683" s="559">
        <v>4</v>
      </c>
      <c r="C683" s="1733" t="s">
        <v>1173</v>
      </c>
      <c r="D683" s="1733"/>
      <c r="E683" s="1733"/>
      <c r="F683" s="623"/>
      <c r="G683" s="623"/>
      <c r="H683" s="623"/>
      <c r="I683" s="623"/>
      <c r="J683" s="623"/>
      <c r="K683" s="623"/>
      <c r="L683" s="623"/>
      <c r="M683" s="623"/>
      <c r="N683" s="623"/>
      <c r="O683" s="623"/>
      <c r="P683" s="1733"/>
      <c r="Q683" s="1733"/>
    </row>
    <row r="684" spans="1:21" s="526" customFormat="1" ht="14">
      <c r="A684" s="1733"/>
      <c r="B684" s="559"/>
      <c r="C684" s="1733"/>
      <c r="D684" s="1733"/>
      <c r="E684" s="1733"/>
      <c r="F684" s="623"/>
      <c r="G684" s="623"/>
      <c r="H684" s="623"/>
      <c r="I684" s="623"/>
      <c r="J684" s="623"/>
      <c r="K684" s="623"/>
      <c r="L684" s="623"/>
      <c r="M684" s="623"/>
      <c r="N684" s="623"/>
      <c r="O684" s="623"/>
      <c r="P684" s="1733"/>
      <c r="Q684" s="1733"/>
    </row>
    <row r="685" spans="1:21" s="1733" customFormat="1" ht="14">
      <c r="B685" s="559"/>
      <c r="C685" s="1733" t="s">
        <v>972</v>
      </c>
      <c r="F685" s="623" t="s">
        <v>44</v>
      </c>
      <c r="G685" s="1120" t="str">
        <f>INDEX(Vectors[Description], MATCH(F685, Vectors[Code], 0))</f>
        <v>Liquid hydrocarbons</v>
      </c>
      <c r="H685" s="623"/>
      <c r="I685" s="623"/>
      <c r="J685" s="623"/>
      <c r="K685" s="623"/>
      <c r="L685" s="623"/>
      <c r="M685" s="623"/>
      <c r="N685" s="623"/>
      <c r="O685" s="623"/>
      <c r="R685" s="526"/>
      <c r="S685" s="526"/>
      <c r="T685" s="526"/>
      <c r="U685" s="526"/>
    </row>
    <row r="686" spans="1:21" s="1795" customFormat="1" ht="14">
      <c r="A686" s="1733"/>
      <c r="B686" s="559"/>
      <c r="C686" s="1043" t="s">
        <v>906</v>
      </c>
      <c r="D686" s="1954" t="s">
        <v>657</v>
      </c>
      <c r="E686" s="1733"/>
      <c r="F686" s="623"/>
      <c r="G686" s="623"/>
      <c r="H686" s="623"/>
      <c r="I686" s="623"/>
      <c r="J686" s="623"/>
      <c r="K686" s="623"/>
      <c r="L686" s="623"/>
      <c r="M686" s="623"/>
      <c r="N686" s="623"/>
      <c r="O686" s="1732" t="str">
        <f>Preferences.EnergyUnits</f>
        <v>TWh</v>
      </c>
      <c r="P686" s="1733"/>
      <c r="Q686" s="1733"/>
      <c r="R686" s="526"/>
      <c r="S686" s="526"/>
      <c r="T686" s="526"/>
      <c r="U686" s="526"/>
    </row>
    <row r="687" spans="1:21" s="1795" customFormat="1" ht="14">
      <c r="A687" s="1733"/>
      <c r="B687" s="559"/>
      <c r="C687" s="1043" t="s">
        <v>918</v>
      </c>
      <c r="D687" s="1063" t="s">
        <v>923</v>
      </c>
      <c r="E687" s="609"/>
      <c r="F687" s="609">
        <f t="array" ref="F687:F697">F$493:F$503*SUMIFS(F$330:F$335, $C$330:$C$335, $C687:$C697, $D$330:$D$335, $D687:$D697)</f>
        <v>390.91858136049677</v>
      </c>
      <c r="G687" s="609">
        <f t="array" ref="G687:G697">G$493:G$503*SUMIFS(G$330:G$335, $C$330:$C$335, $C687:$C697, $D$330:$D$335, $D687:$D697)</f>
        <v>343.42616827914844</v>
      </c>
      <c r="H687" s="609">
        <f t="array" ref="H687:H697">H$493:H$503*SUMIFS(H$330:H$335, $C$330:$C$335, $C687:$C697, $D$330:$D$335, $D687:$D697)</f>
        <v>297.66374301478544</v>
      </c>
      <c r="I687" s="609">
        <f t="array" ref="I687:I697">I$493:I$503*SUMIFS(I$330:I$335, $C$330:$C$335, $C687:$C697, $D$330:$D$335, $D687:$D697)</f>
        <v>260.07776357681206</v>
      </c>
      <c r="J687" s="609">
        <f t="array" ref="J687:J697">J$493:J$503*SUMIFS(J$330:J$335, $C$330:$C$335, $C687:$C697, $D$330:$D$335, $D687:$D697)</f>
        <v>163.00874791412636</v>
      </c>
      <c r="K687" s="609">
        <f t="array" ref="K687:K697">K$493:K$503*SUMIFS(K$330:K$335, $C$330:$C$335, $C687:$C697, $D$330:$D$335, $D687:$D697)</f>
        <v>84.095911289565805</v>
      </c>
      <c r="L687" s="609">
        <f t="array" ref="L687:L697">L$493:L$503*SUMIFS(L$330:L$335, $C$330:$C$335, $C687:$C697, $D$330:$D$335, $D687:$D697)</f>
        <v>72.865646663208508</v>
      </c>
      <c r="M687" s="609">
        <f t="array" ref="M687:M697">M$493:M$503*SUMIFS(M$330:M$335, $C$330:$C$335, $C687:$C697, $D$330:$D$335, $D687:$D697)</f>
        <v>61.863641237278877</v>
      </c>
      <c r="N687" s="609">
        <f t="array" ref="N687:N697">N$493:N$503*SUMIFS(N$330:N$335, $C$330:$C$335, $C687:$C697, $D$330:$D$335, $D687:$D697)</f>
        <v>43.858871664042411</v>
      </c>
      <c r="O687" s="609">
        <f t="array" ref="O687:O697">O$493:O$503*SUMIFS(O$330:O$335, $C$330:$C$335, $C687:$C697, $D$330:$D$335, $D687:$D697)</f>
        <v>28.015589526431079</v>
      </c>
      <c r="P687" s="1733"/>
      <c r="Q687" s="1733"/>
      <c r="R687" s="526"/>
      <c r="S687" s="526"/>
      <c r="T687" s="526"/>
      <c r="U687" s="526"/>
    </row>
    <row r="688" spans="1:21" s="1795" customFormat="1" ht="14">
      <c r="A688" s="1733"/>
      <c r="B688" s="559"/>
      <c r="C688" s="1043" t="s">
        <v>918</v>
      </c>
      <c r="D688" s="17" t="s">
        <v>1116</v>
      </c>
      <c r="E688" s="1733"/>
      <c r="F688" s="609">
        <v>0</v>
      </c>
      <c r="G688" s="609">
        <v>0</v>
      </c>
      <c r="H688" s="609">
        <v>0.34175405221580835</v>
      </c>
      <c r="I688" s="609">
        <v>0.61696461333085673</v>
      </c>
      <c r="J688" s="609">
        <v>10.731327438830167</v>
      </c>
      <c r="K688" s="609">
        <v>16.602733206977273</v>
      </c>
      <c r="L688" s="609">
        <v>12.530331511873463</v>
      </c>
      <c r="M688" s="609">
        <v>8.8409828288510734</v>
      </c>
      <c r="N688" s="609">
        <v>7.1028949821334759</v>
      </c>
      <c r="O688" s="609">
        <v>5.5252968232683513</v>
      </c>
      <c r="P688" s="1733"/>
      <c r="Q688" s="1733"/>
      <c r="R688" s="526"/>
      <c r="S688" s="526"/>
      <c r="T688" s="526"/>
      <c r="U688" s="526"/>
    </row>
    <row r="689" spans="1:21" s="1795" customFormat="1" ht="14">
      <c r="A689" s="1733"/>
      <c r="B689" s="559"/>
      <c r="C689" s="1043" t="s">
        <v>918</v>
      </c>
      <c r="D689" s="1063" t="s">
        <v>924</v>
      </c>
      <c r="E689" s="1733"/>
      <c r="F689" s="609">
        <v>0</v>
      </c>
      <c r="G689" s="609">
        <v>0</v>
      </c>
      <c r="H689" s="609">
        <v>0</v>
      </c>
      <c r="I689" s="609">
        <v>0</v>
      </c>
      <c r="J689" s="609">
        <v>0</v>
      </c>
      <c r="K689" s="609">
        <v>0</v>
      </c>
      <c r="L689" s="609">
        <v>0</v>
      </c>
      <c r="M689" s="609">
        <v>0</v>
      </c>
      <c r="N689" s="609">
        <v>0</v>
      </c>
      <c r="O689" s="609">
        <v>0</v>
      </c>
      <c r="P689" s="1733"/>
      <c r="Q689" s="1733"/>
      <c r="R689" s="526"/>
      <c r="S689" s="526"/>
      <c r="T689" s="526"/>
      <c r="U689" s="526"/>
    </row>
    <row r="690" spans="1:21" s="1733" customFormat="1" ht="14">
      <c r="B690" s="559"/>
      <c r="C690" s="1043" t="s">
        <v>918</v>
      </c>
      <c r="D690" s="1063" t="s">
        <v>925</v>
      </c>
      <c r="F690" s="609">
        <v>0</v>
      </c>
      <c r="G690" s="609">
        <v>0</v>
      </c>
      <c r="H690" s="609">
        <v>0</v>
      </c>
      <c r="I690" s="609">
        <v>0</v>
      </c>
      <c r="J690" s="609">
        <v>0</v>
      </c>
      <c r="K690" s="609">
        <v>0</v>
      </c>
      <c r="L690" s="609">
        <v>0</v>
      </c>
      <c r="M690" s="609">
        <v>0</v>
      </c>
      <c r="N690" s="609">
        <v>0</v>
      </c>
      <c r="O690" s="609">
        <v>0</v>
      </c>
      <c r="R690" s="526"/>
      <c r="S690" s="526"/>
      <c r="T690" s="526"/>
      <c r="U690" s="526"/>
    </row>
    <row r="691" spans="1:21" s="1795" customFormat="1" ht="14">
      <c r="A691" s="1733"/>
      <c r="B691" s="559"/>
      <c r="C691" s="1043" t="s">
        <v>919</v>
      </c>
      <c r="D691" s="1063" t="s">
        <v>923</v>
      </c>
      <c r="E691" s="1733"/>
      <c r="F691" s="609">
        <v>12.280600896923609</v>
      </c>
      <c r="G691" s="609">
        <v>24.053679643913902</v>
      </c>
      <c r="H691" s="609">
        <v>18.085625746081895</v>
      </c>
      <c r="I691" s="609">
        <v>11.482662379863759</v>
      </c>
      <c r="J691" s="609">
        <v>5.8015522639250694</v>
      </c>
      <c r="K691" s="609">
        <v>0</v>
      </c>
      <c r="L691" s="609">
        <v>0</v>
      </c>
      <c r="M691" s="609">
        <v>0</v>
      </c>
      <c r="N691" s="609">
        <v>0</v>
      </c>
      <c r="O691" s="609">
        <v>0</v>
      </c>
      <c r="P691" s="1733"/>
      <c r="Q691" s="1733"/>
      <c r="R691" s="526"/>
      <c r="S691" s="526"/>
      <c r="T691" s="526"/>
      <c r="U691" s="526"/>
    </row>
    <row r="692" spans="1:21" s="1795" customFormat="1" ht="14">
      <c r="A692" s="1733"/>
      <c r="B692" s="559"/>
      <c r="C692" s="1043" t="s">
        <v>919</v>
      </c>
      <c r="D692" s="17" t="s">
        <v>1117</v>
      </c>
      <c r="E692" s="1733"/>
      <c r="F692" s="609">
        <v>0</v>
      </c>
      <c r="G692" s="609">
        <v>0.18727902373176525</v>
      </c>
      <c r="H692" s="609">
        <v>4.8187050283842501</v>
      </c>
      <c r="I692" s="609">
        <v>9.811852896435127</v>
      </c>
      <c r="J692" s="609">
        <v>13.592970269867656</v>
      </c>
      <c r="K692" s="609">
        <v>16.879166816221836</v>
      </c>
      <c r="L692" s="609">
        <v>17.210183223935882</v>
      </c>
      <c r="M692" s="609">
        <v>17.24040331277477</v>
      </c>
      <c r="N692" s="609">
        <v>16.994974411458678</v>
      </c>
      <c r="O692" s="609">
        <v>16.644156687445626</v>
      </c>
      <c r="P692" s="1733"/>
      <c r="Q692" s="1733"/>
      <c r="R692" s="526"/>
      <c r="S692" s="526"/>
      <c r="T692" s="526"/>
      <c r="U692" s="526"/>
    </row>
    <row r="693" spans="1:21" s="1795" customFormat="1" ht="14">
      <c r="A693" s="1733"/>
      <c r="B693" s="559"/>
      <c r="C693" s="1043" t="s">
        <v>919</v>
      </c>
      <c r="D693" s="1063" t="s">
        <v>924</v>
      </c>
      <c r="E693" s="1733"/>
      <c r="F693" s="609">
        <v>0</v>
      </c>
      <c r="G693" s="609">
        <v>0</v>
      </c>
      <c r="H693" s="609">
        <v>0</v>
      </c>
      <c r="I693" s="609">
        <v>0</v>
      </c>
      <c r="J693" s="609">
        <v>0</v>
      </c>
      <c r="K693" s="609">
        <v>0</v>
      </c>
      <c r="L693" s="609">
        <v>0</v>
      </c>
      <c r="M693" s="609">
        <v>0</v>
      </c>
      <c r="N693" s="609">
        <v>0</v>
      </c>
      <c r="O693" s="609">
        <v>0</v>
      </c>
      <c r="P693" s="1733"/>
      <c r="Q693" s="1733"/>
      <c r="R693" s="526"/>
      <c r="S693" s="526"/>
      <c r="T693" s="526"/>
      <c r="U693" s="526"/>
    </row>
    <row r="694" spans="1:21" s="1795" customFormat="1" ht="14">
      <c r="A694" s="1733"/>
      <c r="B694" s="559"/>
      <c r="C694" s="1732" t="s">
        <v>919</v>
      </c>
      <c r="D694" s="17" t="s">
        <v>925</v>
      </c>
      <c r="E694" s="1733"/>
      <c r="F694" s="609">
        <v>0</v>
      </c>
      <c r="G694" s="609">
        <v>0</v>
      </c>
      <c r="H694" s="609">
        <v>0</v>
      </c>
      <c r="I694" s="609">
        <v>0</v>
      </c>
      <c r="J694" s="609">
        <v>0</v>
      </c>
      <c r="K694" s="609">
        <v>0</v>
      </c>
      <c r="L694" s="609">
        <v>0</v>
      </c>
      <c r="M694" s="609">
        <v>0</v>
      </c>
      <c r="N694" s="609">
        <v>0</v>
      </c>
      <c r="O694" s="609">
        <v>0</v>
      </c>
      <c r="P694" s="1733"/>
      <c r="Q694" s="1733"/>
      <c r="R694" s="526"/>
      <c r="S694" s="526"/>
      <c r="T694" s="526"/>
      <c r="U694" s="526"/>
    </row>
    <row r="695" spans="1:21" s="1795" customFormat="1" ht="14">
      <c r="A695" s="1733"/>
      <c r="B695" s="559"/>
      <c r="C695" s="1043" t="s">
        <v>921</v>
      </c>
      <c r="D695" s="1063" t="s">
        <v>962</v>
      </c>
      <c r="E695" s="1733"/>
      <c r="F695" s="609">
        <v>4.8612013908482687</v>
      </c>
      <c r="G695" s="609">
        <v>7.3386794965478961</v>
      </c>
      <c r="H695" s="609">
        <v>7.2163248350508828</v>
      </c>
      <c r="I695" s="609">
        <v>5.9237698180734393</v>
      </c>
      <c r="J695" s="609">
        <v>5.6034462643177543</v>
      </c>
      <c r="K695" s="609">
        <v>4.6716076950305965</v>
      </c>
      <c r="L695" s="609">
        <v>4.0242570157891882</v>
      </c>
      <c r="M695" s="609">
        <v>3.3607017683819618</v>
      </c>
      <c r="N695" s="609">
        <v>2.731617790421796</v>
      </c>
      <c r="O695" s="609">
        <v>2.1440639134116957</v>
      </c>
      <c r="P695" s="1733"/>
      <c r="Q695" s="1733"/>
      <c r="R695" s="526"/>
      <c r="S695" s="526"/>
      <c r="T695" s="526"/>
      <c r="U695" s="526"/>
    </row>
    <row r="696" spans="1:21" s="1795" customFormat="1" ht="14">
      <c r="A696" s="1733"/>
      <c r="B696" s="559"/>
      <c r="C696" s="1732" t="s">
        <v>921</v>
      </c>
      <c r="D696" s="1063" t="s">
        <v>963</v>
      </c>
      <c r="E696" s="1733"/>
      <c r="F696" s="609">
        <v>0</v>
      </c>
      <c r="G696" s="609">
        <v>0</v>
      </c>
      <c r="H696" s="609">
        <v>0</v>
      </c>
      <c r="I696" s="609">
        <v>0</v>
      </c>
      <c r="J696" s="609">
        <v>0</v>
      </c>
      <c r="K696" s="609">
        <v>0</v>
      </c>
      <c r="L696" s="609">
        <v>0</v>
      </c>
      <c r="M696" s="609">
        <v>0</v>
      </c>
      <c r="N696" s="609">
        <v>0</v>
      </c>
      <c r="O696" s="609">
        <v>0</v>
      </c>
      <c r="P696" s="1733"/>
      <c r="Q696" s="1733"/>
      <c r="R696" s="526"/>
      <c r="S696" s="526"/>
      <c r="T696" s="526"/>
      <c r="U696" s="526"/>
    </row>
    <row r="697" spans="1:21" s="1795" customFormat="1" ht="14">
      <c r="A697" s="1733"/>
      <c r="B697" s="559"/>
      <c r="C697" s="1732" t="s">
        <v>922</v>
      </c>
      <c r="D697" s="1063" t="s">
        <v>922</v>
      </c>
      <c r="E697" s="1733"/>
      <c r="F697" s="609">
        <v>9.0198346087095516</v>
      </c>
      <c r="G697" s="609">
        <v>9.4371304209734994</v>
      </c>
      <c r="H697" s="609">
        <v>10.043448539389448</v>
      </c>
      <c r="I697" s="609">
        <v>10.86602897688554</v>
      </c>
      <c r="J697" s="609">
        <v>11.616843320399934</v>
      </c>
      <c r="K697" s="609">
        <v>12.179196308214529</v>
      </c>
      <c r="L697" s="609">
        <v>12.682054831349237</v>
      </c>
      <c r="M697" s="609">
        <v>13.017769004412454</v>
      </c>
      <c r="N697" s="609">
        <v>13.303419433940144</v>
      </c>
      <c r="O697" s="609">
        <v>13.546832091915194</v>
      </c>
      <c r="P697" s="1733"/>
      <c r="Q697" s="609"/>
      <c r="R697" s="526"/>
      <c r="S697" s="526"/>
      <c r="T697" s="526"/>
      <c r="U697" s="526"/>
    </row>
    <row r="698" spans="1:21" s="1795" customFormat="1" ht="14">
      <c r="A698" s="1733"/>
      <c r="B698" s="559"/>
      <c r="C698" s="1732"/>
      <c r="D698" s="1063"/>
      <c r="E698" s="1733"/>
      <c r="F698" s="1427">
        <f>SUM(F687:F697)</f>
        <v>417.08021825697824</v>
      </c>
      <c r="G698" s="1427">
        <f t="shared" ref="G698:O698" si="205">SUM(G687:G697)</f>
        <v>384.44293686431553</v>
      </c>
      <c r="H698" s="1427">
        <f t="shared" si="205"/>
        <v>338.16960121590779</v>
      </c>
      <c r="I698" s="1427">
        <f t="shared" si="205"/>
        <v>298.77904226140083</v>
      </c>
      <c r="J698" s="1427">
        <f t="shared" si="205"/>
        <v>210.35488747146695</v>
      </c>
      <c r="K698" s="1427">
        <f t="shared" si="205"/>
        <v>134.42861531601005</v>
      </c>
      <c r="L698" s="1427">
        <f t="shared" si="205"/>
        <v>119.31247324615629</v>
      </c>
      <c r="M698" s="1427">
        <f t="shared" si="205"/>
        <v>104.32349815169914</v>
      </c>
      <c r="N698" s="1427">
        <f t="shared" si="205"/>
        <v>83.991778281996503</v>
      </c>
      <c r="O698" s="1427">
        <f t="shared" si="205"/>
        <v>65.875939042471941</v>
      </c>
      <c r="P698" s="1733"/>
      <c r="Q698" s="1733"/>
      <c r="R698" s="117"/>
      <c r="S698" s="117"/>
      <c r="T698" s="117"/>
      <c r="U698" s="117"/>
    </row>
    <row r="699" spans="1:21" s="1795" customFormat="1" ht="14">
      <c r="A699" s="1733"/>
      <c r="B699" s="559"/>
      <c r="C699" s="1733"/>
      <c r="D699" s="1733"/>
      <c r="E699" s="1733"/>
      <c r="F699" s="623"/>
      <c r="G699" s="623"/>
      <c r="H699" s="623"/>
      <c r="I699" s="623"/>
      <c r="J699" s="623"/>
      <c r="K699" s="623"/>
      <c r="L699" s="623"/>
      <c r="M699" s="623"/>
      <c r="N699" s="623"/>
      <c r="O699" s="623"/>
      <c r="P699" s="1733"/>
      <c r="Q699" s="1733"/>
      <c r="R699" s="117"/>
      <c r="S699" s="117"/>
      <c r="T699" s="117"/>
      <c r="U699" s="117"/>
    </row>
    <row r="700" spans="1:21" s="1795" customFormat="1" ht="14">
      <c r="A700" s="1733"/>
      <c r="B700" s="559"/>
      <c r="C700" s="1733" t="s">
        <v>5</v>
      </c>
      <c r="D700" s="1733"/>
      <c r="E700" s="1733"/>
      <c r="F700" s="623" t="s">
        <v>40</v>
      </c>
      <c r="G700" s="1120" t="str">
        <f>INDEX(Vectors[Description], MATCH(F700, Vectors[Code], 0))</f>
        <v>Electricity (delivered to end user)</v>
      </c>
      <c r="H700" s="623"/>
      <c r="I700" s="623"/>
      <c r="J700" s="623"/>
      <c r="K700" s="623"/>
      <c r="L700" s="623"/>
      <c r="M700" s="623"/>
      <c r="N700" s="623"/>
      <c r="O700" s="623"/>
      <c r="P700" s="1733"/>
      <c r="Q700" s="1733"/>
      <c r="R700" s="117"/>
      <c r="S700" s="117"/>
      <c r="T700" s="117"/>
      <c r="U700" s="117"/>
    </row>
    <row r="701" spans="1:21" s="1795" customFormat="1" ht="14">
      <c r="A701" s="1733"/>
      <c r="B701" s="1064"/>
      <c r="C701" s="1043" t="s">
        <v>906</v>
      </c>
      <c r="D701" s="1954"/>
      <c r="E701" s="1733"/>
      <c r="F701" s="623"/>
      <c r="G701" s="623"/>
      <c r="H701" s="623"/>
      <c r="I701" s="623"/>
      <c r="J701" s="623"/>
      <c r="K701" s="623"/>
      <c r="L701" s="623"/>
      <c r="M701" s="623"/>
      <c r="N701" s="623"/>
      <c r="O701" s="1732" t="str">
        <f>Preferences.EnergyUnits</f>
        <v>TWh</v>
      </c>
      <c r="P701" s="1733"/>
      <c r="Q701" s="1733"/>
      <c r="R701" s="117"/>
      <c r="S701" s="117"/>
      <c r="T701" s="117"/>
      <c r="U701" s="117"/>
    </row>
    <row r="702" spans="1:21" s="1795" customFormat="1" ht="14">
      <c r="A702" s="1733"/>
      <c r="B702" s="1064"/>
      <c r="C702" s="1043" t="s">
        <v>918</v>
      </c>
      <c r="D702" s="1063" t="s">
        <v>923</v>
      </c>
      <c r="E702" s="1733"/>
      <c r="F702" s="609">
        <f t="array" ref="F702:F712">F$493:F$503*SUMIFS(F$340:F$343, $C$340:$C$343, $C702:$C712, $D$340:$D$343, $D702:$D712)</f>
        <v>0</v>
      </c>
      <c r="G702" s="609">
        <f t="array" ref="G702:G712">G$493:G$503*SUMIFS(G$340:G$343, $C$340:$C$343, $C702:$C712, $D$340:$D$343, $D702:$D712)</f>
        <v>0</v>
      </c>
      <c r="H702" s="609">
        <f t="array" ref="H702:H712">H$493:H$503*SUMIFS(H$340:H$343, $C$340:$C$343, $C702:$C712, $D$340:$D$343, $D702:$D712)</f>
        <v>0</v>
      </c>
      <c r="I702" s="609">
        <f t="array" ref="I702:I712">I$493:I$503*SUMIFS(I$340:I$343, $C$340:$C$343, $C702:$C712, $D$340:$D$343, $D702:$D712)</f>
        <v>0</v>
      </c>
      <c r="J702" s="609">
        <f t="array" ref="J702:J712">J$493:J$503*SUMIFS(J$340:J$343, $C$340:$C$343, $C702:$C712, $D$340:$D$343, $D702:$D712)</f>
        <v>0</v>
      </c>
      <c r="K702" s="609">
        <f t="array" ref="K702:K712">K$493:K$503*SUMIFS(K$340:K$343, $C$340:$C$343, $C702:$C712, $D$340:$D$343, $D702:$D712)</f>
        <v>0</v>
      </c>
      <c r="L702" s="609">
        <f t="array" ref="L702:L712">L$493:L$503*SUMIFS(L$340:L$343, $C$340:$C$343, $C702:$C712, $D$340:$D$343, $D702:$D712)</f>
        <v>0</v>
      </c>
      <c r="M702" s="609">
        <f t="array" ref="M702:M712">M$493:M$503*SUMIFS(M$340:M$343, $C$340:$C$343, $C702:$C712, $D$340:$D$343, $D702:$D712)</f>
        <v>0</v>
      </c>
      <c r="N702" s="609">
        <f t="array" ref="N702:N712">N$493:N$503*SUMIFS(N$340:N$343, $C$340:$C$343, $C702:$C712, $D$340:$D$343, $D702:$D712)</f>
        <v>0</v>
      </c>
      <c r="O702" s="609">
        <f t="array" ref="O702:O712">O$493:O$503*SUMIFS(O$340:O$343, $C$340:$C$343, $C702:$C712, $D$340:$D$343, $D702:$D712)</f>
        <v>0</v>
      </c>
      <c r="P702" s="1733"/>
      <c r="Q702" s="1733"/>
      <c r="R702" s="117"/>
      <c r="S702" s="117"/>
      <c r="T702" s="117"/>
      <c r="U702" s="117"/>
    </row>
    <row r="703" spans="1:21" s="1795" customFormat="1" ht="14">
      <c r="A703" s="1733"/>
      <c r="B703" s="559"/>
      <c r="C703" s="1043" t="s">
        <v>918</v>
      </c>
      <c r="D703" s="17" t="s">
        <v>1116</v>
      </c>
      <c r="E703" s="1733"/>
      <c r="F703" s="609">
        <v>0</v>
      </c>
      <c r="G703" s="609">
        <v>0</v>
      </c>
      <c r="H703" s="609">
        <v>0.2805343302637639</v>
      </c>
      <c r="I703" s="609">
        <v>0.54901696869089456</v>
      </c>
      <c r="J703" s="609">
        <v>11.692804752713796</v>
      </c>
      <c r="K703" s="609">
        <v>21.277871077534051</v>
      </c>
      <c r="L703" s="609">
        <v>17.146769437300527</v>
      </c>
      <c r="M703" s="609">
        <v>13.509352266515426</v>
      </c>
      <c r="N703" s="609">
        <v>13.001909458820601</v>
      </c>
      <c r="O703" s="609">
        <v>12.645925827902918</v>
      </c>
      <c r="P703" s="1733"/>
      <c r="Q703" s="1355"/>
      <c r="R703" s="117"/>
      <c r="S703" s="117"/>
      <c r="T703" s="117"/>
      <c r="U703" s="117"/>
    </row>
    <row r="704" spans="1:21" s="1795" customFormat="1" ht="14">
      <c r="A704" s="1733"/>
      <c r="B704" s="559"/>
      <c r="C704" s="1043" t="s">
        <v>918</v>
      </c>
      <c r="D704" s="1063" t="s">
        <v>924</v>
      </c>
      <c r="E704" s="1733"/>
      <c r="F704" s="609">
        <v>0</v>
      </c>
      <c r="G704" s="609">
        <v>0</v>
      </c>
      <c r="H704" s="609">
        <v>0.80729303673025588</v>
      </c>
      <c r="I704" s="609">
        <v>1.554642109362335</v>
      </c>
      <c r="J704" s="609">
        <v>4.7484232318421498</v>
      </c>
      <c r="K704" s="609">
        <v>7.2800691991816144</v>
      </c>
      <c r="L704" s="609">
        <v>11.916265359615263</v>
      </c>
      <c r="M704" s="609">
        <v>15.724762099212338</v>
      </c>
      <c r="N704" s="609">
        <v>19.025074112631877</v>
      </c>
      <c r="O704" s="609">
        <v>22.120642563577871</v>
      </c>
      <c r="P704" s="1426"/>
      <c r="Q704" s="1355"/>
      <c r="R704" s="117"/>
      <c r="S704" s="117"/>
      <c r="T704" s="117"/>
      <c r="U704" s="117"/>
    </row>
    <row r="705" spans="1:21" s="1795" customFormat="1" ht="14">
      <c r="A705" s="1733"/>
      <c r="B705" s="559"/>
      <c r="C705" s="1043" t="s">
        <v>918</v>
      </c>
      <c r="D705" s="1063" t="s">
        <v>925</v>
      </c>
      <c r="E705" s="1733"/>
      <c r="F705" s="609">
        <v>0</v>
      </c>
      <c r="G705" s="609">
        <v>0</v>
      </c>
      <c r="H705" s="609">
        <v>0</v>
      </c>
      <c r="I705" s="609">
        <v>0</v>
      </c>
      <c r="J705" s="609">
        <v>0</v>
      </c>
      <c r="K705" s="609">
        <v>0</v>
      </c>
      <c r="L705" s="609">
        <v>0</v>
      </c>
      <c r="M705" s="609">
        <v>0</v>
      </c>
      <c r="N705" s="609">
        <v>0</v>
      </c>
      <c r="O705" s="609">
        <v>0</v>
      </c>
      <c r="P705" s="1426"/>
      <c r="Q705" s="1733"/>
      <c r="R705" s="117"/>
      <c r="S705" s="117"/>
      <c r="T705" s="117"/>
      <c r="U705" s="117"/>
    </row>
    <row r="706" spans="1:21" s="1795" customFormat="1" ht="14">
      <c r="A706" s="1733"/>
      <c r="B706" s="559"/>
      <c r="C706" s="1043" t="s">
        <v>919</v>
      </c>
      <c r="D706" s="1063" t="s">
        <v>923</v>
      </c>
      <c r="E706" s="1733"/>
      <c r="F706" s="609">
        <v>0</v>
      </c>
      <c r="G706" s="609">
        <v>0</v>
      </c>
      <c r="H706" s="609">
        <v>0</v>
      </c>
      <c r="I706" s="609">
        <v>0</v>
      </c>
      <c r="J706" s="609">
        <v>0</v>
      </c>
      <c r="K706" s="609">
        <v>0</v>
      </c>
      <c r="L706" s="609">
        <v>0</v>
      </c>
      <c r="M706" s="609">
        <v>0</v>
      </c>
      <c r="N706" s="609">
        <v>0</v>
      </c>
      <c r="O706" s="609">
        <v>0</v>
      </c>
      <c r="P706" s="1426"/>
      <c r="Q706" s="1733"/>
      <c r="R706" s="117"/>
      <c r="S706" s="117"/>
      <c r="T706" s="117"/>
      <c r="U706" s="117"/>
    </row>
    <row r="707" spans="1:21" s="1733" customFormat="1" ht="14">
      <c r="B707" s="559"/>
      <c r="C707" s="1043" t="s">
        <v>919</v>
      </c>
      <c r="D707" s="17" t="s">
        <v>1117</v>
      </c>
      <c r="F707" s="609">
        <v>0</v>
      </c>
      <c r="G707" s="609">
        <v>0</v>
      </c>
      <c r="H707" s="609">
        <v>0</v>
      </c>
      <c r="I707" s="609">
        <v>0</v>
      </c>
      <c r="J707" s="609">
        <v>0</v>
      </c>
      <c r="K707" s="609">
        <v>0</v>
      </c>
      <c r="L707" s="609">
        <v>0</v>
      </c>
      <c r="M707" s="609">
        <v>0</v>
      </c>
      <c r="N707" s="609">
        <v>0</v>
      </c>
      <c r="O707" s="609">
        <v>0</v>
      </c>
      <c r="P707" s="1426"/>
      <c r="R707" s="117"/>
      <c r="S707" s="117"/>
      <c r="T707" s="117"/>
      <c r="U707" s="117"/>
    </row>
    <row r="708" spans="1:21" s="1795" customFormat="1" ht="14">
      <c r="A708" s="1954"/>
      <c r="B708" s="1954"/>
      <c r="C708" s="1043" t="s">
        <v>919</v>
      </c>
      <c r="D708" s="1063" t="s">
        <v>924</v>
      </c>
      <c r="E708" s="1733"/>
      <c r="F708" s="609">
        <v>0</v>
      </c>
      <c r="G708" s="609">
        <v>0</v>
      </c>
      <c r="H708" s="609">
        <v>0.10277500293264769</v>
      </c>
      <c r="I708" s="609">
        <v>0.21359753671525747</v>
      </c>
      <c r="J708" s="609">
        <v>0.34595574242370447</v>
      </c>
      <c r="K708" s="609">
        <v>0.4652515785587294</v>
      </c>
      <c r="L708" s="609">
        <v>0.70480094161765516</v>
      </c>
      <c r="M708" s="609">
        <v>0.95438173676473692</v>
      </c>
      <c r="N708" s="609">
        <v>1.2685190544791476</v>
      </c>
      <c r="O708" s="609">
        <v>1.5961731228564715</v>
      </c>
      <c r="P708" s="1954"/>
      <c r="Q708" s="1954"/>
      <c r="R708" s="117"/>
      <c r="S708" s="117"/>
      <c r="T708" s="117"/>
      <c r="U708" s="117"/>
    </row>
    <row r="709" spans="1:21" s="1795" customFormat="1" ht="14">
      <c r="A709" s="1954"/>
      <c r="B709" s="1954"/>
      <c r="C709" s="1732" t="s">
        <v>919</v>
      </c>
      <c r="D709" s="17" t="s">
        <v>925</v>
      </c>
      <c r="E709" s="1733"/>
      <c r="F709" s="609">
        <v>0</v>
      </c>
      <c r="G709" s="609">
        <v>0</v>
      </c>
      <c r="H709" s="609">
        <v>0</v>
      </c>
      <c r="I709" s="609">
        <v>0</v>
      </c>
      <c r="J709" s="609">
        <v>0</v>
      </c>
      <c r="K709" s="609">
        <v>0</v>
      </c>
      <c r="L709" s="609">
        <v>0</v>
      </c>
      <c r="M709" s="609">
        <v>0</v>
      </c>
      <c r="N709" s="609">
        <v>0</v>
      </c>
      <c r="O709" s="609">
        <v>0</v>
      </c>
      <c r="P709" s="1954"/>
      <c r="Q709" s="1954"/>
      <c r="R709" s="117"/>
      <c r="S709" s="117"/>
      <c r="T709" s="117"/>
      <c r="U709" s="117"/>
    </row>
    <row r="710" spans="1:21" s="1795" customFormat="1" ht="14">
      <c r="A710" s="1954"/>
      <c r="B710" s="1954"/>
      <c r="C710" s="1043" t="s">
        <v>921</v>
      </c>
      <c r="D710" s="1063" t="s">
        <v>962</v>
      </c>
      <c r="E710" s="1733"/>
      <c r="F710" s="609">
        <v>0</v>
      </c>
      <c r="G710" s="609">
        <v>0</v>
      </c>
      <c r="H710" s="609">
        <v>0</v>
      </c>
      <c r="I710" s="609">
        <v>0</v>
      </c>
      <c r="J710" s="609">
        <v>0</v>
      </c>
      <c r="K710" s="609">
        <v>0</v>
      </c>
      <c r="L710" s="609">
        <v>0</v>
      </c>
      <c r="M710" s="609">
        <v>0</v>
      </c>
      <c r="N710" s="609">
        <v>0</v>
      </c>
      <c r="O710" s="609">
        <v>0</v>
      </c>
      <c r="P710" s="1954"/>
      <c r="Q710" s="1954"/>
      <c r="R710" s="117"/>
      <c r="S710" s="117"/>
      <c r="T710" s="117"/>
      <c r="U710" s="117"/>
    </row>
    <row r="711" spans="1:21" s="1795" customFormat="1" ht="14">
      <c r="A711" s="1954"/>
      <c r="B711" s="1954"/>
      <c r="C711" s="1732" t="s">
        <v>921</v>
      </c>
      <c r="D711" s="1063" t="s">
        <v>963</v>
      </c>
      <c r="E711" s="1733"/>
      <c r="F711" s="609">
        <v>4.2923924571345466</v>
      </c>
      <c r="G711" s="609">
        <v>3.8666967690545659</v>
      </c>
      <c r="H711" s="609">
        <v>3.852258317993845</v>
      </c>
      <c r="I711" s="609">
        <v>4.327516512567704</v>
      </c>
      <c r="J711" s="609">
        <v>4.4576357246269396</v>
      </c>
      <c r="K711" s="609">
        <v>4.6797155903771568</v>
      </c>
      <c r="L711" s="609">
        <v>4.7879460157585507</v>
      </c>
      <c r="M711" s="609">
        <v>4.8299508058960283</v>
      </c>
      <c r="N711" s="609">
        <v>4.8491347502927482</v>
      </c>
      <c r="O711" s="609">
        <v>4.8468024851219313</v>
      </c>
      <c r="P711" s="1954"/>
      <c r="Q711" s="1954"/>
      <c r="R711" s="117"/>
      <c r="S711" s="117"/>
      <c r="T711" s="117"/>
      <c r="U711" s="117"/>
    </row>
    <row r="712" spans="1:21" s="1795" customFormat="1" ht="14">
      <c r="A712" s="1954"/>
      <c r="B712" s="1954"/>
      <c r="C712" s="1732" t="s">
        <v>922</v>
      </c>
      <c r="D712" s="1063" t="s">
        <v>922</v>
      </c>
      <c r="E712" s="1733"/>
      <c r="F712" s="609">
        <v>0</v>
      </c>
      <c r="G712" s="609">
        <v>0</v>
      </c>
      <c r="H712" s="609">
        <v>0</v>
      </c>
      <c r="I712" s="609">
        <v>0</v>
      </c>
      <c r="J712" s="609">
        <v>0</v>
      </c>
      <c r="K712" s="609">
        <v>0</v>
      </c>
      <c r="L712" s="609">
        <v>0</v>
      </c>
      <c r="M712" s="609">
        <v>0</v>
      </c>
      <c r="N712" s="609">
        <v>0</v>
      </c>
      <c r="O712" s="609">
        <v>0</v>
      </c>
      <c r="P712" s="1954"/>
      <c r="Q712" s="1954"/>
      <c r="R712" s="117"/>
      <c r="S712" s="117"/>
      <c r="T712" s="117"/>
      <c r="U712" s="117"/>
    </row>
    <row r="713" spans="1:21" s="1795" customFormat="1" ht="14">
      <c r="A713" s="1954"/>
      <c r="B713" s="1954"/>
      <c r="C713" s="1732"/>
      <c r="D713" s="1063"/>
      <c r="E713" s="1733"/>
      <c r="F713" s="1427">
        <f t="shared" ref="F713:O713" si="206">SUM(F702:F712)</f>
        <v>4.2923924571345466</v>
      </c>
      <c r="G713" s="1427">
        <f t="shared" si="206"/>
        <v>3.8666967690545659</v>
      </c>
      <c r="H713" s="1427">
        <f t="shared" si="206"/>
        <v>5.0428606879205127</v>
      </c>
      <c r="I713" s="1427">
        <f t="shared" si="206"/>
        <v>6.6447731273361912</v>
      </c>
      <c r="J713" s="1427">
        <f t="shared" si="206"/>
        <v>21.244819451606588</v>
      </c>
      <c r="K713" s="1427">
        <f t="shared" si="206"/>
        <v>33.702907445651547</v>
      </c>
      <c r="L713" s="1427">
        <f t="shared" si="206"/>
        <v>34.555781754291999</v>
      </c>
      <c r="M713" s="1427">
        <f t="shared" si="206"/>
        <v>35.018446908388526</v>
      </c>
      <c r="N713" s="1427">
        <f t="shared" si="206"/>
        <v>38.144637376224374</v>
      </c>
      <c r="O713" s="1427">
        <f t="shared" si="206"/>
        <v>41.209543999459193</v>
      </c>
      <c r="P713" s="1954"/>
      <c r="Q713" s="1954"/>
      <c r="R713" s="117"/>
      <c r="S713" s="117"/>
      <c r="T713" s="117"/>
      <c r="U713" s="117"/>
    </row>
    <row r="714" spans="1:21" s="1795" customFormat="1">
      <c r="A714" s="1954"/>
      <c r="B714" s="1954"/>
      <c r="C714" s="1954"/>
      <c r="D714" s="1954"/>
      <c r="E714" s="1954"/>
      <c r="F714" s="1954"/>
      <c r="G714" s="1954"/>
      <c r="H714" s="1954"/>
      <c r="I714" s="1954"/>
      <c r="J714" s="1954"/>
      <c r="K714" s="1954"/>
      <c r="L714" s="1954"/>
      <c r="M714" s="1954"/>
      <c r="N714" s="1954"/>
      <c r="O714" s="1954"/>
      <c r="P714" s="1954"/>
      <c r="Q714" s="1954"/>
      <c r="R714" s="117"/>
      <c r="S714" s="117"/>
      <c r="T714" s="117"/>
      <c r="U714" s="117"/>
    </row>
    <row r="715" spans="1:21" s="1795" customFormat="1" ht="14">
      <c r="A715" s="1954"/>
      <c r="B715" s="1954"/>
      <c r="C715" s="1733" t="s">
        <v>100</v>
      </c>
      <c r="D715" s="1733"/>
      <c r="E715" s="1733"/>
      <c r="F715" s="623" t="s">
        <v>985</v>
      </c>
      <c r="G715" s="1120" t="str">
        <f>INDEX(Vectors[Description], MATCH(F715, Vectors[Code], 0))</f>
        <v>H2</v>
      </c>
      <c r="H715" s="623"/>
      <c r="I715" s="623"/>
      <c r="J715" s="623"/>
      <c r="K715" s="623"/>
      <c r="L715" s="623"/>
      <c r="M715" s="623"/>
      <c r="N715" s="623"/>
      <c r="O715" s="623"/>
      <c r="P715" s="1954"/>
      <c r="Q715" s="1954"/>
      <c r="R715" s="117"/>
      <c r="S715" s="117"/>
      <c r="T715" s="117"/>
      <c r="U715" s="117"/>
    </row>
    <row r="716" spans="1:21" s="1795" customFormat="1" ht="14">
      <c r="A716" s="1733"/>
      <c r="B716" s="559"/>
      <c r="C716" s="1043" t="s">
        <v>906</v>
      </c>
      <c r="D716" s="1954"/>
      <c r="E716" s="1733"/>
      <c r="F716" s="623"/>
      <c r="G716" s="623"/>
      <c r="H716" s="623"/>
      <c r="I716" s="623"/>
      <c r="J716" s="623"/>
      <c r="K716" s="623"/>
      <c r="L716" s="623"/>
      <c r="M716" s="623"/>
      <c r="N716" s="623"/>
      <c r="O716" s="1732" t="str">
        <f>Preferences.EnergyUnits</f>
        <v>TWh</v>
      </c>
      <c r="P716" s="1733"/>
      <c r="Q716" s="1733"/>
      <c r="R716" s="1568"/>
      <c r="S716" s="1568"/>
      <c r="T716" s="1568"/>
      <c r="U716" s="1568"/>
    </row>
    <row r="717" spans="1:21" s="1795" customFormat="1" ht="14">
      <c r="A717" s="1733"/>
      <c r="B717" s="559"/>
      <c r="C717" s="1043" t="s">
        <v>918</v>
      </c>
      <c r="D717" s="1063" t="s">
        <v>923</v>
      </c>
      <c r="E717" s="1733"/>
      <c r="F717" s="609">
        <f t="array" ref="F717:O727">F$493:O$503*SUMIFS(O$348:O$349, $C$348:$C$349, $C717:$C727, $D$348:$D$349, $D717:$D727)</f>
        <v>0</v>
      </c>
      <c r="G717" s="609">
        <v>0</v>
      </c>
      <c r="H717" s="609">
        <v>0</v>
      </c>
      <c r="I717" s="609">
        <v>0</v>
      </c>
      <c r="J717" s="609">
        <v>0</v>
      </c>
      <c r="K717" s="609">
        <v>0</v>
      </c>
      <c r="L717" s="609">
        <v>0</v>
      </c>
      <c r="M717" s="609">
        <v>0</v>
      </c>
      <c r="N717" s="609">
        <v>0</v>
      </c>
      <c r="O717" s="609">
        <v>0</v>
      </c>
      <c r="P717" s="1733"/>
      <c r="Q717" s="609"/>
      <c r="R717" s="1568"/>
      <c r="S717" s="1568"/>
      <c r="T717" s="1568"/>
      <c r="U717" s="1568"/>
    </row>
    <row r="718" spans="1:21" s="1795" customFormat="1" ht="14">
      <c r="A718" s="1954"/>
      <c r="B718" s="559"/>
      <c r="C718" s="1043" t="s">
        <v>918</v>
      </c>
      <c r="D718" s="17" t="s">
        <v>1116</v>
      </c>
      <c r="E718" s="1733"/>
      <c r="F718" s="609">
        <v>0</v>
      </c>
      <c r="G718" s="609">
        <v>0</v>
      </c>
      <c r="H718" s="609">
        <v>0</v>
      </c>
      <c r="I718" s="609">
        <v>0</v>
      </c>
      <c r="J718" s="609">
        <v>0</v>
      </c>
      <c r="K718" s="609">
        <v>0</v>
      </c>
      <c r="L718" s="609">
        <v>0</v>
      </c>
      <c r="M718" s="609">
        <v>0</v>
      </c>
      <c r="N718" s="609">
        <v>0</v>
      </c>
      <c r="O718" s="609">
        <v>0</v>
      </c>
      <c r="P718" s="1733"/>
      <c r="Q718" s="1954"/>
      <c r="R718" s="1568"/>
      <c r="S718" s="1568"/>
      <c r="T718" s="1568"/>
      <c r="U718" s="1568"/>
    </row>
    <row r="719" spans="1:21" s="1795" customFormat="1" ht="14">
      <c r="A719" s="1954"/>
      <c r="B719" s="559"/>
      <c r="C719" s="1043" t="s">
        <v>918</v>
      </c>
      <c r="D719" s="1063" t="s">
        <v>924</v>
      </c>
      <c r="E719" s="1733"/>
      <c r="F719" s="609">
        <v>0</v>
      </c>
      <c r="G719" s="609">
        <v>0</v>
      </c>
      <c r="H719" s="609">
        <v>0</v>
      </c>
      <c r="I719" s="609">
        <v>0</v>
      </c>
      <c r="J719" s="609">
        <v>0</v>
      </c>
      <c r="K719" s="609">
        <v>0</v>
      </c>
      <c r="L719" s="609">
        <v>0</v>
      </c>
      <c r="M719" s="609">
        <v>0</v>
      </c>
      <c r="N719" s="609">
        <v>0</v>
      </c>
      <c r="O719" s="609">
        <v>0</v>
      </c>
      <c r="P719" s="1733"/>
      <c r="Q719" s="1954"/>
      <c r="R719" s="1568"/>
      <c r="S719" s="1568"/>
      <c r="T719" s="1568"/>
      <c r="U719" s="1568"/>
    </row>
    <row r="720" spans="1:21" s="526" customFormat="1" ht="14">
      <c r="A720" s="1954"/>
      <c r="B720" s="559"/>
      <c r="C720" s="1043" t="s">
        <v>918</v>
      </c>
      <c r="D720" s="1063" t="s">
        <v>925</v>
      </c>
      <c r="E720" s="1733"/>
      <c r="F720" s="609">
        <v>0</v>
      </c>
      <c r="G720" s="609">
        <v>0</v>
      </c>
      <c r="H720" s="609">
        <v>0</v>
      </c>
      <c r="I720" s="609">
        <v>0</v>
      </c>
      <c r="J720" s="609">
        <v>0</v>
      </c>
      <c r="K720" s="609">
        <v>0</v>
      </c>
      <c r="L720" s="609">
        <v>0</v>
      </c>
      <c r="M720" s="609">
        <v>0</v>
      </c>
      <c r="N720" s="609">
        <v>0</v>
      </c>
      <c r="O720" s="609">
        <v>0</v>
      </c>
      <c r="P720" s="1733"/>
      <c r="Q720" s="1954"/>
      <c r="R720" s="1568"/>
      <c r="S720" s="1568"/>
      <c r="T720" s="1568"/>
      <c r="U720" s="1568"/>
    </row>
    <row r="721" spans="1:21" s="526" customFormat="1" ht="14">
      <c r="A721" s="1954"/>
      <c r="B721" s="559"/>
      <c r="C721" s="1043" t="s">
        <v>919</v>
      </c>
      <c r="D721" s="1063" t="s">
        <v>923</v>
      </c>
      <c r="E721" s="1733"/>
      <c r="F721" s="609">
        <v>0</v>
      </c>
      <c r="G721" s="609">
        <v>0</v>
      </c>
      <c r="H721" s="609">
        <v>0</v>
      </c>
      <c r="I721" s="609">
        <v>0</v>
      </c>
      <c r="J721" s="609">
        <v>0</v>
      </c>
      <c r="K721" s="609">
        <v>0</v>
      </c>
      <c r="L721" s="609">
        <v>0</v>
      </c>
      <c r="M721" s="609">
        <v>0</v>
      </c>
      <c r="N721" s="609">
        <v>0</v>
      </c>
      <c r="O721" s="609">
        <v>0</v>
      </c>
      <c r="P721" s="1733"/>
      <c r="Q721" s="1954"/>
      <c r="R721" s="1568"/>
      <c r="S721" s="1568"/>
      <c r="T721" s="1568"/>
      <c r="U721" s="1568"/>
    </row>
    <row r="722" spans="1:21" s="526" customFormat="1" ht="14">
      <c r="A722" s="1954"/>
      <c r="B722" s="559"/>
      <c r="C722" s="1043" t="s">
        <v>919</v>
      </c>
      <c r="D722" s="17" t="s">
        <v>1117</v>
      </c>
      <c r="E722" s="1733"/>
      <c r="F722" s="609">
        <v>0</v>
      </c>
      <c r="G722" s="609">
        <v>0</v>
      </c>
      <c r="H722" s="609">
        <v>0</v>
      </c>
      <c r="I722" s="609">
        <v>0</v>
      </c>
      <c r="J722" s="609">
        <v>0</v>
      </c>
      <c r="K722" s="609">
        <v>0</v>
      </c>
      <c r="L722" s="609">
        <v>0</v>
      </c>
      <c r="M722" s="609">
        <v>0</v>
      </c>
      <c r="N722" s="609">
        <v>0</v>
      </c>
      <c r="O722" s="609">
        <v>0</v>
      </c>
      <c r="P722" s="1733"/>
      <c r="Q722" s="1954"/>
      <c r="R722" s="1568"/>
      <c r="S722" s="1568"/>
      <c r="T722" s="1568"/>
      <c r="U722" s="1568"/>
    </row>
    <row r="723" spans="1:21" s="526" customFormat="1" ht="14">
      <c r="A723" s="1954"/>
      <c r="B723" s="559"/>
      <c r="C723" s="1043" t="s">
        <v>919</v>
      </c>
      <c r="D723" s="1063" t="s">
        <v>924</v>
      </c>
      <c r="E723" s="1733"/>
      <c r="F723" s="609">
        <v>0</v>
      </c>
      <c r="G723" s="609">
        <v>0</v>
      </c>
      <c r="H723" s="609">
        <v>0</v>
      </c>
      <c r="I723" s="609">
        <v>0</v>
      </c>
      <c r="J723" s="609">
        <v>0</v>
      </c>
      <c r="K723" s="609">
        <v>0</v>
      </c>
      <c r="L723" s="609">
        <v>0</v>
      </c>
      <c r="M723" s="609">
        <v>0</v>
      </c>
      <c r="N723" s="609">
        <v>0</v>
      </c>
      <c r="O723" s="609">
        <v>0</v>
      </c>
      <c r="P723" s="1733"/>
      <c r="Q723" s="1954"/>
      <c r="R723" s="1568"/>
      <c r="S723" s="1568"/>
      <c r="T723" s="1568"/>
      <c r="U723" s="1568"/>
    </row>
    <row r="724" spans="1:21" s="1733" customFormat="1" ht="14">
      <c r="A724" s="1954"/>
      <c r="B724" s="559"/>
      <c r="C724" s="1732" t="s">
        <v>919</v>
      </c>
      <c r="D724" s="17" t="s">
        <v>925</v>
      </c>
      <c r="F724" s="609">
        <v>0</v>
      </c>
      <c r="G724" s="609">
        <v>0</v>
      </c>
      <c r="H724" s="609">
        <v>0</v>
      </c>
      <c r="I724" s="609">
        <v>0</v>
      </c>
      <c r="J724" s="609">
        <v>0</v>
      </c>
      <c r="K724" s="609">
        <v>0</v>
      </c>
      <c r="L724" s="609">
        <v>0</v>
      </c>
      <c r="M724" s="609">
        <v>0</v>
      </c>
      <c r="N724" s="609">
        <v>0</v>
      </c>
      <c r="O724" s="609">
        <v>0</v>
      </c>
      <c r="Q724" s="1954"/>
      <c r="R724" s="1568"/>
      <c r="S724" s="1568"/>
      <c r="T724" s="1568"/>
      <c r="U724" s="1568"/>
    </row>
    <row r="725" spans="1:21" s="526" customFormat="1" ht="14">
      <c r="A725" s="1954"/>
      <c r="B725" s="559"/>
      <c r="C725" s="1043" t="s">
        <v>921</v>
      </c>
      <c r="D725" s="1063" t="s">
        <v>962</v>
      </c>
      <c r="E725" s="1733"/>
      <c r="F725" s="609">
        <v>0</v>
      </c>
      <c r="G725" s="609">
        <v>0</v>
      </c>
      <c r="H725" s="609">
        <v>0</v>
      </c>
      <c r="I725" s="609">
        <v>0</v>
      </c>
      <c r="J725" s="609">
        <v>0</v>
      </c>
      <c r="K725" s="609">
        <v>0</v>
      </c>
      <c r="L725" s="609">
        <v>0</v>
      </c>
      <c r="M725" s="609">
        <v>0</v>
      </c>
      <c r="N725" s="609">
        <v>0</v>
      </c>
      <c r="O725" s="609">
        <v>0</v>
      </c>
      <c r="P725" s="1733"/>
      <c r="Q725" s="1954"/>
      <c r="R725" s="1568"/>
      <c r="S725" s="1568"/>
      <c r="T725" s="1568"/>
      <c r="U725" s="1568"/>
    </row>
    <row r="726" spans="1:21" s="526" customFormat="1" ht="14">
      <c r="A726" s="1954"/>
      <c r="B726" s="559"/>
      <c r="C726" s="1732" t="s">
        <v>921</v>
      </c>
      <c r="D726" s="1063" t="s">
        <v>963</v>
      </c>
      <c r="E726" s="1733"/>
      <c r="F726" s="609">
        <v>0</v>
      </c>
      <c r="G726" s="609">
        <v>0</v>
      </c>
      <c r="H726" s="609">
        <v>0</v>
      </c>
      <c r="I726" s="609">
        <v>0</v>
      </c>
      <c r="J726" s="609">
        <v>0</v>
      </c>
      <c r="K726" s="609">
        <v>0</v>
      </c>
      <c r="L726" s="609">
        <v>0</v>
      </c>
      <c r="M726" s="609">
        <v>0</v>
      </c>
      <c r="N726" s="609">
        <v>0</v>
      </c>
      <c r="O726" s="609">
        <v>0</v>
      </c>
      <c r="P726" s="1733"/>
      <c r="Q726" s="1954"/>
      <c r="R726" s="1568"/>
      <c r="S726" s="1568"/>
      <c r="T726" s="1568"/>
      <c r="U726" s="1568"/>
    </row>
    <row r="727" spans="1:21" s="526" customFormat="1" ht="14">
      <c r="A727" s="1954"/>
      <c r="B727" s="559"/>
      <c r="C727" s="1732" t="s">
        <v>922</v>
      </c>
      <c r="D727" s="1063" t="s">
        <v>922</v>
      </c>
      <c r="E727" s="1733"/>
      <c r="F727" s="609">
        <v>0</v>
      </c>
      <c r="G727" s="609">
        <v>0</v>
      </c>
      <c r="H727" s="609">
        <v>0</v>
      </c>
      <c r="I727" s="609">
        <v>0</v>
      </c>
      <c r="J727" s="609">
        <v>0</v>
      </c>
      <c r="K727" s="609">
        <v>0</v>
      </c>
      <c r="L727" s="609">
        <v>0</v>
      </c>
      <c r="M727" s="609">
        <v>0</v>
      </c>
      <c r="N727" s="609">
        <v>0</v>
      </c>
      <c r="O727" s="609">
        <v>0</v>
      </c>
      <c r="P727" s="1733"/>
      <c r="Q727" s="1954"/>
      <c r="R727" s="1568"/>
      <c r="S727" s="1568"/>
      <c r="T727" s="1568"/>
      <c r="U727" s="1568"/>
    </row>
    <row r="728" spans="1:21" s="526" customFormat="1" ht="14">
      <c r="A728" s="1954"/>
      <c r="B728" s="559"/>
      <c r="C728" s="1732"/>
      <c r="D728" s="1063"/>
      <c r="E728" s="1733"/>
      <c r="F728" s="1427">
        <f t="shared" ref="F728:N728" si="207">SUM(F717:F727)</f>
        <v>0</v>
      </c>
      <c r="G728" s="1427">
        <f t="shared" si="207"/>
        <v>0</v>
      </c>
      <c r="H728" s="1427">
        <f t="shared" si="207"/>
        <v>0</v>
      </c>
      <c r="I728" s="1427">
        <f t="shared" si="207"/>
        <v>0</v>
      </c>
      <c r="J728" s="1427">
        <f t="shared" si="207"/>
        <v>0</v>
      </c>
      <c r="K728" s="1427">
        <f t="shared" si="207"/>
        <v>0</v>
      </c>
      <c r="L728" s="1427">
        <f t="shared" si="207"/>
        <v>0</v>
      </c>
      <c r="M728" s="1427">
        <f t="shared" si="207"/>
        <v>0</v>
      </c>
      <c r="N728" s="1427">
        <f t="shared" si="207"/>
        <v>0</v>
      </c>
      <c r="O728" s="1427">
        <f>SUM(O717:O727)</f>
        <v>0</v>
      </c>
      <c r="P728" s="1733"/>
      <c r="Q728" s="1954"/>
      <c r="R728" s="1568"/>
      <c r="S728" s="1568"/>
      <c r="T728" s="1568"/>
      <c r="U728" s="1568"/>
    </row>
    <row r="729" spans="1:21" s="526" customFormat="1" ht="14">
      <c r="A729" s="1954"/>
      <c r="B729" s="559"/>
      <c r="C729" s="1732"/>
      <c r="D729" s="1063"/>
      <c r="E729" s="1733"/>
      <c r="F729" s="1414"/>
      <c r="G729" s="1414"/>
      <c r="H729" s="1414"/>
      <c r="I729" s="1414"/>
      <c r="J729" s="1414"/>
      <c r="K729" s="1414"/>
      <c r="L729" s="1414"/>
      <c r="M729" s="1414"/>
      <c r="N729" s="1414"/>
      <c r="O729" s="1414"/>
      <c r="P729" s="1733"/>
      <c r="Q729" s="1954"/>
      <c r="R729" s="1568"/>
      <c r="S729" s="1568"/>
      <c r="T729" s="1568"/>
      <c r="U729" s="1568"/>
    </row>
    <row r="730" spans="1:21" s="526" customFormat="1" ht="14">
      <c r="A730" s="1954"/>
      <c r="B730" s="559">
        <v>5</v>
      </c>
      <c r="C730" s="860" t="s">
        <v>1174</v>
      </c>
      <c r="D730" s="1063"/>
      <c r="E730" s="1733"/>
      <c r="F730" s="1062"/>
      <c r="G730" s="1062"/>
      <c r="H730" s="1062"/>
      <c r="I730" s="1062"/>
      <c r="J730" s="1062"/>
      <c r="K730" s="1062"/>
      <c r="L730" s="1062"/>
      <c r="M730" s="1062"/>
      <c r="N730" s="1062"/>
      <c r="O730" s="1062"/>
      <c r="P730" s="1733"/>
      <c r="Q730" s="1954"/>
      <c r="R730" s="1568"/>
      <c r="S730" s="1568"/>
      <c r="T730" s="1568"/>
      <c r="U730" s="1568"/>
    </row>
    <row r="731" spans="1:21" s="526" customFormat="1" ht="14">
      <c r="A731" s="1954"/>
      <c r="B731" s="559"/>
      <c r="C731" s="1043"/>
      <c r="D731" s="1063"/>
      <c r="E731" s="1733"/>
      <c r="F731" s="1062"/>
      <c r="G731" s="1062"/>
      <c r="H731" s="1062"/>
      <c r="I731" s="1062"/>
      <c r="J731" s="1062"/>
      <c r="K731" s="1062"/>
      <c r="L731" s="1062"/>
      <c r="M731" s="1062"/>
      <c r="N731" s="1062"/>
      <c r="O731" s="1732" t="str">
        <f>Preferences.EnergyUnits</f>
        <v>TWh</v>
      </c>
      <c r="P731" s="1733"/>
      <c r="Q731" s="1954"/>
      <c r="R731" s="1568"/>
      <c r="S731" s="1568"/>
      <c r="T731" s="1568"/>
      <c r="U731" s="1568"/>
    </row>
    <row r="732" spans="1:21" s="526" customFormat="1" ht="14">
      <c r="A732" s="1954"/>
      <c r="B732" s="559"/>
      <c r="C732" s="1954" t="s">
        <v>23</v>
      </c>
      <c r="D732" s="20"/>
      <c r="E732" s="1733"/>
      <c r="F732" s="609">
        <f t="shared" ref="F732:O732" si="208">SUM(F$687:F$694)+SUM(F$702:F$709)+SUM(F$717:F$724)</f>
        <v>403.19918225742038</v>
      </c>
      <c r="G732" s="609">
        <f t="shared" si="208"/>
        <v>367.6671269467941</v>
      </c>
      <c r="H732" s="609">
        <f t="shared" si="208"/>
        <v>322.10043021139415</v>
      </c>
      <c r="I732" s="609">
        <f t="shared" si="208"/>
        <v>284.30650008121034</v>
      </c>
      <c r="J732" s="609">
        <f t="shared" si="208"/>
        <v>209.92178161372891</v>
      </c>
      <c r="K732" s="609">
        <f t="shared" si="208"/>
        <v>146.60100316803931</v>
      </c>
      <c r="L732" s="609">
        <f t="shared" si="208"/>
        <v>132.3739971375513</v>
      </c>
      <c r="M732" s="609">
        <f t="shared" si="208"/>
        <v>118.13352348139722</v>
      </c>
      <c r="N732" s="609">
        <f t="shared" si="208"/>
        <v>101.25224368356618</v>
      </c>
      <c r="O732" s="609">
        <f t="shared" si="208"/>
        <v>86.547784551482309</v>
      </c>
      <c r="P732" s="1733"/>
      <c r="Q732" s="1954"/>
      <c r="R732" s="1568"/>
      <c r="S732" s="1568"/>
      <c r="T732" s="1568"/>
      <c r="U732" s="1568"/>
    </row>
    <row r="733" spans="1:21" s="526" customFormat="1" ht="14">
      <c r="A733" s="1954"/>
      <c r="B733" s="559"/>
      <c r="C733" s="1954" t="s">
        <v>24</v>
      </c>
      <c r="D733" s="20"/>
      <c r="E733" s="1733"/>
      <c r="F733" s="609">
        <f t="shared" ref="F733:O733" si="209">SUM(F$695:F$696)+SUM(F$710:F$711)+SUM(F$725:F$726)</f>
        <v>9.1535938479828154</v>
      </c>
      <c r="G733" s="609">
        <f t="shared" si="209"/>
        <v>11.205376265602462</v>
      </c>
      <c r="H733" s="609">
        <f t="shared" si="209"/>
        <v>11.068583153044727</v>
      </c>
      <c r="I733" s="609">
        <f t="shared" si="209"/>
        <v>10.251286330641143</v>
      </c>
      <c r="J733" s="609">
        <f t="shared" si="209"/>
        <v>10.061081988944693</v>
      </c>
      <c r="K733" s="609">
        <f t="shared" si="209"/>
        <v>9.3513232854077533</v>
      </c>
      <c r="L733" s="609">
        <f t="shared" si="209"/>
        <v>8.8122030315477389</v>
      </c>
      <c r="M733" s="609">
        <f t="shared" si="209"/>
        <v>8.1906525742779905</v>
      </c>
      <c r="N733" s="609">
        <f t="shared" si="209"/>
        <v>7.5807525407145437</v>
      </c>
      <c r="O733" s="609">
        <f t="shared" si="209"/>
        <v>6.990866398533627</v>
      </c>
      <c r="P733" s="1733"/>
      <c r="Q733" s="1954"/>
      <c r="R733" s="1568"/>
      <c r="S733" s="1568"/>
      <c r="T733" s="1568"/>
      <c r="U733" s="1568"/>
    </row>
    <row r="734" spans="1:21" s="526" customFormat="1" ht="14">
      <c r="A734" s="1954"/>
      <c r="B734" s="559"/>
      <c r="C734" s="1954" t="s">
        <v>168</v>
      </c>
      <c r="D734" s="20"/>
      <c r="E734" s="1733"/>
      <c r="F734" s="609">
        <f t="shared" ref="F734:O734" si="210">F$697+F$712+F$727</f>
        <v>9.0198346087095516</v>
      </c>
      <c r="G734" s="609">
        <f t="shared" si="210"/>
        <v>9.4371304209734994</v>
      </c>
      <c r="H734" s="609">
        <f t="shared" si="210"/>
        <v>10.043448539389448</v>
      </c>
      <c r="I734" s="609">
        <f t="shared" si="210"/>
        <v>10.86602897688554</v>
      </c>
      <c r="J734" s="609">
        <f t="shared" si="210"/>
        <v>11.616843320399934</v>
      </c>
      <c r="K734" s="609">
        <f t="shared" si="210"/>
        <v>12.179196308214529</v>
      </c>
      <c r="L734" s="609">
        <f t="shared" si="210"/>
        <v>12.682054831349237</v>
      </c>
      <c r="M734" s="609">
        <f t="shared" si="210"/>
        <v>13.017769004412454</v>
      </c>
      <c r="N734" s="609">
        <f t="shared" si="210"/>
        <v>13.303419433940144</v>
      </c>
      <c r="O734" s="609">
        <f t="shared" si="210"/>
        <v>13.546832091915194</v>
      </c>
      <c r="P734" s="1733"/>
      <c r="Q734" s="1954"/>
      <c r="R734" s="1568"/>
      <c r="S734" s="1568"/>
      <c r="T734" s="1568"/>
      <c r="U734" s="1568"/>
    </row>
    <row r="735" spans="1:21" s="526" customFormat="1" ht="14">
      <c r="A735" s="1954"/>
      <c r="B735" s="1954"/>
      <c r="C735" s="20"/>
      <c r="D735" s="20"/>
      <c r="E735" s="1732"/>
      <c r="F735" s="623">
        <f>SUM(F732:F734)</f>
        <v>421.37261071411274</v>
      </c>
      <c r="G735" s="623">
        <f t="shared" ref="G735:O735" si="211">SUM(G732:G734)</f>
        <v>388.30963363337008</v>
      </c>
      <c r="H735" s="623">
        <f t="shared" si="211"/>
        <v>343.21246190382834</v>
      </c>
      <c r="I735" s="623">
        <f t="shared" si="211"/>
        <v>305.42381538873707</v>
      </c>
      <c r="J735" s="623">
        <f t="shared" si="211"/>
        <v>231.59970692307354</v>
      </c>
      <c r="K735" s="623">
        <f t="shared" si="211"/>
        <v>168.13152276166159</v>
      </c>
      <c r="L735" s="623">
        <f t="shared" si="211"/>
        <v>153.86825500044827</v>
      </c>
      <c r="M735" s="623">
        <f t="shared" si="211"/>
        <v>139.34194506008765</v>
      </c>
      <c r="N735" s="623">
        <f t="shared" si="211"/>
        <v>122.13641565822087</v>
      </c>
      <c r="O735" s="623">
        <f t="shared" si="211"/>
        <v>107.08548304193113</v>
      </c>
      <c r="P735" s="1954"/>
      <c r="Q735" s="1954"/>
      <c r="R735" s="1568"/>
      <c r="S735" s="1568"/>
      <c r="T735" s="1568"/>
      <c r="U735" s="1568"/>
    </row>
    <row r="736" spans="1:21" s="1733" customFormat="1" ht="14">
      <c r="A736" s="1954"/>
      <c r="B736" s="1954"/>
      <c r="C736" s="20"/>
      <c r="D736" s="20"/>
      <c r="E736" s="1732"/>
      <c r="F736" s="1062"/>
      <c r="G736" s="1062"/>
      <c r="H736" s="1062"/>
      <c r="I736" s="1062"/>
      <c r="J736" s="1062"/>
      <c r="K736" s="1062"/>
      <c r="L736" s="1062"/>
      <c r="M736" s="1062"/>
      <c r="N736" s="1062"/>
      <c r="O736" s="1062"/>
      <c r="P736" s="1954"/>
      <c r="Q736" s="1954"/>
      <c r="R736" s="1568"/>
      <c r="S736" s="1568"/>
      <c r="T736" s="1568"/>
      <c r="U736" s="1568"/>
    </row>
    <row r="737" spans="1:21" s="526" customFormat="1">
      <c r="A737" s="1954"/>
      <c r="B737" s="1954"/>
      <c r="C737" s="1733" t="s">
        <v>789</v>
      </c>
      <c r="D737" s="528"/>
      <c r="E737" s="528"/>
      <c r="F737" s="550"/>
      <c r="G737" s="550"/>
      <c r="H737" s="550"/>
      <c r="I737" s="550"/>
      <c r="J737" s="550"/>
      <c r="K737" s="550"/>
      <c r="L737" s="550"/>
      <c r="M737" s="550"/>
      <c r="N737" s="550"/>
      <c r="O737" s="550"/>
      <c r="P737" s="528"/>
      <c r="Q737" s="1954"/>
      <c r="R737" s="1568"/>
      <c r="S737" s="1568"/>
      <c r="T737" s="1568"/>
      <c r="U737" s="1568"/>
    </row>
    <row r="738" spans="1:21" s="526" customFormat="1" ht="17">
      <c r="A738" s="1954"/>
      <c r="B738" s="1733"/>
      <c r="C738" s="1954" t="s">
        <v>769</v>
      </c>
      <c r="D738" s="528"/>
      <c r="E738" s="528" t="s">
        <v>788</v>
      </c>
      <c r="F738" s="563">
        <f>F$698*INDEX(EF[CO2], MATCH("V.04", EF[Vector], 0))</f>
        <v>104.27005456424456</v>
      </c>
      <c r="G738" s="563">
        <f>G$698*INDEX(EF[CO2], MATCH("V.04", EF[Vector], 0))</f>
        <v>96.110734216078882</v>
      </c>
      <c r="H738" s="563">
        <f>H$698*INDEX(EF[CO2], MATCH("V.04", EF[Vector], 0))</f>
        <v>84.542400303976947</v>
      </c>
      <c r="I738" s="563">
        <f>I$698*INDEX(EF[CO2], MATCH("V.04", EF[Vector], 0))</f>
        <v>74.694760565350208</v>
      </c>
      <c r="J738" s="563">
        <f>J$698*INDEX(EF[CO2], MATCH("V.04", EF[Vector], 0))</f>
        <v>52.588721867866738</v>
      </c>
      <c r="K738" s="563">
        <f>K$698*INDEX(EF[CO2], MATCH("V.04", EF[Vector], 0))</f>
        <v>33.607153829002513</v>
      </c>
      <c r="L738" s="563">
        <f>L$698*INDEX(EF[CO2], MATCH("V.04", EF[Vector], 0))</f>
        <v>29.828118311539072</v>
      </c>
      <c r="M738" s="563">
        <f>M$698*INDEX(EF[CO2], MATCH("V.04", EF[Vector], 0))</f>
        <v>26.080874537924785</v>
      </c>
      <c r="N738" s="563">
        <f>N$698*INDEX(EF[CO2], MATCH("V.04", EF[Vector], 0))</f>
        <v>20.997944570499126</v>
      </c>
      <c r="O738" s="563">
        <f>O$698*INDEX(EF[CO2], MATCH("V.04", EF[Vector], 0))</f>
        <v>16.468984760617985</v>
      </c>
      <c r="P738" s="528"/>
      <c r="Q738" s="1954"/>
      <c r="R738" s="1568"/>
      <c r="S738" s="1568"/>
      <c r="T738" s="1568"/>
      <c r="U738" s="1568"/>
    </row>
    <row r="739" spans="1:21" s="526" customFormat="1" ht="17">
      <c r="A739" s="1954"/>
      <c r="B739" s="1733"/>
      <c r="C739" s="1954" t="s">
        <v>770</v>
      </c>
      <c r="D739" s="528"/>
      <c r="E739" s="528" t="s">
        <v>788</v>
      </c>
      <c r="F739" s="563">
        <f>F$698*INDEX(EF[CH4], MATCH("V.04", EF[Vector], 0))</f>
        <v>0.12981580630025488</v>
      </c>
      <c r="G739" s="563">
        <f>G$698*INDEX(EF[CH4], MATCH("V.04", EF[Vector], 0))</f>
        <v>0.11965748467775505</v>
      </c>
      <c r="H739" s="563">
        <f>H$698*INDEX(EF[CH4], MATCH("V.04", EF[Vector], 0))</f>
        <v>0.10525495462609184</v>
      </c>
      <c r="I739" s="563">
        <f>I$698*INDEX(EF[CH4], MATCH("V.04", EF[Vector], 0))</f>
        <v>9.2994682027532818E-2</v>
      </c>
      <c r="J739" s="563">
        <f>J$698*INDEX(EF[CH4], MATCH("V.04", EF[Vector], 0))</f>
        <v>6.5472751118305972E-2</v>
      </c>
      <c r="K739" s="563">
        <f>K$698*INDEX(EF[CH4], MATCH("V.04", EF[Vector], 0))</f>
        <v>4.184077384442738E-2</v>
      </c>
      <c r="L739" s="563">
        <f>L$698*INDEX(EF[CH4], MATCH("V.04", EF[Vector], 0))</f>
        <v>3.7135889543877275E-2</v>
      </c>
      <c r="M739" s="563">
        <f>M$698*INDEX(EF[CH4], MATCH("V.04", EF[Vector], 0))</f>
        <v>3.2470585838913463E-2</v>
      </c>
      <c r="N739" s="563">
        <f>N$698*INDEX(EF[CH4], MATCH("V.04", EF[Vector], 0))</f>
        <v>2.6142358095611228E-2</v>
      </c>
      <c r="O739" s="563">
        <f>O$698*INDEX(EF[CH4], MATCH("V.04", EF[Vector], 0))</f>
        <v>2.0503821011515586E-2</v>
      </c>
      <c r="P739" s="528"/>
      <c r="Q739" s="1954"/>
      <c r="R739" s="1568"/>
      <c r="S739" s="1568"/>
      <c r="T739" s="1568"/>
      <c r="U739" s="1568"/>
    </row>
    <row r="740" spans="1:21" s="526" customFormat="1" ht="17">
      <c r="A740" s="1954"/>
      <c r="B740" s="1733"/>
      <c r="C740" s="1954" t="s">
        <v>771</v>
      </c>
      <c r="D740" s="528"/>
      <c r="E740" s="528" t="s">
        <v>788</v>
      </c>
      <c r="F740" s="563">
        <f>F$698*INDEX(EF[N2O], MATCH("V.04", EF[Vector], 0))</f>
        <v>1.8760319404027712</v>
      </c>
      <c r="G740" s="563">
        <f>G$698*INDEX(EF[N2O], MATCH("V.04", EF[Vector], 0))</f>
        <v>1.7292290481523813</v>
      </c>
      <c r="H740" s="563">
        <f>H$698*INDEX(EF[N2O], MATCH("V.04", EF[Vector], 0))</f>
        <v>1.5210910165090197</v>
      </c>
      <c r="I740" s="563">
        <f>I$698*INDEX(EF[N2O], MATCH("V.04", EF[Vector], 0))</f>
        <v>1.3439117989047884</v>
      </c>
      <c r="J740" s="563">
        <f>J$698*INDEX(EF[N2O], MATCH("V.04", EF[Vector], 0))</f>
        <v>0.94617886546025387</v>
      </c>
      <c r="K740" s="563">
        <f>K$698*INDEX(EF[N2O], MATCH("V.04", EF[Vector], 0))</f>
        <v>0.60466156148783634</v>
      </c>
      <c r="L740" s="563">
        <f>L$698*INDEX(EF[N2O], MATCH("V.04", EF[Vector], 0))</f>
        <v>0.53666896894239191</v>
      </c>
      <c r="M740" s="563">
        <f>M$698*INDEX(EF[N2O], MATCH("V.04", EF[Vector], 0))</f>
        <v>0.46924837501295841</v>
      </c>
      <c r="N740" s="563">
        <f>N$698*INDEX(EF[N2O], MATCH("V.04", EF[Vector], 0))</f>
        <v>0.37779604951479112</v>
      </c>
      <c r="O740" s="563">
        <f>O$698*INDEX(EF[N2O], MATCH("V.04", EF[Vector], 0))</f>
        <v>0.29631078228591001</v>
      </c>
      <c r="P740" s="528"/>
      <c r="Q740" s="1954"/>
      <c r="R740" s="1568"/>
      <c r="S740" s="1568"/>
      <c r="T740" s="1568"/>
      <c r="U740" s="1568"/>
    </row>
    <row r="741" spans="1:21" s="526" customFormat="1">
      <c r="A741" s="1954"/>
      <c r="B741" s="1954"/>
      <c r="C741" s="1954"/>
      <c r="D741" s="1954"/>
      <c r="E741" s="1954"/>
      <c r="F741" s="1954"/>
      <c r="G741" s="1954"/>
      <c r="H741" s="1954"/>
      <c r="I741" s="1954"/>
      <c r="J741" s="1954"/>
      <c r="K741" s="1954"/>
      <c r="L741" s="1954"/>
      <c r="M741" s="1954"/>
      <c r="N741" s="1954"/>
      <c r="O741" s="1954"/>
      <c r="P741" s="1954"/>
      <c r="Q741" s="1954"/>
      <c r="R741" s="1568"/>
      <c r="S741" s="1568"/>
      <c r="T741" s="1568"/>
      <c r="U741" s="1568"/>
    </row>
    <row r="742" spans="1:21" s="1733" customFormat="1" ht="22">
      <c r="A742" s="1728"/>
      <c r="B742" s="843" t="s">
        <v>575</v>
      </c>
      <c r="C742" s="810"/>
      <c r="D742" s="810"/>
      <c r="E742" s="810"/>
      <c r="F742" s="810"/>
      <c r="G742" s="810"/>
      <c r="H742" s="810"/>
      <c r="I742" s="810"/>
      <c r="J742" s="810"/>
      <c r="K742" s="810"/>
      <c r="L742" s="810"/>
      <c r="M742" s="810"/>
      <c r="N742" s="810"/>
      <c r="O742" s="810"/>
      <c r="P742" s="811"/>
      <c r="Q742" s="1954"/>
      <c r="R742" s="1568"/>
      <c r="S742" s="1568"/>
      <c r="T742" s="1568"/>
      <c r="U742" s="1568"/>
    </row>
    <row r="743" spans="1:21" s="526" customFormat="1">
      <c r="A743" s="1954"/>
      <c r="B743" s="800"/>
      <c r="C743" s="802"/>
      <c r="D743" s="802"/>
      <c r="E743" s="802"/>
      <c r="F743" s="802"/>
      <c r="G743" s="802"/>
      <c r="H743" s="802"/>
      <c r="I743" s="802"/>
      <c r="J743" s="802"/>
      <c r="K743" s="802"/>
      <c r="L743" s="802"/>
      <c r="M743" s="802"/>
      <c r="N743" s="802"/>
      <c r="O743" s="802"/>
      <c r="P743" s="804"/>
      <c r="Q743" s="1954"/>
      <c r="R743" s="117"/>
      <c r="S743" s="117"/>
      <c r="T743" s="117"/>
      <c r="U743" s="117"/>
    </row>
    <row r="744" spans="1:21" s="526" customFormat="1">
      <c r="A744" s="1954"/>
      <c r="B744" s="800"/>
      <c r="C744" s="812" t="s">
        <v>1307</v>
      </c>
      <c r="D744" s="802"/>
      <c r="E744" s="803"/>
      <c r="F744" s="802"/>
      <c r="G744" s="803"/>
      <c r="H744" s="802"/>
      <c r="I744" s="802"/>
      <c r="J744" s="802"/>
      <c r="K744" s="802"/>
      <c r="L744" s="802"/>
      <c r="M744" s="802"/>
      <c r="N744" s="802"/>
      <c r="O744" s="803" t="str">
        <f>Preferences.EnergyUnits</f>
        <v>TWh</v>
      </c>
      <c r="P744" s="804"/>
      <c r="Q744" s="1954"/>
      <c r="R744" s="117"/>
      <c r="S744" s="117"/>
      <c r="T744" s="117"/>
      <c r="U744" s="117"/>
    </row>
    <row r="745" spans="1:21" s="526" customFormat="1" ht="6" customHeight="1">
      <c r="A745" s="1954"/>
      <c r="B745" s="800"/>
      <c r="C745" s="802"/>
      <c r="D745" s="802"/>
      <c r="E745" s="802"/>
      <c r="F745" s="802"/>
      <c r="G745" s="802"/>
      <c r="H745" s="802"/>
      <c r="I745" s="802"/>
      <c r="J745" s="802"/>
      <c r="K745" s="802"/>
      <c r="L745" s="802"/>
      <c r="M745" s="802"/>
      <c r="N745" s="802"/>
      <c r="O745" s="802"/>
      <c r="P745" s="804"/>
      <c r="Q745" s="1954"/>
      <c r="R745" s="117"/>
      <c r="S745" s="117"/>
      <c r="T745" s="117"/>
      <c r="U745" s="117"/>
    </row>
    <row r="746" spans="1:21" s="526" customFormat="1" ht="15">
      <c r="A746" s="1954"/>
      <c r="B746" s="805"/>
      <c r="C746" s="813" t="s">
        <v>72</v>
      </c>
      <c r="D746" s="813" t="s">
        <v>399</v>
      </c>
      <c r="E746" s="813" t="s">
        <v>422</v>
      </c>
      <c r="F746" s="813" t="s">
        <v>579</v>
      </c>
      <c r="G746" s="813" t="s">
        <v>580</v>
      </c>
      <c r="H746" s="813" t="s">
        <v>605</v>
      </c>
      <c r="I746" s="813" t="s">
        <v>606</v>
      </c>
      <c r="J746" s="813" t="s">
        <v>607</v>
      </c>
      <c r="K746" s="813" t="s">
        <v>608</v>
      </c>
      <c r="L746" s="813" t="s">
        <v>609</v>
      </c>
      <c r="M746" s="813" t="s">
        <v>610</v>
      </c>
      <c r="N746" s="813" t="s">
        <v>611</v>
      </c>
      <c r="O746" s="813" t="s">
        <v>612</v>
      </c>
      <c r="P746" s="804"/>
      <c r="Q746" s="1954"/>
      <c r="R746" s="117"/>
      <c r="S746" s="117"/>
      <c r="T746" s="117"/>
      <c r="U746" s="117"/>
    </row>
    <row r="747" spans="1:21" s="526" customFormat="1" ht="15">
      <c r="A747" s="1954"/>
      <c r="B747" s="805"/>
      <c r="C747" s="541" t="s">
        <v>33</v>
      </c>
      <c r="D747" s="541" t="str">
        <f>INDEX(Vectors[Description], MATCH(XII.a.Outputs[Vector], Vectors[Code], 0))</f>
        <v>Road transport</v>
      </c>
      <c r="E747" s="541"/>
      <c r="F747" s="629">
        <f t="shared" ref="F747:O747" si="212">F732</f>
        <v>403.19918225742038</v>
      </c>
      <c r="G747" s="629">
        <f t="shared" si="212"/>
        <v>367.6671269467941</v>
      </c>
      <c r="H747" s="629">
        <f t="shared" si="212"/>
        <v>322.10043021139415</v>
      </c>
      <c r="I747" s="629">
        <f t="shared" si="212"/>
        <v>284.30650008121034</v>
      </c>
      <c r="J747" s="629">
        <f t="shared" si="212"/>
        <v>209.92178161372891</v>
      </c>
      <c r="K747" s="629">
        <f t="shared" si="212"/>
        <v>146.60100316803931</v>
      </c>
      <c r="L747" s="629">
        <f t="shared" si="212"/>
        <v>132.3739971375513</v>
      </c>
      <c r="M747" s="629">
        <f t="shared" si="212"/>
        <v>118.13352348139722</v>
      </c>
      <c r="N747" s="629">
        <f t="shared" si="212"/>
        <v>101.25224368356618</v>
      </c>
      <c r="O747" s="629">
        <f t="shared" si="212"/>
        <v>86.547784551482309</v>
      </c>
      <c r="P747" s="804"/>
      <c r="Q747" s="1954"/>
      <c r="R747" s="117"/>
      <c r="S747" s="117"/>
      <c r="T747" s="117"/>
      <c r="U747" s="117"/>
    </row>
    <row r="748" spans="1:21" s="526" customFormat="1" ht="15">
      <c r="A748" s="1954"/>
      <c r="B748" s="805"/>
      <c r="C748" s="541" t="s">
        <v>34</v>
      </c>
      <c r="D748" s="541" t="str">
        <f>INDEX(Vectors[Description], MATCH(XII.a.Outputs[Vector], Vectors[Code], 0))</f>
        <v>Rail transport</v>
      </c>
      <c r="E748" s="541"/>
      <c r="F748" s="629">
        <f t="shared" ref="F748:O748" si="213">F733+F$173</f>
        <v>13.441593847982816</v>
      </c>
      <c r="G748" s="629">
        <f t="shared" si="213"/>
        <v>15.493376265602462</v>
      </c>
      <c r="H748" s="629">
        <f t="shared" si="213"/>
        <v>15.356583153044728</v>
      </c>
      <c r="I748" s="629">
        <f t="shared" si="213"/>
        <v>14.539286330641144</v>
      </c>
      <c r="J748" s="629">
        <f t="shared" si="213"/>
        <v>14.349081988944693</v>
      </c>
      <c r="K748" s="629">
        <f t="shared" si="213"/>
        <v>13.639323285407754</v>
      </c>
      <c r="L748" s="629">
        <f t="shared" si="213"/>
        <v>13.100203031547739</v>
      </c>
      <c r="M748" s="629">
        <f t="shared" si="213"/>
        <v>12.478652574277991</v>
      </c>
      <c r="N748" s="629">
        <f t="shared" si="213"/>
        <v>11.868752540714544</v>
      </c>
      <c r="O748" s="629">
        <f t="shared" si="213"/>
        <v>11.278866398533626</v>
      </c>
      <c r="P748" s="804"/>
      <c r="Q748" s="1954" t="s">
        <v>976</v>
      </c>
      <c r="R748" s="117"/>
      <c r="S748" s="117"/>
      <c r="T748" s="117"/>
      <c r="U748" s="117"/>
    </row>
    <row r="749" spans="1:21" s="526" customFormat="1" ht="15">
      <c r="A749" s="1954"/>
      <c r="B749" s="805"/>
      <c r="C749" s="541" t="s">
        <v>35</v>
      </c>
      <c r="D749" s="541" t="str">
        <f>INDEX(Vectors[Description], MATCH(XII.a.Outputs[Vector], Vectors[Code], 0))</f>
        <v>Domestic aviation</v>
      </c>
      <c r="E749" s="541"/>
      <c r="F749" s="629">
        <f t="shared" ref="F749:O749" si="214">F734</f>
        <v>9.0198346087095516</v>
      </c>
      <c r="G749" s="629">
        <f t="shared" si="214"/>
        <v>9.4371304209734994</v>
      </c>
      <c r="H749" s="629">
        <f t="shared" si="214"/>
        <v>10.043448539389448</v>
      </c>
      <c r="I749" s="629">
        <f t="shared" si="214"/>
        <v>10.86602897688554</v>
      </c>
      <c r="J749" s="629">
        <f t="shared" si="214"/>
        <v>11.616843320399934</v>
      </c>
      <c r="K749" s="629">
        <f t="shared" si="214"/>
        <v>12.179196308214529</v>
      </c>
      <c r="L749" s="629">
        <f t="shared" si="214"/>
        <v>12.682054831349237</v>
      </c>
      <c r="M749" s="629">
        <f t="shared" si="214"/>
        <v>13.017769004412454</v>
      </c>
      <c r="N749" s="629">
        <f t="shared" si="214"/>
        <v>13.303419433940144</v>
      </c>
      <c r="O749" s="629">
        <f t="shared" si="214"/>
        <v>13.546832091915194</v>
      </c>
      <c r="P749" s="804"/>
      <c r="Q749" s="1954"/>
      <c r="R749" s="117"/>
      <c r="S749" s="117"/>
      <c r="T749" s="117"/>
      <c r="U749" s="117"/>
    </row>
    <row r="750" spans="1:21" s="526" customFormat="1" ht="15">
      <c r="A750" s="1954"/>
      <c r="B750" s="805"/>
      <c r="C750" s="541" t="s">
        <v>44</v>
      </c>
      <c r="D750" s="541" t="str">
        <f>INDEX(Vectors[Description], MATCH(XII.a.Outputs[Vector], Vectors[Code], 0))</f>
        <v>Liquid hydrocarbons</v>
      </c>
      <c r="E750" s="541"/>
      <c r="F750" s="629">
        <f t="shared" ref="F750:O750" si="215">-F698</f>
        <v>-417.08021825697824</v>
      </c>
      <c r="G750" s="629">
        <f t="shared" si="215"/>
        <v>-384.44293686431553</v>
      </c>
      <c r="H750" s="629">
        <f t="shared" si="215"/>
        <v>-338.16960121590779</v>
      </c>
      <c r="I750" s="629">
        <f t="shared" si="215"/>
        <v>-298.77904226140083</v>
      </c>
      <c r="J750" s="629">
        <f t="shared" si="215"/>
        <v>-210.35488747146695</v>
      </c>
      <c r="K750" s="629">
        <f t="shared" si="215"/>
        <v>-134.42861531601005</v>
      </c>
      <c r="L750" s="629">
        <f t="shared" si="215"/>
        <v>-119.31247324615629</v>
      </c>
      <c r="M750" s="629">
        <f t="shared" si="215"/>
        <v>-104.32349815169914</v>
      </c>
      <c r="N750" s="629">
        <f t="shared" si="215"/>
        <v>-83.991778281996503</v>
      </c>
      <c r="O750" s="629">
        <f t="shared" si="215"/>
        <v>-65.875939042471941</v>
      </c>
      <c r="P750" s="804"/>
      <c r="Q750" s="1954"/>
      <c r="R750" s="117"/>
      <c r="S750" s="117"/>
      <c r="T750" s="117"/>
      <c r="U750" s="117"/>
    </row>
    <row r="751" spans="1:21" s="526" customFormat="1" ht="15">
      <c r="A751" s="1954"/>
      <c r="B751" s="805"/>
      <c r="C751" s="541" t="s">
        <v>40</v>
      </c>
      <c r="D751" s="541" t="str">
        <f>INDEX(Vectors[Description], MATCH(XII.a.Outputs[Vector], Vectors[Code], 0))</f>
        <v>Electricity (delivered to end user)</v>
      </c>
      <c r="E751" s="541"/>
      <c r="F751" s="629">
        <f t="shared" ref="F751:O751" si="216">-F713-F$173</f>
        <v>-8.5803924571345469</v>
      </c>
      <c r="G751" s="629">
        <f t="shared" si="216"/>
        <v>-8.1546967690545671</v>
      </c>
      <c r="H751" s="629">
        <f t="shared" si="216"/>
        <v>-9.3308606879205129</v>
      </c>
      <c r="I751" s="629">
        <f t="shared" si="216"/>
        <v>-10.932773127336191</v>
      </c>
      <c r="J751" s="629">
        <f t="shared" si="216"/>
        <v>-25.532819451606589</v>
      </c>
      <c r="K751" s="629">
        <f t="shared" si="216"/>
        <v>-37.990907445651544</v>
      </c>
      <c r="L751" s="629">
        <f t="shared" si="216"/>
        <v>-38.843781754291996</v>
      </c>
      <c r="M751" s="629">
        <f t="shared" si="216"/>
        <v>-39.306446908388523</v>
      </c>
      <c r="N751" s="629">
        <f t="shared" si="216"/>
        <v>-42.432637376224378</v>
      </c>
      <c r="O751" s="629">
        <f t="shared" si="216"/>
        <v>-45.497543999459197</v>
      </c>
      <c r="P751" s="804"/>
      <c r="Q751" s="1954"/>
      <c r="R751" s="117"/>
      <c r="S751" s="117"/>
      <c r="T751" s="117"/>
      <c r="U751" s="117"/>
    </row>
    <row r="752" spans="1:21" s="526" customFormat="1" ht="15">
      <c r="A752" s="1954"/>
      <c r="B752" s="805"/>
      <c r="C752" s="541" t="s">
        <v>985</v>
      </c>
      <c r="D752" s="541" t="str">
        <f>INDEX(Vectors[Description], MATCH(XII.a.Outputs[Vector], Vectors[Code], 0))</f>
        <v>H2</v>
      </c>
      <c r="E752" s="541"/>
      <c r="F752" s="629">
        <f t="shared" ref="F752:O752" si="217">-F$728</f>
        <v>0</v>
      </c>
      <c r="G752" s="629">
        <f t="shared" si="217"/>
        <v>0</v>
      </c>
      <c r="H752" s="629">
        <f t="shared" si="217"/>
        <v>0</v>
      </c>
      <c r="I752" s="629">
        <f t="shared" si="217"/>
        <v>0</v>
      </c>
      <c r="J752" s="629">
        <f t="shared" si="217"/>
        <v>0</v>
      </c>
      <c r="K752" s="629">
        <f t="shared" si="217"/>
        <v>0</v>
      </c>
      <c r="L752" s="629">
        <f t="shared" si="217"/>
        <v>0</v>
      </c>
      <c r="M752" s="629">
        <f t="shared" si="217"/>
        <v>0</v>
      </c>
      <c r="N752" s="629">
        <f t="shared" si="217"/>
        <v>0</v>
      </c>
      <c r="O752" s="629">
        <f t="shared" si="217"/>
        <v>0</v>
      </c>
      <c r="P752" s="804"/>
      <c r="Q752" s="1954"/>
      <c r="R752" s="117"/>
      <c r="S752" s="117"/>
      <c r="T752" s="117"/>
      <c r="U752" s="117"/>
    </row>
    <row r="753" spans="1:21" s="526" customFormat="1" ht="15">
      <c r="A753" s="1954"/>
      <c r="B753" s="805"/>
      <c r="C753" s="541" t="s">
        <v>132</v>
      </c>
      <c r="D753" s="541"/>
      <c r="E753" s="541"/>
      <c r="F753" s="2001">
        <f>SUBTOTAL(109,XII.a.Outputs[2007])</f>
        <v>-3.907985046680551E-14</v>
      </c>
      <c r="G753" s="2001">
        <f>SUBTOTAL(109,XII.a.Outputs[2010])</f>
        <v>0</v>
      </c>
      <c r="H753" s="2001">
        <f>SUBTOTAL(109,XII.a.Outputs[2015])</f>
        <v>-7.1054273576010019E-15</v>
      </c>
      <c r="I753" s="2001">
        <f>SUBTOTAL(109,XII.a.Outputs[2020])</f>
        <v>0</v>
      </c>
      <c r="J753" s="2001">
        <f>SUBTOTAL(109,XII.a.Outputs[2025])</f>
        <v>1.0658141036401503E-14</v>
      </c>
      <c r="K753" s="2001">
        <f>SUBTOTAL(109,XII.a.Outputs[2030])</f>
        <v>0</v>
      </c>
      <c r="L753" s="2001">
        <f>SUBTOTAL(109,XII.a.Outputs[2035])</f>
        <v>0</v>
      </c>
      <c r="M753" s="2001">
        <f>SUBTOTAL(109,XII.a.Outputs[2040])</f>
        <v>0</v>
      </c>
      <c r="N753" s="2001">
        <f>SUBTOTAL(109,XII.a.Outputs[2045])</f>
        <v>-1.4210854715202004E-14</v>
      </c>
      <c r="O753" s="2001">
        <f>SUBTOTAL(109,XII.a.Outputs[2050])</f>
        <v>-1.4210854715202004E-14</v>
      </c>
      <c r="P753" s="804"/>
      <c r="Q753" s="1954"/>
      <c r="R753" s="117"/>
      <c r="S753" s="117"/>
      <c r="T753" s="117"/>
      <c r="U753" s="117"/>
    </row>
    <row r="754" spans="1:21" s="1733" customFormat="1" ht="15">
      <c r="A754" s="1954"/>
      <c r="B754" s="805"/>
      <c r="C754" s="541"/>
      <c r="D754" s="541"/>
      <c r="E754" s="541"/>
      <c r="F754" s="1010"/>
      <c r="G754" s="1010"/>
      <c r="H754" s="1010"/>
      <c r="I754" s="1010"/>
      <c r="J754" s="1010"/>
      <c r="K754" s="1010"/>
      <c r="L754" s="1010"/>
      <c r="M754" s="1010"/>
      <c r="N754" s="1010"/>
      <c r="O754" s="1010"/>
      <c r="P754" s="804"/>
      <c r="Q754" s="1954"/>
      <c r="R754" s="1568"/>
      <c r="S754" s="1568"/>
      <c r="T754" s="1568"/>
      <c r="U754" s="1568"/>
    </row>
    <row r="755" spans="1:21" s="526" customFormat="1" ht="15">
      <c r="A755" s="1954"/>
      <c r="B755" s="805"/>
      <c r="C755" s="812" t="s">
        <v>1308</v>
      </c>
      <c r="D755" s="802"/>
      <c r="E755" s="803"/>
      <c r="F755" s="802"/>
      <c r="G755" s="803"/>
      <c r="H755" s="802"/>
      <c r="I755" s="802"/>
      <c r="J755" s="802"/>
      <c r="K755" s="802"/>
      <c r="L755" s="802"/>
      <c r="M755" s="802"/>
      <c r="N755" s="802"/>
      <c r="O755" s="803" t="str">
        <f>Preferences.EnergyUnits</f>
        <v>TWh</v>
      </c>
      <c r="P755" s="804"/>
      <c r="Q755" s="1954"/>
      <c r="R755" s="1568"/>
      <c r="S755" s="1568"/>
      <c r="T755" s="1568"/>
      <c r="U755" s="1568"/>
    </row>
    <row r="756" spans="1:21" s="526" customFormat="1" ht="3" customHeight="1">
      <c r="A756" s="1954"/>
      <c r="B756" s="805"/>
      <c r="C756" s="802"/>
      <c r="D756" s="802"/>
      <c r="E756" s="802"/>
      <c r="F756" s="802"/>
      <c r="G756" s="802"/>
      <c r="H756" s="802"/>
      <c r="I756" s="802"/>
      <c r="J756" s="802"/>
      <c r="K756" s="802"/>
      <c r="L756" s="802"/>
      <c r="M756" s="802"/>
      <c r="N756" s="802"/>
      <c r="O756" s="802"/>
      <c r="P756" s="804"/>
      <c r="Q756" s="1954"/>
      <c r="R756" s="1568"/>
      <c r="S756" s="1568"/>
      <c r="T756" s="1568"/>
      <c r="U756" s="1568"/>
    </row>
    <row r="757" spans="1:21" s="526" customFormat="1" ht="15">
      <c r="A757" s="1954"/>
      <c r="B757" s="805"/>
      <c r="C757" s="813" t="s">
        <v>72</v>
      </c>
      <c r="D757" s="813" t="s">
        <v>399</v>
      </c>
      <c r="E757" s="813" t="s">
        <v>422</v>
      </c>
      <c r="F757" s="813" t="s">
        <v>579</v>
      </c>
      <c r="G757" s="813" t="s">
        <v>580</v>
      </c>
      <c r="H757" s="813" t="s">
        <v>605</v>
      </c>
      <c r="I757" s="813" t="s">
        <v>606</v>
      </c>
      <c r="J757" s="813" t="s">
        <v>607</v>
      </c>
      <c r="K757" s="813" t="s">
        <v>608</v>
      </c>
      <c r="L757" s="813" t="s">
        <v>609</v>
      </c>
      <c r="M757" s="813" t="s">
        <v>610</v>
      </c>
      <c r="N757" s="813" t="s">
        <v>611</v>
      </c>
      <c r="O757" s="813" t="s">
        <v>612</v>
      </c>
      <c r="P757" s="804"/>
      <c r="Q757" s="1954"/>
      <c r="R757" s="1568"/>
      <c r="S757" s="1568"/>
      <c r="T757" s="1568"/>
      <c r="U757" s="1568"/>
    </row>
    <row r="758" spans="1:21" s="526" customFormat="1" ht="15">
      <c r="A758" s="1954"/>
      <c r="B758" s="805"/>
      <c r="C758" s="541" t="s">
        <v>33</v>
      </c>
      <c r="D758" s="541" t="str">
        <f>INDEX(Vectors[Description], MATCH(XII.a.Road.Outputs[Vector], Vectors[Code], 0))</f>
        <v>Road transport</v>
      </c>
      <c r="E758" s="541"/>
      <c r="F758" s="629">
        <f>F732</f>
        <v>403.19918225742038</v>
      </c>
      <c r="G758" s="629">
        <f t="shared" ref="G758:O758" si="218">G732</f>
        <v>367.6671269467941</v>
      </c>
      <c r="H758" s="629">
        <f t="shared" si="218"/>
        <v>322.10043021139415</v>
      </c>
      <c r="I758" s="629">
        <f t="shared" si="218"/>
        <v>284.30650008121034</v>
      </c>
      <c r="J758" s="629">
        <f t="shared" si="218"/>
        <v>209.92178161372891</v>
      </c>
      <c r="K758" s="629">
        <f t="shared" si="218"/>
        <v>146.60100316803931</v>
      </c>
      <c r="L758" s="629">
        <f t="shared" si="218"/>
        <v>132.3739971375513</v>
      </c>
      <c r="M758" s="629">
        <f t="shared" si="218"/>
        <v>118.13352348139722</v>
      </c>
      <c r="N758" s="629">
        <f t="shared" si="218"/>
        <v>101.25224368356618</v>
      </c>
      <c r="O758" s="629">
        <f t="shared" si="218"/>
        <v>86.547784551482309</v>
      </c>
      <c r="P758" s="804"/>
      <c r="Q758" s="1954"/>
      <c r="R758" s="1568"/>
      <c r="S758" s="1568"/>
      <c r="T758" s="1568"/>
      <c r="U758" s="1568"/>
    </row>
    <row r="759" spans="1:21" s="526" customFormat="1" ht="15">
      <c r="A759" s="1954"/>
      <c r="B759" s="805"/>
      <c r="C759" s="541" t="s">
        <v>44</v>
      </c>
      <c r="D759" s="541" t="str">
        <f>INDEX(Vectors[Description], MATCH(XII.a.Road.Outputs[Vector], Vectors[Code], 0))</f>
        <v>Liquid hydrocarbons</v>
      </c>
      <c r="E759" s="541"/>
      <c r="F759" s="629">
        <f>-SUM(F687:F694)</f>
        <v>-403.19918225742038</v>
      </c>
      <c r="G759" s="629">
        <f t="shared" ref="G759:O759" si="219">-SUM(G687:G694)</f>
        <v>-367.6671269467941</v>
      </c>
      <c r="H759" s="629">
        <f t="shared" si="219"/>
        <v>-320.90982784146746</v>
      </c>
      <c r="I759" s="629">
        <f t="shared" si="219"/>
        <v>-281.98924346644185</v>
      </c>
      <c r="J759" s="629">
        <f t="shared" si="219"/>
        <v>-193.13459788674925</v>
      </c>
      <c r="K759" s="629">
        <f t="shared" si="219"/>
        <v>-117.57781131276492</v>
      </c>
      <c r="L759" s="629">
        <f t="shared" si="219"/>
        <v>-102.60616139901786</v>
      </c>
      <c r="M759" s="629">
        <f t="shared" si="219"/>
        <v>-87.945027378904726</v>
      </c>
      <c r="N759" s="629">
        <f t="shared" si="219"/>
        <v>-67.956741057634559</v>
      </c>
      <c r="O759" s="629">
        <f t="shared" si="219"/>
        <v>-50.18504303714505</v>
      </c>
      <c r="P759" s="804"/>
      <c r="Q759" s="1954"/>
      <c r="R759" s="1568"/>
      <c r="S759" s="1568"/>
      <c r="T759" s="1568"/>
      <c r="U759" s="1568"/>
    </row>
    <row r="760" spans="1:21" s="1733" customFormat="1" ht="15">
      <c r="A760" s="1954"/>
      <c r="B760" s="805"/>
      <c r="C760" s="541" t="s">
        <v>40</v>
      </c>
      <c r="D760" s="541" t="str">
        <f>INDEX(Vectors[Description], MATCH(XII.a.Road.Outputs[Vector], Vectors[Code], 0))</f>
        <v>Electricity (delivered to end user)</v>
      </c>
      <c r="E760" s="541"/>
      <c r="F760" s="629">
        <f>-SUM(F702:F709)</f>
        <v>0</v>
      </c>
      <c r="G760" s="629">
        <f t="shared" ref="G760:O760" si="220">-SUM(G702:G709)</f>
        <v>0</v>
      </c>
      <c r="H760" s="629">
        <f t="shared" si="220"/>
        <v>-1.1906023699266675</v>
      </c>
      <c r="I760" s="629">
        <f t="shared" si="220"/>
        <v>-2.3172566147684872</v>
      </c>
      <c r="J760" s="629">
        <f t="shared" si="220"/>
        <v>-16.787183726979649</v>
      </c>
      <c r="K760" s="629">
        <f t="shared" si="220"/>
        <v>-29.023191855274394</v>
      </c>
      <c r="L760" s="629">
        <f t="shared" si="220"/>
        <v>-29.767835738533446</v>
      </c>
      <c r="M760" s="629">
        <f t="shared" si="220"/>
        <v>-30.1884961024925</v>
      </c>
      <c r="N760" s="629">
        <f t="shared" si="220"/>
        <v>-33.295502625931626</v>
      </c>
      <c r="O760" s="629">
        <f t="shared" si="220"/>
        <v>-36.362741514337259</v>
      </c>
      <c r="P760" s="804"/>
      <c r="Q760" s="1954"/>
      <c r="R760" s="1568"/>
      <c r="S760" s="1568"/>
      <c r="T760" s="1568"/>
      <c r="U760" s="1568"/>
    </row>
    <row r="761" spans="1:21" s="526" customFormat="1" ht="15">
      <c r="A761" s="1954"/>
      <c r="B761" s="805"/>
      <c r="C761" s="541" t="s">
        <v>985</v>
      </c>
      <c r="D761" s="541" t="str">
        <f>INDEX(Vectors[Description], MATCH(XII.a.Road.Outputs[Vector], Vectors[Code], 0))</f>
        <v>H2</v>
      </c>
      <c r="E761" s="541"/>
      <c r="F761" s="629">
        <f>-SUM(F717:F724)</f>
        <v>0</v>
      </c>
      <c r="G761" s="629">
        <f t="shared" ref="G761:O761" si="221">-SUM(G717:G724)</f>
        <v>0</v>
      </c>
      <c r="H761" s="629">
        <f t="shared" si="221"/>
        <v>0</v>
      </c>
      <c r="I761" s="629">
        <f t="shared" si="221"/>
        <v>0</v>
      </c>
      <c r="J761" s="629">
        <f t="shared" si="221"/>
        <v>0</v>
      </c>
      <c r="K761" s="629">
        <f t="shared" si="221"/>
        <v>0</v>
      </c>
      <c r="L761" s="629">
        <f t="shared" si="221"/>
        <v>0</v>
      </c>
      <c r="M761" s="629">
        <f t="shared" si="221"/>
        <v>0</v>
      </c>
      <c r="N761" s="629">
        <f t="shared" si="221"/>
        <v>0</v>
      </c>
      <c r="O761" s="629">
        <f t="shared" si="221"/>
        <v>0</v>
      </c>
      <c r="P761" s="804"/>
      <c r="Q761" s="1954"/>
      <c r="R761" s="1568"/>
      <c r="S761" s="1568"/>
      <c r="T761" s="1568"/>
      <c r="U761" s="1568"/>
    </row>
    <row r="762" spans="1:21" s="526" customFormat="1" ht="15">
      <c r="A762" s="1954"/>
      <c r="B762" s="805"/>
      <c r="C762" s="541" t="s">
        <v>132</v>
      </c>
      <c r="D762" s="541"/>
      <c r="E762" s="541"/>
      <c r="F762" s="2001">
        <f>SUBTOTAL(109,XII.a.Road.Outputs[2007])</f>
        <v>0</v>
      </c>
      <c r="G762" s="2001">
        <f>SUBTOTAL(109,XII.a.Road.Outputs[2010])</f>
        <v>0</v>
      </c>
      <c r="H762" s="2001">
        <f>SUBTOTAL(109,XII.a.Road.Outputs[2015])</f>
        <v>2.6423307986078726E-14</v>
      </c>
      <c r="I762" s="2001">
        <f>SUBTOTAL(109,XII.a.Road.Outputs[2020])</f>
        <v>8.8817841970012523E-15</v>
      </c>
      <c r="J762" s="2001">
        <f>SUBTOTAL(109,XII.a.Road.Outputs[2025])</f>
        <v>1.4210854715202004E-14</v>
      </c>
      <c r="K762" s="2001">
        <f>SUBTOTAL(109,XII.a.Road.Outputs[2030])</f>
        <v>-3.5527136788005009E-15</v>
      </c>
      <c r="L762" s="2001">
        <f>SUBTOTAL(109,XII.a.Road.Outputs[2035])</f>
        <v>-1.0658141036401503E-14</v>
      </c>
      <c r="M762" s="2001">
        <f>SUBTOTAL(109,XII.a.Road.Outputs[2040])</f>
        <v>-7.1054273576010019E-15</v>
      </c>
      <c r="N762" s="2001">
        <f>SUBTOTAL(109,XII.a.Road.Outputs[2045])</f>
        <v>-7.1054273576010019E-15</v>
      </c>
      <c r="O762" s="2001">
        <f>SUBTOTAL(109,XII.a.Road.Outputs[2050])</f>
        <v>0</v>
      </c>
      <c r="P762" s="804"/>
      <c r="Q762" s="1954"/>
      <c r="R762" s="1568"/>
      <c r="S762" s="1568"/>
      <c r="T762" s="1568"/>
      <c r="U762" s="1568"/>
    </row>
    <row r="763" spans="1:21" s="526" customFormat="1" ht="15">
      <c r="A763" s="1954"/>
      <c r="B763" s="805"/>
      <c r="C763" s="541"/>
      <c r="D763" s="541"/>
      <c r="E763" s="541"/>
      <c r="F763" s="1010"/>
      <c r="G763" s="1010"/>
      <c r="H763" s="1010"/>
      <c r="I763" s="1010"/>
      <c r="J763" s="1010"/>
      <c r="K763" s="1010"/>
      <c r="L763" s="1010"/>
      <c r="M763" s="1010"/>
      <c r="N763" s="1010"/>
      <c r="O763" s="1010"/>
      <c r="P763" s="804"/>
      <c r="Q763" s="1954"/>
      <c r="R763" s="1568"/>
      <c r="S763" s="1568"/>
      <c r="T763" s="1568"/>
      <c r="U763" s="1568"/>
    </row>
    <row r="764" spans="1:21" s="526" customFormat="1" ht="15">
      <c r="A764" s="1954"/>
      <c r="B764" s="805"/>
      <c r="C764" s="812" t="s">
        <v>1309</v>
      </c>
      <c r="D764" s="802"/>
      <c r="E764" s="803"/>
      <c r="F764" s="802"/>
      <c r="G764" s="803"/>
      <c r="H764" s="802"/>
      <c r="I764" s="802"/>
      <c r="J764" s="802"/>
      <c r="K764" s="802"/>
      <c r="L764" s="802"/>
      <c r="M764" s="802"/>
      <c r="N764" s="802"/>
      <c r="O764" s="803" t="str">
        <f>Preferences.EnergyUnits</f>
        <v>TWh</v>
      </c>
      <c r="P764" s="804"/>
      <c r="Q764" s="1954"/>
      <c r="R764" s="1568"/>
      <c r="S764" s="1568"/>
      <c r="T764" s="1568"/>
      <c r="U764" s="1568"/>
    </row>
    <row r="765" spans="1:21" s="526" customFormat="1" ht="3" customHeight="1">
      <c r="A765" s="1954"/>
      <c r="B765" s="805"/>
      <c r="C765" s="802"/>
      <c r="D765" s="802"/>
      <c r="E765" s="802"/>
      <c r="F765" s="802"/>
      <c r="G765" s="802"/>
      <c r="H765" s="802"/>
      <c r="I765" s="802"/>
      <c r="J765" s="802"/>
      <c r="K765" s="802"/>
      <c r="L765" s="802"/>
      <c r="M765" s="802"/>
      <c r="N765" s="802"/>
      <c r="O765" s="802"/>
      <c r="P765" s="804"/>
      <c r="Q765" s="1954"/>
      <c r="R765" s="1568"/>
      <c r="S765" s="1568"/>
      <c r="T765" s="1568"/>
      <c r="U765" s="1568"/>
    </row>
    <row r="766" spans="1:21" s="526" customFormat="1" ht="15">
      <c r="A766" s="1954"/>
      <c r="B766" s="805"/>
      <c r="C766" s="813" t="s">
        <v>72</v>
      </c>
      <c r="D766" s="813" t="s">
        <v>399</v>
      </c>
      <c r="E766" s="813" t="s">
        <v>422</v>
      </c>
      <c r="F766" s="813" t="s">
        <v>579</v>
      </c>
      <c r="G766" s="813" t="s">
        <v>580</v>
      </c>
      <c r="H766" s="813" t="s">
        <v>605</v>
      </c>
      <c r="I766" s="813" t="s">
        <v>606</v>
      </c>
      <c r="J766" s="813" t="s">
        <v>607</v>
      </c>
      <c r="K766" s="813" t="s">
        <v>608</v>
      </c>
      <c r="L766" s="813" t="s">
        <v>609</v>
      </c>
      <c r="M766" s="813" t="s">
        <v>610</v>
      </c>
      <c r="N766" s="813" t="s">
        <v>611</v>
      </c>
      <c r="O766" s="813" t="s">
        <v>612</v>
      </c>
      <c r="P766" s="804"/>
      <c r="Q766" s="1954"/>
      <c r="R766" s="1568"/>
      <c r="S766" s="1568"/>
      <c r="T766" s="1568"/>
      <c r="U766" s="1568"/>
    </row>
    <row r="767" spans="1:21" s="526" customFormat="1" ht="15">
      <c r="A767" s="1954"/>
      <c r="B767" s="805"/>
      <c r="C767" s="541" t="s">
        <v>34</v>
      </c>
      <c r="D767" s="541" t="str">
        <f>INDEX(Vectors[Description], MATCH(XII.a.Rail.Outputs[Vector], Vectors[Code], 0))</f>
        <v>Rail transport</v>
      </c>
      <c r="E767" s="541"/>
      <c r="F767" s="629">
        <f t="shared" ref="F767:O767" si="222">F733+F$173</f>
        <v>13.441593847982816</v>
      </c>
      <c r="G767" s="629">
        <f t="shared" si="222"/>
        <v>15.493376265602462</v>
      </c>
      <c r="H767" s="629">
        <f t="shared" si="222"/>
        <v>15.356583153044728</v>
      </c>
      <c r="I767" s="629">
        <f t="shared" si="222"/>
        <v>14.539286330641144</v>
      </c>
      <c r="J767" s="629">
        <f t="shared" si="222"/>
        <v>14.349081988944693</v>
      </c>
      <c r="K767" s="629">
        <f t="shared" si="222"/>
        <v>13.639323285407754</v>
      </c>
      <c r="L767" s="629">
        <f t="shared" si="222"/>
        <v>13.100203031547739</v>
      </c>
      <c r="M767" s="629">
        <f t="shared" si="222"/>
        <v>12.478652574277991</v>
      </c>
      <c r="N767" s="629">
        <f t="shared" si="222"/>
        <v>11.868752540714544</v>
      </c>
      <c r="O767" s="629">
        <f t="shared" si="222"/>
        <v>11.278866398533626</v>
      </c>
      <c r="P767" s="804"/>
      <c r="Q767" s="1954"/>
      <c r="R767" s="1568"/>
      <c r="S767" s="1568"/>
      <c r="T767" s="1568"/>
      <c r="U767" s="1568"/>
    </row>
    <row r="768" spans="1:21" s="526" customFormat="1" ht="15">
      <c r="A768" s="1954"/>
      <c r="B768" s="805"/>
      <c r="C768" s="541" t="s">
        <v>44</v>
      </c>
      <c r="D768" s="541" t="str">
        <f>INDEX(Vectors[Description], MATCH(XII.a.Rail.Outputs[Vector], Vectors[Code], 0))</f>
        <v>Liquid hydrocarbons</v>
      </c>
      <c r="E768" s="541"/>
      <c r="F768" s="629">
        <f>-SUM(F695:F696)</f>
        <v>-4.8612013908482687</v>
      </c>
      <c r="G768" s="629">
        <f t="shared" ref="G768:O768" si="223">-SUM(G695:G696)</f>
        <v>-7.3386794965478961</v>
      </c>
      <c r="H768" s="629">
        <f t="shared" si="223"/>
        <v>-7.2163248350508828</v>
      </c>
      <c r="I768" s="629">
        <f t="shared" si="223"/>
        <v>-5.9237698180734393</v>
      </c>
      <c r="J768" s="629">
        <f t="shared" si="223"/>
        <v>-5.6034462643177543</v>
      </c>
      <c r="K768" s="629">
        <f t="shared" si="223"/>
        <v>-4.6716076950305965</v>
      </c>
      <c r="L768" s="629">
        <f t="shared" si="223"/>
        <v>-4.0242570157891882</v>
      </c>
      <c r="M768" s="629">
        <f t="shared" si="223"/>
        <v>-3.3607017683819618</v>
      </c>
      <c r="N768" s="629">
        <f t="shared" si="223"/>
        <v>-2.731617790421796</v>
      </c>
      <c r="O768" s="629">
        <f t="shared" si="223"/>
        <v>-2.1440639134116957</v>
      </c>
      <c r="P768" s="804"/>
      <c r="Q768" s="1954"/>
      <c r="R768" s="1568"/>
      <c r="S768" s="1568"/>
      <c r="T768" s="1568"/>
      <c r="U768" s="1568"/>
    </row>
    <row r="769" spans="1:23" s="526" customFormat="1" ht="15">
      <c r="A769" s="1954"/>
      <c r="B769" s="805"/>
      <c r="C769" s="541" t="s">
        <v>40</v>
      </c>
      <c r="D769" s="541" t="str">
        <f>INDEX(Vectors[Description], MATCH(XII.a.Rail.Outputs[Vector], Vectors[Code], 0))</f>
        <v>Electricity (delivered to end user)</v>
      </c>
      <c r="E769" s="541"/>
      <c r="F769" s="629">
        <f t="shared" ref="F769:O769" si="224">-(SUM(F710:F711)+F173)</f>
        <v>-8.5803924571345469</v>
      </c>
      <c r="G769" s="629">
        <f t="shared" si="224"/>
        <v>-8.1546967690545671</v>
      </c>
      <c r="H769" s="629">
        <f t="shared" si="224"/>
        <v>-8.1402583179938457</v>
      </c>
      <c r="I769" s="629">
        <f t="shared" si="224"/>
        <v>-8.6155165125677051</v>
      </c>
      <c r="J769" s="629">
        <f t="shared" si="224"/>
        <v>-8.7456357246269398</v>
      </c>
      <c r="K769" s="629">
        <f t="shared" si="224"/>
        <v>-8.967715590377157</v>
      </c>
      <c r="L769" s="629">
        <f t="shared" si="224"/>
        <v>-9.0759460157585501</v>
      </c>
      <c r="M769" s="629">
        <f t="shared" si="224"/>
        <v>-9.1179508058960295</v>
      </c>
      <c r="N769" s="629">
        <f t="shared" si="224"/>
        <v>-9.1371347502927485</v>
      </c>
      <c r="O769" s="629">
        <f t="shared" si="224"/>
        <v>-9.1348024851219307</v>
      </c>
      <c r="P769" s="804"/>
      <c r="Q769" s="1954"/>
      <c r="R769" s="1568"/>
      <c r="S769" s="1568"/>
      <c r="T769" s="1568"/>
      <c r="U769" s="1568"/>
    </row>
    <row r="770" spans="1:23" s="526" customFormat="1" ht="15">
      <c r="A770" s="1954"/>
      <c r="B770" s="805"/>
      <c r="C770" s="541" t="s">
        <v>985</v>
      </c>
      <c r="D770" s="541" t="str">
        <f>INDEX(Vectors[Description], MATCH(XII.a.Rail.Outputs[Vector], Vectors[Code], 0))</f>
        <v>H2</v>
      </c>
      <c r="E770" s="541"/>
      <c r="F770" s="629">
        <v>0</v>
      </c>
      <c r="G770" s="629">
        <v>0</v>
      </c>
      <c r="H770" s="629">
        <v>0</v>
      </c>
      <c r="I770" s="629">
        <v>0</v>
      </c>
      <c r="J770" s="629">
        <v>0</v>
      </c>
      <c r="K770" s="629">
        <v>0</v>
      </c>
      <c r="L770" s="629">
        <v>0</v>
      </c>
      <c r="M770" s="629">
        <v>0</v>
      </c>
      <c r="N770" s="629">
        <v>0</v>
      </c>
      <c r="O770" s="629">
        <v>0</v>
      </c>
      <c r="P770" s="804"/>
      <c r="Q770" s="1954"/>
      <c r="R770" s="1568"/>
      <c r="S770" s="1568"/>
      <c r="T770" s="1568"/>
      <c r="U770" s="1568"/>
    </row>
    <row r="771" spans="1:23" s="526" customFormat="1" ht="15">
      <c r="A771" s="1954"/>
      <c r="B771" s="805"/>
      <c r="C771" s="541" t="s">
        <v>132</v>
      </c>
      <c r="D771" s="541"/>
      <c r="E771" s="541"/>
      <c r="F771" s="2001">
        <f>SUBTOTAL(109,XII.a.Rail.Outputs[2007])</f>
        <v>0</v>
      </c>
      <c r="G771" s="2001">
        <f>SUBTOTAL(109,XII.a.Rail.Outputs[2010])</f>
        <v>0</v>
      </c>
      <c r="H771" s="2001">
        <f>SUBTOTAL(109,XII.a.Rail.Outputs[2015])</f>
        <v>-1.7763568394002505E-15</v>
      </c>
      <c r="I771" s="2001">
        <f>SUBTOTAL(109,XII.a.Rail.Outputs[2020])</f>
        <v>0</v>
      </c>
      <c r="J771" s="2001">
        <f>SUBTOTAL(109,XII.a.Rail.Outputs[2025])</f>
        <v>0</v>
      </c>
      <c r="K771" s="2001">
        <f>SUBTOTAL(109,XII.a.Rail.Outputs[2030])</f>
        <v>0</v>
      </c>
      <c r="L771" s="2001">
        <f>SUBTOTAL(109,XII.a.Rail.Outputs[2035])</f>
        <v>0</v>
      </c>
      <c r="M771" s="2001">
        <f>SUBTOTAL(109,XII.a.Rail.Outputs[2040])</f>
        <v>0</v>
      </c>
      <c r="N771" s="2001">
        <f>SUBTOTAL(109,XII.a.Rail.Outputs[2045])</f>
        <v>0</v>
      </c>
      <c r="O771" s="2001">
        <f>SUBTOTAL(109,XII.a.Rail.Outputs[2050])</f>
        <v>0</v>
      </c>
      <c r="P771" s="804"/>
      <c r="Q771" s="1954"/>
      <c r="R771" s="1568"/>
      <c r="S771" s="1568"/>
      <c r="T771" s="1568"/>
      <c r="U771" s="1568"/>
    </row>
    <row r="772" spans="1:23" s="1733" customFormat="1" ht="15">
      <c r="A772" s="1954"/>
      <c r="B772" s="805"/>
      <c r="C772" s="541"/>
      <c r="D772" s="541"/>
      <c r="E772" s="541"/>
      <c r="F772" s="1010"/>
      <c r="G772" s="1010"/>
      <c r="H772" s="1010"/>
      <c r="I772" s="1010"/>
      <c r="J772" s="1010"/>
      <c r="K772" s="1010"/>
      <c r="L772" s="1010"/>
      <c r="M772" s="1010"/>
      <c r="N772" s="1010"/>
      <c r="O772" s="1010"/>
      <c r="P772" s="804"/>
      <c r="Q772" s="1954"/>
      <c r="R772" s="1568"/>
      <c r="S772" s="1568"/>
      <c r="T772" s="1568"/>
      <c r="U772" s="1568"/>
    </row>
    <row r="773" spans="1:23" s="526" customFormat="1" ht="15">
      <c r="A773" s="1954"/>
      <c r="B773" s="805"/>
      <c r="C773" s="812" t="s">
        <v>1310</v>
      </c>
      <c r="D773" s="802"/>
      <c r="E773" s="803"/>
      <c r="F773" s="802"/>
      <c r="G773" s="803"/>
      <c r="H773" s="802"/>
      <c r="I773" s="802"/>
      <c r="J773" s="802"/>
      <c r="K773" s="802"/>
      <c r="L773" s="802"/>
      <c r="M773" s="802"/>
      <c r="N773" s="802"/>
      <c r="O773" s="803" t="str">
        <f>Preferences.EnergyUnits</f>
        <v>TWh</v>
      </c>
      <c r="P773" s="804"/>
      <c r="Q773" s="1954"/>
      <c r="R773" s="1568"/>
      <c r="S773" s="1568"/>
      <c r="T773" s="1568"/>
      <c r="U773" s="1568"/>
    </row>
    <row r="774" spans="1:23" s="526" customFormat="1" ht="4.5" customHeight="1">
      <c r="A774" s="1954"/>
      <c r="B774" s="805"/>
      <c r="C774" s="802"/>
      <c r="D774" s="802"/>
      <c r="E774" s="802"/>
      <c r="F774" s="802"/>
      <c r="G774" s="802"/>
      <c r="H774" s="802"/>
      <c r="I774" s="802"/>
      <c r="J774" s="802"/>
      <c r="K774" s="802"/>
      <c r="L774" s="802"/>
      <c r="M774" s="802"/>
      <c r="N774" s="802"/>
      <c r="O774" s="802"/>
      <c r="P774" s="804"/>
      <c r="Q774" s="1954"/>
      <c r="R774" s="1568"/>
      <c r="S774" s="1568"/>
      <c r="T774" s="1568"/>
      <c r="U774" s="1568"/>
    </row>
    <row r="775" spans="1:23" s="526" customFormat="1" ht="15">
      <c r="A775" s="1954"/>
      <c r="B775" s="805"/>
      <c r="C775" s="813" t="s">
        <v>72</v>
      </c>
      <c r="D775" s="813" t="s">
        <v>399</v>
      </c>
      <c r="E775" s="813" t="s">
        <v>422</v>
      </c>
      <c r="F775" s="813" t="s">
        <v>579</v>
      </c>
      <c r="G775" s="813" t="s">
        <v>580</v>
      </c>
      <c r="H775" s="813" t="s">
        <v>605</v>
      </c>
      <c r="I775" s="813" t="s">
        <v>606</v>
      </c>
      <c r="J775" s="813" t="s">
        <v>607</v>
      </c>
      <c r="K775" s="813" t="s">
        <v>608</v>
      </c>
      <c r="L775" s="813" t="s">
        <v>609</v>
      </c>
      <c r="M775" s="813" t="s">
        <v>610</v>
      </c>
      <c r="N775" s="813" t="s">
        <v>611</v>
      </c>
      <c r="O775" s="813" t="s">
        <v>612</v>
      </c>
      <c r="P775" s="804"/>
      <c r="Q775" s="1954"/>
      <c r="R775" s="1044"/>
      <c r="S775" s="1044"/>
      <c r="T775" s="1044"/>
      <c r="U775" s="1044"/>
      <c r="V775" s="1795"/>
      <c r="W775" s="1795"/>
    </row>
    <row r="776" spans="1:23" s="526" customFormat="1" ht="15">
      <c r="A776" s="1954"/>
      <c r="B776" s="805"/>
      <c r="C776" s="541" t="s">
        <v>35</v>
      </c>
      <c r="D776" s="541" t="str">
        <f>INDEX(Vectors[Description], MATCH(XII.a.Aviation.Outputs[Vector], Vectors[Code], 0))</f>
        <v>Domestic aviation</v>
      </c>
      <c r="E776" s="541"/>
      <c r="F776" s="629">
        <f>F734</f>
        <v>9.0198346087095516</v>
      </c>
      <c r="G776" s="1434">
        <f t="shared" ref="G776:O776" si="225">G734</f>
        <v>9.4371304209734994</v>
      </c>
      <c r="H776" s="629">
        <f t="shared" si="225"/>
        <v>10.043448539389448</v>
      </c>
      <c r="I776" s="629">
        <f t="shared" si="225"/>
        <v>10.86602897688554</v>
      </c>
      <c r="J776" s="629">
        <f t="shared" si="225"/>
        <v>11.616843320399934</v>
      </c>
      <c r="K776" s="629">
        <f t="shared" si="225"/>
        <v>12.179196308214529</v>
      </c>
      <c r="L776" s="629">
        <f t="shared" si="225"/>
        <v>12.682054831349237</v>
      </c>
      <c r="M776" s="629">
        <f t="shared" si="225"/>
        <v>13.017769004412454</v>
      </c>
      <c r="N776" s="629">
        <f t="shared" si="225"/>
        <v>13.303419433940144</v>
      </c>
      <c r="O776" s="629">
        <f t="shared" si="225"/>
        <v>13.546832091915194</v>
      </c>
      <c r="P776" s="804"/>
      <c r="Q776" s="1954"/>
      <c r="R776" s="1044"/>
      <c r="S776" s="1044"/>
      <c r="T776" s="1044"/>
      <c r="U776" s="1044"/>
      <c r="V776" s="1795"/>
      <c r="W776" s="1795"/>
    </row>
    <row r="777" spans="1:23" s="526" customFormat="1" ht="15">
      <c r="A777" s="1954"/>
      <c r="B777" s="805"/>
      <c r="C777" s="541" t="s">
        <v>44</v>
      </c>
      <c r="D777" s="541" t="str">
        <f>INDEX(Vectors[Description], MATCH(XII.a.Aviation.Outputs[Vector], Vectors[Code], 0))</f>
        <v>Liquid hydrocarbons</v>
      </c>
      <c r="E777" s="541"/>
      <c r="F777" s="629">
        <f>-F697</f>
        <v>-9.0198346087095516</v>
      </c>
      <c r="G777" s="629">
        <f t="shared" ref="G777:O777" si="226">-G697</f>
        <v>-9.4371304209734994</v>
      </c>
      <c r="H777" s="629">
        <f t="shared" si="226"/>
        <v>-10.043448539389448</v>
      </c>
      <c r="I777" s="629">
        <f t="shared" si="226"/>
        <v>-10.86602897688554</v>
      </c>
      <c r="J777" s="629">
        <f t="shared" si="226"/>
        <v>-11.616843320399934</v>
      </c>
      <c r="K777" s="629">
        <f t="shared" si="226"/>
        <v>-12.179196308214529</v>
      </c>
      <c r="L777" s="629">
        <f t="shared" si="226"/>
        <v>-12.682054831349237</v>
      </c>
      <c r="M777" s="629">
        <f t="shared" si="226"/>
        <v>-13.017769004412454</v>
      </c>
      <c r="N777" s="629">
        <f t="shared" si="226"/>
        <v>-13.303419433940144</v>
      </c>
      <c r="O777" s="629">
        <f t="shared" si="226"/>
        <v>-13.546832091915194</v>
      </c>
      <c r="P777" s="804"/>
      <c r="Q777" s="1954"/>
      <c r="R777" s="1044"/>
      <c r="S777" s="1044"/>
      <c r="T777" s="1044"/>
      <c r="U777" s="1044"/>
      <c r="V777" s="1795"/>
      <c r="W777" s="1795"/>
    </row>
    <row r="778" spans="1:23" s="1733" customFormat="1" ht="15">
      <c r="A778" s="1954"/>
      <c r="B778" s="805"/>
      <c r="C778" s="541" t="s">
        <v>40</v>
      </c>
      <c r="D778" s="541" t="str">
        <f>INDEX(Vectors[Description], MATCH(XII.a.Aviation.Outputs[Vector], Vectors[Code], 0))</f>
        <v>Electricity (delivered to end user)</v>
      </c>
      <c r="E778" s="541"/>
      <c r="F778" s="629">
        <v>0</v>
      </c>
      <c r="G778" s="629">
        <v>0</v>
      </c>
      <c r="H778" s="629">
        <v>0</v>
      </c>
      <c r="I778" s="629">
        <v>0</v>
      </c>
      <c r="J778" s="629">
        <v>0</v>
      </c>
      <c r="K778" s="629">
        <v>0</v>
      </c>
      <c r="L778" s="629">
        <v>0</v>
      </c>
      <c r="M778" s="629">
        <v>0</v>
      </c>
      <c r="N778" s="629">
        <v>0</v>
      </c>
      <c r="O778" s="629">
        <v>0</v>
      </c>
      <c r="P778" s="804"/>
      <c r="Q778" s="1954"/>
      <c r="R778" s="1044"/>
      <c r="S778" s="1044"/>
      <c r="T778" s="1044"/>
      <c r="U778" s="1044"/>
      <c r="V778" s="1795"/>
      <c r="W778" s="1795"/>
    </row>
    <row r="779" spans="1:23" s="526" customFormat="1" ht="15">
      <c r="A779" s="1954"/>
      <c r="B779" s="805"/>
      <c r="C779" s="541" t="s">
        <v>985</v>
      </c>
      <c r="D779" s="541" t="str">
        <f>INDEX(Vectors[Description], MATCH(XII.a.Aviation.Outputs[Vector], Vectors[Code], 0))</f>
        <v>H2</v>
      </c>
      <c r="E779" s="541"/>
      <c r="F779" s="629">
        <v>0</v>
      </c>
      <c r="G779" s="629">
        <v>0</v>
      </c>
      <c r="H779" s="629">
        <v>0</v>
      </c>
      <c r="I779" s="629">
        <v>0</v>
      </c>
      <c r="J779" s="629">
        <v>0</v>
      </c>
      <c r="K779" s="629">
        <v>0</v>
      </c>
      <c r="L779" s="629">
        <v>0</v>
      </c>
      <c r="M779" s="629">
        <v>0</v>
      </c>
      <c r="N779" s="629">
        <v>0</v>
      </c>
      <c r="O779" s="629">
        <v>0</v>
      </c>
      <c r="P779" s="804"/>
      <c r="Q779" s="1954"/>
      <c r="R779" s="1044"/>
      <c r="S779" s="1044"/>
      <c r="T779" s="1044"/>
      <c r="U779" s="1044"/>
      <c r="V779" s="1795"/>
      <c r="W779" s="1795"/>
    </row>
    <row r="780" spans="1:23" s="526" customFormat="1" ht="15">
      <c r="A780" s="1954"/>
      <c r="B780" s="805"/>
      <c r="C780" s="541" t="s">
        <v>132</v>
      </c>
      <c r="D780" s="541"/>
      <c r="E780" s="541"/>
      <c r="F780" s="2001">
        <f>SUBTOTAL(109,XII.a.Aviation.Outputs[2007])</f>
        <v>0</v>
      </c>
      <c r="G780" s="2001">
        <f>SUBTOTAL(109,XII.a.Aviation.Outputs[2010])</f>
        <v>0</v>
      </c>
      <c r="H780" s="2001">
        <f>SUBTOTAL(109,XII.a.Aviation.Outputs[2015])</f>
        <v>0</v>
      </c>
      <c r="I780" s="2001">
        <f>SUBTOTAL(109,XII.a.Aviation.Outputs[2020])</f>
        <v>0</v>
      </c>
      <c r="J780" s="2001">
        <f>SUBTOTAL(109,XII.a.Aviation.Outputs[2025])</f>
        <v>0</v>
      </c>
      <c r="K780" s="2001">
        <f>SUBTOTAL(109,XII.a.Aviation.Outputs[2030])</f>
        <v>0</v>
      </c>
      <c r="L780" s="2001">
        <f>SUBTOTAL(109,XII.a.Aviation.Outputs[2035])</f>
        <v>0</v>
      </c>
      <c r="M780" s="2001">
        <f>SUBTOTAL(109,XII.a.Aviation.Outputs[2040])</f>
        <v>0</v>
      </c>
      <c r="N780" s="2001">
        <f>SUBTOTAL(109,XII.a.Aviation.Outputs[2045])</f>
        <v>0</v>
      </c>
      <c r="O780" s="2001">
        <f>SUBTOTAL(109,XII.a.Aviation.Outputs[2050])</f>
        <v>0</v>
      </c>
      <c r="P780" s="804"/>
      <c r="Q780" s="1954"/>
      <c r="R780" s="1044"/>
      <c r="S780" s="1044"/>
      <c r="T780" s="1355"/>
      <c r="U780" s="1044"/>
      <c r="V780" s="1795"/>
      <c r="W780" s="1795"/>
    </row>
    <row r="781" spans="1:23" s="526" customFormat="1" ht="15">
      <c r="A781" s="3"/>
      <c r="B781" s="806"/>
      <c r="C781" s="807"/>
      <c r="D781" s="807"/>
      <c r="E781" s="807"/>
      <c r="F781" s="807"/>
      <c r="G781" s="807"/>
      <c r="H781" s="807"/>
      <c r="I781" s="807"/>
      <c r="J781" s="807"/>
      <c r="K781" s="807"/>
      <c r="L781" s="807"/>
      <c r="M781" s="807"/>
      <c r="N781" s="807"/>
      <c r="O781" s="807"/>
      <c r="P781" s="809"/>
      <c r="Q781" s="1954"/>
      <c r="R781" s="1044"/>
      <c r="S781" s="1044"/>
      <c r="T781" s="1355"/>
      <c r="U781" s="1044"/>
      <c r="V781" s="1795"/>
      <c r="W781" s="1795"/>
    </row>
    <row r="782" spans="1:23" s="526" customFormat="1" ht="16.5" customHeight="1">
      <c r="A782" s="3"/>
      <c r="B782" s="1954"/>
      <c r="C782" s="1954"/>
      <c r="D782" s="1954"/>
      <c r="E782" s="1954"/>
      <c r="F782" s="1954"/>
      <c r="G782" s="1954"/>
      <c r="H782" s="1954"/>
      <c r="I782" s="1954"/>
      <c r="J782" s="1954"/>
      <c r="K782" s="1954"/>
      <c r="L782" s="1954"/>
      <c r="M782" s="1954"/>
      <c r="N782" s="1954"/>
      <c r="O782" s="1954"/>
      <c r="P782" s="1954"/>
      <c r="Q782" s="1954"/>
      <c r="R782" s="1044"/>
      <c r="S782" s="1044"/>
      <c r="T782" s="1355"/>
      <c r="U782" s="1044"/>
      <c r="V782" s="1795"/>
      <c r="W782" s="1795"/>
    </row>
    <row r="783" spans="1:23" s="526" customFormat="1" ht="15">
      <c r="A783" s="1954"/>
      <c r="B783" s="846" t="s">
        <v>670</v>
      </c>
      <c r="C783" s="822"/>
      <c r="D783" s="823"/>
      <c r="E783" s="823"/>
      <c r="F783" s="823"/>
      <c r="G783" s="823"/>
      <c r="H783" s="823"/>
      <c r="I783" s="823"/>
      <c r="J783" s="823"/>
      <c r="K783" s="823"/>
      <c r="L783" s="823"/>
      <c r="M783" s="823"/>
      <c r="N783" s="823"/>
      <c r="O783" s="823"/>
      <c r="P783" s="824"/>
      <c r="Q783" s="1954"/>
      <c r="R783" s="1044"/>
      <c r="S783" s="1044"/>
      <c r="T783" s="1355"/>
      <c r="U783" s="1044"/>
      <c r="V783" s="1795"/>
      <c r="W783" s="1795"/>
    </row>
    <row r="784" spans="1:23" s="526" customFormat="1">
      <c r="A784" s="20"/>
      <c r="B784" s="829"/>
      <c r="C784" s="830"/>
      <c r="D784" s="830"/>
      <c r="E784" s="830"/>
      <c r="F784" s="830"/>
      <c r="G784" s="830"/>
      <c r="H784" s="830"/>
      <c r="I784" s="830"/>
      <c r="J784" s="830"/>
      <c r="K784" s="830"/>
      <c r="L784" s="830"/>
      <c r="M784" s="830"/>
      <c r="N784" s="830"/>
      <c r="O784" s="830"/>
      <c r="P784" s="831"/>
      <c r="Q784" s="1954"/>
      <c r="R784" s="1044"/>
      <c r="S784" s="1044"/>
      <c r="T784" s="1044"/>
      <c r="U784" s="1044"/>
      <c r="V784" s="1795"/>
      <c r="W784" s="1795"/>
    </row>
    <row r="785" spans="1:21" s="526" customFormat="1" ht="17">
      <c r="A785" s="1954"/>
      <c r="B785" s="832"/>
      <c r="C785" s="825" t="s">
        <v>1311</v>
      </c>
      <c r="D785" s="826"/>
      <c r="E785" s="827"/>
      <c r="F785" s="826"/>
      <c r="G785" s="827"/>
      <c r="H785" s="826"/>
      <c r="I785" s="826"/>
      <c r="J785" s="826"/>
      <c r="K785" s="826"/>
      <c r="L785" s="826"/>
      <c r="M785" s="826"/>
      <c r="N785" s="826"/>
      <c r="O785" s="827" t="s">
        <v>788</v>
      </c>
      <c r="P785" s="833"/>
      <c r="Q785" s="1954"/>
      <c r="R785" s="1760"/>
      <c r="S785" s="1760"/>
      <c r="T785" s="1760"/>
      <c r="U785" s="1760"/>
    </row>
    <row r="786" spans="1:21" s="526" customFormat="1">
      <c r="A786" s="1954"/>
      <c r="B786" s="832"/>
      <c r="C786" s="826"/>
      <c r="D786" s="826"/>
      <c r="E786" s="826"/>
      <c r="F786" s="826"/>
      <c r="G786" s="826"/>
      <c r="H786" s="826"/>
      <c r="I786" s="826"/>
      <c r="J786" s="826"/>
      <c r="K786" s="826"/>
      <c r="L786" s="826"/>
      <c r="M786" s="826"/>
      <c r="N786" s="826"/>
      <c r="O786" s="826"/>
      <c r="P786" s="833"/>
      <c r="Q786" s="1954"/>
      <c r="R786" s="1760"/>
      <c r="S786" s="1760"/>
      <c r="T786" s="1760"/>
      <c r="U786" s="1760"/>
    </row>
    <row r="787" spans="1:21" s="526" customFormat="1" ht="22">
      <c r="A787" s="1728"/>
      <c r="B787" s="834"/>
      <c r="C787" s="856" t="s">
        <v>786</v>
      </c>
      <c r="D787" s="856" t="s">
        <v>757</v>
      </c>
      <c r="E787" s="856" t="s">
        <v>422</v>
      </c>
      <c r="F787" s="856" t="s">
        <v>579</v>
      </c>
      <c r="G787" s="856" t="s">
        <v>580</v>
      </c>
      <c r="H787" s="856" t="s">
        <v>605</v>
      </c>
      <c r="I787" s="856" t="s">
        <v>606</v>
      </c>
      <c r="J787" s="856" t="s">
        <v>607</v>
      </c>
      <c r="K787" s="856" t="s">
        <v>608</v>
      </c>
      <c r="L787" s="856" t="s">
        <v>609</v>
      </c>
      <c r="M787" s="856" t="s">
        <v>610</v>
      </c>
      <c r="N787" s="856" t="s">
        <v>611</v>
      </c>
      <c r="O787" s="856" t="s">
        <v>612</v>
      </c>
      <c r="P787" s="833"/>
      <c r="Q787" s="1954"/>
      <c r="R787" s="1760"/>
      <c r="S787" s="1760"/>
      <c r="T787" s="528"/>
      <c r="U787" s="1760"/>
    </row>
    <row r="788" spans="1:21" s="526" customFormat="1" ht="15">
      <c r="A788" s="1954"/>
      <c r="B788" s="834"/>
      <c r="C788" s="828" t="s">
        <v>769</v>
      </c>
      <c r="D788" s="835" t="s">
        <v>779</v>
      </c>
      <c r="E788" s="828" t="str">
        <f>INDEX(IPCC[Sector_description], MATCH(XII.a.Emissions[IPCC Sector], IPCC[Sector_code], 0))</f>
        <v>Fuel Combustion</v>
      </c>
      <c r="F788" s="855">
        <f>F738</f>
        <v>104.27005456424456</v>
      </c>
      <c r="G788" s="855">
        <f t="shared" ref="G788:O788" si="227">G$738</f>
        <v>96.110734216078882</v>
      </c>
      <c r="H788" s="855">
        <f t="shared" si="227"/>
        <v>84.542400303976947</v>
      </c>
      <c r="I788" s="855">
        <f t="shared" si="227"/>
        <v>74.694760565350208</v>
      </c>
      <c r="J788" s="855">
        <f t="shared" si="227"/>
        <v>52.588721867866738</v>
      </c>
      <c r="K788" s="855">
        <f t="shared" si="227"/>
        <v>33.607153829002513</v>
      </c>
      <c r="L788" s="855">
        <f t="shared" si="227"/>
        <v>29.828118311539072</v>
      </c>
      <c r="M788" s="855">
        <f t="shared" si="227"/>
        <v>26.080874537924785</v>
      </c>
      <c r="N788" s="855">
        <f t="shared" si="227"/>
        <v>20.997944570499126</v>
      </c>
      <c r="O788" s="855">
        <f t="shared" si="227"/>
        <v>16.468984760617985</v>
      </c>
      <c r="P788" s="833"/>
      <c r="Q788" s="1954"/>
      <c r="R788" s="1760"/>
      <c r="S788" s="1760"/>
      <c r="T788" s="528"/>
      <c r="U788" s="1760"/>
    </row>
    <row r="789" spans="1:21" s="526" customFormat="1" ht="15">
      <c r="A789" s="1954"/>
      <c r="B789" s="834"/>
      <c r="C789" s="828" t="s">
        <v>770</v>
      </c>
      <c r="D789" s="835" t="s">
        <v>779</v>
      </c>
      <c r="E789" s="828" t="str">
        <f>INDEX(IPCC[Sector_description], MATCH(XII.a.Emissions[IPCC Sector], IPCC[Sector_code], 0))</f>
        <v>Fuel Combustion</v>
      </c>
      <c r="F789" s="855">
        <f>F739</f>
        <v>0.12981580630025488</v>
      </c>
      <c r="G789" s="855">
        <f t="shared" ref="G789:O789" si="228">G$739</f>
        <v>0.11965748467775505</v>
      </c>
      <c r="H789" s="855">
        <f t="shared" si="228"/>
        <v>0.10525495462609184</v>
      </c>
      <c r="I789" s="855">
        <f t="shared" si="228"/>
        <v>9.2994682027532818E-2</v>
      </c>
      <c r="J789" s="855">
        <f t="shared" si="228"/>
        <v>6.5472751118305972E-2</v>
      </c>
      <c r="K789" s="855">
        <f t="shared" si="228"/>
        <v>4.184077384442738E-2</v>
      </c>
      <c r="L789" s="855">
        <f t="shared" si="228"/>
        <v>3.7135889543877275E-2</v>
      </c>
      <c r="M789" s="855">
        <f t="shared" si="228"/>
        <v>3.2470585838913463E-2</v>
      </c>
      <c r="N789" s="855">
        <f t="shared" si="228"/>
        <v>2.6142358095611228E-2</v>
      </c>
      <c r="O789" s="855">
        <f t="shared" si="228"/>
        <v>2.0503821011515586E-2</v>
      </c>
      <c r="P789" s="833"/>
      <c r="Q789" s="1954"/>
      <c r="R789" s="1760"/>
      <c r="S789" s="1760"/>
      <c r="T789" s="1760"/>
      <c r="U789" s="1760"/>
    </row>
    <row r="790" spans="1:21" s="1733" customFormat="1" ht="15">
      <c r="A790" s="1954"/>
      <c r="B790" s="834"/>
      <c r="C790" s="828" t="s">
        <v>771</v>
      </c>
      <c r="D790" s="835" t="s">
        <v>779</v>
      </c>
      <c r="E790" s="828" t="str">
        <f>INDEX(IPCC[Sector_description], MATCH(XII.a.Emissions[IPCC Sector], IPCC[Sector_code], 0))</f>
        <v>Fuel Combustion</v>
      </c>
      <c r="F790" s="855">
        <f>F740</f>
        <v>1.8760319404027712</v>
      </c>
      <c r="G790" s="855">
        <f t="shared" ref="G790:O790" si="229">G$740</f>
        <v>1.7292290481523813</v>
      </c>
      <c r="H790" s="855">
        <f t="shared" si="229"/>
        <v>1.5210910165090197</v>
      </c>
      <c r="I790" s="855">
        <f t="shared" si="229"/>
        <v>1.3439117989047884</v>
      </c>
      <c r="J790" s="855">
        <f t="shared" si="229"/>
        <v>0.94617886546025387</v>
      </c>
      <c r="K790" s="855">
        <f t="shared" si="229"/>
        <v>0.60466156148783634</v>
      </c>
      <c r="L790" s="855">
        <f t="shared" si="229"/>
        <v>0.53666896894239191</v>
      </c>
      <c r="M790" s="855">
        <f t="shared" si="229"/>
        <v>0.46924837501295841</v>
      </c>
      <c r="N790" s="855">
        <f t="shared" si="229"/>
        <v>0.37779604951479112</v>
      </c>
      <c r="O790" s="855">
        <f t="shared" si="229"/>
        <v>0.29631078228591001</v>
      </c>
      <c r="P790" s="833"/>
      <c r="Q790" s="1954"/>
      <c r="R790" s="1760"/>
      <c r="S790" s="1760"/>
      <c r="T790" s="1760"/>
      <c r="U790" s="1760"/>
    </row>
    <row r="791" spans="1:21" s="526" customFormat="1" ht="15">
      <c r="A791" s="1954"/>
      <c r="B791" s="834"/>
      <c r="C791" s="828" t="s">
        <v>132</v>
      </c>
      <c r="D791" s="828"/>
      <c r="E791" s="828"/>
      <c r="F791" s="2011">
        <f>SUBTOTAL(109,XII.a.Emissions[2007])</f>
        <v>106.27590231094759</v>
      </c>
      <c r="G791" s="2011">
        <f>SUBTOTAL(109,XII.a.Emissions[2010])</f>
        <v>97.959620748909018</v>
      </c>
      <c r="H791" s="2011">
        <f>SUBTOTAL(109,XII.a.Emissions[2015])</f>
        <v>86.168746275112056</v>
      </c>
      <c r="I791" s="2011">
        <f>SUBTOTAL(109,XII.a.Emissions[2020])</f>
        <v>76.13166704628253</v>
      </c>
      <c r="J791" s="2011">
        <f>SUBTOTAL(109,XII.a.Emissions[2025])</f>
        <v>53.600373484445299</v>
      </c>
      <c r="K791" s="2011">
        <f>SUBTOTAL(109,XII.a.Emissions[2030])</f>
        <v>34.253656164334778</v>
      </c>
      <c r="L791" s="2011">
        <f>SUBTOTAL(109,XII.a.Emissions[2035])</f>
        <v>30.401923170025341</v>
      </c>
      <c r="M791" s="2011">
        <f>SUBTOTAL(109,XII.a.Emissions[2040])</f>
        <v>26.58259349877666</v>
      </c>
      <c r="N791" s="2011">
        <f>SUBTOTAL(109,XII.a.Emissions[2045])</f>
        <v>21.40188297810953</v>
      </c>
      <c r="O791" s="2011">
        <f>SUBTOTAL(109,XII.a.Emissions[2050])</f>
        <v>16.785799363915412</v>
      </c>
      <c r="P791" s="833"/>
      <c r="Q791" s="1954"/>
      <c r="R791" s="1760"/>
      <c r="S791" s="1760"/>
      <c r="T791" s="1760"/>
      <c r="U791" s="1760"/>
    </row>
    <row r="792" spans="1:21" s="526" customFormat="1" ht="15">
      <c r="A792" s="1954"/>
      <c r="B792" s="834"/>
      <c r="C792" s="828"/>
      <c r="D792" s="828"/>
      <c r="E792" s="828"/>
      <c r="F792" s="858"/>
      <c r="G792" s="858"/>
      <c r="H792" s="858"/>
      <c r="I792" s="858"/>
      <c r="J792" s="858"/>
      <c r="K792" s="858"/>
      <c r="L792" s="858"/>
      <c r="M792" s="858"/>
      <c r="N792" s="858"/>
      <c r="O792" s="858"/>
      <c r="P792" s="833"/>
      <c r="Q792" s="1954"/>
      <c r="R792" s="1562"/>
      <c r="S792" s="1562"/>
      <c r="T792" s="528"/>
      <c r="U792" s="1562"/>
    </row>
    <row r="793" spans="1:21" s="526" customFormat="1" ht="17">
      <c r="A793" s="1954"/>
      <c r="B793" s="834"/>
      <c r="C793" s="825" t="s">
        <v>1313</v>
      </c>
      <c r="D793" s="826"/>
      <c r="E793" s="827"/>
      <c r="F793" s="826"/>
      <c r="G793" s="827"/>
      <c r="H793" s="826"/>
      <c r="I793" s="826"/>
      <c r="J793" s="826"/>
      <c r="K793" s="826"/>
      <c r="L793" s="826"/>
      <c r="M793" s="826"/>
      <c r="N793" s="826"/>
      <c r="O793" s="827" t="s">
        <v>788</v>
      </c>
      <c r="P793" s="833"/>
      <c r="Q793" s="1954"/>
      <c r="R793" s="1562"/>
      <c r="S793" s="1562"/>
      <c r="T793" s="528"/>
      <c r="U793" s="1562"/>
    </row>
    <row r="794" spans="1:21" s="526" customFormat="1" ht="15">
      <c r="A794" s="1954"/>
      <c r="B794" s="834"/>
      <c r="C794" s="826"/>
      <c r="D794" s="826"/>
      <c r="E794" s="826"/>
      <c r="F794" s="826"/>
      <c r="G794" s="826"/>
      <c r="H794" s="826"/>
      <c r="I794" s="826"/>
      <c r="J794" s="826"/>
      <c r="K794" s="826"/>
      <c r="L794" s="826"/>
      <c r="M794" s="826"/>
      <c r="N794" s="826"/>
      <c r="O794" s="826"/>
      <c r="P794" s="833"/>
      <c r="Q794" s="1954"/>
      <c r="R794" s="1562"/>
      <c r="S794" s="1562"/>
      <c r="T794" s="1562"/>
      <c r="U794" s="1562"/>
    </row>
    <row r="795" spans="1:21" s="526" customFormat="1" ht="15">
      <c r="A795" s="1954"/>
      <c r="B795" s="834"/>
      <c r="C795" s="856" t="s">
        <v>786</v>
      </c>
      <c r="D795" s="856" t="s">
        <v>757</v>
      </c>
      <c r="E795" s="856" t="s">
        <v>422</v>
      </c>
      <c r="F795" s="856" t="s">
        <v>579</v>
      </c>
      <c r="G795" s="856" t="s">
        <v>580</v>
      </c>
      <c r="H795" s="856" t="s">
        <v>605</v>
      </c>
      <c r="I795" s="856" t="s">
        <v>606</v>
      </c>
      <c r="J795" s="856" t="s">
        <v>607</v>
      </c>
      <c r="K795" s="856" t="s">
        <v>608</v>
      </c>
      <c r="L795" s="856" t="s">
        <v>609</v>
      </c>
      <c r="M795" s="856" t="s">
        <v>610</v>
      </c>
      <c r="N795" s="856" t="s">
        <v>611</v>
      </c>
      <c r="O795" s="856" t="s">
        <v>612</v>
      </c>
      <c r="P795" s="833"/>
      <c r="Q795" s="1954"/>
      <c r="R795" s="1562"/>
      <c r="S795" s="1562"/>
      <c r="T795" s="1562"/>
      <c r="U795" s="1562"/>
    </row>
    <row r="796" spans="1:21" s="526" customFormat="1" ht="15">
      <c r="A796" s="1954"/>
      <c r="B796" s="834"/>
      <c r="C796" s="828" t="s">
        <v>769</v>
      </c>
      <c r="D796" s="835" t="s">
        <v>779</v>
      </c>
      <c r="E796" s="828" t="str">
        <f>INDEX(IPCC[Sector_description], MATCH(XII.a.road.Emissions[IPCC Sector], IPCC[Sector_code], 0))</f>
        <v>Fuel Combustion</v>
      </c>
      <c r="F796" s="855">
        <f>F788*(F$759/F$750)</f>
        <v>100.79979556435509</v>
      </c>
      <c r="G796" s="855">
        <f t="shared" ref="G796:O796" si="230">G$788*(G759/G750)</f>
        <v>91.916781736698525</v>
      </c>
      <c r="H796" s="855">
        <f t="shared" si="230"/>
        <v>80.227456960366865</v>
      </c>
      <c r="I796" s="855">
        <f t="shared" si="230"/>
        <v>70.497310866610462</v>
      </c>
      <c r="J796" s="855">
        <f t="shared" si="230"/>
        <v>48.283649471687312</v>
      </c>
      <c r="K796" s="855">
        <f t="shared" si="230"/>
        <v>29.394452828191231</v>
      </c>
      <c r="L796" s="855">
        <f t="shared" si="230"/>
        <v>25.651540349754466</v>
      </c>
      <c r="M796" s="855">
        <f t="shared" si="230"/>
        <v>21.986256844726181</v>
      </c>
      <c r="N796" s="855">
        <f t="shared" si="230"/>
        <v>16.98918526440864</v>
      </c>
      <c r="O796" s="855">
        <f t="shared" si="230"/>
        <v>12.546260759286262</v>
      </c>
      <c r="P796" s="833"/>
      <c r="Q796" s="1954"/>
      <c r="R796" s="1562"/>
      <c r="S796" s="1562"/>
      <c r="T796" s="1562"/>
      <c r="U796" s="1562"/>
    </row>
    <row r="797" spans="1:21" s="526" customFormat="1" ht="15">
      <c r="A797" s="1954"/>
      <c r="B797" s="834"/>
      <c r="C797" s="828" t="s">
        <v>770</v>
      </c>
      <c r="D797" s="835" t="s">
        <v>779</v>
      </c>
      <c r="E797" s="828" t="str">
        <f>INDEX(IPCC[Sector_description], MATCH(XII.a.road.Emissions[IPCC Sector], IPCC[Sector_code], 0))</f>
        <v>Fuel Combustion</v>
      </c>
      <c r="F797" s="855">
        <f>F789*(F$759/F$750)</f>
        <v>0.12549534754511152</v>
      </c>
      <c r="G797" s="855">
        <f t="shared" ref="G797:O798" si="231">G789*(G$759/G$750)</f>
        <v>0.1144360303976073</v>
      </c>
      <c r="H797" s="855">
        <f t="shared" si="231"/>
        <v>9.9882867197619907E-2</v>
      </c>
      <c r="I797" s="855">
        <f t="shared" si="231"/>
        <v>8.7768873723088781E-2</v>
      </c>
      <c r="J797" s="855">
        <f t="shared" si="231"/>
        <v>6.0112952980417161E-2</v>
      </c>
      <c r="K797" s="855">
        <f t="shared" si="231"/>
        <v>3.6595977729112626E-2</v>
      </c>
      <c r="L797" s="855">
        <f t="shared" si="231"/>
        <v>3.1936066469545964E-2</v>
      </c>
      <c r="M797" s="855">
        <f t="shared" si="231"/>
        <v>2.7372802975412978E-2</v>
      </c>
      <c r="N797" s="855">
        <f t="shared" si="231"/>
        <v>2.1151468585112802E-2</v>
      </c>
      <c r="O797" s="855">
        <f t="shared" si="231"/>
        <v>1.5620045115795844E-2</v>
      </c>
      <c r="P797" s="833"/>
      <c r="Q797" s="1954"/>
      <c r="R797" s="1562"/>
      <c r="S797" s="1562"/>
      <c r="T797" s="1562"/>
      <c r="U797" s="1562"/>
    </row>
    <row r="798" spans="1:21" s="526" customFormat="1" ht="15">
      <c r="A798" s="1954"/>
      <c r="B798" s="834"/>
      <c r="C798" s="828" t="s">
        <v>771</v>
      </c>
      <c r="D798" s="835" t="s">
        <v>779</v>
      </c>
      <c r="E798" s="828" t="str">
        <f>INDEX(IPCC[Sector_description], MATCH(XII.a.road.Emissions[IPCC Sector], IPCC[Sector_code], 0))</f>
        <v>Fuel Combustion</v>
      </c>
      <c r="F798" s="855">
        <f>F790*(F$759/F$750)</f>
        <v>1.8135948701195521</v>
      </c>
      <c r="G798" s="855">
        <f t="shared" si="231"/>
        <v>1.653771249259592</v>
      </c>
      <c r="H798" s="855">
        <f t="shared" si="231"/>
        <v>1.443456344047491</v>
      </c>
      <c r="I798" s="855">
        <f t="shared" si="231"/>
        <v>1.2683910778696041</v>
      </c>
      <c r="J798" s="855">
        <f t="shared" si="231"/>
        <v>0.8687217915694686</v>
      </c>
      <c r="K798" s="855">
        <f t="shared" si="231"/>
        <v>0.5288664382770849</v>
      </c>
      <c r="L798" s="855">
        <f t="shared" si="231"/>
        <v>0.46152377322311128</v>
      </c>
      <c r="M798" s="855">
        <f t="shared" si="231"/>
        <v>0.39557781246955853</v>
      </c>
      <c r="N798" s="855">
        <f t="shared" si="231"/>
        <v>0.30567025528708297</v>
      </c>
      <c r="O798" s="855">
        <f t="shared" si="231"/>
        <v>0.22573293948494905</v>
      </c>
      <c r="P798" s="833"/>
      <c r="Q798" s="1954"/>
      <c r="R798" s="117"/>
      <c r="S798" s="117"/>
      <c r="T798" s="117"/>
      <c r="U798" s="117"/>
    </row>
    <row r="799" spans="1:21" s="526" customFormat="1" ht="15">
      <c r="A799" s="1954"/>
      <c r="B799" s="834"/>
      <c r="C799" s="828" t="s">
        <v>132</v>
      </c>
      <c r="D799" s="828"/>
      <c r="E799" s="828"/>
      <c r="F799" s="2011">
        <f>SUBTOTAL(109,XII.a.road.Emissions[2007])</f>
        <v>102.73888578201976</v>
      </c>
      <c r="G799" s="2011">
        <f>SUBTOTAL(109,XII.a.road.Emissions[2010])</f>
        <v>93.684989016355729</v>
      </c>
      <c r="H799" s="2011">
        <f>SUBTOTAL(109,XII.a.road.Emissions[2015])</f>
        <v>81.770796171611977</v>
      </c>
      <c r="I799" s="2011">
        <f>SUBTOTAL(109,XII.a.road.Emissions[2020])</f>
        <v>71.853470818203164</v>
      </c>
      <c r="J799" s="2011">
        <f>SUBTOTAL(109,XII.a.road.Emissions[2025])</f>
        <v>49.2124842162372</v>
      </c>
      <c r="K799" s="2011">
        <f>SUBTOTAL(109,XII.a.road.Emissions[2030])</f>
        <v>29.959915244197429</v>
      </c>
      <c r="L799" s="2011">
        <f>SUBTOTAL(109,XII.a.road.Emissions[2035])</f>
        <v>26.145000189447121</v>
      </c>
      <c r="M799" s="2011">
        <f>SUBTOTAL(109,XII.a.road.Emissions[2040])</f>
        <v>22.409207460171153</v>
      </c>
      <c r="N799" s="2011">
        <f>SUBTOTAL(109,XII.a.road.Emissions[2045])</f>
        <v>17.316006988280837</v>
      </c>
      <c r="O799" s="2011">
        <f>SUBTOTAL(109,XII.a.road.Emissions[2050])</f>
        <v>12.787613743887007</v>
      </c>
      <c r="P799" s="833"/>
      <c r="Q799" s="1954"/>
      <c r="R799" s="1703"/>
      <c r="S799" s="1703"/>
      <c r="T799" s="1703"/>
      <c r="U799" s="1703"/>
    </row>
    <row r="800" spans="1:21" s="526" customFormat="1" ht="15">
      <c r="A800" s="1954"/>
      <c r="B800" s="834"/>
      <c r="C800" s="828"/>
      <c r="D800" s="828"/>
      <c r="E800" s="828"/>
      <c r="F800" s="858"/>
      <c r="G800" s="858"/>
      <c r="H800" s="858"/>
      <c r="I800" s="858"/>
      <c r="J800" s="858"/>
      <c r="K800" s="858"/>
      <c r="L800" s="858"/>
      <c r="M800" s="858"/>
      <c r="N800" s="858"/>
      <c r="O800" s="858"/>
      <c r="P800" s="833"/>
      <c r="Q800" s="1954"/>
      <c r="R800" s="1703"/>
      <c r="S800" s="1703"/>
      <c r="T800" s="1703"/>
      <c r="U800" s="1703"/>
    </row>
    <row r="801" spans="1:30" s="526" customFormat="1" ht="17">
      <c r="A801" s="1954"/>
      <c r="B801" s="834"/>
      <c r="C801" s="825" t="s">
        <v>1312</v>
      </c>
      <c r="D801" s="826"/>
      <c r="E801" s="827"/>
      <c r="F801" s="826"/>
      <c r="G801" s="827"/>
      <c r="H801" s="826"/>
      <c r="I801" s="826"/>
      <c r="J801" s="826"/>
      <c r="K801" s="826"/>
      <c r="L801" s="826"/>
      <c r="M801" s="826"/>
      <c r="N801" s="826"/>
      <c r="O801" s="827" t="s">
        <v>788</v>
      </c>
      <c r="P801" s="833"/>
      <c r="Q801" s="1954"/>
      <c r="R801" s="1703"/>
      <c r="S801" s="1703"/>
      <c r="T801" s="1703"/>
      <c r="U801" s="1703"/>
    </row>
    <row r="802" spans="1:30" s="526" customFormat="1" ht="15">
      <c r="A802" s="1954"/>
      <c r="B802" s="834"/>
      <c r="C802" s="826"/>
      <c r="D802" s="826"/>
      <c r="E802" s="826"/>
      <c r="F802" s="826"/>
      <c r="G802" s="826"/>
      <c r="H802" s="826"/>
      <c r="I802" s="826"/>
      <c r="J802" s="826"/>
      <c r="K802" s="826"/>
      <c r="L802" s="826"/>
      <c r="M802" s="826"/>
      <c r="N802" s="826"/>
      <c r="O802" s="826"/>
      <c r="P802" s="833"/>
      <c r="Q802" s="1954"/>
      <c r="R802" s="1703"/>
      <c r="S802" s="1703"/>
      <c r="T802" s="1703"/>
      <c r="U802" s="1703"/>
    </row>
    <row r="803" spans="1:30" s="526" customFormat="1" ht="15">
      <c r="A803" s="1954"/>
      <c r="B803" s="834"/>
      <c r="C803" s="856" t="s">
        <v>786</v>
      </c>
      <c r="D803" s="856" t="s">
        <v>757</v>
      </c>
      <c r="E803" s="856" t="s">
        <v>422</v>
      </c>
      <c r="F803" s="856" t="s">
        <v>579</v>
      </c>
      <c r="G803" s="856" t="s">
        <v>580</v>
      </c>
      <c r="H803" s="856" t="s">
        <v>605</v>
      </c>
      <c r="I803" s="856" t="s">
        <v>606</v>
      </c>
      <c r="J803" s="856" t="s">
        <v>607</v>
      </c>
      <c r="K803" s="856" t="s">
        <v>608</v>
      </c>
      <c r="L803" s="856" t="s">
        <v>609</v>
      </c>
      <c r="M803" s="856" t="s">
        <v>610</v>
      </c>
      <c r="N803" s="856" t="s">
        <v>611</v>
      </c>
      <c r="O803" s="856" t="s">
        <v>612</v>
      </c>
      <c r="P803" s="833"/>
      <c r="Q803" s="1954"/>
      <c r="R803" s="1703"/>
      <c r="S803" s="1703"/>
      <c r="T803" s="1703"/>
      <c r="U803" s="1703"/>
    </row>
    <row r="804" spans="1:30" s="526" customFormat="1" ht="15">
      <c r="A804" s="1954"/>
      <c r="B804" s="834"/>
      <c r="C804" s="828" t="s">
        <v>769</v>
      </c>
      <c r="D804" s="835" t="s">
        <v>779</v>
      </c>
      <c r="E804" s="828" t="str">
        <f>INDEX(IPCC[Sector_description], MATCH(XII.a.Rail.Emissions[IPCC Sector], IPCC[Sector_code], 0))</f>
        <v>Fuel Combustion</v>
      </c>
      <c r="F804" s="855">
        <f t="shared" ref="F804:O806" si="232">F788*(F$768/F$750)</f>
        <v>1.2153003477120672</v>
      </c>
      <c r="G804" s="855">
        <f t="shared" si="232"/>
        <v>1.834669874136974</v>
      </c>
      <c r="H804" s="855">
        <f t="shared" si="232"/>
        <v>1.8040812087627209</v>
      </c>
      <c r="I804" s="855">
        <f t="shared" si="232"/>
        <v>1.4809424545183598</v>
      </c>
      <c r="J804" s="855">
        <f t="shared" si="232"/>
        <v>1.4008615660794386</v>
      </c>
      <c r="K804" s="855">
        <f t="shared" si="232"/>
        <v>1.1679019237576491</v>
      </c>
      <c r="L804" s="855">
        <f t="shared" si="232"/>
        <v>1.006064253947297</v>
      </c>
      <c r="M804" s="855">
        <f t="shared" si="232"/>
        <v>0.84017544209549044</v>
      </c>
      <c r="N804" s="855">
        <f t="shared" si="232"/>
        <v>0.68290444760544911</v>
      </c>
      <c r="O804" s="855">
        <f t="shared" si="232"/>
        <v>0.53601597835292392</v>
      </c>
      <c r="P804" s="833"/>
      <c r="Q804" s="1954"/>
      <c r="R804" s="1703"/>
      <c r="S804" s="1703"/>
      <c r="T804" s="1703"/>
      <c r="U804" s="1703"/>
    </row>
    <row r="805" spans="1:30" s="526" customFormat="1" ht="15">
      <c r="A805" s="1954"/>
      <c r="B805" s="834"/>
      <c r="C805" s="828" t="s">
        <v>770</v>
      </c>
      <c r="D805" s="835" t="s">
        <v>779</v>
      </c>
      <c r="E805" s="828" t="str">
        <f>INDEX(IPCC[Sector_description], MATCH(XII.a.Rail.Emissions[IPCC Sector], IPCC[Sector_code], 0))</f>
        <v>Fuel Combustion</v>
      </c>
      <c r="F805" s="855">
        <f t="shared" si="232"/>
        <v>1.5130441351981576E-3</v>
      </c>
      <c r="G805" s="855">
        <f t="shared" si="232"/>
        <v>2.284156750480396E-3</v>
      </c>
      <c r="H805" s="855">
        <f t="shared" si="232"/>
        <v>2.2460739828458901E-3</v>
      </c>
      <c r="I805" s="855">
        <f t="shared" si="232"/>
        <v>1.8437675094830548E-3</v>
      </c>
      <c r="J805" s="855">
        <f t="shared" si="232"/>
        <v>1.7440671195160188E-3</v>
      </c>
      <c r="K805" s="855">
        <f t="shared" si="232"/>
        <v>1.4540332844920907E-3</v>
      </c>
      <c r="L805" s="855">
        <f t="shared" si="232"/>
        <v>1.2525460244730523E-3</v>
      </c>
      <c r="M805" s="855">
        <f t="shared" si="232"/>
        <v>1.0460151086053035E-3</v>
      </c>
      <c r="N805" s="855">
        <f t="shared" si="232"/>
        <v>8.5021334133195407E-4</v>
      </c>
      <c r="O805" s="855">
        <f t="shared" si="232"/>
        <v>6.6733777699168621E-4</v>
      </c>
      <c r="P805" s="833"/>
      <c r="Q805" s="1954"/>
      <c r="R805" s="1703"/>
      <c r="S805" s="1703"/>
      <c r="T805" s="1703"/>
      <c r="U805" s="1703"/>
    </row>
    <row r="806" spans="1:30" s="526" customFormat="1" ht="15">
      <c r="A806" s="1954"/>
      <c r="B806" s="834"/>
      <c r="C806" s="828" t="s">
        <v>771</v>
      </c>
      <c r="D806" s="835" t="s">
        <v>779</v>
      </c>
      <c r="E806" s="828" t="str">
        <f>INDEX(IPCC[Sector_description], MATCH(XII.a.Rail.Emissions[IPCC Sector], IPCC[Sector_code], 0))</f>
        <v>Fuel Combustion</v>
      </c>
      <c r="F806" s="855">
        <f t="shared" si="232"/>
        <v>2.186574351589772E-2</v>
      </c>
      <c r="G806" s="855">
        <f t="shared" si="232"/>
        <v>3.3009470440576172E-2</v>
      </c>
      <c r="H806" s="855">
        <f t="shared" si="232"/>
        <v>3.245911767154569E-2</v>
      </c>
      <c r="I806" s="855">
        <f t="shared" si="232"/>
        <v>2.6645189342095459E-2</v>
      </c>
      <c r="J806" s="855">
        <f t="shared" si="232"/>
        <v>2.520437006608096E-2</v>
      </c>
      <c r="K806" s="855">
        <f t="shared" si="232"/>
        <v>2.1012948745291242E-2</v>
      </c>
      <c r="L806" s="855">
        <f t="shared" si="232"/>
        <v>1.8101157445349882E-2</v>
      </c>
      <c r="M806" s="855">
        <f t="shared" si="232"/>
        <v>1.5116477798925556E-2</v>
      </c>
      <c r="N806" s="855">
        <f t="shared" si="232"/>
        <v>1.2286850345528207E-2</v>
      </c>
      <c r="O806" s="855">
        <f t="shared" si="232"/>
        <v>9.6440257958889768E-3</v>
      </c>
      <c r="P806" s="833"/>
      <c r="Q806" s="1954"/>
      <c r="R806" s="1703"/>
      <c r="S806" s="1703"/>
      <c r="T806" s="1703"/>
      <c r="U806" s="1703"/>
    </row>
    <row r="807" spans="1:30" s="526" customFormat="1" ht="15">
      <c r="A807" s="1954"/>
      <c r="B807" s="834"/>
      <c r="C807" s="828" t="s">
        <v>132</v>
      </c>
      <c r="D807" s="828"/>
      <c r="E807" s="828"/>
      <c r="F807" s="2011">
        <f>SUBTOTAL(109,XII.a.Rail.Emissions[2007])</f>
        <v>1.2386791353631632</v>
      </c>
      <c r="G807" s="2011">
        <f>SUBTOTAL(109,XII.a.Rail.Emissions[2010])</f>
        <v>1.8699635013280305</v>
      </c>
      <c r="H807" s="2011">
        <f>SUBTOTAL(109,XII.a.Rail.Emissions[2015])</f>
        <v>1.8387864004171124</v>
      </c>
      <c r="I807" s="2011">
        <f>SUBTOTAL(109,XII.a.Rail.Emissions[2020])</f>
        <v>1.5094314113699383</v>
      </c>
      <c r="J807" s="2011">
        <f>SUBTOTAL(109,XII.a.Rail.Emissions[2025])</f>
        <v>1.4278100032650354</v>
      </c>
      <c r="K807" s="2011">
        <f>SUBTOTAL(109,XII.a.Rail.Emissions[2030])</f>
        <v>1.1903689057874325</v>
      </c>
      <c r="L807" s="2011">
        <f>SUBTOTAL(109,XII.a.Rail.Emissions[2035])</f>
        <v>1.0254179574171198</v>
      </c>
      <c r="M807" s="2011">
        <f>SUBTOTAL(109,XII.a.Rail.Emissions[2040])</f>
        <v>0.85633793500302136</v>
      </c>
      <c r="N807" s="2011">
        <f>SUBTOTAL(109,XII.a.Rail.Emissions[2045])</f>
        <v>0.69604151129230929</v>
      </c>
      <c r="O807" s="2011">
        <f>SUBTOTAL(109,XII.a.Rail.Emissions[2050])</f>
        <v>0.54632734192580457</v>
      </c>
      <c r="P807" s="833"/>
      <c r="Q807" s="1954"/>
      <c r="R807" s="1703"/>
      <c r="S807" s="1703"/>
      <c r="T807" s="1703"/>
      <c r="U807" s="1703"/>
    </row>
    <row r="808" spans="1:30" s="526" customFormat="1" ht="15">
      <c r="A808" s="1954"/>
      <c r="B808" s="834"/>
      <c r="C808" s="828"/>
      <c r="D808" s="828"/>
      <c r="E808" s="828"/>
      <c r="F808" s="858"/>
      <c r="G808" s="858"/>
      <c r="H808" s="858"/>
      <c r="I808" s="858"/>
      <c r="J808" s="858"/>
      <c r="K808" s="858"/>
      <c r="L808" s="858"/>
      <c r="M808" s="858"/>
      <c r="N808" s="858"/>
      <c r="O808" s="858"/>
      <c r="P808" s="833"/>
      <c r="Q808" s="1954"/>
      <c r="R808" s="1703"/>
      <c r="S808" s="1703"/>
      <c r="T808" s="1703"/>
      <c r="U808" s="1703"/>
    </row>
    <row r="809" spans="1:30" s="526" customFormat="1" ht="17">
      <c r="A809" s="1954"/>
      <c r="B809" s="834"/>
      <c r="C809" s="825" t="s">
        <v>1314</v>
      </c>
      <c r="D809" s="826"/>
      <c r="E809" s="827"/>
      <c r="F809" s="826"/>
      <c r="G809" s="827"/>
      <c r="H809" s="826"/>
      <c r="I809" s="826"/>
      <c r="J809" s="826"/>
      <c r="K809" s="826"/>
      <c r="L809" s="826"/>
      <c r="M809" s="826"/>
      <c r="N809" s="826"/>
      <c r="O809" s="827" t="s">
        <v>788</v>
      </c>
      <c r="P809" s="833"/>
      <c r="Q809" s="1954"/>
      <c r="R809" s="1822"/>
      <c r="S809" s="1822"/>
      <c r="T809" s="1822"/>
      <c r="U809" s="1822"/>
    </row>
    <row r="810" spans="1:30" s="526" customFormat="1" ht="15">
      <c r="A810" s="1954"/>
      <c r="B810" s="834"/>
      <c r="C810" s="826"/>
      <c r="D810" s="826"/>
      <c r="E810" s="826"/>
      <c r="F810" s="826"/>
      <c r="G810" s="826"/>
      <c r="H810" s="826"/>
      <c r="I810" s="826"/>
      <c r="J810" s="826"/>
      <c r="K810" s="826"/>
      <c r="L810" s="826"/>
      <c r="M810" s="826"/>
      <c r="N810" s="826"/>
      <c r="O810" s="826"/>
      <c r="P810" s="833"/>
      <c r="Q810" s="1954"/>
      <c r="R810" s="1822"/>
      <c r="S810" s="1822"/>
      <c r="T810" s="1822"/>
      <c r="U810" s="1822"/>
    </row>
    <row r="811" spans="1:30" s="526" customFormat="1" ht="15">
      <c r="A811" s="1954"/>
      <c r="B811" s="834"/>
      <c r="C811" s="856" t="s">
        <v>786</v>
      </c>
      <c r="D811" s="856" t="s">
        <v>757</v>
      </c>
      <c r="E811" s="856" t="s">
        <v>422</v>
      </c>
      <c r="F811" s="856" t="s">
        <v>579</v>
      </c>
      <c r="G811" s="856" t="s">
        <v>580</v>
      </c>
      <c r="H811" s="856" t="s">
        <v>605</v>
      </c>
      <c r="I811" s="856" t="s">
        <v>606</v>
      </c>
      <c r="J811" s="856" t="s">
        <v>607</v>
      </c>
      <c r="K811" s="856" t="s">
        <v>608</v>
      </c>
      <c r="L811" s="856" t="s">
        <v>609</v>
      </c>
      <c r="M811" s="856" t="s">
        <v>610</v>
      </c>
      <c r="N811" s="856" t="s">
        <v>611</v>
      </c>
      <c r="O811" s="856" t="s">
        <v>612</v>
      </c>
      <c r="P811" s="833"/>
      <c r="Q811" s="1954"/>
      <c r="R811" s="1822"/>
      <c r="S811" s="1822"/>
      <c r="T811" s="1822"/>
      <c r="U811" s="1822"/>
      <c r="V811" s="609"/>
      <c r="W811" s="609"/>
      <c r="X811" s="609"/>
      <c r="Y811" s="609"/>
      <c r="Z811" s="609"/>
      <c r="AA811" s="609"/>
      <c r="AB811" s="609"/>
      <c r="AC811" s="609"/>
      <c r="AD811" s="609"/>
    </row>
    <row r="812" spans="1:30" s="526" customFormat="1" ht="15">
      <c r="A812" s="1954"/>
      <c r="B812" s="834"/>
      <c r="C812" s="828" t="s">
        <v>769</v>
      </c>
      <c r="D812" s="835" t="s">
        <v>779</v>
      </c>
      <c r="E812" s="828" t="str">
        <f>INDEX(IPCC[Sector_description], MATCH(XII.a.Aviation.Emissions[IPCC Sector], IPCC[Sector_code], 0))</f>
        <v>Fuel Combustion</v>
      </c>
      <c r="F812" s="855">
        <f t="shared" ref="F812:O814" si="233">F788*(F$777/F$750)</f>
        <v>2.2549586521773879</v>
      </c>
      <c r="G812" s="855">
        <f t="shared" si="233"/>
        <v>2.3592826052433749</v>
      </c>
      <c r="H812" s="855">
        <f t="shared" si="233"/>
        <v>2.5108621348473621</v>
      </c>
      <c r="I812" s="855">
        <f t="shared" si="233"/>
        <v>2.7165072442213845</v>
      </c>
      <c r="J812" s="855">
        <f t="shared" si="233"/>
        <v>2.9042108300999834</v>
      </c>
      <c r="K812" s="855">
        <f t="shared" si="233"/>
        <v>3.0447990770536322</v>
      </c>
      <c r="L812" s="855">
        <f t="shared" si="233"/>
        <v>3.1705137078373093</v>
      </c>
      <c r="M812" s="855">
        <f t="shared" si="233"/>
        <v>3.2544422511031135</v>
      </c>
      <c r="N812" s="855">
        <f t="shared" si="233"/>
        <v>3.325854858485036</v>
      </c>
      <c r="O812" s="855">
        <f t="shared" si="233"/>
        <v>3.3867080229787985</v>
      </c>
      <c r="P812" s="833"/>
      <c r="Q812" s="1954"/>
      <c r="R812" s="1822"/>
      <c r="S812" s="1822"/>
      <c r="T812" s="1822"/>
      <c r="U812" s="1822"/>
      <c r="V812" s="609"/>
      <c r="W812" s="609"/>
      <c r="X812" s="609"/>
      <c r="Y812" s="609"/>
      <c r="Z812" s="609"/>
      <c r="AA812" s="609"/>
      <c r="AB812" s="609"/>
      <c r="AC812" s="609"/>
      <c r="AD812" s="609"/>
    </row>
    <row r="813" spans="1:30" s="526" customFormat="1" ht="15">
      <c r="A813" s="1954"/>
      <c r="B813" s="834"/>
      <c r="C813" s="828" t="s">
        <v>770</v>
      </c>
      <c r="D813" s="835" t="s">
        <v>779</v>
      </c>
      <c r="E813" s="828" t="str">
        <f>INDEX(IPCC[Sector_description], MATCH(XII.a.Aviation.Emissions[IPCC Sector], IPCC[Sector_code], 0))</f>
        <v>Fuel Combustion</v>
      </c>
      <c r="F813" s="855">
        <f t="shared" si="233"/>
        <v>2.807414619945197E-3</v>
      </c>
      <c r="G813" s="855">
        <f t="shared" si="233"/>
        <v>2.937297529667344E-3</v>
      </c>
      <c r="H813" s="855">
        <f t="shared" si="233"/>
        <v>3.126013445626043E-3</v>
      </c>
      <c r="I813" s="855">
        <f t="shared" si="233"/>
        <v>3.3820407949609805E-3</v>
      </c>
      <c r="J813" s="855">
        <f t="shared" si="233"/>
        <v>3.615731018372786E-3</v>
      </c>
      <c r="K813" s="855">
        <f t="shared" si="233"/>
        <v>3.790762830822662E-3</v>
      </c>
      <c r="L813" s="855">
        <f t="shared" si="233"/>
        <v>3.9472770498582607E-3</v>
      </c>
      <c r="M813" s="855">
        <f t="shared" si="233"/>
        <v>4.0517677548951815E-3</v>
      </c>
      <c r="N813" s="855">
        <f t="shared" si="233"/>
        <v>4.140676169166471E-3</v>
      </c>
      <c r="O813" s="855">
        <f t="shared" si="233"/>
        <v>4.2164381187280546E-3</v>
      </c>
      <c r="P813" s="833"/>
      <c r="Q813" s="1954"/>
      <c r="R813" s="1822"/>
      <c r="S813" s="1822"/>
      <c r="T813" s="1822"/>
      <c r="U813" s="1822"/>
      <c r="V813" s="609"/>
      <c r="W813" s="609"/>
      <c r="X813" s="609"/>
      <c r="Y813" s="609"/>
      <c r="Z813" s="609"/>
      <c r="AA813" s="609"/>
      <c r="AB813" s="609"/>
      <c r="AC813" s="609"/>
      <c r="AD813" s="609"/>
    </row>
    <row r="814" spans="1:30" s="526" customFormat="1" ht="15">
      <c r="A814" s="1954"/>
      <c r="B814" s="834"/>
      <c r="C814" s="828" t="s">
        <v>771</v>
      </c>
      <c r="D814" s="835" t="s">
        <v>779</v>
      </c>
      <c r="E814" s="828" t="str">
        <f>INDEX(IPCC[Sector_description], MATCH(XII.a.Aviation.Emissions[IPCC Sector], IPCC[Sector_code], 0))</f>
        <v>Fuel Combustion</v>
      </c>
      <c r="F814" s="855">
        <f t="shared" si="233"/>
        <v>4.0571326767321059E-2</v>
      </c>
      <c r="G814" s="855">
        <f t="shared" si="233"/>
        <v>4.2448328452213094E-2</v>
      </c>
      <c r="H814" s="855">
        <f t="shared" si="233"/>
        <v>4.5175554789982947E-2</v>
      </c>
      <c r="I814" s="855">
        <f t="shared" si="233"/>
        <v>4.887553169308876E-2</v>
      </c>
      <c r="J814" s="855">
        <f t="shared" si="233"/>
        <v>5.2252703824704178E-2</v>
      </c>
      <c r="K814" s="855">
        <f t="shared" si="233"/>
        <v>5.4782174465460132E-2</v>
      </c>
      <c r="L814" s="855">
        <f t="shared" si="233"/>
        <v>5.7044038273930724E-2</v>
      </c>
      <c r="M814" s="855">
        <f t="shared" si="233"/>
        <v>5.8554084744474322E-2</v>
      </c>
      <c r="N814" s="855">
        <f t="shared" si="233"/>
        <v>5.9838943882179904E-2</v>
      </c>
      <c r="O814" s="855">
        <f t="shared" si="233"/>
        <v>6.0933817005071979E-2</v>
      </c>
      <c r="P814" s="833"/>
      <c r="Q814" s="1954"/>
      <c r="R814" s="1822"/>
      <c r="S814" s="1822"/>
      <c r="T814" s="1822"/>
      <c r="U814" s="1822"/>
      <c r="V814" s="609"/>
      <c r="W814" s="609"/>
      <c r="X814" s="609"/>
      <c r="Y814" s="609"/>
      <c r="Z814" s="609"/>
      <c r="AA814" s="609"/>
      <c r="AB814" s="609"/>
      <c r="AC814" s="609"/>
      <c r="AD814" s="609"/>
    </row>
    <row r="815" spans="1:30" s="526" customFormat="1" ht="15">
      <c r="A815" s="1954"/>
      <c r="B815" s="834"/>
      <c r="C815" s="828" t="s">
        <v>132</v>
      </c>
      <c r="D815" s="828"/>
      <c r="E815" s="828"/>
      <c r="F815" s="2011">
        <f>SUBTOTAL(109,XII.a.Aviation.Emissions[2007])</f>
        <v>2.2983373935646543</v>
      </c>
      <c r="G815" s="2011">
        <f>SUBTOTAL(109,XII.a.Aviation.Emissions[2010])</f>
        <v>2.4046682312252554</v>
      </c>
      <c r="H815" s="2011">
        <f>SUBTOTAL(109,XII.a.Aviation.Emissions[2015])</f>
        <v>2.5591637030829708</v>
      </c>
      <c r="I815" s="2011">
        <f>SUBTOTAL(109,XII.a.Aviation.Emissions[2020])</f>
        <v>2.7687648167094343</v>
      </c>
      <c r="J815" s="2011">
        <f>SUBTOTAL(109,XII.a.Aviation.Emissions[2025])</f>
        <v>2.9600792649430603</v>
      </c>
      <c r="K815" s="2011">
        <f>SUBTOTAL(109,XII.a.Aviation.Emissions[2030])</f>
        <v>3.1033720143499148</v>
      </c>
      <c r="L815" s="2011">
        <f>SUBTOTAL(109,XII.a.Aviation.Emissions[2035])</f>
        <v>3.2315050231610982</v>
      </c>
      <c r="M815" s="2011">
        <f>SUBTOTAL(109,XII.a.Aviation.Emissions[2040])</f>
        <v>3.3170481036024828</v>
      </c>
      <c r="N815" s="2011">
        <f>SUBTOTAL(109,XII.a.Aviation.Emissions[2045])</f>
        <v>3.3898344785363825</v>
      </c>
      <c r="O815" s="2011">
        <f>SUBTOTAL(109,XII.a.Aviation.Emissions[2050])</f>
        <v>3.4518582781025984</v>
      </c>
      <c r="P815" s="833"/>
      <c r="Q815" s="1954"/>
      <c r="R815" s="1822"/>
      <c r="S815" s="1822"/>
      <c r="T815" s="1822"/>
      <c r="U815" s="1822"/>
      <c r="V815" s="609"/>
      <c r="W815" s="609"/>
      <c r="X815" s="609"/>
      <c r="Y815" s="609"/>
      <c r="Z815" s="609"/>
      <c r="AA815" s="609"/>
      <c r="AB815" s="609"/>
      <c r="AC815" s="609"/>
      <c r="AD815" s="609"/>
    </row>
    <row r="816" spans="1:30" s="526" customFormat="1" ht="15">
      <c r="A816" s="1954"/>
      <c r="B816" s="834"/>
      <c r="C816" s="826"/>
      <c r="D816" s="826"/>
      <c r="E816" s="826"/>
      <c r="F816" s="826"/>
      <c r="G816" s="826"/>
      <c r="H816" s="826"/>
      <c r="I816" s="826"/>
      <c r="J816" s="826"/>
      <c r="K816" s="826"/>
      <c r="L816" s="826"/>
      <c r="M816" s="826"/>
      <c r="N816" s="826"/>
      <c r="O816" s="826"/>
      <c r="P816" s="833"/>
      <c r="Q816" s="1954"/>
      <c r="R816" s="1822"/>
      <c r="S816" s="1822"/>
      <c r="T816" s="1822"/>
      <c r="U816" s="1822"/>
      <c r="V816" s="609"/>
      <c r="W816" s="609"/>
      <c r="X816" s="609"/>
      <c r="Y816" s="609"/>
      <c r="Z816" s="609"/>
      <c r="AA816" s="609"/>
      <c r="AB816" s="609"/>
      <c r="AC816" s="609"/>
      <c r="AD816" s="609"/>
    </row>
    <row r="817" spans="1:30" ht="14">
      <c r="A817" s="1954"/>
      <c r="B817" s="1954"/>
      <c r="C817" s="1954"/>
      <c r="D817" s="1954"/>
      <c r="E817" s="1954"/>
      <c r="F817" s="1954"/>
      <c r="G817" s="1954"/>
      <c r="H817" s="1954"/>
      <c r="I817" s="1954"/>
      <c r="J817" s="1954"/>
      <c r="K817" s="1954"/>
      <c r="L817" s="1954"/>
      <c r="M817" s="1954"/>
      <c r="N817" s="1954"/>
      <c r="O817" s="1954"/>
      <c r="P817" s="1954"/>
      <c r="Q817" s="1954"/>
      <c r="R817" s="1822"/>
      <c r="S817" s="1822"/>
      <c r="T817" s="1822"/>
      <c r="U817" s="1822"/>
      <c r="V817" s="609"/>
      <c r="W817" s="609"/>
      <c r="X817" s="609"/>
      <c r="Y817" s="609"/>
      <c r="Z817" s="609"/>
      <c r="AA817" s="609"/>
      <c r="AB817" s="609"/>
      <c r="AC817" s="609"/>
      <c r="AD817" s="609"/>
    </row>
    <row r="818" spans="1:30" s="1551" customFormat="1" ht="15">
      <c r="A818" s="1954"/>
      <c r="B818" s="1734" t="s">
        <v>1297</v>
      </c>
      <c r="C818" s="1555"/>
      <c r="D818" s="1735"/>
      <c r="E818" s="1735"/>
      <c r="F818" s="1735"/>
      <c r="G818" s="1735"/>
      <c r="H818" s="1735"/>
      <c r="I818" s="1735"/>
      <c r="J818" s="1735"/>
      <c r="K818" s="1735"/>
      <c r="L818" s="1735"/>
      <c r="M818" s="1735"/>
      <c r="N818" s="1735"/>
      <c r="O818" s="1735"/>
      <c r="P818" s="1736"/>
      <c r="Q818" s="1954"/>
      <c r="R818" s="1822"/>
      <c r="S818" s="1822"/>
      <c r="T818" s="1822"/>
      <c r="U818" s="1822"/>
      <c r="V818" s="609"/>
      <c r="W818" s="609"/>
      <c r="X818" s="609"/>
      <c r="Y818" s="609"/>
      <c r="Z818" s="609"/>
      <c r="AA818" s="609"/>
      <c r="AB818" s="609"/>
      <c r="AC818" s="609"/>
      <c r="AD818" s="609"/>
    </row>
    <row r="819" spans="1:30" ht="14">
      <c r="A819" s="1954"/>
      <c r="B819" s="1556"/>
      <c r="C819" s="1557"/>
      <c r="D819" s="1557"/>
      <c r="E819" s="1557"/>
      <c r="F819" s="1557"/>
      <c r="G819" s="1557"/>
      <c r="H819" s="1557"/>
      <c r="I819" s="1557"/>
      <c r="J819" s="1557"/>
      <c r="K819" s="1557"/>
      <c r="L819" s="1557"/>
      <c r="M819" s="1557"/>
      <c r="N819" s="1557"/>
      <c r="O819" s="1557"/>
      <c r="P819" s="1558"/>
      <c r="Q819" s="1954"/>
      <c r="R819" s="1822"/>
      <c r="S819" s="1822"/>
      <c r="T819" s="1822"/>
      <c r="U819" s="1822"/>
      <c r="V819" s="609"/>
      <c r="W819" s="609"/>
      <c r="X819" s="609"/>
      <c r="Y819" s="609"/>
      <c r="Z819" s="609"/>
      <c r="AA819" s="609"/>
      <c r="AB819" s="609"/>
      <c r="AC819" s="609"/>
      <c r="AD819" s="609"/>
    </row>
    <row r="820" spans="1:30" ht="14">
      <c r="A820" s="1954"/>
      <c r="B820" s="1737"/>
      <c r="C820" s="1559" t="s">
        <v>1149</v>
      </c>
      <c r="D820" s="1738"/>
      <c r="E820" s="1560"/>
      <c r="F820" s="1738"/>
      <c r="G820" s="1560"/>
      <c r="H820" s="1738"/>
      <c r="I820" s="1738"/>
      <c r="J820" s="1738"/>
      <c r="K820" s="1738"/>
      <c r="L820" s="1738"/>
      <c r="M820" s="1738"/>
      <c r="N820" s="1738"/>
      <c r="O820" s="1560"/>
      <c r="P820" s="1739"/>
      <c r="Q820" s="1954"/>
      <c r="R820" s="1822"/>
      <c r="S820" s="1822"/>
      <c r="T820" s="1822"/>
      <c r="U820" s="1822"/>
      <c r="V820" s="609"/>
      <c r="W820" s="609"/>
      <c r="X820" s="609"/>
      <c r="Y820" s="609"/>
      <c r="Z820" s="609"/>
      <c r="AA820" s="609"/>
      <c r="AB820" s="609"/>
      <c r="AC820" s="609"/>
      <c r="AD820" s="609"/>
    </row>
    <row r="821" spans="1:30" ht="14">
      <c r="A821" s="1954"/>
      <c r="B821" s="1737"/>
      <c r="C821" s="1738"/>
      <c r="D821" s="1738"/>
      <c r="E821" s="1738"/>
      <c r="F821" s="1738"/>
      <c r="G821" s="1738"/>
      <c r="H821" s="1738"/>
      <c r="I821" s="1738"/>
      <c r="J821" s="1738"/>
      <c r="K821" s="1738"/>
      <c r="L821" s="1738"/>
      <c r="M821" s="1738"/>
      <c r="N821" s="1738"/>
      <c r="O821" s="1738"/>
      <c r="P821" s="1739"/>
      <c r="Q821" s="1954"/>
      <c r="R821" s="1822"/>
      <c r="S821" s="1822"/>
      <c r="T821" s="1822"/>
      <c r="U821" s="1822"/>
      <c r="V821" s="609"/>
      <c r="W821" s="609"/>
      <c r="X821" s="609"/>
      <c r="Y821" s="609"/>
      <c r="Z821" s="609"/>
      <c r="AA821" s="609"/>
      <c r="AB821" s="609"/>
      <c r="AC821" s="609"/>
      <c r="AD821" s="609"/>
    </row>
    <row r="822" spans="1:30" ht="15">
      <c r="A822" s="1954"/>
      <c r="B822" s="1740"/>
      <c r="C822" s="1741" t="s">
        <v>72</v>
      </c>
      <c r="D822" s="1741" t="s">
        <v>1298</v>
      </c>
      <c r="E822" s="1741" t="s">
        <v>422</v>
      </c>
      <c r="F822" s="1741" t="s">
        <v>579</v>
      </c>
      <c r="G822" s="1741" t="s">
        <v>580</v>
      </c>
      <c r="H822" s="1741" t="s">
        <v>605</v>
      </c>
      <c r="I822" s="1741" t="s">
        <v>606</v>
      </c>
      <c r="J822" s="1741" t="s">
        <v>607</v>
      </c>
      <c r="K822" s="1741" t="s">
        <v>608</v>
      </c>
      <c r="L822" s="1741" t="s">
        <v>609</v>
      </c>
      <c r="M822" s="1741" t="s">
        <v>610</v>
      </c>
      <c r="N822" s="1741" t="s">
        <v>611</v>
      </c>
      <c r="O822" s="1741" t="s">
        <v>612</v>
      </c>
      <c r="P822" s="1739"/>
      <c r="Q822" s="1954"/>
      <c r="R822" s="1822"/>
      <c r="S822" s="1822"/>
      <c r="T822" s="1822"/>
      <c r="U822" s="1822"/>
    </row>
    <row r="823" spans="1:30" ht="15">
      <c r="A823" s="1954"/>
      <c r="B823" s="1740"/>
      <c r="C823" s="1742" t="s">
        <v>1618</v>
      </c>
      <c r="D823" s="1743" t="str">
        <f>INDEX(Vectors[Description], MATCH(XII.a.Car.PHEV.Info[Vector], Vectors[Code], 0))</f>
        <v>Shiftable electricity demand</v>
      </c>
      <c r="E823" s="1743" t="str">
        <f>Preferences.PowerUnits</f>
        <v>GW</v>
      </c>
      <c r="F823" s="1563">
        <f t="shared" ref="F823:O823" si="234">F703*Conversion.to.average.power</f>
        <v>0</v>
      </c>
      <c r="G823" s="1563">
        <f t="shared" si="234"/>
        <v>0</v>
      </c>
      <c r="H823" s="1563">
        <f t="shared" si="234"/>
        <v>3.2002547372092613E-2</v>
      </c>
      <c r="I823" s="1563">
        <f t="shared" si="234"/>
        <v>6.2630272494968567E-2</v>
      </c>
      <c r="J823" s="1563">
        <f t="shared" si="234"/>
        <v>1.333881445666643</v>
      </c>
      <c r="K823" s="1563">
        <f t="shared" si="234"/>
        <v>2.4273181699217483</v>
      </c>
      <c r="L823" s="1563">
        <f t="shared" si="234"/>
        <v>1.9560540083619125</v>
      </c>
      <c r="M823" s="1563">
        <f t="shared" si="234"/>
        <v>1.5411079473551703</v>
      </c>
      <c r="N823" s="1563">
        <f t="shared" si="234"/>
        <v>1.4832203352521787</v>
      </c>
      <c r="O823" s="1563">
        <f t="shared" si="234"/>
        <v>1.4426107492474236</v>
      </c>
      <c r="P823" s="1739"/>
      <c r="Q823" s="1954"/>
      <c r="R823" s="1822"/>
      <c r="S823" s="1822"/>
      <c r="T823" s="1822"/>
      <c r="U823" s="1822"/>
    </row>
    <row r="824" spans="1:30" ht="15">
      <c r="A824" s="1954"/>
      <c r="B824" s="1740"/>
      <c r="C824" s="1742"/>
      <c r="D824" s="1743"/>
      <c r="E824" s="1742"/>
      <c r="F824" s="1529"/>
      <c r="G824" s="1529"/>
      <c r="H824" s="1529"/>
      <c r="I824" s="1529"/>
      <c r="J824" s="1529"/>
      <c r="K824" s="1529"/>
      <c r="L824" s="1529"/>
      <c r="M824" s="1529"/>
      <c r="N824" s="1529"/>
      <c r="O824" s="1529"/>
      <c r="P824" s="1739"/>
      <c r="Q824" s="1954"/>
      <c r="R824" s="1822"/>
      <c r="S824" s="1822"/>
      <c r="T824" s="1822"/>
      <c r="U824" s="1822"/>
    </row>
    <row r="825" spans="1:30" s="526" customFormat="1">
      <c r="A825" s="1954"/>
      <c r="B825" s="1737"/>
      <c r="C825" s="1559" t="s">
        <v>1148</v>
      </c>
      <c r="D825" s="1738"/>
      <c r="E825" s="1560"/>
      <c r="F825" s="1738"/>
      <c r="G825" s="1560"/>
      <c r="H825" s="1738"/>
      <c r="I825" s="1738"/>
      <c r="J825" s="1738"/>
      <c r="K825" s="1738"/>
      <c r="L825" s="1738"/>
      <c r="M825" s="1738"/>
      <c r="N825" s="1738"/>
      <c r="O825" s="1560"/>
      <c r="P825" s="1739"/>
      <c r="Q825" s="1954"/>
      <c r="R825" s="1822"/>
      <c r="S825" s="1822"/>
      <c r="T825" s="1822"/>
      <c r="U825" s="1822"/>
    </row>
    <row r="826" spans="1:30" s="526" customFormat="1">
      <c r="A826" s="1954"/>
      <c r="B826" s="1737"/>
      <c r="C826" s="1738"/>
      <c r="D826" s="1738"/>
      <c r="E826" s="1738"/>
      <c r="F826" s="1738"/>
      <c r="G826" s="1738"/>
      <c r="H826" s="1738"/>
      <c r="I826" s="1738"/>
      <c r="J826" s="1738"/>
      <c r="K826" s="1738"/>
      <c r="L826" s="1738"/>
      <c r="M826" s="1738"/>
      <c r="N826" s="1738"/>
      <c r="O826" s="1738"/>
      <c r="P826" s="1739"/>
      <c r="Q826" s="1954"/>
      <c r="R826" s="1822"/>
      <c r="S826" s="1822"/>
      <c r="T826" s="1822"/>
      <c r="U826" s="1822"/>
    </row>
    <row r="827" spans="1:30" s="526" customFormat="1" ht="15">
      <c r="A827" s="1954"/>
      <c r="B827" s="1740"/>
      <c r="C827" s="1741" t="s">
        <v>72</v>
      </c>
      <c r="D827" s="1741" t="s">
        <v>1298</v>
      </c>
      <c r="E827" s="1741" t="s">
        <v>422</v>
      </c>
      <c r="F827" s="1741" t="s">
        <v>579</v>
      </c>
      <c r="G827" s="1741" t="s">
        <v>580</v>
      </c>
      <c r="H827" s="1741" t="s">
        <v>605</v>
      </c>
      <c r="I827" s="1741" t="s">
        <v>606</v>
      </c>
      <c r="J827" s="1741" t="s">
        <v>607</v>
      </c>
      <c r="K827" s="1741" t="s">
        <v>608</v>
      </c>
      <c r="L827" s="1741" t="s">
        <v>609</v>
      </c>
      <c r="M827" s="1741" t="s">
        <v>610</v>
      </c>
      <c r="N827" s="1741" t="s">
        <v>611</v>
      </c>
      <c r="O827" s="1741" t="s">
        <v>612</v>
      </c>
      <c r="P827" s="1739"/>
      <c r="Q827" s="1954"/>
      <c r="R827" s="1822"/>
      <c r="S827" s="1822"/>
      <c r="T827" s="1822"/>
      <c r="U827" s="1822"/>
    </row>
    <row r="828" spans="1:30" s="526" customFormat="1" ht="15">
      <c r="A828" s="1954"/>
      <c r="B828" s="1740"/>
      <c r="C828" s="1742" t="s">
        <v>1618</v>
      </c>
      <c r="D828" s="1743" t="str">
        <f>INDEX(Vectors[Description], MATCH(XII.a.Car.EV.Info[Vector], Vectors[Code], 0))</f>
        <v>Shiftable electricity demand</v>
      </c>
      <c r="E828" s="1743" t="str">
        <f>Preferences.PowerUnits</f>
        <v>GW</v>
      </c>
      <c r="F828" s="1563">
        <f t="shared" ref="F828:O828" si="235">F704*Conversion.to.average.power</f>
        <v>0</v>
      </c>
      <c r="G828" s="1563">
        <f t="shared" si="235"/>
        <v>0</v>
      </c>
      <c r="H828" s="1563">
        <f t="shared" si="235"/>
        <v>9.209366150242479E-2</v>
      </c>
      <c r="I828" s="1563">
        <f t="shared" si="235"/>
        <v>0.17734908845109909</v>
      </c>
      <c r="J828" s="1563">
        <f t="shared" si="235"/>
        <v>0.54168642845564097</v>
      </c>
      <c r="K828" s="1563">
        <f t="shared" si="235"/>
        <v>0.83048929947314776</v>
      </c>
      <c r="L828" s="1563">
        <f t="shared" si="235"/>
        <v>1.3593731872707346</v>
      </c>
      <c r="M828" s="1563">
        <f t="shared" si="235"/>
        <v>1.7938355121163969</v>
      </c>
      <c r="N828" s="1563">
        <f t="shared" si="235"/>
        <v>2.1703255889381556</v>
      </c>
      <c r="O828" s="1563">
        <f t="shared" si="235"/>
        <v>2.5234591106066468</v>
      </c>
      <c r="P828" s="1739"/>
      <c r="Q828" s="1954"/>
      <c r="R828" s="1822"/>
      <c r="S828" s="1822"/>
      <c r="T828" s="1822"/>
      <c r="U828" s="1822"/>
    </row>
    <row r="829" spans="1:30" s="526" customFormat="1" ht="15">
      <c r="A829" s="1954"/>
      <c r="B829" s="1740"/>
      <c r="C829" s="1742"/>
      <c r="D829" s="1743"/>
      <c r="E829" s="1742"/>
      <c r="F829" s="1529"/>
      <c r="G829" s="1529"/>
      <c r="H829" s="1529"/>
      <c r="I829" s="1529"/>
      <c r="J829" s="1529"/>
      <c r="K829" s="1529"/>
      <c r="L829" s="1529"/>
      <c r="M829" s="1529"/>
      <c r="N829" s="1529"/>
      <c r="O829" s="1529"/>
      <c r="P829" s="1739"/>
      <c r="Q829" s="1954"/>
      <c r="R829" s="1822"/>
      <c r="S829" s="1822"/>
      <c r="T829" s="1822"/>
      <c r="U829" s="1822"/>
    </row>
    <row r="830" spans="1:30" s="526" customFormat="1">
      <c r="A830" s="1954"/>
      <c r="B830" s="1737"/>
      <c r="C830" s="1559" t="s">
        <v>1302</v>
      </c>
      <c r="D830" s="1738"/>
      <c r="E830" s="1560"/>
      <c r="F830" s="1738"/>
      <c r="G830" s="1560"/>
      <c r="H830" s="1738"/>
      <c r="I830" s="1738"/>
      <c r="J830" s="1738"/>
      <c r="K830" s="1738"/>
      <c r="L830" s="1738"/>
      <c r="M830" s="1738"/>
      <c r="N830" s="1738"/>
      <c r="O830" s="1560"/>
      <c r="P830" s="1739"/>
      <c r="Q830" s="1954"/>
      <c r="R830" s="1822"/>
      <c r="S830" s="1822"/>
      <c r="T830" s="1822"/>
      <c r="U830" s="1822"/>
    </row>
    <row r="831" spans="1:30" s="526" customFormat="1">
      <c r="A831" s="1954"/>
      <c r="B831" s="1737"/>
      <c r="C831" s="1738"/>
      <c r="D831" s="1738"/>
      <c r="E831" s="1738"/>
      <c r="F831" s="1738"/>
      <c r="G831" s="1738"/>
      <c r="H831" s="1738"/>
      <c r="I831" s="1738"/>
      <c r="J831" s="1738"/>
      <c r="K831" s="1738"/>
      <c r="L831" s="1738"/>
      <c r="M831" s="1738"/>
      <c r="N831" s="1738"/>
      <c r="O831" s="1738"/>
      <c r="P831" s="1739"/>
      <c r="Q831" s="1954"/>
      <c r="R831" s="1822"/>
      <c r="S831" s="1822"/>
      <c r="T831" s="1822"/>
      <c r="U831" s="1822"/>
    </row>
    <row r="832" spans="1:30" s="526" customFormat="1" ht="15">
      <c r="A832" s="1954"/>
      <c r="B832" s="1740"/>
      <c r="C832" s="1741" t="s">
        <v>72</v>
      </c>
      <c r="D832" s="1741" t="s">
        <v>1298</v>
      </c>
      <c r="E832" s="1741" t="s">
        <v>422</v>
      </c>
      <c r="F832" s="1741" t="s">
        <v>579</v>
      </c>
      <c r="G832" s="1741" t="s">
        <v>580</v>
      </c>
      <c r="H832" s="1741" t="s">
        <v>605</v>
      </c>
      <c r="I832" s="1741" t="s">
        <v>606</v>
      </c>
      <c r="J832" s="1741" t="s">
        <v>607</v>
      </c>
      <c r="K832" s="1741" t="s">
        <v>608</v>
      </c>
      <c r="L832" s="1741" t="s">
        <v>609</v>
      </c>
      <c r="M832" s="1741" t="s">
        <v>610</v>
      </c>
      <c r="N832" s="1741" t="s">
        <v>611</v>
      </c>
      <c r="O832" s="1741" t="s">
        <v>612</v>
      </c>
      <c r="P832" s="1739"/>
      <c r="Q832" s="1954"/>
      <c r="R832" s="1822"/>
      <c r="S832" s="1822"/>
      <c r="T832" s="1822"/>
      <c r="U832" s="1822"/>
    </row>
    <row r="833" spans="1:21" s="526" customFormat="1" ht="15">
      <c r="A833" s="1954"/>
      <c r="B833" s="1740"/>
      <c r="C833" s="1742" t="s">
        <v>1299</v>
      </c>
      <c r="D833" s="1743" t="str">
        <f>INDEX(Vectors[Description], MATCH(XII.a.info[Vector], Vectors[Code], 0))</f>
        <v>UK Land area</v>
      </c>
      <c r="E833" s="1743">
        <f>INDEX(Vectors[Comment], MATCH(XII.a.info[Information type], Vectors[Description], 0))</f>
        <v>0</v>
      </c>
      <c r="F833" s="1563"/>
      <c r="G833" s="1563"/>
      <c r="H833" s="1563"/>
      <c r="I833" s="1563"/>
      <c r="J833" s="1563"/>
      <c r="K833" s="1563"/>
      <c r="L833" s="1563"/>
      <c r="M833" s="1563"/>
      <c r="N833" s="1563"/>
      <c r="O833" s="1563"/>
      <c r="P833" s="1739"/>
      <c r="Q833" s="1954"/>
      <c r="R833" s="1822"/>
      <c r="S833" s="1822"/>
      <c r="T833" s="1822"/>
      <c r="U833" s="1822"/>
    </row>
    <row r="834" spans="1:21" s="526" customFormat="1" ht="15">
      <c r="A834" s="1954"/>
      <c r="B834" s="1740"/>
      <c r="C834" s="1742" t="s">
        <v>1305</v>
      </c>
      <c r="D834" s="1743" t="str">
        <f>INDEX(Vectors[Description], MATCH(XII.a.info[Vector], Vectors[Code], 0))</f>
        <v>Number of units</v>
      </c>
      <c r="E834" s="1743"/>
      <c r="F834" s="1563">
        <f>F736</f>
        <v>0</v>
      </c>
      <c r="G834" s="1563"/>
      <c r="H834" s="1563"/>
      <c r="I834" s="1563"/>
      <c r="J834" s="1563"/>
      <c r="K834" s="1563"/>
      <c r="L834" s="1563"/>
      <c r="M834" s="1563"/>
      <c r="N834" s="1563"/>
      <c r="O834" s="1563"/>
      <c r="P834" s="1739"/>
      <c r="Q834" s="1954"/>
      <c r="R834" s="1822"/>
      <c r="S834" s="1822"/>
      <c r="T834" s="1822"/>
      <c r="U834" s="1822"/>
    </row>
    <row r="835" spans="1:21" s="526" customFormat="1" ht="15">
      <c r="A835" s="1954"/>
      <c r="B835" s="1564"/>
      <c r="C835" s="1744"/>
      <c r="D835" s="1744"/>
      <c r="E835" s="1744"/>
      <c r="F835" s="1744"/>
      <c r="G835" s="1744"/>
      <c r="H835" s="1744"/>
      <c r="I835" s="1744"/>
      <c r="J835" s="1744"/>
      <c r="K835" s="1744"/>
      <c r="L835" s="1744"/>
      <c r="M835" s="1744"/>
      <c r="N835" s="1744"/>
      <c r="O835" s="1744"/>
      <c r="P835" s="1561"/>
      <c r="Q835" s="1954"/>
      <c r="R835" s="1822"/>
      <c r="S835" s="1822"/>
      <c r="T835" s="1822"/>
      <c r="U835" s="1822"/>
    </row>
    <row r="836" spans="1:21" s="526" customFormat="1">
      <c r="A836" s="1954"/>
      <c r="B836" s="1954"/>
      <c r="C836" s="1954"/>
      <c r="D836" s="1954"/>
      <c r="E836" s="1954"/>
      <c r="F836" s="1954"/>
      <c r="G836" s="1954"/>
      <c r="H836" s="1954"/>
      <c r="I836" s="1954"/>
      <c r="J836" s="1954"/>
      <c r="K836" s="1954"/>
      <c r="L836" s="1954"/>
      <c r="M836" s="1954"/>
      <c r="N836" s="1954"/>
      <c r="O836" s="1954"/>
      <c r="P836" s="1954"/>
      <c r="Q836" s="1954"/>
      <c r="R836" s="1822"/>
      <c r="S836" s="1822"/>
      <c r="T836" s="1822"/>
      <c r="U836" s="1822"/>
    </row>
    <row r="837" spans="1:21" s="526" customFormat="1">
      <c r="A837" s="1954"/>
      <c r="B837" s="1954"/>
      <c r="C837" s="1954"/>
      <c r="D837" s="1954"/>
      <c r="E837" s="1954"/>
      <c r="F837" s="1954"/>
      <c r="G837" s="1954"/>
      <c r="H837" s="1954"/>
      <c r="I837" s="1954"/>
      <c r="J837" s="1954"/>
      <c r="K837" s="1954"/>
      <c r="L837" s="1954"/>
      <c r="M837" s="1954"/>
      <c r="N837" s="1954"/>
      <c r="O837" s="1954"/>
      <c r="P837" s="1954"/>
      <c r="Q837" s="1954"/>
      <c r="R837" s="1822"/>
      <c r="S837" s="1822"/>
      <c r="T837" s="1822"/>
      <c r="U837" s="1822"/>
    </row>
    <row r="838" spans="1:21" s="526" customFormat="1" ht="15">
      <c r="A838" s="1954"/>
      <c r="B838" s="1734" t="s">
        <v>1572</v>
      </c>
      <c r="C838" s="1735"/>
      <c r="D838" s="1735"/>
      <c r="E838" s="1735"/>
      <c r="F838" s="1735"/>
      <c r="G838" s="1735"/>
      <c r="H838" s="1735"/>
      <c r="I838" s="1735"/>
      <c r="J838" s="1735"/>
      <c r="K838" s="1735"/>
      <c r="L838" s="1735"/>
      <c r="M838" s="1735"/>
      <c r="N838" s="1735"/>
      <c r="O838" s="1735"/>
      <c r="P838" s="1736"/>
      <c r="Q838" s="1954"/>
      <c r="R838" s="1822"/>
      <c r="S838" s="1822"/>
      <c r="T838" s="1822"/>
      <c r="U838" s="1822"/>
    </row>
    <row r="839" spans="1:21" s="526" customFormat="1">
      <c r="A839" s="1954"/>
      <c r="B839" s="1737"/>
      <c r="C839" s="1738"/>
      <c r="D839" s="1738"/>
      <c r="E839" s="1738"/>
      <c r="F839" s="1738"/>
      <c r="G839" s="1738"/>
      <c r="H839" s="1738"/>
      <c r="I839" s="1738"/>
      <c r="J839" s="1738"/>
      <c r="K839" s="1738"/>
      <c r="L839" s="1738"/>
      <c r="M839" s="1738"/>
      <c r="N839" s="1738"/>
      <c r="O839" s="1738"/>
      <c r="P839" s="1739"/>
      <c r="Q839" s="1954"/>
      <c r="R839" s="1822"/>
      <c r="S839" s="1822"/>
      <c r="T839" s="1822"/>
      <c r="U839" s="1822"/>
    </row>
    <row r="840" spans="1:21" s="526" customFormat="1">
      <c r="A840" s="1954"/>
      <c r="B840" s="1737"/>
      <c r="C840" s="1745" t="s">
        <v>1706</v>
      </c>
      <c r="D840" s="1746"/>
      <c r="E840" s="1746"/>
      <c r="F840" s="1746"/>
      <c r="G840" s="1746"/>
      <c r="H840" s="1746"/>
      <c r="I840" s="1746"/>
      <c r="J840" s="1746"/>
      <c r="K840" s="1746"/>
      <c r="L840" s="1746"/>
      <c r="M840" s="1746"/>
      <c r="N840" s="1746"/>
      <c r="O840" s="1746"/>
      <c r="P840" s="1739"/>
      <c r="Q840" s="1954"/>
      <c r="R840" s="1822"/>
      <c r="S840" s="1822"/>
      <c r="T840" s="1822"/>
      <c r="U840" s="1822"/>
    </row>
    <row r="841" spans="1:21" s="526" customFormat="1" ht="6" customHeight="1">
      <c r="A841" s="1954"/>
      <c r="B841" s="1737"/>
      <c r="C841" s="1738"/>
      <c r="D841" s="1738"/>
      <c r="E841" s="1738"/>
      <c r="F841" s="1738"/>
      <c r="G841" s="1738"/>
      <c r="H841" s="1738"/>
      <c r="I841" s="1738"/>
      <c r="J841" s="1738"/>
      <c r="K841" s="1738"/>
      <c r="L841" s="1738"/>
      <c r="M841" s="1738"/>
      <c r="N841" s="1738"/>
      <c r="O841" s="1738"/>
      <c r="P841" s="1739"/>
      <c r="Q841" s="1954"/>
      <c r="R841" s="1822"/>
      <c r="S841" s="1822"/>
      <c r="T841" s="1822"/>
      <c r="U841" s="1822"/>
    </row>
    <row r="842" spans="1:21" s="526" customFormat="1" ht="15">
      <c r="A842" s="1954"/>
      <c r="B842" s="1740"/>
      <c r="C842" s="1918" t="s">
        <v>72</v>
      </c>
      <c r="D842" s="1918" t="s">
        <v>399</v>
      </c>
      <c r="E842" s="1918" t="s">
        <v>422</v>
      </c>
      <c r="F842" s="1918" t="s">
        <v>579</v>
      </c>
      <c r="G842" s="1918" t="s">
        <v>580</v>
      </c>
      <c r="H842" s="1918" t="s">
        <v>605</v>
      </c>
      <c r="I842" s="1918" t="s">
        <v>606</v>
      </c>
      <c r="J842" s="1918" t="s">
        <v>607</v>
      </c>
      <c r="K842" s="1918" t="s">
        <v>608</v>
      </c>
      <c r="L842" s="1918" t="s">
        <v>609</v>
      </c>
      <c r="M842" s="1918" t="s">
        <v>610</v>
      </c>
      <c r="N842" s="1918" t="s">
        <v>611</v>
      </c>
      <c r="O842" s="1918" t="s">
        <v>612</v>
      </c>
      <c r="P842" s="1747"/>
      <c r="Q842" s="1954"/>
      <c r="R842" s="1822"/>
      <c r="S842" s="1822"/>
      <c r="T842" s="1822"/>
      <c r="U842" s="1822"/>
    </row>
    <row r="843" spans="1:21" s="526" customFormat="1" ht="15">
      <c r="A843" s="1954"/>
      <c r="B843" s="1740"/>
      <c r="C843" s="1978" t="s">
        <v>1540</v>
      </c>
      <c r="D843" s="1979" t="str">
        <f>INDEX(CostVectors[Description], MATCH(C843,CostVectors[Code], 0))</f>
        <v>High estimate of capital costs</v>
      </c>
      <c r="E843" s="1979"/>
      <c r="F843" s="1980"/>
      <c r="G843" s="1980">
        <f>G582+G578</f>
        <v>57867.272982886585</v>
      </c>
      <c r="H843" s="1980">
        <f t="shared" ref="H843:O843" si="236">H582+H578</f>
        <v>53388.940270305575</v>
      </c>
      <c r="I843" s="1980">
        <f t="shared" si="236"/>
        <v>54282.693740470437</v>
      </c>
      <c r="J843" s="1980">
        <f t="shared" si="236"/>
        <v>19112.05868660325</v>
      </c>
      <c r="K843" s="1980">
        <f t="shared" si="236"/>
        <v>3180.0254753212312</v>
      </c>
      <c r="L843" s="1980">
        <f t="shared" si="236"/>
        <v>19695.771484971177</v>
      </c>
      <c r="M843" s="1980">
        <f t="shared" si="236"/>
        <v>17242.085552045224</v>
      </c>
      <c r="N843" s="1980">
        <f t="shared" si="236"/>
        <v>7706.0152085237878</v>
      </c>
      <c r="O843" s="1980">
        <f t="shared" si="236"/>
        <v>3087.507135099554</v>
      </c>
      <c r="P843" s="1747"/>
      <c r="Q843" s="1954"/>
      <c r="R843" s="1822"/>
      <c r="S843" s="1822"/>
      <c r="T843" s="1822"/>
      <c r="U843" s="1822"/>
    </row>
    <row r="844" spans="1:21" s="526" customFormat="1" ht="15">
      <c r="A844" s="1954"/>
      <c r="B844" s="1740"/>
      <c r="C844" s="1742" t="s">
        <v>1542</v>
      </c>
      <c r="D844" s="1743" t="str">
        <f>INDEX(CostVectors[Description], MATCH(C844,CostVectors[Code], 0))</f>
        <v>High estimate of operating costs</v>
      </c>
      <c r="E844" s="1743"/>
      <c r="F844" s="1529"/>
      <c r="G844" s="1529">
        <f t="shared" ref="G844:O844" si="237">G638+G634</f>
        <v>54767.114039687687</v>
      </c>
      <c r="H844" s="1529">
        <f t="shared" si="237"/>
        <v>52867.88995162084</v>
      </c>
      <c r="I844" s="1529">
        <f t="shared" si="237"/>
        <v>51984.718743787707</v>
      </c>
      <c r="J844" s="1529">
        <f t="shared" si="237"/>
        <v>37664.793264905238</v>
      </c>
      <c r="K844" s="1529">
        <f t="shared" si="237"/>
        <v>22767.467904499576</v>
      </c>
      <c r="L844" s="1529">
        <f t="shared" si="237"/>
        <v>20889.842944933542</v>
      </c>
      <c r="M844" s="1529">
        <f t="shared" si="237"/>
        <v>18846.575299708224</v>
      </c>
      <c r="N844" s="1529">
        <f t="shared" si="237"/>
        <v>13970.665710258254</v>
      </c>
      <c r="O844" s="1529">
        <f t="shared" si="237"/>
        <v>9342.1996212599788</v>
      </c>
      <c r="P844" s="1747"/>
      <c r="Q844" s="1954"/>
      <c r="R844" s="1822"/>
      <c r="S844" s="1822"/>
      <c r="T844" s="1822"/>
      <c r="U844" s="1822"/>
    </row>
    <row r="845" spans="1:21">
      <c r="A845" s="1954"/>
      <c r="B845" s="1748"/>
      <c r="C845" s="1742" t="s">
        <v>1794</v>
      </c>
      <c r="D845" s="1743" t="str">
        <f>INDEX(CostVectors[Description], MATCH(C845,CostVectors[Code], 0))</f>
        <v>Point estimate of capital costs</v>
      </c>
      <c r="E845" s="1743"/>
      <c r="F845" s="1529"/>
      <c r="G845" s="1529">
        <f>G601+G597</f>
        <v>47557.889667764706</v>
      </c>
      <c r="H845" s="1529">
        <f t="shared" ref="H845:O845" si="238">H601+H597</f>
        <v>42957.190538371506</v>
      </c>
      <c r="I845" s="1529">
        <f t="shared" si="238"/>
        <v>42880.063314102415</v>
      </c>
      <c r="J845" s="1529">
        <f t="shared" si="238"/>
        <v>14847.057066048725</v>
      </c>
      <c r="K845" s="1529">
        <f t="shared" si="238"/>
        <v>2429.3682830141438</v>
      </c>
      <c r="L845" s="1529">
        <f t="shared" si="238"/>
        <v>14792.508487408801</v>
      </c>
      <c r="M845" s="1529">
        <f t="shared" si="238"/>
        <v>12727.310282219056</v>
      </c>
      <c r="N845" s="1529">
        <f t="shared" si="238"/>
        <v>5588.8457493145343</v>
      </c>
      <c r="O845" s="1529">
        <f t="shared" si="238"/>
        <v>2199.4207508941504</v>
      </c>
      <c r="P845" s="1749"/>
      <c r="Q845" s="1954"/>
      <c r="R845" s="1822"/>
      <c r="S845" s="1822"/>
      <c r="T845" s="1822"/>
      <c r="U845" s="1822"/>
    </row>
    <row r="846" spans="1:21">
      <c r="A846" s="1954"/>
      <c r="B846" s="1748"/>
      <c r="C846" s="1742" t="s">
        <v>1796</v>
      </c>
      <c r="D846" s="1743" t="str">
        <f>INDEX(CostVectors[Description], MATCH(C846,CostVectors[Code], 0))</f>
        <v>Point estimate of operating costs</v>
      </c>
      <c r="E846" s="1743"/>
      <c r="F846" s="1529"/>
      <c r="G846" s="1529">
        <f>G656+G652</f>
        <v>54767.114039687687</v>
      </c>
      <c r="H846" s="1529">
        <f t="shared" ref="H846:O846" si="239">H656+H652</f>
        <v>52825.301826583542</v>
      </c>
      <c r="I846" s="1529">
        <f t="shared" si="239"/>
        <v>51901.227603736217</v>
      </c>
      <c r="J846" s="1529">
        <f t="shared" si="239"/>
        <v>37574.213012540233</v>
      </c>
      <c r="K846" s="1529">
        <f t="shared" si="239"/>
        <v>22694.870971294829</v>
      </c>
      <c r="L846" s="1529">
        <f t="shared" si="239"/>
        <v>20806.57960509562</v>
      </c>
      <c r="M846" s="1529">
        <f t="shared" si="239"/>
        <v>18756.43117209019</v>
      </c>
      <c r="N846" s="1529">
        <f t="shared" si="239"/>
        <v>13892.70532357547</v>
      </c>
      <c r="O846" s="1529">
        <f t="shared" si="239"/>
        <v>9282.6192683519239</v>
      </c>
      <c r="P846" s="1749"/>
      <c r="Q846" s="1954"/>
      <c r="R846" s="1822"/>
      <c r="S846" s="1822"/>
      <c r="T846" s="1822"/>
      <c r="U846" s="1822"/>
    </row>
    <row r="847" spans="1:21">
      <c r="A847" s="1954"/>
      <c r="B847" s="1748"/>
      <c r="C847" s="1742" t="s">
        <v>1533</v>
      </c>
      <c r="D847" s="1743" t="str">
        <f>INDEX(CostVectors[Description], MATCH(C847,CostVectors[Code], 0))</f>
        <v>Low estimate of capital costs</v>
      </c>
      <c r="E847" s="1743"/>
      <c r="F847" s="1529"/>
      <c r="G847" s="1529">
        <f t="shared" ref="G847:O847" si="240">G616+G620</f>
        <v>44499.149554683157</v>
      </c>
      <c r="H847" s="1529">
        <f t="shared" si="240"/>
        <v>40168.613886865933</v>
      </c>
      <c r="I847" s="1529">
        <f t="shared" si="240"/>
        <v>40144.76261411958</v>
      </c>
      <c r="J847" s="1529">
        <f t="shared" si="240"/>
        <v>13925.523760526294</v>
      </c>
      <c r="K847" s="1529">
        <f t="shared" si="240"/>
        <v>2282.9402887331121</v>
      </c>
      <c r="L847" s="1529">
        <f t="shared" si="240"/>
        <v>13928.357199884496</v>
      </c>
      <c r="M847" s="1529">
        <f t="shared" si="240"/>
        <v>12008.250482721898</v>
      </c>
      <c r="N847" s="1529">
        <f t="shared" si="240"/>
        <v>5284.2072788649766</v>
      </c>
      <c r="O847" s="1529">
        <f t="shared" si="240"/>
        <v>2084.0673161921991</v>
      </c>
      <c r="P847" s="1749"/>
      <c r="Q847" s="1954"/>
      <c r="R847" s="1822"/>
      <c r="S847" s="1822"/>
      <c r="T847" s="1822"/>
      <c r="U847" s="1822"/>
    </row>
    <row r="848" spans="1:21">
      <c r="A848" s="1954"/>
      <c r="B848" s="1748"/>
      <c r="C848" s="1943" t="s">
        <v>1535</v>
      </c>
      <c r="D848" s="1944" t="str">
        <f>INDEX(CostVectors[Description], MATCH(C848,CostVectors[Code], 0))</f>
        <v>Low estimate of operating costs</v>
      </c>
      <c r="E848" s="1944"/>
      <c r="F848" s="1981"/>
      <c r="G848" s="1981">
        <f t="shared" ref="G848:O848" si="241">G670+G674</f>
        <v>54767.114039687687</v>
      </c>
      <c r="H848" s="1981">
        <f t="shared" si="241"/>
        <v>47093.380941342803</v>
      </c>
      <c r="I848" s="1981">
        <f t="shared" si="241"/>
        <v>40641.390026901616</v>
      </c>
      <c r="J848" s="1981">
        <f t="shared" si="241"/>
        <v>25344.479323821251</v>
      </c>
      <c r="K848" s="1981">
        <f t="shared" si="241"/>
        <v>12857.586220249505</v>
      </c>
      <c r="L848" s="1981">
        <f t="shared" si="241"/>
        <v>9523.9379403486437</v>
      </c>
      <c r="M848" s="1981">
        <f t="shared" si="241"/>
        <v>6541.404822255261</v>
      </c>
      <c r="N848" s="1981">
        <f t="shared" si="241"/>
        <v>3328.6430520023396</v>
      </c>
      <c r="O848" s="1981">
        <f t="shared" si="241"/>
        <v>1209.1529213465521</v>
      </c>
      <c r="P848" s="1749"/>
      <c r="Q848" s="1954"/>
      <c r="R848" s="1822"/>
      <c r="S848" s="1822"/>
      <c r="T848" s="1822"/>
      <c r="U848" s="1822"/>
    </row>
    <row r="849" spans="1:21">
      <c r="A849" s="1954"/>
      <c r="B849" s="1737"/>
      <c r="C849" s="1738"/>
      <c r="D849" s="1738"/>
      <c r="E849" s="1738"/>
      <c r="F849" s="1738"/>
      <c r="G849" s="1738"/>
      <c r="H849" s="1738"/>
      <c r="I849" s="1738"/>
      <c r="J849" s="1738"/>
      <c r="K849" s="1738"/>
      <c r="L849" s="1738"/>
      <c r="M849" s="1738"/>
      <c r="N849" s="1738"/>
      <c r="O849" s="1738"/>
      <c r="P849" s="1739"/>
      <c r="Q849" s="1954"/>
      <c r="R849" s="1822"/>
      <c r="S849" s="1822"/>
      <c r="T849" s="1822"/>
      <c r="U849" s="1822"/>
    </row>
    <row r="850" spans="1:21">
      <c r="A850" s="1954"/>
      <c r="B850" s="1737"/>
      <c r="C850" s="1745" t="s">
        <v>1707</v>
      </c>
      <c r="D850" s="1746"/>
      <c r="E850" s="1746"/>
      <c r="F850" s="1746"/>
      <c r="G850" s="1746"/>
      <c r="H850" s="1746"/>
      <c r="I850" s="1746"/>
      <c r="J850" s="1746"/>
      <c r="K850" s="1746"/>
      <c r="L850" s="1746"/>
      <c r="M850" s="1746"/>
      <c r="N850" s="1746"/>
      <c r="O850" s="1746"/>
      <c r="P850" s="1739"/>
      <c r="Q850" s="1954"/>
      <c r="R850" s="1822"/>
      <c r="S850" s="1822"/>
      <c r="T850" s="1822"/>
      <c r="U850" s="1822"/>
    </row>
    <row r="851" spans="1:21" ht="6" customHeight="1" collapsed="1">
      <c r="A851" s="1954"/>
      <c r="B851" s="1737"/>
      <c r="C851" s="1738"/>
      <c r="D851" s="1738"/>
      <c r="E851" s="1738"/>
      <c r="F851" s="1738"/>
      <c r="G851" s="1738"/>
      <c r="H851" s="1738"/>
      <c r="I851" s="1738"/>
      <c r="J851" s="1738"/>
      <c r="K851" s="1738"/>
      <c r="L851" s="1738"/>
      <c r="M851" s="1738"/>
      <c r="N851" s="1738"/>
      <c r="O851" s="1738"/>
      <c r="P851" s="1739"/>
      <c r="Q851" s="1954"/>
      <c r="R851" s="1822"/>
      <c r="S851" s="1822"/>
      <c r="T851" s="1822"/>
      <c r="U851" s="1822"/>
    </row>
    <row r="852" spans="1:21" ht="15">
      <c r="A852" s="1954"/>
      <c r="B852" s="1740"/>
      <c r="C852" s="1918" t="s">
        <v>72</v>
      </c>
      <c r="D852" s="1918" t="s">
        <v>399</v>
      </c>
      <c r="E852" s="1918" t="s">
        <v>422</v>
      </c>
      <c r="F852" s="1918" t="s">
        <v>579</v>
      </c>
      <c r="G852" s="1918" t="s">
        <v>580</v>
      </c>
      <c r="H852" s="1918" t="s">
        <v>605</v>
      </c>
      <c r="I852" s="1918" t="s">
        <v>606</v>
      </c>
      <c r="J852" s="1918" t="s">
        <v>607</v>
      </c>
      <c r="K852" s="1918" t="s">
        <v>608</v>
      </c>
      <c r="L852" s="1918" t="s">
        <v>609</v>
      </c>
      <c r="M852" s="1918" t="s">
        <v>610</v>
      </c>
      <c r="N852" s="1918" t="s">
        <v>611</v>
      </c>
      <c r="O852" s="1918" t="s">
        <v>612</v>
      </c>
      <c r="P852" s="1747"/>
      <c r="Q852" s="1954"/>
      <c r="R852" s="1822"/>
      <c r="S852" s="1822"/>
      <c r="T852" s="1822"/>
      <c r="U852" s="1822"/>
    </row>
    <row r="853" spans="1:21" ht="15">
      <c r="A853" s="1954"/>
      <c r="B853" s="1740"/>
      <c r="C853" s="1978" t="s">
        <v>1540</v>
      </c>
      <c r="D853" s="1979" t="str">
        <f>INDEX(CostVectors[Description], MATCH(C853,CostVectors[Code], 0))</f>
        <v>High estimate of capital costs</v>
      </c>
      <c r="E853" s="1979"/>
      <c r="F853" s="1980"/>
      <c r="G853" s="1980">
        <f t="shared" ref="G853:O853" si="242">G583+G579</f>
        <v>97.325237342520609</v>
      </c>
      <c r="H853" s="1980">
        <f t="shared" si="242"/>
        <v>2984.4483732313247</v>
      </c>
      <c r="I853" s="1980">
        <f t="shared" si="242"/>
        <v>4510.6909378931068</v>
      </c>
      <c r="J853" s="1980">
        <f t="shared" si="242"/>
        <v>66131.089723102166</v>
      </c>
      <c r="K853" s="1980">
        <f t="shared" si="242"/>
        <v>91162.546673864475</v>
      </c>
      <c r="L853" s="1980">
        <f t="shared" si="242"/>
        <v>35584.957631655707</v>
      </c>
      <c r="M853" s="1980">
        <f t="shared" si="242"/>
        <v>27072.501240900208</v>
      </c>
      <c r="N853" s="1980">
        <f t="shared" si="242"/>
        <v>35973.527296579385</v>
      </c>
      <c r="O853" s="1980">
        <f t="shared" si="242"/>
        <v>34804.779216744741</v>
      </c>
      <c r="P853" s="1747"/>
      <c r="Q853" s="1954"/>
      <c r="R853" s="1822"/>
      <c r="S853" s="1822"/>
      <c r="T853" s="1822"/>
      <c r="U853" s="1822"/>
    </row>
    <row r="854" spans="1:21" ht="15">
      <c r="A854" s="1954"/>
      <c r="B854" s="1740"/>
      <c r="C854" s="1742" t="s">
        <v>1542</v>
      </c>
      <c r="D854" s="1743" t="str">
        <f>INDEX(CostVectors[Description], MATCH(C854,CostVectors[Code], 0))</f>
        <v>High estimate of operating costs</v>
      </c>
      <c r="E854" s="1743"/>
      <c r="F854" s="1529"/>
      <c r="G854" s="1529">
        <f t="shared" ref="G854:O854" si="243">G639+G635</f>
        <v>26.905650220044691</v>
      </c>
      <c r="H854" s="1529">
        <f t="shared" si="243"/>
        <v>1219.1409630600269</v>
      </c>
      <c r="I854" s="1529">
        <f t="shared" si="243"/>
        <v>2601.8001734301465</v>
      </c>
      <c r="J854" s="1529">
        <f t="shared" si="243"/>
        <v>24313.140652830134</v>
      </c>
      <c r="K854" s="1529">
        <f t="shared" si="243"/>
        <v>45577.428750218503</v>
      </c>
      <c r="L854" s="1529">
        <f t="shared" si="243"/>
        <v>39190.780111084037</v>
      </c>
      <c r="M854" s="1529">
        <f t="shared" si="243"/>
        <v>32596.605551158165</v>
      </c>
      <c r="N854" s="1529">
        <f t="shared" si="243"/>
        <v>31739.958870220795</v>
      </c>
      <c r="O854" s="1529">
        <f t="shared" si="243"/>
        <v>30836.331544131979</v>
      </c>
      <c r="P854" s="1747"/>
      <c r="Q854" s="1954"/>
      <c r="R854" s="1822"/>
      <c r="S854" s="1822"/>
      <c r="T854" s="1822"/>
      <c r="U854" s="1822"/>
    </row>
    <row r="855" spans="1:21" ht="15">
      <c r="A855" s="1954"/>
      <c r="B855" s="1740"/>
      <c r="C855" s="1742" t="s">
        <v>1794</v>
      </c>
      <c r="D855" s="1743" t="str">
        <f>INDEX(CostVectors[Description], MATCH(C855,CostVectors[Code], 0))</f>
        <v>Point estimate of capital costs</v>
      </c>
      <c r="E855" s="1743"/>
      <c r="F855" s="1529"/>
      <c r="G855" s="1529">
        <f>G598+G602</f>
        <v>97.325237342520609</v>
      </c>
      <c r="H855" s="1529">
        <f t="shared" ref="H855:O855" si="244">H598+H602</f>
        <v>2491.238106041973</v>
      </c>
      <c r="I855" s="1529">
        <f t="shared" si="244"/>
        <v>3600.8218073342255</v>
      </c>
      <c r="J855" s="1529">
        <f t="shared" si="244"/>
        <v>41199.134560066421</v>
      </c>
      <c r="K855" s="1529">
        <f t="shared" si="244"/>
        <v>52797.509103560311</v>
      </c>
      <c r="L855" s="1529">
        <f t="shared" si="244"/>
        <v>19400.018847387099</v>
      </c>
      <c r="M855" s="1529">
        <f t="shared" si="244"/>
        <v>13753.42279944204</v>
      </c>
      <c r="N855" s="1529">
        <f t="shared" si="244"/>
        <v>16487.745669253109</v>
      </c>
      <c r="O855" s="1529">
        <f t="shared" si="244"/>
        <v>14469.204340530707</v>
      </c>
      <c r="P855" s="1747"/>
      <c r="Q855" s="1954"/>
      <c r="R855" s="1822"/>
      <c r="S855" s="1822"/>
      <c r="T855" s="1822"/>
      <c r="U855" s="1822"/>
    </row>
    <row r="856" spans="1:21" ht="15">
      <c r="A856" s="1954"/>
      <c r="B856" s="1740"/>
      <c r="C856" s="1742" t="s">
        <v>1796</v>
      </c>
      <c r="D856" s="1743" t="str">
        <f>INDEX(CostVectors[Description], MATCH(C856,CostVectors[Code], 0))</f>
        <v>Point estimate of operating costs</v>
      </c>
      <c r="E856" s="1743"/>
      <c r="F856" s="1529"/>
      <c r="G856" s="1529">
        <f>G653+G657</f>
        <v>26.905650220044691</v>
      </c>
      <c r="H856" s="1529">
        <f t="shared" ref="H856:O856" si="245">H653+H657</f>
        <v>1189.1831793386878</v>
      </c>
      <c r="I856" s="1529">
        <f t="shared" si="245"/>
        <v>2480.3557103409794</v>
      </c>
      <c r="J856" s="1529">
        <f t="shared" si="245"/>
        <v>20312.145647134341</v>
      </c>
      <c r="K856" s="1529">
        <f t="shared" si="245"/>
        <v>35276.511365618739</v>
      </c>
      <c r="L856" s="1529">
        <f t="shared" si="245"/>
        <v>28288.080501725835</v>
      </c>
      <c r="M856" s="1529">
        <f t="shared" si="245"/>
        <v>21935.941713317236</v>
      </c>
      <c r="N856" s="1529">
        <f t="shared" si="245"/>
        <v>19658.056117448301</v>
      </c>
      <c r="O856" s="1529">
        <f t="shared" si="245"/>
        <v>17447.097067448107</v>
      </c>
      <c r="P856" s="1747"/>
      <c r="Q856" s="1954"/>
      <c r="R856" s="1822"/>
      <c r="S856" s="1822"/>
      <c r="T856" s="1822"/>
      <c r="U856" s="1822"/>
    </row>
    <row r="857" spans="1:21">
      <c r="A857" s="1954"/>
      <c r="B857" s="1748"/>
      <c r="C857" s="1742" t="s">
        <v>1533</v>
      </c>
      <c r="D857" s="1743" t="str">
        <f>INDEX(CostVectors[Description], MATCH(C857,CostVectors[Code], 0))</f>
        <v>Low estimate of capital costs</v>
      </c>
      <c r="E857" s="1743"/>
      <c r="F857" s="1529"/>
      <c r="G857" s="1529">
        <f t="shared" ref="G857:O857" si="246">G617+G621</f>
        <v>97.325237342520609</v>
      </c>
      <c r="H857" s="1529">
        <f t="shared" si="246"/>
        <v>2214.4677606579617</v>
      </c>
      <c r="I857" s="1529">
        <f t="shared" si="246"/>
        <v>3172.7930239013108</v>
      </c>
      <c r="J857" s="1529">
        <f t="shared" si="246"/>
        <v>32172.194239898785</v>
      </c>
      <c r="K857" s="1529">
        <f t="shared" si="246"/>
        <v>41616.847633814039</v>
      </c>
      <c r="L857" s="1529">
        <f t="shared" si="246"/>
        <v>15531.858110413126</v>
      </c>
      <c r="M857" s="1529">
        <f t="shared" si="246"/>
        <v>11133.106545531567</v>
      </c>
      <c r="N857" s="1529">
        <f t="shared" si="246"/>
        <v>13518.924466960058</v>
      </c>
      <c r="O857" s="1529">
        <f t="shared" si="246"/>
        <v>12049.823006421226</v>
      </c>
      <c r="P857" s="1749"/>
      <c r="Q857" s="1954"/>
      <c r="R857" s="1822"/>
      <c r="S857" s="1822"/>
      <c r="T857" s="1822"/>
      <c r="U857" s="1822"/>
    </row>
    <row r="858" spans="1:21">
      <c r="A858" s="1954"/>
      <c r="B858" s="1748"/>
      <c r="C858" s="1943" t="s">
        <v>1535</v>
      </c>
      <c r="D858" s="1944" t="str">
        <f>INDEX(CostVectors[Description], MATCH(C858,CostVectors[Code], 0))</f>
        <v>Low estimate of operating costs</v>
      </c>
      <c r="E858" s="1944"/>
      <c r="F858" s="1981"/>
      <c r="G858" s="1981">
        <f t="shared" ref="G858:O858" si="247">G671+G675</f>
        <v>26.905650220044691</v>
      </c>
      <c r="H858" s="1981">
        <f t="shared" si="247"/>
        <v>1087.2935612399601</v>
      </c>
      <c r="I858" s="1981">
        <f t="shared" si="247"/>
        <v>2040.4588940790713</v>
      </c>
      <c r="J858" s="1981">
        <f t="shared" si="247"/>
        <v>15937.771018372039</v>
      </c>
      <c r="K858" s="1981">
        <f t="shared" si="247"/>
        <v>24577.174377094045</v>
      </c>
      <c r="L858" s="1981">
        <f t="shared" si="247"/>
        <v>16656.158054764401</v>
      </c>
      <c r="M858" s="1981">
        <f t="shared" si="247"/>
        <v>10153.813494732092</v>
      </c>
      <c r="N858" s="1981">
        <f t="shared" si="247"/>
        <v>6251.1292056925813</v>
      </c>
      <c r="O858" s="1981">
        <f t="shared" si="247"/>
        <v>2541.2003588437119</v>
      </c>
      <c r="P858" s="1749"/>
      <c r="Q858" s="1954"/>
      <c r="R858" s="1703"/>
      <c r="S858" s="1703"/>
      <c r="T858" s="1703"/>
      <c r="U858" s="1703"/>
    </row>
    <row r="859" spans="1:21">
      <c r="A859" s="1954"/>
      <c r="B859" s="1737"/>
      <c r="C859" s="1738"/>
      <c r="D859" s="1738"/>
      <c r="E859" s="1738"/>
      <c r="F859" s="1738"/>
      <c r="G859" s="1738"/>
      <c r="H859" s="1738"/>
      <c r="I859" s="1738"/>
      <c r="J859" s="1738"/>
      <c r="K859" s="1738"/>
      <c r="L859" s="1738"/>
      <c r="M859" s="1738"/>
      <c r="N859" s="1738"/>
      <c r="O859" s="1738"/>
      <c r="P859" s="1739"/>
      <c r="Q859" s="1954"/>
      <c r="R859" s="1855"/>
      <c r="S859" s="1855"/>
      <c r="T859" s="1855"/>
      <c r="U859" s="1855"/>
    </row>
    <row r="860" spans="1:21">
      <c r="A860" s="1954"/>
      <c r="B860" s="1737"/>
      <c r="C860" s="1745" t="s">
        <v>1708</v>
      </c>
      <c r="D860" s="1746"/>
      <c r="E860" s="1746"/>
      <c r="F860" s="1746"/>
      <c r="G860" s="1746"/>
      <c r="H860" s="1746"/>
      <c r="I860" s="1746"/>
      <c r="J860" s="1746"/>
      <c r="K860" s="1746"/>
      <c r="L860" s="1746"/>
      <c r="M860" s="1746"/>
      <c r="N860" s="1746"/>
      <c r="O860" s="1746"/>
      <c r="P860" s="1739"/>
      <c r="Q860" s="1954"/>
      <c r="R860" s="1855"/>
      <c r="S860" s="1855"/>
      <c r="T860" s="1855"/>
      <c r="U860" s="1855"/>
    </row>
    <row r="861" spans="1:21" ht="6" customHeight="1">
      <c r="A861" s="1954"/>
      <c r="B861" s="1737"/>
      <c r="C861" s="1738"/>
      <c r="D861" s="1738"/>
      <c r="E861" s="1738"/>
      <c r="F861" s="1738"/>
      <c r="G861" s="1738"/>
      <c r="H861" s="1738"/>
      <c r="I861" s="1738"/>
      <c r="J861" s="1738"/>
      <c r="K861" s="1738"/>
      <c r="L861" s="1738"/>
      <c r="M861" s="1738"/>
      <c r="N861" s="1738"/>
      <c r="O861" s="1738"/>
      <c r="P861" s="1739"/>
      <c r="Q861" s="1954"/>
      <c r="R861" s="1855"/>
      <c r="S861" s="1855"/>
      <c r="T861" s="1855"/>
      <c r="U861" s="1855"/>
    </row>
    <row r="862" spans="1:21" ht="15">
      <c r="A862" s="1954"/>
      <c r="B862" s="1740"/>
      <c r="C862" s="1918" t="s">
        <v>72</v>
      </c>
      <c r="D862" s="1918" t="s">
        <v>399</v>
      </c>
      <c r="E862" s="1918" t="s">
        <v>422</v>
      </c>
      <c r="F862" s="1918" t="s">
        <v>579</v>
      </c>
      <c r="G862" s="1918" t="s">
        <v>580</v>
      </c>
      <c r="H862" s="1918" t="s">
        <v>605</v>
      </c>
      <c r="I862" s="1918" t="s">
        <v>606</v>
      </c>
      <c r="J862" s="1918" t="s">
        <v>607</v>
      </c>
      <c r="K862" s="1918" t="s">
        <v>608</v>
      </c>
      <c r="L862" s="1918" t="s">
        <v>609</v>
      </c>
      <c r="M862" s="1918" t="s">
        <v>610</v>
      </c>
      <c r="N862" s="1918" t="s">
        <v>611</v>
      </c>
      <c r="O862" s="1918" t="s">
        <v>612</v>
      </c>
      <c r="P862" s="1747"/>
      <c r="Q862" s="1954"/>
      <c r="R862" s="1855"/>
      <c r="S862" s="1855"/>
      <c r="T862" s="1855"/>
      <c r="U862" s="1855"/>
    </row>
    <row r="863" spans="1:21" s="1568" customFormat="1" ht="15">
      <c r="A863" s="1954"/>
      <c r="B863" s="1740"/>
      <c r="C863" s="1978" t="s">
        <v>1540</v>
      </c>
      <c r="D863" s="1979" t="str">
        <f>INDEX(CostVectors[Description], MATCH(C863,CostVectors[Code], 0))</f>
        <v>High estimate of capital costs</v>
      </c>
      <c r="E863" s="1979"/>
      <c r="F863" s="1980"/>
      <c r="G863" s="1980">
        <f t="shared" ref="G863:O863" si="248">G584+G580</f>
        <v>0</v>
      </c>
      <c r="H863" s="1980">
        <f t="shared" si="248"/>
        <v>4141.2837176559387</v>
      </c>
      <c r="I863" s="1980">
        <f t="shared" si="248"/>
        <v>5974.255782953991</v>
      </c>
      <c r="J863" s="1980">
        <f t="shared" si="248"/>
        <v>22919.676788769866</v>
      </c>
      <c r="K863" s="1980">
        <f t="shared" si="248"/>
        <v>30446.566964670234</v>
      </c>
      <c r="L863" s="1980">
        <f t="shared" si="248"/>
        <v>55464.012568448357</v>
      </c>
      <c r="M863" s="1980">
        <f t="shared" si="248"/>
        <v>68054.37685707651</v>
      </c>
      <c r="N863" s="1980">
        <f t="shared" si="248"/>
        <v>79129.8450275207</v>
      </c>
      <c r="O863" s="1980">
        <f t="shared" si="248"/>
        <v>89806.410712957761</v>
      </c>
      <c r="P863" s="1747"/>
      <c r="Q863" s="1954"/>
      <c r="R863" s="1855"/>
      <c r="S863" s="1855"/>
      <c r="T863" s="1855"/>
      <c r="U863" s="1855"/>
    </row>
    <row r="864" spans="1:21" s="1568" customFormat="1" ht="15">
      <c r="A864" s="1954"/>
      <c r="B864" s="1740"/>
      <c r="C864" s="1742" t="s">
        <v>1542</v>
      </c>
      <c r="D864" s="1743" t="str">
        <f>INDEX(CostVectors[Description], MATCH(C864,CostVectors[Code], 0))</f>
        <v>High estimate of operating costs</v>
      </c>
      <c r="E864" s="1743"/>
      <c r="F864" s="1529"/>
      <c r="G864" s="1529">
        <f t="shared" ref="G864:O864" si="249">G640+G636</f>
        <v>0</v>
      </c>
      <c r="H864" s="1529">
        <f t="shared" si="249"/>
        <v>770.39790012578567</v>
      </c>
      <c r="I864" s="1529">
        <f t="shared" si="249"/>
        <v>1572.6585266397099</v>
      </c>
      <c r="J864" s="1529">
        <f t="shared" si="249"/>
        <v>5066.7223174376632</v>
      </c>
      <c r="K864" s="1529">
        <f t="shared" si="249"/>
        <v>8471.0855573085901</v>
      </c>
      <c r="L864" s="1529">
        <f t="shared" si="249"/>
        <v>14946.020434458713</v>
      </c>
      <c r="M864" s="1529">
        <f t="shared" si="249"/>
        <v>21006.94900947377</v>
      </c>
      <c r="N864" s="1529">
        <f t="shared" si="249"/>
        <v>26593.132240651466</v>
      </c>
      <c r="O864" s="1529">
        <f t="shared" si="249"/>
        <v>31822.755505757108</v>
      </c>
      <c r="P864" s="1747"/>
      <c r="Q864" s="1954"/>
      <c r="R864" s="1855"/>
      <c r="S864" s="1855"/>
      <c r="T864" s="1855"/>
      <c r="U864" s="1855"/>
    </row>
    <row r="865" spans="1:21" s="1568" customFormat="1" ht="15">
      <c r="A865" s="1954"/>
      <c r="B865" s="1740"/>
      <c r="C865" s="1742" t="s">
        <v>1794</v>
      </c>
      <c r="D865" s="1743" t="str">
        <f>INDEX(CostVectors[Description], MATCH(C865,CostVectors[Code], 0))</f>
        <v>Point estimate of capital costs</v>
      </c>
      <c r="E865" s="1743"/>
      <c r="F865" s="1529"/>
      <c r="G865" s="1529">
        <f>G654+G658</f>
        <v>0</v>
      </c>
      <c r="H865" s="1529">
        <f>H599+H603</f>
        <v>2524.3985795605363</v>
      </c>
      <c r="I865" s="1529">
        <f t="shared" ref="I865:O865" si="250">I599+I603</f>
        <v>3460.6663552138043</v>
      </c>
      <c r="J865" s="1529">
        <f t="shared" si="250"/>
        <v>12395.108069605078</v>
      </c>
      <c r="K865" s="1529">
        <f t="shared" si="250"/>
        <v>15529.528369580808</v>
      </c>
      <c r="L865" s="1529">
        <f t="shared" si="250"/>
        <v>26562.806286301253</v>
      </c>
      <c r="M865" s="1529">
        <f t="shared" si="250"/>
        <v>30513.162433514917</v>
      </c>
      <c r="N865" s="1529">
        <f t="shared" si="250"/>
        <v>33077.336913325315</v>
      </c>
      <c r="O865" s="1529">
        <f t="shared" si="250"/>
        <v>34700.128129842808</v>
      </c>
      <c r="P865" s="1747"/>
      <c r="Q865" s="1954"/>
      <c r="R865" s="1855"/>
      <c r="S865" s="1855"/>
      <c r="T865" s="1855"/>
      <c r="U865" s="1855"/>
    </row>
    <row r="866" spans="1:21" s="1568" customFormat="1" ht="15">
      <c r="A866" s="1954"/>
      <c r="B866" s="1740"/>
      <c r="C866" s="1742" t="s">
        <v>1796</v>
      </c>
      <c r="D866" s="1743" t="str">
        <f>INDEX(CostVectors[Description], MATCH(C866,CostVectors[Code], 0))</f>
        <v>Point estimate of operating costs</v>
      </c>
      <c r="E866" s="1743"/>
      <c r="F866" s="1529"/>
      <c r="G866" s="1529">
        <f>G654+G658</f>
        <v>0</v>
      </c>
      <c r="H866" s="1529">
        <f t="shared" ref="H866:O866" si="251">H654+H658</f>
        <v>726.59403038116056</v>
      </c>
      <c r="I866" s="1529">
        <f t="shared" si="251"/>
        <v>1393.7350476016425</v>
      </c>
      <c r="J866" s="1529">
        <f t="shared" si="251"/>
        <v>4204.022226582344</v>
      </c>
      <c r="K866" s="1529">
        <f t="shared" si="251"/>
        <v>6548.5602599550457</v>
      </c>
      <c r="L866" s="1529">
        <f t="shared" si="251"/>
        <v>10707.402901467516</v>
      </c>
      <c r="M866" s="1529">
        <f t="shared" si="251"/>
        <v>13858.436622877496</v>
      </c>
      <c r="N866" s="1529">
        <f t="shared" si="251"/>
        <v>16034.175180356184</v>
      </c>
      <c r="O866" s="1529">
        <f t="shared" si="251"/>
        <v>17380.405184570707</v>
      </c>
      <c r="P866" s="1747"/>
      <c r="Q866" s="1954"/>
      <c r="R866" s="1855"/>
      <c r="S866" s="1855"/>
      <c r="T866" s="1855"/>
      <c r="U866" s="1855"/>
    </row>
    <row r="867" spans="1:21" s="1568" customFormat="1">
      <c r="A867" s="1954"/>
      <c r="B867" s="1748"/>
      <c r="C867" s="1742" t="s">
        <v>1533</v>
      </c>
      <c r="D867" s="1743" t="str">
        <f>INDEX(CostVectors[Description], MATCH(C867,CostVectors[Code], 0))</f>
        <v>Low estimate of capital costs</v>
      </c>
      <c r="E867" s="1743"/>
      <c r="F867" s="1529"/>
      <c r="G867" s="1529">
        <f t="shared" ref="G867:O867" si="252">G618+G622</f>
        <v>0</v>
      </c>
      <c r="H867" s="1529">
        <f t="shared" si="252"/>
        <v>1968.9012946374123</v>
      </c>
      <c r="I867" s="1529">
        <f t="shared" si="252"/>
        <v>2655.5172162486469</v>
      </c>
      <c r="J867" s="1529">
        <f t="shared" si="252"/>
        <v>9194.619670903121</v>
      </c>
      <c r="K867" s="1529">
        <f t="shared" si="252"/>
        <v>11239.627874929618</v>
      </c>
      <c r="L867" s="1529">
        <f t="shared" si="252"/>
        <v>18660.542262901112</v>
      </c>
      <c r="M867" s="1529">
        <f t="shared" si="252"/>
        <v>20735.455488023093</v>
      </c>
      <c r="N867" s="1529">
        <f t="shared" si="252"/>
        <v>21635.093535917702</v>
      </c>
      <c r="O867" s="1529">
        <f t="shared" si="252"/>
        <v>21711.065873913241</v>
      </c>
      <c r="P867" s="1749"/>
      <c r="Q867" s="1954"/>
      <c r="R867" s="1044"/>
      <c r="S867" s="1044"/>
      <c r="T867" s="1044"/>
      <c r="U867" s="1044"/>
    </row>
    <row r="868" spans="1:21" s="1568" customFormat="1">
      <c r="A868" s="1954"/>
      <c r="B868" s="1748"/>
      <c r="C868" s="1943" t="s">
        <v>1535</v>
      </c>
      <c r="D868" s="1944" t="str">
        <f>INDEX(CostVectors[Description], MATCH(C868,CostVectors[Code], 0))</f>
        <v>Low estimate of operating costs</v>
      </c>
      <c r="E868" s="1944"/>
      <c r="F868" s="1981"/>
      <c r="G868" s="1981">
        <f t="shared" ref="G868:O868" si="253">G672+G676</f>
        <v>0</v>
      </c>
      <c r="H868" s="1981">
        <f t="shared" si="253"/>
        <v>687.10248260477829</v>
      </c>
      <c r="I868" s="1981">
        <f t="shared" si="253"/>
        <v>1234.188065824022</v>
      </c>
      <c r="J868" s="1981">
        <f t="shared" si="253"/>
        <v>3393.7234684895875</v>
      </c>
      <c r="K868" s="1981">
        <f t="shared" si="253"/>
        <v>4730.0245235064458</v>
      </c>
      <c r="L868" s="1981">
        <f t="shared" si="253"/>
        <v>6668.657534064937</v>
      </c>
      <c r="M868" s="1981">
        <f t="shared" si="253"/>
        <v>7037.6651396150064</v>
      </c>
      <c r="N868" s="1981">
        <f t="shared" si="253"/>
        <v>5985.7270507794665</v>
      </c>
      <c r="O868" s="1981">
        <f t="shared" si="253"/>
        <v>3675.6047969978713</v>
      </c>
      <c r="P868" s="1749"/>
      <c r="Q868" s="1954"/>
      <c r="R868" s="1044"/>
      <c r="S868" s="1044"/>
      <c r="T868" s="1044"/>
      <c r="U868" s="1044"/>
    </row>
    <row r="869" spans="1:21" s="1568" customFormat="1">
      <c r="A869" s="1954"/>
      <c r="B869" s="1737"/>
      <c r="C869" s="1738"/>
      <c r="D869" s="1738"/>
      <c r="E869" s="1738"/>
      <c r="F869" s="1738"/>
      <c r="G869" s="1738"/>
      <c r="H869" s="1738"/>
      <c r="I869" s="1738"/>
      <c r="J869" s="1738"/>
      <c r="K869" s="1738"/>
      <c r="L869" s="1738"/>
      <c r="M869" s="1738"/>
      <c r="N869" s="1738"/>
      <c r="O869" s="1738"/>
      <c r="P869" s="1739"/>
      <c r="Q869" s="1954"/>
      <c r="R869" s="1044"/>
      <c r="S869" s="1044"/>
      <c r="T869" s="1044"/>
      <c r="U869" s="1044"/>
    </row>
    <row r="870" spans="1:21" s="1568" customFormat="1">
      <c r="A870" s="1954"/>
      <c r="B870" s="1737"/>
      <c r="C870" s="1745" t="s">
        <v>1709</v>
      </c>
      <c r="D870" s="1746"/>
      <c r="E870" s="1746"/>
      <c r="F870" s="1746"/>
      <c r="G870" s="1746"/>
      <c r="H870" s="1746"/>
      <c r="I870" s="1746"/>
      <c r="J870" s="1746"/>
      <c r="K870" s="1746"/>
      <c r="L870" s="1746"/>
      <c r="M870" s="1746"/>
      <c r="N870" s="1746"/>
      <c r="O870" s="1746"/>
      <c r="P870" s="1739"/>
      <c r="Q870" s="1954"/>
      <c r="R870" s="1044"/>
      <c r="S870" s="1044"/>
      <c r="T870" s="1044"/>
      <c r="U870" s="1044"/>
    </row>
    <row r="871" spans="1:21" s="1568" customFormat="1" ht="6" customHeight="1">
      <c r="A871" s="1954"/>
      <c r="B871" s="1737"/>
      <c r="C871" s="1738"/>
      <c r="D871" s="1738"/>
      <c r="E871" s="1738"/>
      <c r="F871" s="1738"/>
      <c r="G871" s="1738"/>
      <c r="H871" s="1738"/>
      <c r="I871" s="1738"/>
      <c r="J871" s="1738"/>
      <c r="K871" s="1738"/>
      <c r="L871" s="1738"/>
      <c r="M871" s="1738"/>
      <c r="N871" s="1738"/>
      <c r="O871" s="1738"/>
      <c r="P871" s="1739"/>
      <c r="Q871" s="1954"/>
      <c r="R871" s="1044"/>
      <c r="S871" s="1044"/>
      <c r="T871" s="1044"/>
      <c r="U871" s="1044"/>
    </row>
    <row r="872" spans="1:21" s="1568" customFormat="1" ht="15">
      <c r="A872" s="1954"/>
      <c r="B872" s="1740"/>
      <c r="C872" s="1918" t="s">
        <v>72</v>
      </c>
      <c r="D872" s="1918" t="s">
        <v>399</v>
      </c>
      <c r="E872" s="1918" t="s">
        <v>422</v>
      </c>
      <c r="F872" s="1918" t="s">
        <v>579</v>
      </c>
      <c r="G872" s="1918" t="s">
        <v>580</v>
      </c>
      <c r="H872" s="1918" t="s">
        <v>605</v>
      </c>
      <c r="I872" s="1918" t="s">
        <v>606</v>
      </c>
      <c r="J872" s="1918" t="s">
        <v>607</v>
      </c>
      <c r="K872" s="1918" t="s">
        <v>608</v>
      </c>
      <c r="L872" s="1918" t="s">
        <v>609</v>
      </c>
      <c r="M872" s="1918" t="s">
        <v>610</v>
      </c>
      <c r="N872" s="1918" t="s">
        <v>611</v>
      </c>
      <c r="O872" s="1918" t="s">
        <v>612</v>
      </c>
      <c r="P872" s="1747"/>
      <c r="Q872" s="1954"/>
      <c r="R872" s="1044"/>
      <c r="S872" s="1044"/>
      <c r="T872" s="1044"/>
      <c r="U872" s="1044"/>
    </row>
    <row r="873" spans="1:21" s="1568" customFormat="1" ht="15">
      <c r="A873" s="1954"/>
      <c r="B873" s="1740"/>
      <c r="C873" s="1978" t="s">
        <v>1540</v>
      </c>
      <c r="D873" s="1979" t="str">
        <f>INDEX(CostVectors[Description], MATCH(C873,CostVectors[Code], 0))</f>
        <v>High estimate of capital costs</v>
      </c>
      <c r="E873" s="1979"/>
      <c r="F873" s="1980"/>
      <c r="G873" s="1980">
        <f t="shared" ref="G873:O873" si="254">G585+G581</f>
        <v>0</v>
      </c>
      <c r="H873" s="1980">
        <f t="shared" si="254"/>
        <v>0</v>
      </c>
      <c r="I873" s="1980">
        <f t="shared" si="254"/>
        <v>0</v>
      </c>
      <c r="J873" s="1980">
        <f t="shared" si="254"/>
        <v>0</v>
      </c>
      <c r="K873" s="1980">
        <f t="shared" si="254"/>
        <v>0</v>
      </c>
      <c r="L873" s="1980">
        <f t="shared" si="254"/>
        <v>0</v>
      </c>
      <c r="M873" s="1980">
        <f t="shared" si="254"/>
        <v>0</v>
      </c>
      <c r="N873" s="1980">
        <f t="shared" si="254"/>
        <v>0</v>
      </c>
      <c r="O873" s="1980">
        <f t="shared" si="254"/>
        <v>0</v>
      </c>
      <c r="P873" s="1747"/>
      <c r="Q873" s="1954"/>
      <c r="R873" s="1044"/>
      <c r="S873" s="1044"/>
      <c r="T873" s="1044"/>
      <c r="U873" s="1044"/>
    </row>
    <row r="874" spans="1:21" s="1568" customFormat="1" ht="15">
      <c r="A874" s="1954"/>
      <c r="B874" s="1740"/>
      <c r="C874" s="1742" t="s">
        <v>1542</v>
      </c>
      <c r="D874" s="1743" t="str">
        <f>INDEX(CostVectors[Description], MATCH(C874,CostVectors[Code], 0))</f>
        <v>High estimate of operating costs</v>
      </c>
      <c r="E874" s="1743"/>
      <c r="F874" s="1529"/>
      <c r="G874" s="1529">
        <f t="shared" ref="G874:O874" si="255">G641+G637</f>
        <v>0</v>
      </c>
      <c r="H874" s="1529">
        <f>H641+H637</f>
        <v>0</v>
      </c>
      <c r="I874" s="1529">
        <f t="shared" si="255"/>
        <v>0</v>
      </c>
      <c r="J874" s="1529">
        <f t="shared" si="255"/>
        <v>0</v>
      </c>
      <c r="K874" s="1529">
        <f t="shared" si="255"/>
        <v>0</v>
      </c>
      <c r="L874" s="1529">
        <f t="shared" si="255"/>
        <v>0</v>
      </c>
      <c r="M874" s="1529">
        <f t="shared" si="255"/>
        <v>0</v>
      </c>
      <c r="N874" s="1529">
        <f t="shared" si="255"/>
        <v>0</v>
      </c>
      <c r="O874" s="1529">
        <f t="shared" si="255"/>
        <v>0</v>
      </c>
      <c r="P874" s="1747"/>
      <c r="Q874" s="1954"/>
      <c r="R874" s="1044"/>
      <c r="S874" s="2034"/>
      <c r="T874" s="1044"/>
      <c r="U874" s="1044"/>
    </row>
    <row r="875" spans="1:21" s="1568" customFormat="1" ht="15">
      <c r="A875" s="1954"/>
      <c r="B875" s="1740"/>
      <c r="C875" s="1742" t="s">
        <v>1794</v>
      </c>
      <c r="D875" s="1743" t="str">
        <f>INDEX(CostVectors[Description], MATCH(C875,CostVectors[Code], 0))</f>
        <v>Point estimate of capital costs</v>
      </c>
      <c r="E875" s="1743"/>
      <c r="F875" s="1529"/>
      <c r="G875" s="1529">
        <f>G600+G604</f>
        <v>0</v>
      </c>
      <c r="H875" s="1529">
        <f>H600+H604</f>
        <v>0</v>
      </c>
      <c r="I875" s="1529">
        <f t="shared" ref="I875:N875" si="256">I600+I604</f>
        <v>0</v>
      </c>
      <c r="J875" s="1529">
        <f t="shared" si="256"/>
        <v>0</v>
      </c>
      <c r="K875" s="1529">
        <f t="shared" si="256"/>
        <v>0</v>
      </c>
      <c r="L875" s="1529">
        <f t="shared" si="256"/>
        <v>0</v>
      </c>
      <c r="M875" s="1529">
        <f t="shared" si="256"/>
        <v>0</v>
      </c>
      <c r="N875" s="1529">
        <f t="shared" si="256"/>
        <v>0</v>
      </c>
      <c r="O875" s="1529">
        <f>O600+O604</f>
        <v>0</v>
      </c>
      <c r="P875" s="1747"/>
      <c r="Q875" s="1954"/>
      <c r="R875" s="1044"/>
      <c r="S875" s="1044"/>
      <c r="T875" s="1044"/>
      <c r="U875" s="1044"/>
    </row>
    <row r="876" spans="1:21" s="1568" customFormat="1" ht="15">
      <c r="A876" s="1954"/>
      <c r="B876" s="1740"/>
      <c r="C876" s="1742" t="s">
        <v>1796</v>
      </c>
      <c r="D876" s="1743" t="str">
        <f>INDEX(CostVectors[Description], MATCH(C876,CostVectors[Code], 0))</f>
        <v>Point estimate of operating costs</v>
      </c>
      <c r="E876" s="1743"/>
      <c r="F876" s="1529"/>
      <c r="G876" s="1529">
        <f>G655+G659</f>
        <v>0</v>
      </c>
      <c r="H876" s="1529">
        <f t="shared" ref="H876:O876" si="257">H655+H659</f>
        <v>0</v>
      </c>
      <c r="I876" s="1529">
        <f t="shared" si="257"/>
        <v>0</v>
      </c>
      <c r="J876" s="1529">
        <f t="shared" si="257"/>
        <v>0</v>
      </c>
      <c r="K876" s="1529">
        <f t="shared" si="257"/>
        <v>0</v>
      </c>
      <c r="L876" s="1529">
        <f t="shared" si="257"/>
        <v>0</v>
      </c>
      <c r="M876" s="1529">
        <f t="shared" si="257"/>
        <v>0</v>
      </c>
      <c r="N876" s="1529">
        <f t="shared" si="257"/>
        <v>0</v>
      </c>
      <c r="O876" s="1529">
        <f t="shared" si="257"/>
        <v>0</v>
      </c>
      <c r="P876" s="1747"/>
      <c r="Q876" s="1954"/>
      <c r="R876" s="1044"/>
      <c r="S876" s="2034"/>
      <c r="T876" s="1044"/>
      <c r="U876" s="2034"/>
    </row>
    <row r="877" spans="1:21" s="1568" customFormat="1">
      <c r="A877" s="1954"/>
      <c r="B877" s="1748"/>
      <c r="C877" s="1742" t="s">
        <v>1533</v>
      </c>
      <c r="D877" s="1743" t="str">
        <f>INDEX(CostVectors[Description], MATCH(C877,CostVectors[Code], 0))</f>
        <v>Low estimate of capital costs</v>
      </c>
      <c r="E877" s="1743"/>
      <c r="F877" s="1529"/>
      <c r="G877" s="1529">
        <f t="shared" ref="G877:O877" si="258">G619+G623</f>
        <v>0</v>
      </c>
      <c r="H877" s="1529">
        <f t="shared" si="258"/>
        <v>0</v>
      </c>
      <c r="I877" s="1529">
        <f t="shared" si="258"/>
        <v>0</v>
      </c>
      <c r="J877" s="1529">
        <f t="shared" si="258"/>
        <v>0</v>
      </c>
      <c r="K877" s="1529">
        <f t="shared" si="258"/>
        <v>0</v>
      </c>
      <c r="L877" s="1529">
        <f t="shared" si="258"/>
        <v>0</v>
      </c>
      <c r="M877" s="1529">
        <f t="shared" si="258"/>
        <v>0</v>
      </c>
      <c r="N877" s="1529">
        <f t="shared" si="258"/>
        <v>0</v>
      </c>
      <c r="O877" s="1529">
        <f t="shared" si="258"/>
        <v>0</v>
      </c>
      <c r="P877" s="1749"/>
      <c r="Q877" s="1954"/>
      <c r="R877" s="1044"/>
      <c r="S877" s="1044"/>
      <c r="T877" s="1044"/>
      <c r="U877" s="1044"/>
    </row>
    <row r="878" spans="1:21" s="1568" customFormat="1">
      <c r="A878" s="1954"/>
      <c r="B878" s="1748"/>
      <c r="C878" s="1943" t="s">
        <v>1535</v>
      </c>
      <c r="D878" s="1944" t="str">
        <f>INDEX(CostVectors[Description], MATCH(C878,CostVectors[Code], 0))</f>
        <v>Low estimate of operating costs</v>
      </c>
      <c r="E878" s="1944"/>
      <c r="F878" s="1981"/>
      <c r="G878" s="1981">
        <f t="shared" ref="G878:O878" si="259">G673+G677</f>
        <v>0</v>
      </c>
      <c r="H878" s="1981">
        <f t="shared" si="259"/>
        <v>0</v>
      </c>
      <c r="I878" s="1981">
        <f t="shared" si="259"/>
        <v>0</v>
      </c>
      <c r="J878" s="1981">
        <f t="shared" si="259"/>
        <v>0</v>
      </c>
      <c r="K878" s="1981">
        <f t="shared" si="259"/>
        <v>0</v>
      </c>
      <c r="L878" s="1981">
        <f t="shared" si="259"/>
        <v>0</v>
      </c>
      <c r="M878" s="1981">
        <f t="shared" si="259"/>
        <v>0</v>
      </c>
      <c r="N878" s="1981">
        <f t="shared" si="259"/>
        <v>0</v>
      </c>
      <c r="O878" s="1981">
        <f t="shared" si="259"/>
        <v>0</v>
      </c>
      <c r="P878" s="1749"/>
      <c r="Q878" s="1954"/>
      <c r="R878" s="1044"/>
      <c r="S878" s="2034"/>
      <c r="T878" s="1044"/>
      <c r="U878" s="1044"/>
    </row>
    <row r="879" spans="1:21" s="1568" customFormat="1">
      <c r="A879" s="1954"/>
      <c r="B879" s="1737"/>
      <c r="C879" s="1738"/>
      <c r="D879" s="1738"/>
      <c r="E879" s="1738"/>
      <c r="F879" s="1738"/>
      <c r="G879" s="1738"/>
      <c r="H879" s="1738"/>
      <c r="I879" s="1738"/>
      <c r="J879" s="1738"/>
      <c r="K879" s="1738"/>
      <c r="L879" s="1738"/>
      <c r="M879" s="1738"/>
      <c r="N879" s="1738"/>
      <c r="O879" s="1738"/>
      <c r="P879" s="1739"/>
      <c r="Q879" s="1954"/>
      <c r="R879" s="1044"/>
      <c r="S879" s="1044"/>
      <c r="T879" s="1044"/>
      <c r="U879" s="1044"/>
    </row>
    <row r="880" spans="1:21" s="1568" customFormat="1">
      <c r="A880" s="1954"/>
      <c r="B880" s="1737"/>
      <c r="C880" s="1745" t="s">
        <v>1711</v>
      </c>
      <c r="D880" s="1746"/>
      <c r="E880" s="1746"/>
      <c r="F880" s="1746"/>
      <c r="G880" s="1746"/>
      <c r="H880" s="1746"/>
      <c r="I880" s="1746"/>
      <c r="J880" s="1746"/>
      <c r="K880" s="1746"/>
      <c r="L880" s="1746"/>
      <c r="M880" s="1746"/>
      <c r="N880" s="1746"/>
      <c r="O880" s="1746"/>
      <c r="P880" s="1739"/>
      <c r="Q880" s="1954"/>
      <c r="R880" s="1044"/>
      <c r="S880" s="1044"/>
      <c r="T880" s="1044"/>
      <c r="U880" s="1044"/>
    </row>
    <row r="881" spans="1:21" s="1568" customFormat="1" ht="6" customHeight="1">
      <c r="A881" s="1954"/>
      <c r="B881" s="1737"/>
      <c r="C881" s="1738"/>
      <c r="D881" s="1738"/>
      <c r="E881" s="1738"/>
      <c r="F881" s="1738"/>
      <c r="G881" s="1738"/>
      <c r="H881" s="1738"/>
      <c r="I881" s="1738"/>
      <c r="J881" s="1738"/>
      <c r="K881" s="1738"/>
      <c r="L881" s="1738"/>
      <c r="M881" s="1738"/>
      <c r="N881" s="1738"/>
      <c r="O881" s="1738"/>
      <c r="P881" s="1739"/>
      <c r="Q881" s="1954"/>
      <c r="R881" s="1044"/>
      <c r="S881" s="1044"/>
      <c r="T881" s="1044"/>
      <c r="U881" s="1044"/>
    </row>
    <row r="882" spans="1:21" s="1568" customFormat="1" ht="15">
      <c r="A882" s="1954"/>
      <c r="B882" s="1740"/>
      <c r="C882" s="1918" t="s">
        <v>72</v>
      </c>
      <c r="D882" s="1918" t="s">
        <v>399</v>
      </c>
      <c r="E882" s="1918" t="s">
        <v>422</v>
      </c>
      <c r="F882" s="1918" t="s">
        <v>579</v>
      </c>
      <c r="G882" s="1918" t="s">
        <v>580</v>
      </c>
      <c r="H882" s="1918" t="s">
        <v>605</v>
      </c>
      <c r="I882" s="1918" t="s">
        <v>606</v>
      </c>
      <c r="J882" s="1918" t="s">
        <v>607</v>
      </c>
      <c r="K882" s="1918" t="s">
        <v>608</v>
      </c>
      <c r="L882" s="1918" t="s">
        <v>609</v>
      </c>
      <c r="M882" s="1918" t="s">
        <v>610</v>
      </c>
      <c r="N882" s="1918" t="s">
        <v>611</v>
      </c>
      <c r="O882" s="1918" t="s">
        <v>612</v>
      </c>
      <c r="P882" s="1747"/>
      <c r="Q882" s="1954"/>
      <c r="R882" s="1044"/>
      <c r="S882" s="1044"/>
      <c r="T882" s="1044"/>
      <c r="U882" s="1044"/>
    </row>
    <row r="883" spans="1:21" s="1568" customFormat="1" ht="15">
      <c r="A883" s="1954"/>
      <c r="B883" s="1740"/>
      <c r="C883" s="1978" t="s">
        <v>1540</v>
      </c>
      <c r="D883" s="1979" t="str">
        <f>INDEX(CostVectors[Description], MATCH(C883,CostVectors[Code], 0))</f>
        <v>High estimate of capital costs</v>
      </c>
      <c r="E883" s="1979"/>
      <c r="F883" s="1980"/>
      <c r="G883" s="1980">
        <f t="shared" ref="G883:O883" si="260">G577</f>
        <v>912.68962380952394</v>
      </c>
      <c r="H883" s="1980">
        <f t="shared" si="260"/>
        <v>1377.8251118035716</v>
      </c>
      <c r="I883" s="1980">
        <f t="shared" si="260"/>
        <v>2021.1618238355486</v>
      </c>
      <c r="J883" s="1980">
        <f t="shared" si="260"/>
        <v>2565.8549031063121</v>
      </c>
      <c r="K883" s="1980">
        <f t="shared" si="260"/>
        <v>3239.2223458139538</v>
      </c>
      <c r="L883" s="1980">
        <f t="shared" si="260"/>
        <v>3994.9732500000014</v>
      </c>
      <c r="M883" s="1980">
        <f t="shared" si="260"/>
        <v>4839.9999033803979</v>
      </c>
      <c r="N883" s="1980">
        <f t="shared" si="260"/>
        <v>5778.5938916196019</v>
      </c>
      <c r="O883" s="1980">
        <f t="shared" si="260"/>
        <v>6811.3426217940196</v>
      </c>
      <c r="P883" s="1747"/>
      <c r="Q883" s="1954"/>
      <c r="R883" s="1855"/>
      <c r="S883" s="1855"/>
      <c r="T883" s="1855"/>
      <c r="U883" s="1855"/>
    </row>
    <row r="884" spans="1:21" s="1568" customFormat="1" ht="15">
      <c r="A884" s="1954"/>
      <c r="B884" s="1740"/>
      <c r="C884" s="1742" t="s">
        <v>1542</v>
      </c>
      <c r="D884" s="1743" t="str">
        <f>INDEX(CostVectors[Description], MATCH(C884,CostVectors[Code], 0))</f>
        <v>High estimate of operating costs</v>
      </c>
      <c r="E884" s="1743"/>
      <c r="F884" s="1529"/>
      <c r="G884" s="1529">
        <f t="shared" ref="G884:O884" si="261">G633</f>
        <v>746.66883600000006</v>
      </c>
      <c r="H884" s="1529">
        <f t="shared" si="261"/>
        <v>993.31290825000008</v>
      </c>
      <c r="I884" s="1529">
        <f t="shared" si="261"/>
        <v>1353.6445755813957</v>
      </c>
      <c r="J884" s="1529">
        <f t="shared" si="261"/>
        <v>1676.276846511628</v>
      </c>
      <c r="K884" s="1529">
        <f t="shared" si="261"/>
        <v>2035.2052520930235</v>
      </c>
      <c r="L884" s="1529">
        <f t="shared" si="261"/>
        <v>2428.8847058139545</v>
      </c>
      <c r="M884" s="1529">
        <f t="shared" si="261"/>
        <v>2859.6666568604655</v>
      </c>
      <c r="N884" s="1529">
        <f t="shared" si="261"/>
        <v>3329.7039581395356</v>
      </c>
      <c r="O884" s="1529">
        <f t="shared" si="261"/>
        <v>3839.4741499999991</v>
      </c>
      <c r="P884" s="1747"/>
      <c r="Q884" s="1954"/>
      <c r="R884" s="1855"/>
      <c r="S884" s="1855"/>
      <c r="T884" s="1855"/>
      <c r="U884" s="1855"/>
    </row>
    <row r="885" spans="1:21" s="1568" customFormat="1" ht="15">
      <c r="A885" s="1954"/>
      <c r="B885" s="1740"/>
      <c r="C885" s="1742" t="s">
        <v>1794</v>
      </c>
      <c r="D885" s="1743" t="str">
        <f>INDEX(CostVectors[Description], MATCH(C885,CostVectors[Code], 0))</f>
        <v>Point estimate of capital costs</v>
      </c>
      <c r="E885" s="1743"/>
      <c r="F885" s="1529"/>
      <c r="G885" s="1529">
        <f>G596</f>
        <v>912.68962380952394</v>
      </c>
      <c r="H885" s="1529">
        <f t="shared" ref="H885:O885" si="262">H596</f>
        <v>1172.6171164285715</v>
      </c>
      <c r="I885" s="1529">
        <f t="shared" si="262"/>
        <v>1497.1569065448507</v>
      </c>
      <c r="J885" s="1529">
        <f t="shared" si="262"/>
        <v>1682.5278053156144</v>
      </c>
      <c r="K885" s="1529">
        <f t="shared" si="262"/>
        <v>1905.4249093023254</v>
      </c>
      <c r="L885" s="1529">
        <f t="shared" si="262"/>
        <v>2130.6524000000004</v>
      </c>
      <c r="M885" s="1529">
        <f t="shared" si="262"/>
        <v>2360.9755626245842</v>
      </c>
      <c r="N885" s="1529">
        <f t="shared" si="262"/>
        <v>2597.1208501661131</v>
      </c>
      <c r="O885" s="1529">
        <f t="shared" si="262"/>
        <v>2838.0594257475082</v>
      </c>
      <c r="P885" s="1747"/>
      <c r="Q885" s="1954"/>
      <c r="R885" s="1855"/>
      <c r="S885" s="1855"/>
      <c r="T885" s="1855"/>
      <c r="U885" s="1855"/>
    </row>
    <row r="886" spans="1:21" s="1568" customFormat="1" ht="15">
      <c r="A886" s="1954"/>
      <c r="B886" s="1740"/>
      <c r="C886" s="1742" t="s">
        <v>1796</v>
      </c>
      <c r="D886" s="1743" t="str">
        <f>INDEX(CostVectors[Description], MATCH(C886,CostVectors[Code], 0))</f>
        <v>Point estimate of operating costs</v>
      </c>
      <c r="E886" s="1743"/>
      <c r="F886" s="1529"/>
      <c r="G886" s="1529">
        <f>G651</f>
        <v>746.66883600000006</v>
      </c>
      <c r="H886" s="1529">
        <f t="shared" ref="H886:O886" si="263">H651</f>
        <v>916.90422300000012</v>
      </c>
      <c r="I886" s="1529">
        <f t="shared" si="263"/>
        <v>1160.2667790697676</v>
      </c>
      <c r="J886" s="1529">
        <f t="shared" si="263"/>
        <v>1341.0214772093022</v>
      </c>
      <c r="K886" s="1529">
        <f t="shared" si="263"/>
        <v>1526.4039390697674</v>
      </c>
      <c r="L886" s="1529">
        <f t="shared" si="263"/>
        <v>1714.506851162791</v>
      </c>
      <c r="M886" s="1529">
        <f t="shared" si="263"/>
        <v>1906.4444379069764</v>
      </c>
      <c r="N886" s="1529">
        <f t="shared" si="263"/>
        <v>2102.9709209302323</v>
      </c>
      <c r="O886" s="1529">
        <f t="shared" si="263"/>
        <v>2303.6844899999996</v>
      </c>
      <c r="P886" s="1747"/>
      <c r="Q886" s="1954"/>
      <c r="R886" s="1855"/>
      <c r="S886" s="1855"/>
      <c r="T886" s="1855"/>
      <c r="U886" s="1855"/>
    </row>
    <row r="887" spans="1:21" s="1568" customFormat="1">
      <c r="A887" s="1954"/>
      <c r="B887" s="1748"/>
      <c r="C887" s="1742" t="s">
        <v>1533</v>
      </c>
      <c r="D887" s="1743" t="str">
        <f>INDEX(CostVectors[Description], MATCH(C887,CostVectors[Code], 0))</f>
        <v>Low estimate of capital costs</v>
      </c>
      <c r="E887" s="1743"/>
      <c r="F887" s="1529"/>
      <c r="G887" s="1529">
        <f t="shared" ref="G887:O887" si="264">G615</f>
        <v>912.68962380952394</v>
      </c>
      <c r="H887" s="1529">
        <f t="shared" si="264"/>
        <v>1119.8493461892858</v>
      </c>
      <c r="I887" s="1529">
        <f t="shared" si="264"/>
        <v>1362.412784955814</v>
      </c>
      <c r="J887" s="1529">
        <f t="shared" si="264"/>
        <v>1455.3865515980062</v>
      </c>
      <c r="K887" s="1529">
        <f t="shared" si="264"/>
        <v>1562.4484256279065</v>
      </c>
      <c r="L887" s="1529">
        <f t="shared" si="264"/>
        <v>1651.2556099999999</v>
      </c>
      <c r="M887" s="1529">
        <f t="shared" si="264"/>
        <v>1723.5121607159458</v>
      </c>
      <c r="N887" s="1529">
        <f t="shared" si="264"/>
        <v>1779.0277823637866</v>
      </c>
      <c r="O887" s="1529">
        <f t="shared" si="264"/>
        <v>1816.358032478405</v>
      </c>
      <c r="P887" s="1749"/>
      <c r="Q887" s="1954"/>
      <c r="R887" s="1855"/>
      <c r="S887" s="1855"/>
      <c r="T887" s="1855"/>
      <c r="U887" s="1855"/>
    </row>
    <row r="888" spans="1:21" s="1568" customFormat="1">
      <c r="A888" s="1954"/>
      <c r="B888" s="1748"/>
      <c r="C888" s="1943" t="s">
        <v>1535</v>
      </c>
      <c r="D888" s="1944" t="str">
        <f>INDEX(CostVectors[Description], MATCH(C888,CostVectors[Code], 0))</f>
        <v>Low estimate of operating costs</v>
      </c>
      <c r="E888" s="1944"/>
      <c r="F888" s="1981"/>
      <c r="G888" s="1981">
        <f t="shared" ref="G888:O888" si="265">G669</f>
        <v>746.66883600000006</v>
      </c>
      <c r="H888" s="1981">
        <f t="shared" si="265"/>
        <v>878.69988037500002</v>
      </c>
      <c r="I888" s="1981">
        <f t="shared" si="265"/>
        <v>1063.5778808139535</v>
      </c>
      <c r="J888" s="1981">
        <f t="shared" si="265"/>
        <v>1173.3937925581392</v>
      </c>
      <c r="K888" s="1981">
        <f t="shared" si="265"/>
        <v>1272.0032825581393</v>
      </c>
      <c r="L888" s="1981">
        <f t="shared" si="265"/>
        <v>1357.3179238372093</v>
      </c>
      <c r="M888" s="1981">
        <f t="shared" si="265"/>
        <v>1429.8333284302319</v>
      </c>
      <c r="N888" s="1981">
        <f t="shared" si="265"/>
        <v>1489.6044023255808</v>
      </c>
      <c r="O888" s="1981">
        <f t="shared" si="265"/>
        <v>1535.7896599999999</v>
      </c>
      <c r="P888" s="1749"/>
      <c r="Q888" s="1954"/>
      <c r="R888" s="1855"/>
      <c r="S888" s="1855"/>
      <c r="T888" s="1855"/>
      <c r="U888" s="1855"/>
    </row>
    <row r="889" spans="1:21" s="1568" customFormat="1">
      <c r="A889" s="1954"/>
      <c r="B889" s="1737"/>
      <c r="C889" s="1738"/>
      <c r="D889" s="1738"/>
      <c r="E889" s="1738"/>
      <c r="F889" s="1738"/>
      <c r="G889" s="1738"/>
      <c r="H889" s="1738"/>
      <c r="I889" s="1738"/>
      <c r="J889" s="1738"/>
      <c r="K889" s="1738"/>
      <c r="L889" s="1738"/>
      <c r="M889" s="1738"/>
      <c r="N889" s="1738"/>
      <c r="O889" s="1738"/>
      <c r="P889" s="1739"/>
      <c r="Q889" s="1954"/>
      <c r="R889" s="1855"/>
      <c r="S889" s="1855"/>
      <c r="T889" s="1855"/>
      <c r="U889" s="1855"/>
    </row>
    <row r="890" spans="1:21">
      <c r="A890" s="1954"/>
      <c r="B890" s="1737"/>
      <c r="C890" s="1745" t="s">
        <v>1710</v>
      </c>
      <c r="D890" s="1746"/>
      <c r="E890" s="1746"/>
      <c r="F890" s="1746"/>
      <c r="G890" s="1746"/>
      <c r="H890" s="1746"/>
      <c r="I890" s="1746"/>
      <c r="J890" s="1746"/>
      <c r="K890" s="1746"/>
      <c r="L890" s="1746"/>
      <c r="M890" s="1746"/>
      <c r="N890" s="1746"/>
      <c r="O890" s="1746"/>
      <c r="P890" s="1739"/>
      <c r="Q890" s="1954"/>
      <c r="R890" s="1855"/>
      <c r="S890" s="1855"/>
      <c r="T890" s="1855"/>
      <c r="U890" s="1855"/>
    </row>
    <row r="891" spans="1:21" ht="6" customHeight="1">
      <c r="A891" s="1954"/>
      <c r="B891" s="1737"/>
      <c r="C891" s="1738"/>
      <c r="D891" s="1738"/>
      <c r="E891" s="1738"/>
      <c r="F891" s="1738"/>
      <c r="G891" s="1738"/>
      <c r="H891" s="1738"/>
      <c r="I891" s="1738"/>
      <c r="J891" s="1738"/>
      <c r="K891" s="1738"/>
      <c r="L891" s="1738"/>
      <c r="M891" s="1738"/>
      <c r="N891" s="1738"/>
      <c r="O891" s="1738"/>
      <c r="P891" s="1739"/>
      <c r="Q891" s="1954"/>
      <c r="R891" s="1855"/>
      <c r="S891" s="1855"/>
      <c r="T891" s="1855"/>
      <c r="U891" s="1855"/>
    </row>
    <row r="892" spans="1:21" ht="22.5" customHeight="1" collapsed="1">
      <c r="A892" s="1954"/>
      <c r="B892" s="1740"/>
      <c r="C892" s="1918" t="s">
        <v>72</v>
      </c>
      <c r="D892" s="1918" t="s">
        <v>399</v>
      </c>
      <c r="E892" s="1918" t="s">
        <v>422</v>
      </c>
      <c r="F892" s="1918" t="s">
        <v>579</v>
      </c>
      <c r="G892" s="1918" t="s">
        <v>580</v>
      </c>
      <c r="H892" s="1918" t="s">
        <v>605</v>
      </c>
      <c r="I892" s="1918" t="s">
        <v>606</v>
      </c>
      <c r="J892" s="1918" t="s">
        <v>607</v>
      </c>
      <c r="K892" s="1918" t="s">
        <v>608</v>
      </c>
      <c r="L892" s="1918" t="s">
        <v>609</v>
      </c>
      <c r="M892" s="1918" t="s">
        <v>610</v>
      </c>
      <c r="N892" s="1918" t="s">
        <v>611</v>
      </c>
      <c r="O892" s="1918" t="s">
        <v>612</v>
      </c>
      <c r="P892" s="1747"/>
      <c r="Q892" s="1954"/>
      <c r="R892" s="1855"/>
      <c r="S892" s="1855"/>
      <c r="T892" s="1855"/>
      <c r="U892" s="1855"/>
    </row>
    <row r="893" spans="1:21" ht="15">
      <c r="A893" s="1954"/>
      <c r="B893" s="1740"/>
      <c r="C893" s="1978" t="s">
        <v>1540</v>
      </c>
      <c r="D893" s="1979" t="str">
        <f>INDEX(CostVectors[Description], MATCH(C893,CostVectors[Code], 0))</f>
        <v>High estimate of capital costs</v>
      </c>
      <c r="E893" s="1979"/>
      <c r="F893" s="1980"/>
      <c r="G893" s="1980">
        <f t="shared" ref="G893:O893" si="266">G586+G587</f>
        <v>107.53538909050938</v>
      </c>
      <c r="H893" s="1980">
        <f t="shared" si="266"/>
        <v>118.20146894968353</v>
      </c>
      <c r="I893" s="1980">
        <f t="shared" si="266"/>
        <v>179.82019133072234</v>
      </c>
      <c r="J893" s="1980">
        <f t="shared" si="266"/>
        <v>166.30552133336232</v>
      </c>
      <c r="K893" s="1980">
        <f t="shared" si="266"/>
        <v>186.28768869541793</v>
      </c>
      <c r="L893" s="1980">
        <f t="shared" si="266"/>
        <v>190.59038355286989</v>
      </c>
      <c r="M893" s="1980">
        <f t="shared" si="266"/>
        <v>194.2277913870455</v>
      </c>
      <c r="N893" s="1980">
        <f t="shared" si="266"/>
        <v>205.5923246802256</v>
      </c>
      <c r="O893" s="1980">
        <f t="shared" si="266"/>
        <v>217.80252945988659</v>
      </c>
      <c r="P893" s="1747"/>
      <c r="Q893" s="1954"/>
      <c r="R893" s="1855"/>
      <c r="S893" s="1855"/>
      <c r="T893" s="1855"/>
      <c r="U893" s="1855"/>
    </row>
    <row r="894" spans="1:21" ht="15">
      <c r="A894" s="1954"/>
      <c r="B894" s="1740"/>
      <c r="C894" s="1742" t="s">
        <v>1542</v>
      </c>
      <c r="D894" s="1743" t="str">
        <f>INDEX(CostVectors[Description], MATCH(C894,CostVectors[Code], 0))</f>
        <v>High estimate of operating costs</v>
      </c>
      <c r="E894" s="1743"/>
      <c r="F894" s="1529"/>
      <c r="G894" s="1529">
        <f t="shared" ref="G894:O894" si="267">G643+G642</f>
        <v>8577.2803450730808</v>
      </c>
      <c r="H894" s="1529">
        <f t="shared" si="267"/>
        <v>9182.9531750859624</v>
      </c>
      <c r="I894" s="1529">
        <f t="shared" si="267"/>
        <v>10047.746899530686</v>
      </c>
      <c r="J894" s="1529">
        <f t="shared" si="267"/>
        <v>10911.634950531396</v>
      </c>
      <c r="K894" s="1529">
        <f t="shared" si="267"/>
        <v>11663.192478984703</v>
      </c>
      <c r="L894" s="1529">
        <f t="shared" si="267"/>
        <v>12420.313333863691</v>
      </c>
      <c r="M894" s="1529">
        <f t="shared" si="267"/>
        <v>13072.948001916278</v>
      </c>
      <c r="N894" s="1529">
        <f t="shared" si="267"/>
        <v>13730.440771364752</v>
      </c>
      <c r="O894" s="1529">
        <f t="shared" si="267"/>
        <v>14398.005408816765</v>
      </c>
      <c r="P894" s="1747"/>
      <c r="Q894" s="1954"/>
      <c r="R894" s="1855"/>
      <c r="S894" s="1855"/>
      <c r="T894" s="1855"/>
      <c r="U894" s="1855"/>
    </row>
    <row r="895" spans="1:21" ht="15.75" customHeight="1">
      <c r="A895" s="1954"/>
      <c r="B895" s="1740"/>
      <c r="C895" s="1742" t="s">
        <v>1794</v>
      </c>
      <c r="D895" s="1743" t="str">
        <f>INDEX(CostVectors[Description], MATCH(C895,CostVectors[Code], 0))</f>
        <v>Point estimate of capital costs</v>
      </c>
      <c r="E895" s="1743"/>
      <c r="F895" s="1529"/>
      <c r="G895" s="1529">
        <f>G605+G606</f>
        <v>151.83525032120534</v>
      </c>
      <c r="H895" s="1529">
        <f t="shared" ref="H895:O895" si="268">H605+H606</f>
        <v>113.8797475743212</v>
      </c>
      <c r="I895" s="1529">
        <f t="shared" si="268"/>
        <v>166.67088549111716</v>
      </c>
      <c r="J895" s="1529">
        <f t="shared" si="268"/>
        <v>148.06395834472798</v>
      </c>
      <c r="K895" s="1529">
        <f t="shared" si="268"/>
        <v>159.04321046859911</v>
      </c>
      <c r="L895" s="1529">
        <f t="shared" si="268"/>
        <v>155.74820559059413</v>
      </c>
      <c r="M895" s="1529">
        <f t="shared" si="268"/>
        <v>151.61922013077486</v>
      </c>
      <c r="N895" s="1529">
        <f t="shared" si="268"/>
        <v>152.97372085649627</v>
      </c>
      <c r="O895" s="1529">
        <f t="shared" si="268"/>
        <v>154.09550517684414</v>
      </c>
      <c r="P895" s="1747"/>
      <c r="Q895" s="1954"/>
      <c r="R895" s="1855"/>
      <c r="S895" s="1855"/>
      <c r="T895" s="1855"/>
      <c r="U895" s="1855"/>
    </row>
    <row r="896" spans="1:21" ht="15">
      <c r="A896" s="1954"/>
      <c r="B896" s="1740"/>
      <c r="C896" s="1742" t="s">
        <v>1796</v>
      </c>
      <c r="D896" s="1743" t="str">
        <f>INDEX(CostVectors[Description], MATCH(C896,CostVectors[Code], 0))</f>
        <v>Point estimate of operating costs</v>
      </c>
      <c r="E896" s="1743"/>
      <c r="F896" s="1529"/>
      <c r="G896" s="1529">
        <f>G660+G661</f>
        <v>8577.2803450730808</v>
      </c>
      <c r="H896" s="1529">
        <f t="shared" ref="H896:O896" si="269">H660+H661</f>
        <v>8847.2014496218817</v>
      </c>
      <c r="I896" s="1529">
        <f t="shared" si="269"/>
        <v>9313.0054075025037</v>
      </c>
      <c r="J896" s="1529">
        <f t="shared" si="269"/>
        <v>9714.7649918949828</v>
      </c>
      <c r="K896" s="1529">
        <f t="shared" si="269"/>
        <v>9957.4505789331906</v>
      </c>
      <c r="L896" s="1529">
        <f t="shared" si="269"/>
        <v>10149.724802516734</v>
      </c>
      <c r="M896" s="1529">
        <f t="shared" si="269"/>
        <v>10205.070033995893</v>
      </c>
      <c r="N896" s="1529">
        <f t="shared" si="269"/>
        <v>10216.306086443583</v>
      </c>
      <c r="O896" s="1529">
        <f t="shared" si="269"/>
        <v>10186.588826737863</v>
      </c>
      <c r="P896" s="1747"/>
      <c r="Q896" s="1954"/>
      <c r="R896" s="1855"/>
      <c r="S896" s="1855"/>
      <c r="T896" s="1855"/>
      <c r="U896" s="1855"/>
    </row>
    <row r="897" spans="1:21">
      <c r="A897" s="1954"/>
      <c r="B897" s="1748"/>
      <c r="C897" s="1742" t="s">
        <v>1533</v>
      </c>
      <c r="D897" s="1743" t="str">
        <f>INDEX(CostVectors[Description], MATCH(C897,CostVectors[Code], 0))</f>
        <v>Low estimate of capital costs</v>
      </c>
      <c r="E897" s="1743"/>
      <c r="F897" s="1529"/>
      <c r="G897" s="1529">
        <f t="shared" ref="G897:O897" si="270">G624+G625</f>
        <v>107.53538909050938</v>
      </c>
      <c r="H897" s="1529">
        <f t="shared" si="270"/>
        <v>111.55263632126382</v>
      </c>
      <c r="I897" s="1529">
        <f t="shared" si="270"/>
        <v>159.59041980601606</v>
      </c>
      <c r="J897" s="1529">
        <f t="shared" si="270"/>
        <v>138.24146460835738</v>
      </c>
      <c r="K897" s="1529">
        <f t="shared" si="270"/>
        <v>144.37295873894882</v>
      </c>
      <c r="L897" s="1529">
        <f t="shared" si="270"/>
        <v>136.98683817862516</v>
      </c>
      <c r="M897" s="1529">
        <f t="shared" si="270"/>
        <v>128.67591179391758</v>
      </c>
      <c r="N897" s="1529">
        <f t="shared" si="270"/>
        <v>124.64034683738672</v>
      </c>
      <c r="O897" s="1529">
        <f t="shared" si="270"/>
        <v>119.7913912029376</v>
      </c>
      <c r="P897" s="1749"/>
      <c r="Q897" s="1954"/>
      <c r="R897" s="1855"/>
      <c r="S897" s="1855"/>
      <c r="T897" s="1855"/>
      <c r="U897" s="1855"/>
    </row>
    <row r="898" spans="1:21">
      <c r="A898" s="1954"/>
      <c r="B898" s="1748"/>
      <c r="C898" s="1943" t="s">
        <v>1535</v>
      </c>
      <c r="D898" s="1944" t="str">
        <f>INDEX(CostVectors[Description], MATCH(C898,CostVectors[Code], 0))</f>
        <v>Low estimate of operating costs</v>
      </c>
      <c r="E898" s="1944"/>
      <c r="F898" s="1981"/>
      <c r="G898" s="1981">
        <f t="shared" ref="G898:O898" si="271">G678+G679</f>
        <v>8577.2803450730808</v>
      </c>
      <c r="H898" s="1981">
        <f t="shared" si="271"/>
        <v>8666.4120589873783</v>
      </c>
      <c r="I898" s="1981">
        <f t="shared" si="271"/>
        <v>8917.3753733334852</v>
      </c>
      <c r="J898" s="1981">
        <f t="shared" si="271"/>
        <v>9070.2965526292246</v>
      </c>
      <c r="K898" s="1981">
        <f t="shared" si="271"/>
        <v>9038.974171213149</v>
      </c>
      <c r="L898" s="1981">
        <f t="shared" si="271"/>
        <v>8927.1002087145334</v>
      </c>
      <c r="M898" s="1981">
        <f t="shared" si="271"/>
        <v>8660.8280512695401</v>
      </c>
      <c r="N898" s="1981">
        <f t="shared" si="271"/>
        <v>8324.0797176398864</v>
      </c>
      <c r="O898" s="1981">
        <f t="shared" si="271"/>
        <v>7918.9029748492212</v>
      </c>
      <c r="P898" s="1749"/>
      <c r="Q898" s="1954"/>
      <c r="R898" s="1855"/>
      <c r="S898" s="1855"/>
      <c r="T898" s="1855"/>
      <c r="U898" s="1855"/>
    </row>
    <row r="899" spans="1:21">
      <c r="A899" s="1954"/>
      <c r="B899" s="1748"/>
      <c r="C899" s="1742"/>
      <c r="D899" s="1743"/>
      <c r="E899" s="1743"/>
      <c r="F899" s="1529"/>
      <c r="G899" s="1529"/>
      <c r="H899" s="1529"/>
      <c r="I899" s="1529"/>
      <c r="J899" s="1529"/>
      <c r="K899" s="1529"/>
      <c r="L899" s="1529"/>
      <c r="M899" s="1529"/>
      <c r="N899" s="1529"/>
      <c r="O899" s="1529"/>
      <c r="P899" s="1749"/>
      <c r="Q899" s="1954"/>
      <c r="R899" s="1855"/>
      <c r="S899" s="1855"/>
      <c r="T899" s="1855"/>
      <c r="U899" s="1855"/>
    </row>
    <row r="900" spans="1:21">
      <c r="A900" s="1954"/>
      <c r="B900" s="1737"/>
      <c r="C900" s="1745" t="s">
        <v>1712</v>
      </c>
      <c r="D900" s="1746"/>
      <c r="E900" s="1746"/>
      <c r="F900" s="1746"/>
      <c r="G900" s="1746"/>
      <c r="H900" s="1746"/>
      <c r="I900" s="1746"/>
      <c r="J900" s="1746"/>
      <c r="K900" s="1746"/>
      <c r="L900" s="1746"/>
      <c r="M900" s="1746"/>
      <c r="N900" s="1746"/>
      <c r="O900" s="1746"/>
      <c r="P900" s="1739"/>
      <c r="Q900" s="1954"/>
    </row>
    <row r="901" spans="1:21" s="1568" customFormat="1" ht="6" customHeight="1">
      <c r="A901" s="1954"/>
      <c r="B901" s="1737"/>
      <c r="C901" s="1738"/>
      <c r="D901" s="1738"/>
      <c r="E901" s="1738"/>
      <c r="F901" s="1738"/>
      <c r="G901" s="1738"/>
      <c r="H901" s="1738"/>
      <c r="I901" s="1738"/>
      <c r="J901" s="1738"/>
      <c r="K901" s="1738"/>
      <c r="L901" s="1738"/>
      <c r="M901" s="1738"/>
      <c r="N901" s="1738"/>
      <c r="O901" s="1738"/>
      <c r="P901" s="1739"/>
      <c r="Q901" s="1954"/>
      <c r="R901" s="117"/>
      <c r="S901" s="117"/>
      <c r="T901" s="117"/>
      <c r="U901" s="117"/>
    </row>
    <row r="902" spans="1:21" s="1568" customFormat="1" ht="15">
      <c r="A902" s="1954"/>
      <c r="B902" s="1740"/>
      <c r="C902" s="1918" t="s">
        <v>72</v>
      </c>
      <c r="D902" s="1918" t="s">
        <v>399</v>
      </c>
      <c r="E902" s="1918" t="s">
        <v>422</v>
      </c>
      <c r="F902" s="1918" t="s">
        <v>579</v>
      </c>
      <c r="G902" s="1918" t="s">
        <v>580</v>
      </c>
      <c r="H902" s="1918" t="s">
        <v>605</v>
      </c>
      <c r="I902" s="1918" t="s">
        <v>606</v>
      </c>
      <c r="J902" s="1918" t="s">
        <v>607</v>
      </c>
      <c r="K902" s="1918" t="s">
        <v>608</v>
      </c>
      <c r="L902" s="1918" t="s">
        <v>609</v>
      </c>
      <c r="M902" s="1918" t="s">
        <v>610</v>
      </c>
      <c r="N902" s="1918" t="s">
        <v>611</v>
      </c>
      <c r="O902" s="1918" t="s">
        <v>612</v>
      </c>
      <c r="P902" s="1747"/>
      <c r="Q902" s="1954"/>
      <c r="R902" s="117"/>
      <c r="S902" s="117"/>
      <c r="T902" s="117"/>
      <c r="U902" s="117"/>
    </row>
    <row r="903" spans="1:21" s="1568" customFormat="1" ht="15.75" customHeight="1">
      <c r="A903" s="1954"/>
      <c r="B903" s="1740"/>
      <c r="C903" s="1978" t="s">
        <v>1540</v>
      </c>
      <c r="D903" s="1979" t="str">
        <f>INDEX(CostVectors[Description], MATCH(C903,CostVectors[Code], 0))</f>
        <v>High estimate of capital costs</v>
      </c>
      <c r="E903" s="1979"/>
      <c r="F903" s="1980"/>
      <c r="G903" s="1980">
        <f t="shared" ref="G903:O903" si="272">G588</f>
        <v>515.87691371884398</v>
      </c>
      <c r="H903" s="1980">
        <f t="shared" si="272"/>
        <v>534.94444723511117</v>
      </c>
      <c r="I903" s="1980">
        <f t="shared" si="272"/>
        <v>637.54380659149194</v>
      </c>
      <c r="J903" s="1980">
        <f t="shared" si="272"/>
        <v>693.21653388249183</v>
      </c>
      <c r="K903" s="1980">
        <f t="shared" si="272"/>
        <v>721.02071447658557</v>
      </c>
      <c r="L903" s="1980">
        <f t="shared" si="272"/>
        <v>772.76613916239774</v>
      </c>
      <c r="M903" s="1980">
        <f t="shared" si="272"/>
        <v>795.7509569015192</v>
      </c>
      <c r="N903" s="1980">
        <f t="shared" si="272"/>
        <v>842.287469477748</v>
      </c>
      <c r="O903" s="1980">
        <f t="shared" si="272"/>
        <v>890.74721986937709</v>
      </c>
      <c r="P903" s="1747"/>
      <c r="Q903" s="1954"/>
    </row>
    <row r="904" spans="1:21" s="1568" customFormat="1" ht="15">
      <c r="A904" s="1954"/>
      <c r="B904" s="1740"/>
      <c r="C904" s="1742" t="s">
        <v>1542</v>
      </c>
      <c r="D904" s="1743" t="str">
        <f>INDEX(CostVectors[Description], MATCH(C904,CostVectors[Code], 0))</f>
        <v>High estimate of operating costs</v>
      </c>
      <c r="E904" s="1743"/>
      <c r="F904" s="1529"/>
      <c r="G904" s="1529">
        <f t="shared" ref="G904:O904" si="273">G644</f>
        <v>245.67426974919556</v>
      </c>
      <c r="H904" s="1529">
        <f t="shared" si="273"/>
        <v>274.93282999702359</v>
      </c>
      <c r="I904" s="1529">
        <f t="shared" si="273"/>
        <v>312.77975105911406</v>
      </c>
      <c r="J904" s="1529">
        <f t="shared" si="273"/>
        <v>351.62514945383327</v>
      </c>
      <c r="K904" s="1529">
        <f t="shared" si="273"/>
        <v>387.64523994446103</v>
      </c>
      <c r="L904" s="1529">
        <f t="shared" si="273"/>
        <v>424.45287382489363</v>
      </c>
      <c r="M904" s="1529">
        <f t="shared" si="273"/>
        <v>458.14235059234039</v>
      </c>
      <c r="N904" s="1529">
        <f t="shared" si="273"/>
        <v>492.32420663599612</v>
      </c>
      <c r="O904" s="1529">
        <f t="shared" si="273"/>
        <v>527.16877786827604</v>
      </c>
      <c r="P904" s="1747"/>
      <c r="Q904" s="1954"/>
    </row>
    <row r="905" spans="1:21" s="1568" customFormat="1" ht="15">
      <c r="A905" s="1954"/>
      <c r="B905" s="1740"/>
      <c r="C905" s="1742" t="s">
        <v>1794</v>
      </c>
      <c r="D905" s="1743" t="str">
        <f>INDEX(CostVectors[Description], MATCH(C905,CostVectors[Code], 0))</f>
        <v>Point estimate of capital costs</v>
      </c>
      <c r="E905" s="1743"/>
      <c r="F905" s="1529"/>
      <c r="G905" s="1529">
        <f>G607</f>
        <v>515.87691371884398</v>
      </c>
      <c r="H905" s="1529">
        <f t="shared" ref="H905:O905" si="274">H607</f>
        <v>509.82479543972704</v>
      </c>
      <c r="I905" s="1529">
        <f t="shared" si="274"/>
        <v>577.66888496680474</v>
      </c>
      <c r="J905" s="1529">
        <f t="shared" si="274"/>
        <v>595.56139582133551</v>
      </c>
      <c r="K905" s="1529">
        <f t="shared" si="274"/>
        <v>585.5914049210038</v>
      </c>
      <c r="L905" s="1529">
        <f t="shared" si="274"/>
        <v>591.33032432823404</v>
      </c>
      <c r="M905" s="1529">
        <f t="shared" si="274"/>
        <v>571.55212216429777</v>
      </c>
      <c r="N905" s="1529">
        <f t="shared" si="274"/>
        <v>565.42549552930154</v>
      </c>
      <c r="O905" s="1529">
        <f t="shared" si="274"/>
        <v>556.12914703623869</v>
      </c>
      <c r="P905" s="1747"/>
      <c r="Q905" s="1954"/>
    </row>
    <row r="906" spans="1:21" s="1568" customFormat="1" ht="15">
      <c r="A906" s="1954"/>
      <c r="B906" s="1740"/>
      <c r="C906" s="1742" t="s">
        <v>1796</v>
      </c>
      <c r="D906" s="1743" t="str">
        <f>INDEX(CostVectors[Description], MATCH(C906,CostVectors[Code], 0))</f>
        <v>Point estimate of operating costs</v>
      </c>
      <c r="E906" s="1743"/>
      <c r="F906" s="1529"/>
      <c r="G906" s="1529">
        <f>G662</f>
        <v>245.67426974919556</v>
      </c>
      <c r="H906" s="1529">
        <f t="shared" ref="H906:O906" si="275">H662</f>
        <v>274.93282999702359</v>
      </c>
      <c r="I906" s="1529">
        <f t="shared" si="275"/>
        <v>312.77975105911406</v>
      </c>
      <c r="J906" s="1529">
        <f t="shared" si="275"/>
        <v>351.62514945383327</v>
      </c>
      <c r="K906" s="1529">
        <f t="shared" si="275"/>
        <v>387.64523994446103</v>
      </c>
      <c r="L906" s="1529">
        <f t="shared" si="275"/>
        <v>424.45287382489363</v>
      </c>
      <c r="M906" s="1529">
        <f t="shared" si="275"/>
        <v>458.14235059234039</v>
      </c>
      <c r="N906" s="1529">
        <f t="shared" si="275"/>
        <v>492.32420663599612</v>
      </c>
      <c r="O906" s="1529">
        <f t="shared" si="275"/>
        <v>527.16877786827604</v>
      </c>
      <c r="P906" s="1747"/>
      <c r="Q906" s="1954"/>
    </row>
    <row r="907" spans="1:21" s="1568" customFormat="1">
      <c r="A907" s="1954"/>
      <c r="B907" s="1748"/>
      <c r="C907" s="1742" t="s">
        <v>1533</v>
      </c>
      <c r="D907" s="1743" t="str">
        <f>INDEX(CostVectors[Description], MATCH(C907,CostVectors[Code], 0))</f>
        <v>Low estimate of capital costs</v>
      </c>
      <c r="E907" s="1743"/>
      <c r="F907" s="1529"/>
      <c r="G907" s="1529">
        <f t="shared" ref="G907:O907" si="276">G626</f>
        <v>515.87691371884398</v>
      </c>
      <c r="H907" s="1529">
        <f t="shared" si="276"/>
        <v>496.2988290883664</v>
      </c>
      <c r="I907" s="1529">
        <f t="shared" si="276"/>
        <v>545.42854255351153</v>
      </c>
      <c r="J907" s="1529">
        <f t="shared" si="276"/>
        <v>542.97785994225114</v>
      </c>
      <c r="K907" s="1529">
        <f t="shared" si="276"/>
        <v>512.66793054492109</v>
      </c>
      <c r="L907" s="1529">
        <f t="shared" si="276"/>
        <v>493.63411634060714</v>
      </c>
      <c r="M907" s="1529">
        <f t="shared" si="276"/>
        <v>450.82967269040881</v>
      </c>
      <c r="N907" s="1529">
        <f t="shared" si="276"/>
        <v>416.3459710955222</v>
      </c>
      <c r="O907" s="1529">
        <f t="shared" si="276"/>
        <v>375.9501847414719</v>
      </c>
      <c r="P907" s="1749"/>
      <c r="Q907" s="1954"/>
    </row>
    <row r="908" spans="1:21" s="1568" customFormat="1">
      <c r="A908" s="1954"/>
      <c r="B908" s="1748"/>
      <c r="C908" s="1943" t="s">
        <v>1535</v>
      </c>
      <c r="D908" s="1944" t="str">
        <f>INDEX(CostVectors[Description], MATCH(C908,CostVectors[Code], 0))</f>
        <v>Low estimate of operating costs</v>
      </c>
      <c r="E908" s="1944"/>
      <c r="F908" s="1981"/>
      <c r="G908" s="1981">
        <f t="shared" ref="G908:O908" si="277">G680</f>
        <v>245.67426974919556</v>
      </c>
      <c r="H908" s="1981">
        <f t="shared" si="277"/>
        <v>274.93282999702359</v>
      </c>
      <c r="I908" s="1981">
        <f t="shared" si="277"/>
        <v>312.77975105911406</v>
      </c>
      <c r="J908" s="1981">
        <f t="shared" si="277"/>
        <v>351.62514945383327</v>
      </c>
      <c r="K908" s="1981">
        <f t="shared" si="277"/>
        <v>387.64523994446103</v>
      </c>
      <c r="L908" s="1981">
        <f t="shared" si="277"/>
        <v>424.45287382489363</v>
      </c>
      <c r="M908" s="1981">
        <f t="shared" si="277"/>
        <v>458.14235059234039</v>
      </c>
      <c r="N908" s="1981">
        <f t="shared" si="277"/>
        <v>492.32420663599612</v>
      </c>
      <c r="O908" s="1981">
        <f t="shared" si="277"/>
        <v>527.16877786827604</v>
      </c>
      <c r="P908" s="1749"/>
      <c r="Q908" s="1954"/>
    </row>
    <row r="909" spans="1:21" s="1568" customFormat="1">
      <c r="A909" s="1954"/>
      <c r="B909" s="1737"/>
      <c r="C909" s="1738"/>
      <c r="D909" s="1738"/>
      <c r="E909" s="1738"/>
      <c r="F909" s="1738"/>
      <c r="G909" s="1738"/>
      <c r="H909" s="1738"/>
      <c r="I909" s="1738"/>
      <c r="J909" s="1738"/>
      <c r="K909" s="1738"/>
      <c r="L909" s="1738"/>
      <c r="M909" s="1738"/>
      <c r="N909" s="1738"/>
      <c r="O909" s="1738"/>
      <c r="P909" s="1739"/>
      <c r="Q909" s="1954"/>
    </row>
    <row r="910" spans="1:21" s="1568" customFormat="1">
      <c r="A910" s="1954"/>
      <c r="B910" s="1954"/>
      <c r="C910" s="1954"/>
      <c r="D910" s="1954"/>
      <c r="E910" s="1954"/>
      <c r="F910" s="1954"/>
      <c r="G910" s="1954"/>
      <c r="H910" s="1954"/>
      <c r="I910" s="1954"/>
      <c r="J910" s="1954"/>
      <c r="K910" s="1954"/>
      <c r="L910" s="1954"/>
      <c r="M910" s="1954"/>
      <c r="N910" s="1954"/>
      <c r="O910" s="1954"/>
      <c r="P910" s="1954"/>
      <c r="Q910" s="1954"/>
    </row>
    <row r="911" spans="1:21" s="1568" customFormat="1" ht="12.75" customHeight="1">
      <c r="A911" s="1954"/>
      <c r="B911" s="1858" t="s">
        <v>1760</v>
      </c>
      <c r="C911" s="1859"/>
      <c r="D911" s="1859"/>
      <c r="E911" s="1859"/>
      <c r="F911" s="1859"/>
      <c r="G911" s="1859"/>
      <c r="H911" s="1859"/>
      <c r="I911" s="1859"/>
      <c r="J911" s="1859"/>
      <c r="K911" s="1859"/>
      <c r="L911" s="1859"/>
      <c r="M911" s="1859"/>
      <c r="N911" s="1859"/>
      <c r="O911" s="1859"/>
      <c r="P911" s="1859"/>
      <c r="Q911" s="1954"/>
    </row>
    <row r="912" spans="1:21" s="1568" customFormat="1" ht="12.75" customHeight="1">
      <c r="A912" s="1954"/>
      <c r="B912" s="1857"/>
      <c r="C912" s="1857"/>
      <c r="D912" s="1857"/>
      <c r="E912" s="1857"/>
      <c r="F912" s="1857"/>
      <c r="G912" s="1857"/>
      <c r="H912" s="1857"/>
      <c r="I912" s="1857"/>
      <c r="J912" s="1857"/>
      <c r="K912" s="1857"/>
      <c r="L912" s="1857"/>
      <c r="M912" s="1857"/>
      <c r="N912" s="1857"/>
      <c r="O912" s="1857"/>
      <c r="P912" s="1857"/>
      <c r="Q912" s="1954"/>
    </row>
    <row r="913" spans="1:22" s="1568" customFormat="1" ht="12.75" customHeight="1">
      <c r="A913" s="1954"/>
      <c r="B913" s="1857"/>
      <c r="C913" s="1878" t="s">
        <v>1311</v>
      </c>
      <c r="D913" s="1857"/>
      <c r="E913" s="1857"/>
      <c r="F913" s="1857"/>
      <c r="G913" s="1857"/>
      <c r="H913" s="1857"/>
      <c r="I913" s="1857"/>
      <c r="J913" s="1857"/>
      <c r="K913" s="1857"/>
      <c r="L913" s="1857"/>
      <c r="M913" s="1857"/>
      <c r="N913" s="1857"/>
      <c r="O913" s="1857"/>
      <c r="P913" s="1857"/>
      <c r="Q913" s="1954"/>
    </row>
    <row r="914" spans="1:22" s="1568" customFormat="1" ht="12.75" customHeight="1">
      <c r="A914" s="1954"/>
      <c r="B914" s="1857"/>
      <c r="C914" s="1857"/>
      <c r="D914" s="1857"/>
      <c r="E914" s="1857"/>
      <c r="F914" s="1857"/>
      <c r="G914" s="1857"/>
      <c r="H914" s="1857"/>
      <c r="I914" s="1857"/>
      <c r="J914" s="1857"/>
      <c r="K914" s="1857"/>
      <c r="L914" s="1857"/>
      <c r="M914" s="1857"/>
      <c r="N914" s="1857"/>
      <c r="O914" s="1857"/>
      <c r="P914" s="1857"/>
      <c r="Q914" s="1954"/>
    </row>
    <row r="915" spans="1:22" s="1568" customFormat="1" ht="12.75" customHeight="1">
      <c r="A915" s="1954"/>
      <c r="B915" s="1857"/>
      <c r="C915" s="1865" t="s">
        <v>72</v>
      </c>
      <c r="D915" s="1866" t="s">
        <v>399</v>
      </c>
      <c r="E915" s="1866" t="s">
        <v>757</v>
      </c>
      <c r="F915" s="1866" t="s">
        <v>579</v>
      </c>
      <c r="G915" s="1866" t="s">
        <v>580</v>
      </c>
      <c r="H915" s="1866" t="s">
        <v>605</v>
      </c>
      <c r="I915" s="1866" t="s">
        <v>606</v>
      </c>
      <c r="J915" s="1866" t="s">
        <v>607</v>
      </c>
      <c r="K915" s="1866" t="s">
        <v>608</v>
      </c>
      <c r="L915" s="1866" t="s">
        <v>609</v>
      </c>
      <c r="M915" s="1866" t="s">
        <v>610</v>
      </c>
      <c r="N915" s="1866" t="s">
        <v>611</v>
      </c>
      <c r="O915" s="1867" t="s">
        <v>612</v>
      </c>
      <c r="P915" s="1857"/>
      <c r="Q915" s="1954"/>
    </row>
    <row r="916" spans="1:22" s="1568" customFormat="1" ht="12.75" customHeight="1">
      <c r="A916" s="1954"/>
      <c r="B916" s="1857"/>
      <c r="C916" s="1860" t="str">
        <f>INDEX(AirQualityVectors[Code],MATCH(D916,AirQualityVectors[Description],0))</f>
        <v>AQ.01</v>
      </c>
      <c r="D916" s="1861" t="s">
        <v>1758</v>
      </c>
      <c r="E916" s="1862" t="s">
        <v>779</v>
      </c>
      <c r="F916" s="1886">
        <f>SUMPRODUCT(F$687:F$697,F$178:F$188)-F$697*(1-F$238)*F$188</f>
        <v>24.951745788018933</v>
      </c>
      <c r="G916" s="1886">
        <f t="shared" ref="G916:O916" si="278">SUMPRODUCT(G$687:G$697,G$178:G$188)-G$697*(1-G$238)*G$188</f>
        <v>23.329345190510629</v>
      </c>
      <c r="H916" s="1886">
        <f t="shared" si="278"/>
        <v>17.09424154797837</v>
      </c>
      <c r="I916" s="1886">
        <f t="shared" si="278"/>
        <v>13.386648127374976</v>
      </c>
      <c r="J916" s="1886">
        <f t="shared" si="278"/>
        <v>9.0066138266310656</v>
      </c>
      <c r="K916" s="1886">
        <f t="shared" si="278"/>
        <v>5.5228185420522644</v>
      </c>
      <c r="L916" s="1886">
        <f t="shared" si="278"/>
        <v>4.7384918012517234</v>
      </c>
      <c r="M916" s="1886">
        <f t="shared" si="278"/>
        <v>3.9451185762055445</v>
      </c>
      <c r="N916" s="1886">
        <f t="shared" si="278"/>
        <v>2.993152935754873</v>
      </c>
      <c r="O916" s="1886">
        <f t="shared" si="278"/>
        <v>2.1610844806019687</v>
      </c>
      <c r="P916" s="1857"/>
      <c r="Q916" s="1954"/>
    </row>
    <row r="917" spans="1:22" s="1568" customFormat="1" ht="12.75" customHeight="1">
      <c r="A917" s="1954"/>
      <c r="B917" s="1857"/>
      <c r="C917" s="1860" t="str">
        <f>INDEX(AirQualityVectors[Code],MATCH(D917,AirQualityVectors[Description],0))</f>
        <v>AQ.02</v>
      </c>
      <c r="D917" s="1861" t="s">
        <v>1761</v>
      </c>
      <c r="E917" s="1862" t="s">
        <v>779</v>
      </c>
      <c r="F917" s="1886">
        <f>SUMPRODUCT(F$687:F$697,F$193:F$203)-F$697*(1-F$238)*F$203</f>
        <v>330.13148688108248</v>
      </c>
      <c r="G917" s="1886">
        <f>SUMPRODUCT(G$687:G$697,G$193:G$203)-G$697*(1-G$238)*G$203</f>
        <v>341.51376144261781</v>
      </c>
      <c r="H917" s="1886">
        <f t="shared" ref="H917:O917" si="279">SUMPRODUCT(H$687:H$697,H$193:H$203)-H$697*(1-H$238)*H$203</f>
        <v>255.90631887225541</v>
      </c>
      <c r="I917" s="1886">
        <f t="shared" si="279"/>
        <v>172.74039004505133</v>
      </c>
      <c r="J917" s="1886">
        <f t="shared" si="279"/>
        <v>106.72972104169709</v>
      </c>
      <c r="K917" s="1886">
        <f t="shared" si="279"/>
        <v>64.291575290969163</v>
      </c>
      <c r="L917" s="1886">
        <f t="shared" si="279"/>
        <v>50.638492089819927</v>
      </c>
      <c r="M917" s="1886">
        <f t="shared" si="279"/>
        <v>41.658035176540885</v>
      </c>
      <c r="N917" s="1886">
        <f t="shared" si="279"/>
        <v>32.450848039112742</v>
      </c>
      <c r="O917" s="1886">
        <f t="shared" si="279"/>
        <v>24.389456561672439</v>
      </c>
      <c r="P917" s="1857"/>
      <c r="Q917" s="1954"/>
    </row>
    <row r="918" spans="1:22" s="1568" customFormat="1" ht="12.75" customHeight="1">
      <c r="A918" s="1954"/>
      <c r="B918" s="1857"/>
      <c r="C918" s="1860" t="str">
        <f>INDEX(AirQualityVectors[Code],MATCH(D918,AirQualityVectors[Description],0))</f>
        <v>AQ.03</v>
      </c>
      <c r="D918" s="1861" t="s">
        <v>1762</v>
      </c>
      <c r="E918" s="1862" t="s">
        <v>779</v>
      </c>
      <c r="F918" s="1886">
        <f>SUMPRODUCT(F$687:F$697,F$208:F$218)-F$697*(1-F$238)*F$218</f>
        <v>1.0089697891367224</v>
      </c>
      <c r="G918" s="1886">
        <f t="shared" ref="G918:O918" si="280">SUMPRODUCT(G$687:G$697,G$208:G$218)-G$697*(1-G$238)*G$218</f>
        <v>1.2013980885235345</v>
      </c>
      <c r="H918" s="1886">
        <f t="shared" si="280"/>
        <v>0.53761070884192541</v>
      </c>
      <c r="I918" s="1886">
        <f t="shared" si="280"/>
        <v>0.50887695157288293</v>
      </c>
      <c r="J918" s="1886">
        <f t="shared" si="280"/>
        <v>0.41912437083632581</v>
      </c>
      <c r="K918" s="1886">
        <f t="shared" si="280"/>
        <v>0.34412930045102619</v>
      </c>
      <c r="L918" s="1886">
        <f t="shared" si="280"/>
        <v>0.33409935303522376</v>
      </c>
      <c r="M918" s="1886">
        <f t="shared" si="280"/>
        <v>0.32446853927698394</v>
      </c>
      <c r="N918" s="1886">
        <f t="shared" si="280"/>
        <v>0.3086823001150647</v>
      </c>
      <c r="O918" s="1886">
        <f t="shared" si="280"/>
        <v>0.29437616951441803</v>
      </c>
      <c r="P918" s="1857"/>
      <c r="Q918" s="1954"/>
    </row>
    <row r="919" spans="1:22" s="1568" customFormat="1" ht="12.75" customHeight="1">
      <c r="A919" s="1954"/>
      <c r="B919" s="1857"/>
      <c r="C919" s="1863" t="str">
        <f>INDEX(AirQualityVectors[Code],MATCH(D919,AirQualityVectors[Description],0))</f>
        <v>AQ.04</v>
      </c>
      <c r="D919" s="1864" t="s">
        <v>1759</v>
      </c>
      <c r="E919" s="1862" t="s">
        <v>779</v>
      </c>
      <c r="F919" s="1881">
        <f>SUMPRODUCT(F$687:F$697,F$223:F$233)-F$697*(1-F$238)*F$233</f>
        <v>75.964180838404545</v>
      </c>
      <c r="G919" s="1881">
        <f t="shared" ref="G919:O919" si="281">SUMPRODUCT(G$687:G$697,G$223:G$233)-G$697*(1-G$238)*G$233</f>
        <v>70.019735611283664</v>
      </c>
      <c r="H919" s="1881">
        <f t="shared" si="281"/>
        <v>34.183600813387905</v>
      </c>
      <c r="I919" s="1881">
        <f t="shared" si="281"/>
        <v>26.394820916793527</v>
      </c>
      <c r="J919" s="1881">
        <f t="shared" si="281"/>
        <v>19.816720648559969</v>
      </c>
      <c r="K919" s="1881">
        <f t="shared" si="281"/>
        <v>13.001599863609757</v>
      </c>
      <c r="L919" s="1881">
        <f t="shared" si="281"/>
        <v>10.904510554312212</v>
      </c>
      <c r="M919" s="1881">
        <f t="shared" si="281"/>
        <v>9.0593347765196448</v>
      </c>
      <c r="N919" s="1881">
        <f t="shared" si="281"/>
        <v>6.8517751917104235</v>
      </c>
      <c r="O919" s="1881">
        <f t="shared" si="281"/>
        <v>4.9151207635250493</v>
      </c>
      <c r="P919" s="1857"/>
      <c r="Q919" s="1954"/>
    </row>
    <row r="920" spans="1:22" s="1568" customFormat="1" ht="12.75" customHeight="1">
      <c r="A920" s="1954"/>
      <c r="B920" s="1879"/>
      <c r="C920" s="1879"/>
      <c r="D920" s="1879"/>
      <c r="E920" s="1879"/>
      <c r="F920" s="1879"/>
      <c r="G920" s="1879"/>
      <c r="H920" s="1879"/>
      <c r="I920" s="1879"/>
      <c r="J920" s="1879"/>
      <c r="K920" s="1879"/>
      <c r="L920" s="1879"/>
      <c r="M920" s="1879"/>
      <c r="N920" s="1879"/>
      <c r="O920" s="1879"/>
      <c r="P920" s="1879"/>
      <c r="Q920" s="1954"/>
    </row>
    <row r="921" spans="1:22" s="1568" customFormat="1" ht="12.75" customHeight="1">
      <c r="A921" s="1954"/>
      <c r="B921" s="1879"/>
      <c r="C921" s="1879"/>
      <c r="D921" s="1879"/>
      <c r="E921" s="1879"/>
      <c r="F921" s="1879"/>
      <c r="G921" s="1879"/>
      <c r="H921" s="1879"/>
      <c r="I921" s="1879"/>
      <c r="J921" s="1879"/>
      <c r="K921" s="1879"/>
      <c r="L921" s="1879"/>
      <c r="M921" s="1879"/>
      <c r="N921" s="1879"/>
      <c r="O921" s="1879"/>
      <c r="P921" s="1879"/>
      <c r="Q921" s="1954"/>
    </row>
    <row r="922" spans="1:22" s="1568" customFormat="1" ht="12.75" customHeight="1">
      <c r="A922" s="1954"/>
      <c r="B922" s="1879"/>
      <c r="C922" s="1882" t="s">
        <v>1313</v>
      </c>
      <c r="D922" s="1879"/>
      <c r="E922" s="1879"/>
      <c r="F922" s="1879"/>
      <c r="G922" s="1879"/>
      <c r="H922" s="1879"/>
      <c r="I922" s="1879"/>
      <c r="J922" s="1879"/>
      <c r="K922" s="1879"/>
      <c r="L922" s="1879"/>
      <c r="M922" s="1879"/>
      <c r="N922" s="1879"/>
      <c r="O922" s="1879"/>
      <c r="P922" s="1879"/>
      <c r="Q922" s="1954"/>
    </row>
    <row r="923" spans="1:22" s="1568" customFormat="1" ht="12.75" customHeight="1">
      <c r="A923" s="1954"/>
      <c r="B923" s="1879"/>
      <c r="C923" s="1879"/>
      <c r="D923" s="1879"/>
      <c r="E923" s="1879"/>
      <c r="F923" s="1879"/>
      <c r="G923" s="1879"/>
      <c r="H923" s="1879"/>
      <c r="I923" s="1879"/>
      <c r="J923" s="1879"/>
      <c r="K923" s="1879"/>
      <c r="L923" s="1879"/>
      <c r="M923" s="1879"/>
      <c r="N923" s="1879"/>
      <c r="O923" s="1879"/>
      <c r="P923" s="1879"/>
      <c r="Q923" s="1954"/>
    </row>
    <row r="924" spans="1:22" s="1568" customFormat="1" ht="12.75" customHeight="1">
      <c r="A924" s="1954"/>
      <c r="B924" s="1879"/>
      <c r="C924" s="1865" t="s">
        <v>72</v>
      </c>
      <c r="D924" s="1866" t="s">
        <v>399</v>
      </c>
      <c r="E924" s="1866" t="s">
        <v>757</v>
      </c>
      <c r="F924" s="1866" t="s">
        <v>579</v>
      </c>
      <c r="G924" s="1866" t="s">
        <v>580</v>
      </c>
      <c r="H924" s="1866" t="s">
        <v>605</v>
      </c>
      <c r="I924" s="1866" t="s">
        <v>606</v>
      </c>
      <c r="J924" s="1866" t="s">
        <v>607</v>
      </c>
      <c r="K924" s="1866" t="s">
        <v>608</v>
      </c>
      <c r="L924" s="1866" t="s">
        <v>609</v>
      </c>
      <c r="M924" s="1866" t="s">
        <v>610</v>
      </c>
      <c r="N924" s="1866" t="s">
        <v>611</v>
      </c>
      <c r="O924" s="1867" t="s">
        <v>612</v>
      </c>
      <c r="P924" s="1879"/>
      <c r="Q924" s="1954"/>
    </row>
    <row r="925" spans="1:22" ht="12.75" customHeight="1">
      <c r="A925" s="1954"/>
      <c r="B925" s="1879"/>
      <c r="C925" s="1883" t="str">
        <f>INDEX(AirQualityVectors[Code],MATCH(D925,AirQualityVectors[Description],0))</f>
        <v>AQ.01</v>
      </c>
      <c r="D925" s="1884" t="s">
        <v>1758</v>
      </c>
      <c r="E925" s="1862" t="s">
        <v>779</v>
      </c>
      <c r="F925" s="1886">
        <f>SUMPRODUCT(F$687:F$694,F$178:F$185)</f>
        <v>23.95065896082016</v>
      </c>
      <c r="G925" s="1886">
        <f t="shared" ref="G925:O925" si="282">SUMPRODUCT(G$687:G$694,G$178:G$185)</f>
        <v>21.828397912866794</v>
      </c>
      <c r="H925" s="1886">
        <f t="shared" si="282"/>
        <v>15.806024722944828</v>
      </c>
      <c r="I925" s="1886">
        <f t="shared" si="282"/>
        <v>12.504261872849916</v>
      </c>
      <c r="J925" s="1886">
        <f t="shared" si="282"/>
        <v>8.3403878674813736</v>
      </c>
      <c r="K925" s="1886">
        <f t="shared" si="282"/>
        <v>5.104409109557654</v>
      </c>
      <c r="L925" s="1886">
        <f t="shared" si="282"/>
        <v>4.4959952787753101</v>
      </c>
      <c r="M925" s="1886">
        <f t="shared" si="282"/>
        <v>3.814190666003773</v>
      </c>
      <c r="N925" s="1886">
        <f t="shared" si="282"/>
        <v>2.891961659698262</v>
      </c>
      <c r="O925" s="1886">
        <f t="shared" si="282"/>
        <v>2.0739800649787061</v>
      </c>
      <c r="P925" s="1879"/>
      <c r="Q925" s="1954"/>
    </row>
    <row r="926" spans="1:22" ht="12.75" customHeight="1">
      <c r="A926" s="1954"/>
      <c r="B926" s="1879"/>
      <c r="C926" s="1883" t="str">
        <f>INDEX(AirQualityVectors[Code],MATCH(D926,AirQualityVectors[Description],0))</f>
        <v>AQ.02</v>
      </c>
      <c r="D926" s="1884" t="s">
        <v>1761</v>
      </c>
      <c r="E926" s="1862" t="s">
        <v>779</v>
      </c>
      <c r="F926" s="1886">
        <f>SUMPRODUCT(F$687:F$694,F$193:F$200)</f>
        <v>291.01606065286899</v>
      </c>
      <c r="G926" s="1886">
        <f t="shared" ref="G926:O926" si="283">SUMPRODUCT(G$687:G$694,G$193:G$200)</f>
        <v>283.43163391187596</v>
      </c>
      <c r="H926" s="1886">
        <f t="shared" si="283"/>
        <v>205.4649771443878</v>
      </c>
      <c r="I926" s="1886">
        <f t="shared" si="283"/>
        <v>136.68594041131553</v>
      </c>
      <c r="J926" s="1886">
        <f t="shared" si="283"/>
        <v>77.951950754374636</v>
      </c>
      <c r="K926" s="1886">
        <f t="shared" si="283"/>
        <v>44.421353495541616</v>
      </c>
      <c r="L926" s="1886">
        <f t="shared" si="283"/>
        <v>37.062696644315118</v>
      </c>
      <c r="M926" s="1886">
        <f t="shared" si="283"/>
        <v>31.017842855123785</v>
      </c>
      <c r="N926" s="1886">
        <f t="shared" si="283"/>
        <v>23.327055874989767</v>
      </c>
      <c r="O926" s="1886">
        <f t="shared" si="283"/>
        <v>16.508883065093489</v>
      </c>
      <c r="P926" s="1879"/>
      <c r="Q926" s="1954"/>
    </row>
    <row r="927" spans="1:22" s="1562" customFormat="1" ht="12.75" customHeight="1" collapsed="1">
      <c r="A927" s="1954"/>
      <c r="B927" s="1879"/>
      <c r="C927" s="1883" t="str">
        <f>INDEX(AirQualityVectors[Code],MATCH(D927,AirQualityVectors[Description],0))</f>
        <v>AQ.03</v>
      </c>
      <c r="D927" s="1884" t="s">
        <v>1762</v>
      </c>
      <c r="E927" s="1862" t="s">
        <v>779</v>
      </c>
      <c r="F927" s="1886">
        <f>SUMPRODUCT(F$687:F$694,F$208:F$215)</f>
        <v>0.41924492486293408</v>
      </c>
      <c r="G927" s="1886">
        <f t="shared" ref="G927:O927" si="284">SUMPRODUCT(G$687:G$694,G$208:G$215)</f>
        <v>0.38402913772427577</v>
      </c>
      <c r="H927" s="1886">
        <f t="shared" si="284"/>
        <v>0.35102772790461434</v>
      </c>
      <c r="I927" s="1886">
        <f t="shared" si="284"/>
        <v>0.30998650179756876</v>
      </c>
      <c r="J927" s="1886">
        <f t="shared" si="284"/>
        <v>0.20764317239927996</v>
      </c>
      <c r="K927" s="1886">
        <f t="shared" si="284"/>
        <v>0.12431025189798887</v>
      </c>
      <c r="L927" s="1886">
        <f t="shared" si="284"/>
        <v>0.10653103030451304</v>
      </c>
      <c r="M927" s="1886">
        <f t="shared" si="284"/>
        <v>9.2092042587417405E-2</v>
      </c>
      <c r="N927" s="1886">
        <f t="shared" si="284"/>
        <v>7.2316467565814252E-2</v>
      </c>
      <c r="O927" s="1886">
        <f t="shared" si="284"/>
        <v>5.469218454210388E-2</v>
      </c>
      <c r="P927" s="1879"/>
      <c r="Q927" s="1954"/>
      <c r="V927" s="1533"/>
    </row>
    <row r="928" spans="1:22" s="1562" customFormat="1" ht="12.75" customHeight="1">
      <c r="A928" s="1954"/>
      <c r="B928" s="1879"/>
      <c r="C928" s="1880" t="str">
        <f>INDEX(AirQualityVectors[Code],MATCH(D928,AirQualityVectors[Description],0))</f>
        <v>AQ.04</v>
      </c>
      <c r="D928" s="1887" t="s">
        <v>1759</v>
      </c>
      <c r="E928" s="1862" t="s">
        <v>779</v>
      </c>
      <c r="F928" s="1881">
        <f>SUMPRODUCT(F$687:F$694,F$223:F$230)</f>
        <v>71.641627491390963</v>
      </c>
      <c r="G928" s="1881">
        <f t="shared" ref="G928:O928" si="285">SUMPRODUCT(G$687:G$694,G$223:G$230)</f>
        <v>63.770457364506093</v>
      </c>
      <c r="H928" s="1881">
        <f t="shared" si="285"/>
        <v>28.671062567393328</v>
      </c>
      <c r="I928" s="1881">
        <f t="shared" si="285"/>
        <v>22.295674205989439</v>
      </c>
      <c r="J928" s="1881">
        <f t="shared" si="285"/>
        <v>16.417641789230775</v>
      </c>
      <c r="K928" s="1881">
        <f t="shared" si="285"/>
        <v>10.475530934787866</v>
      </c>
      <c r="L928" s="1881">
        <f t="shared" si="285"/>
        <v>8.9908149787700697</v>
      </c>
      <c r="M928" s="1881">
        <f t="shared" si="285"/>
        <v>7.44508465243005</v>
      </c>
      <c r="N928" s="1881">
        <f t="shared" si="285"/>
        <v>5.377560353461396</v>
      </c>
      <c r="O928" s="1881">
        <f t="shared" si="285"/>
        <v>3.5527940467113264</v>
      </c>
      <c r="P928" s="1879"/>
      <c r="Q928" s="1954"/>
    </row>
    <row r="929" spans="1:17" s="1760" customFormat="1" ht="12.75" customHeight="1">
      <c r="A929" s="1954"/>
      <c r="B929" s="1879"/>
      <c r="C929" s="1879"/>
      <c r="D929" s="1879"/>
      <c r="E929" s="1879"/>
      <c r="F929" s="1879"/>
      <c r="G929" s="1879"/>
      <c r="H929" s="1879"/>
      <c r="I929" s="1879"/>
      <c r="J929" s="1879"/>
      <c r="K929" s="1879"/>
      <c r="L929" s="1879"/>
      <c r="M929" s="1879"/>
      <c r="N929" s="1879"/>
      <c r="O929" s="1879"/>
      <c r="P929" s="1879"/>
      <c r="Q929" s="1954"/>
    </row>
    <row r="930" spans="1:17" s="1760" customFormat="1" ht="12.75" customHeight="1">
      <c r="A930" s="1954"/>
      <c r="B930" s="1879"/>
      <c r="C930" s="1879"/>
      <c r="D930" s="1879"/>
      <c r="E930" s="1879"/>
      <c r="F930" s="1879"/>
      <c r="G930" s="1879"/>
      <c r="H930" s="1879"/>
      <c r="I930" s="1879"/>
      <c r="J930" s="1879"/>
      <c r="K930" s="1879"/>
      <c r="L930" s="1879"/>
      <c r="M930" s="1879"/>
      <c r="N930" s="1879"/>
      <c r="O930" s="1879"/>
      <c r="P930" s="1879"/>
      <c r="Q930" s="1954"/>
    </row>
    <row r="931" spans="1:17" s="1760" customFormat="1" ht="12.75" customHeight="1">
      <c r="A931" s="1954"/>
      <c r="B931" s="1879"/>
      <c r="C931" s="1882" t="s">
        <v>1312</v>
      </c>
      <c r="D931" s="1879"/>
      <c r="E931" s="1879"/>
      <c r="F931" s="1879"/>
      <c r="G931" s="1879"/>
      <c r="H931" s="1879"/>
      <c r="I931" s="1879"/>
      <c r="J931" s="1879"/>
      <c r="K931" s="1879"/>
      <c r="L931" s="1879"/>
      <c r="M931" s="1879"/>
      <c r="N931" s="1879"/>
      <c r="O931" s="1879"/>
      <c r="P931" s="1879"/>
      <c r="Q931" s="1954"/>
    </row>
    <row r="932" spans="1:17" s="1760" customFormat="1" ht="12.75" customHeight="1">
      <c r="A932" s="1954"/>
      <c r="B932" s="1879"/>
      <c r="C932" s="1879"/>
      <c r="D932" s="1879"/>
      <c r="E932" s="1879"/>
      <c r="F932" s="1879"/>
      <c r="G932" s="1879"/>
      <c r="H932" s="1879"/>
      <c r="I932" s="1879"/>
      <c r="J932" s="1879"/>
      <c r="K932" s="1879"/>
      <c r="L932" s="1879"/>
      <c r="M932" s="1879"/>
      <c r="N932" s="1879"/>
      <c r="O932" s="1879"/>
      <c r="P932" s="1879"/>
      <c r="Q932" s="1954"/>
    </row>
    <row r="933" spans="1:17" s="1760" customFormat="1" ht="12.75" customHeight="1">
      <c r="A933" s="1954"/>
      <c r="B933" s="1879"/>
      <c r="C933" s="1865" t="s">
        <v>72</v>
      </c>
      <c r="D933" s="1866" t="s">
        <v>399</v>
      </c>
      <c r="E933" s="1866" t="s">
        <v>757</v>
      </c>
      <c r="F933" s="1866" t="s">
        <v>579</v>
      </c>
      <c r="G933" s="1866" t="s">
        <v>580</v>
      </c>
      <c r="H933" s="1866" t="s">
        <v>605</v>
      </c>
      <c r="I933" s="1866" t="s">
        <v>606</v>
      </c>
      <c r="J933" s="1866" t="s">
        <v>607</v>
      </c>
      <c r="K933" s="1866" t="s">
        <v>608</v>
      </c>
      <c r="L933" s="1866" t="s">
        <v>609</v>
      </c>
      <c r="M933" s="1866" t="s">
        <v>610</v>
      </c>
      <c r="N933" s="1866" t="s">
        <v>611</v>
      </c>
      <c r="O933" s="1867" t="s">
        <v>612</v>
      </c>
      <c r="P933" s="1879"/>
      <c r="Q933" s="1954"/>
    </row>
    <row r="934" spans="1:17" s="1760" customFormat="1" ht="12.75" customHeight="1">
      <c r="A934" s="1954"/>
      <c r="B934" s="1879"/>
      <c r="C934" s="1883" t="str">
        <f>INDEX(AirQualityVectors[Code],MATCH(D934,AirQualityVectors[Description],0))</f>
        <v>AQ.01</v>
      </c>
      <c r="D934" s="1884" t="s">
        <v>1758</v>
      </c>
      <c r="E934" s="1885" t="s">
        <v>779</v>
      </c>
      <c r="F934" s="1886">
        <f>SUMPRODUCT(F$695:F$696,F$186:F$187)</f>
        <v>0.97877977612418587</v>
      </c>
      <c r="G934" s="1886">
        <f t="shared" ref="G934:O934" si="286">SUMPRODUCT(G$695:G$696,G$186:G$187)</f>
        <v>1.4776082077572379</v>
      </c>
      <c r="H934" s="1886">
        <f t="shared" si="286"/>
        <v>1.2633782632137045</v>
      </c>
      <c r="I934" s="1886">
        <f t="shared" si="286"/>
        <v>0.85551336007849221</v>
      </c>
      <c r="J934" s="1886">
        <f t="shared" si="286"/>
        <v>0.63749621758398445</v>
      </c>
      <c r="K934" s="1886">
        <f t="shared" si="286"/>
        <v>0.388288929638334</v>
      </c>
      <c r="L934" s="1886">
        <f t="shared" si="286"/>
        <v>0.2111323947372559</v>
      </c>
      <c r="M934" s="1886">
        <f t="shared" si="286"/>
        <v>9.8733524089833144E-2</v>
      </c>
      <c r="N934" s="1886">
        <f t="shared" si="286"/>
        <v>6.8290444760544897E-2</v>
      </c>
      <c r="O934" s="1886">
        <f t="shared" si="286"/>
        <v>5.3601597835292392E-2</v>
      </c>
      <c r="P934" s="1879"/>
      <c r="Q934" s="1954"/>
    </row>
    <row r="935" spans="1:17" s="1760" customFormat="1" ht="12.75" customHeight="1">
      <c r="A935" s="1954"/>
      <c r="B935" s="1879"/>
      <c r="C935" s="1883" t="str">
        <f>INDEX(AirQualityVectors[Code],MATCH(D935,AirQualityVectors[Description],0))</f>
        <v>AQ.02</v>
      </c>
      <c r="D935" s="1884" t="s">
        <v>1761</v>
      </c>
      <c r="E935" s="1885" t="s">
        <v>779</v>
      </c>
      <c r="F935" s="1886">
        <f>SUMPRODUCT(F$695:F$696,F$201:F$202)</f>
        <v>37.02597286354753</v>
      </c>
      <c r="G935" s="1886">
        <f t="shared" ref="G935:O935" si="287">SUMPRODUCT(G$695:G$696,G$201:G$202)</f>
        <v>55.896007189704235</v>
      </c>
      <c r="H935" s="1886">
        <f t="shared" si="287"/>
        <v>48.114767211388838</v>
      </c>
      <c r="I935" s="1886">
        <f t="shared" si="287"/>
        <v>33.537323567545101</v>
      </c>
      <c r="J935" s="1886">
        <f t="shared" si="287"/>
        <v>26.086717356133537</v>
      </c>
      <c r="K935" s="1886">
        <f t="shared" si="287"/>
        <v>17.048899253598027</v>
      </c>
      <c r="L935" s="1886">
        <f t="shared" si="287"/>
        <v>10.637985243014617</v>
      </c>
      <c r="M935" s="1886">
        <f t="shared" si="287"/>
        <v>7.6246136077620035</v>
      </c>
      <c r="N935" s="1886">
        <f t="shared" si="287"/>
        <v>6.0420422536569536</v>
      </c>
      <c r="O935" s="1886">
        <f t="shared" si="287"/>
        <v>4.742436809717149</v>
      </c>
      <c r="P935" s="1879"/>
      <c r="Q935" s="1954"/>
    </row>
    <row r="936" spans="1:17" s="1760" customFormat="1" ht="12.75" customHeight="1">
      <c r="A936" s="1954"/>
      <c r="B936" s="1879"/>
      <c r="C936" s="1883" t="str">
        <f>INDEX(AirQualityVectors[Code],MATCH(D936,AirQualityVectors[Description],0))</f>
        <v>AQ.03</v>
      </c>
      <c r="D936" s="1884" t="s">
        <v>1762</v>
      </c>
      <c r="E936" s="1885" t="s">
        <v>779</v>
      </c>
      <c r="F936" s="1886">
        <f>SUMPRODUCT(F$695:F$696,F$216:F$217)</f>
        <v>0.43239107108071423</v>
      </c>
      <c r="G936" s="1886">
        <f t="shared" ref="G936:O936" si="288">SUMPRODUCT(G$695:G$696,G$216:G$217)</f>
        <v>0.65275622890347051</v>
      </c>
      <c r="H936" s="1886">
        <f t="shared" si="288"/>
        <v>1.1394197107975059E-2</v>
      </c>
      <c r="I936" s="1886">
        <f t="shared" si="288"/>
        <v>9.3533207653790987E-3</v>
      </c>
      <c r="J936" s="1886">
        <f t="shared" si="288"/>
        <v>8.847546733133281E-3</v>
      </c>
      <c r="K936" s="1886">
        <f t="shared" si="288"/>
        <v>7.3762226763640871E-3</v>
      </c>
      <c r="L936" s="1886">
        <f t="shared" si="288"/>
        <v>6.3540900249302867E-3</v>
      </c>
      <c r="M936" s="1886">
        <f t="shared" si="288"/>
        <v>5.3063712132346676E-3</v>
      </c>
      <c r="N936" s="1886">
        <f t="shared" si="288"/>
        <v>4.3130807217186184E-3</v>
      </c>
      <c r="O936" s="1886">
        <f t="shared" si="288"/>
        <v>3.3853640738079347E-3</v>
      </c>
      <c r="P936" s="1879"/>
      <c r="Q936" s="1954"/>
    </row>
    <row r="937" spans="1:17" s="1760" customFormat="1" ht="12.75" customHeight="1">
      <c r="A937" s="1954"/>
      <c r="B937" s="1879"/>
      <c r="C937" s="1880" t="str">
        <f>INDEX(AirQualityVectors[Code],MATCH(D937,AirQualityVectors[Description],0))</f>
        <v>AQ.04</v>
      </c>
      <c r="D937" s="1887" t="s">
        <v>1759</v>
      </c>
      <c r="E937" s="1885" t="s">
        <v>779</v>
      </c>
      <c r="F937" s="1881">
        <f>SUMPRODUCT(F$695:F$696,F$231:F$232)</f>
        <v>3.7264215672934546</v>
      </c>
      <c r="G937" s="1881">
        <f t="shared" ref="G937:O937" si="289">SUMPRODUCT(G$695:G$696,G$231:G$232)</f>
        <v>5.625566882062123</v>
      </c>
      <c r="H937" s="1881">
        <f t="shared" si="289"/>
        <v>4.8487545834280326</v>
      </c>
      <c r="I937" s="1881">
        <f t="shared" si="289"/>
        <v>3.3809977121266144</v>
      </c>
      <c r="J937" s="1881">
        <f t="shared" si="289"/>
        <v>2.6313076325006142</v>
      </c>
      <c r="K937" s="1881">
        <f t="shared" si="289"/>
        <v>1.7211311128040656</v>
      </c>
      <c r="L937" s="1881">
        <f t="shared" si="289"/>
        <v>1.0755232314705245</v>
      </c>
      <c r="M937" s="1881">
        <f t="shared" si="289"/>
        <v>0.75389002423893015</v>
      </c>
      <c r="N937" s="1881">
        <f t="shared" si="289"/>
        <v>0.594975755986896</v>
      </c>
      <c r="O937" s="1881">
        <f t="shared" si="289"/>
        <v>0.46700019755302863</v>
      </c>
      <c r="P937" s="1879"/>
      <c r="Q937" s="1954"/>
    </row>
    <row r="938" spans="1:17" s="1760" customFormat="1" ht="12.75" customHeight="1">
      <c r="A938" s="1954"/>
      <c r="B938" s="1879"/>
      <c r="C938" s="1879"/>
      <c r="D938" s="1879"/>
      <c r="E938" s="1879"/>
      <c r="F938" s="1879"/>
      <c r="G938" s="1879"/>
      <c r="H938" s="1879"/>
      <c r="I938" s="1879"/>
      <c r="J938" s="1879"/>
      <c r="K938" s="1879"/>
      <c r="L938" s="1879"/>
      <c r="M938" s="1879"/>
      <c r="N938" s="1879"/>
      <c r="O938" s="1879"/>
      <c r="P938" s="1879"/>
      <c r="Q938" s="1954"/>
    </row>
    <row r="939" spans="1:17" s="1562" customFormat="1" ht="12.75" customHeight="1">
      <c r="A939" s="1954"/>
      <c r="B939" s="1879"/>
      <c r="C939" s="1879"/>
      <c r="D939" s="1879"/>
      <c r="E939" s="1879"/>
      <c r="F939" s="1879"/>
      <c r="G939" s="1879"/>
      <c r="H939" s="1879"/>
      <c r="I939" s="1879"/>
      <c r="J939" s="1879"/>
      <c r="K939" s="1879"/>
      <c r="L939" s="1879"/>
      <c r="M939" s="1879"/>
      <c r="N939" s="1879"/>
      <c r="O939" s="1879"/>
      <c r="P939" s="1879"/>
      <c r="Q939" s="1954"/>
    </row>
    <row r="940" spans="1:17" s="1562" customFormat="1" ht="12.75" customHeight="1">
      <c r="A940" s="1954"/>
      <c r="B940" s="1879"/>
      <c r="C940" s="1882" t="s">
        <v>1314</v>
      </c>
      <c r="D940" s="1879"/>
      <c r="E940" s="1879"/>
      <c r="F940" s="1879"/>
      <c r="G940" s="1879"/>
      <c r="H940" s="1879"/>
      <c r="I940" s="1879"/>
      <c r="J940" s="1879"/>
      <c r="K940" s="1879"/>
      <c r="L940" s="1879"/>
      <c r="M940" s="1879"/>
      <c r="N940" s="1879"/>
      <c r="O940" s="1879"/>
      <c r="P940" s="1879"/>
      <c r="Q940" s="1954"/>
    </row>
    <row r="941" spans="1:17" s="1562" customFormat="1" ht="12.75" customHeight="1">
      <c r="A941" s="1954"/>
      <c r="B941" s="1879"/>
      <c r="C941" s="1879"/>
      <c r="D941" s="1879"/>
      <c r="E941" s="1879"/>
      <c r="F941" s="1879"/>
      <c r="G941" s="1879"/>
      <c r="H941" s="1879"/>
      <c r="I941" s="1879"/>
      <c r="J941" s="1879"/>
      <c r="K941" s="1879"/>
      <c r="L941" s="1879"/>
      <c r="M941" s="1879"/>
      <c r="N941" s="1879"/>
      <c r="O941" s="1879"/>
      <c r="P941" s="1879"/>
      <c r="Q941" s="1954"/>
    </row>
    <row r="942" spans="1:17" s="1562" customFormat="1" ht="12.75" customHeight="1">
      <c r="A942" s="1954"/>
      <c r="B942" s="1879"/>
      <c r="C942" s="1865" t="s">
        <v>72</v>
      </c>
      <c r="D942" s="1866" t="s">
        <v>399</v>
      </c>
      <c r="E942" s="1866" t="s">
        <v>757</v>
      </c>
      <c r="F942" s="1866" t="s">
        <v>579</v>
      </c>
      <c r="G942" s="1866" t="s">
        <v>580</v>
      </c>
      <c r="H942" s="1866" t="s">
        <v>605</v>
      </c>
      <c r="I942" s="1866" t="s">
        <v>606</v>
      </c>
      <c r="J942" s="1866" t="s">
        <v>607</v>
      </c>
      <c r="K942" s="1866" t="s">
        <v>608</v>
      </c>
      <c r="L942" s="1866" t="s">
        <v>609</v>
      </c>
      <c r="M942" s="1866" t="s">
        <v>610</v>
      </c>
      <c r="N942" s="1866" t="s">
        <v>611</v>
      </c>
      <c r="O942" s="1867" t="s">
        <v>612</v>
      </c>
      <c r="P942" s="1879"/>
      <c r="Q942" s="1954"/>
    </row>
    <row r="943" spans="1:17" s="1562" customFormat="1" ht="12.75" customHeight="1">
      <c r="A943" s="1954"/>
      <c r="B943" s="1879"/>
      <c r="C943" s="1883" t="str">
        <f>INDEX(AirQualityVectors[Code],MATCH(D943,AirQualityVectors[Description],0))</f>
        <v>AQ.01</v>
      </c>
      <c r="D943" s="1884" t="s">
        <v>1758</v>
      </c>
      <c r="E943" s="1885" t="s">
        <v>779</v>
      </c>
      <c r="F943" s="1886">
        <f>F$697*F$238*F$188</f>
        <v>2.230705107458815E-2</v>
      </c>
      <c r="G943" s="1886">
        <f t="shared" ref="G943:O943" si="290">G$697*G$238*G$188</f>
        <v>2.3339069886595544E-2</v>
      </c>
      <c r="H943" s="1886">
        <f t="shared" si="290"/>
        <v>2.4838561819839296E-2</v>
      </c>
      <c r="I943" s="1886">
        <f t="shared" si="290"/>
        <v>2.6872894446566643E-2</v>
      </c>
      <c r="J943" s="1886">
        <f t="shared" si="290"/>
        <v>2.872974156570746E-2</v>
      </c>
      <c r="K943" s="1886">
        <f t="shared" si="290"/>
        <v>3.0120502856276411E-2</v>
      </c>
      <c r="L943" s="1886">
        <f t="shared" si="290"/>
        <v>3.1364127739156915E-2</v>
      </c>
      <c r="M943" s="1886">
        <f t="shared" si="290"/>
        <v>3.219438611193829E-2</v>
      </c>
      <c r="N943" s="1886">
        <f t="shared" si="290"/>
        <v>3.2900831296066101E-2</v>
      </c>
      <c r="O943" s="1886">
        <f t="shared" si="290"/>
        <v>3.3502817787970027E-2</v>
      </c>
      <c r="P943" s="1879"/>
      <c r="Q943" s="1954"/>
    </row>
    <row r="944" spans="1:17" s="1562" customFormat="1" ht="12.75" customHeight="1">
      <c r="A944" s="1954"/>
      <c r="B944" s="1879"/>
      <c r="C944" s="1883" t="str">
        <f>INDEX(AirQualityVectors[Code],MATCH(D944,AirQualityVectors[Description],0))</f>
        <v>AQ.02</v>
      </c>
      <c r="D944" s="1884" t="s">
        <v>1761</v>
      </c>
      <c r="E944" s="1885" t="s">
        <v>779</v>
      </c>
      <c r="F944" s="1886">
        <f>F$697*F$238*F$203</f>
        <v>2.0894533646659768</v>
      </c>
      <c r="G944" s="1886">
        <f t="shared" ref="G944:O944" si="291">G$697*G$238*G$203</f>
        <v>2.1861203410375833</v>
      </c>
      <c r="H944" s="1886">
        <f t="shared" si="291"/>
        <v>2.3265745164787668</v>
      </c>
      <c r="I944" s="1886">
        <f t="shared" si="291"/>
        <v>2.5171260661906647</v>
      </c>
      <c r="J944" s="1886">
        <f t="shared" si="291"/>
        <v>2.6910529311889215</v>
      </c>
      <c r="K944" s="1886">
        <f t="shared" si="291"/>
        <v>2.8213225418295176</v>
      </c>
      <c r="L944" s="1886">
        <f t="shared" si="291"/>
        <v>2.9378102024901938</v>
      </c>
      <c r="M944" s="1886">
        <f t="shared" si="291"/>
        <v>3.0155787136550956</v>
      </c>
      <c r="N944" s="1886">
        <f t="shared" si="291"/>
        <v>3.0817499104660206</v>
      </c>
      <c r="O944" s="1886">
        <f t="shared" si="291"/>
        <v>3.1381366868618046</v>
      </c>
      <c r="P944" s="1879"/>
      <c r="Q944" s="1954"/>
    </row>
    <row r="945" spans="1:17" ht="12.75" customHeight="1">
      <c r="A945" s="1954"/>
      <c r="B945" s="1879"/>
      <c r="C945" s="1883" t="str">
        <f>INDEX(AirQualityVectors[Code],MATCH(D945,AirQualityVectors[Description],0))</f>
        <v>AQ.03</v>
      </c>
      <c r="D945" s="1884" t="s">
        <v>1762</v>
      </c>
      <c r="E945" s="1885" t="s">
        <v>779</v>
      </c>
      <c r="F945" s="1886">
        <f>F$697*F$238*F$218</f>
        <v>0.15733379319307408</v>
      </c>
      <c r="G945" s="1886">
        <f t="shared" ref="G945:O945" si="292">G$697*G$238*G$218</f>
        <v>0.16461272189578838</v>
      </c>
      <c r="H945" s="1886">
        <f t="shared" si="292"/>
        <v>0.17518878382933603</v>
      </c>
      <c r="I945" s="1886">
        <f t="shared" si="292"/>
        <v>0.18953712900993508</v>
      </c>
      <c r="J945" s="1886">
        <f t="shared" si="292"/>
        <v>0.20263365170391248</v>
      </c>
      <c r="K945" s="1886">
        <f t="shared" si="292"/>
        <v>0.21244282587667337</v>
      </c>
      <c r="L945" s="1886">
        <f t="shared" si="292"/>
        <v>0.22121423270578042</v>
      </c>
      <c r="M945" s="1886">
        <f t="shared" si="292"/>
        <v>0.22707012547633187</v>
      </c>
      <c r="N945" s="1886">
        <f t="shared" si="292"/>
        <v>0.23205275182753193</v>
      </c>
      <c r="O945" s="1886">
        <f t="shared" si="292"/>
        <v>0.23629862089850617</v>
      </c>
      <c r="P945" s="1879"/>
      <c r="Q945" s="1954"/>
    </row>
    <row r="946" spans="1:17" s="1703" customFormat="1" ht="12.75" customHeight="1">
      <c r="A946" s="1954"/>
      <c r="B946" s="1879"/>
      <c r="C946" s="1880" t="str">
        <f>INDEX(AirQualityVectors[Code],MATCH(D946,AirQualityVectors[Description],0))</f>
        <v>AQ.04</v>
      </c>
      <c r="D946" s="1887" t="s">
        <v>1759</v>
      </c>
      <c r="E946" s="1885" t="s">
        <v>779</v>
      </c>
      <c r="F946" s="1881">
        <f>F$697*F$238*F$233</f>
        <v>0.59613177972012188</v>
      </c>
      <c r="G946" s="1881">
        <f t="shared" ref="G946:O946" si="293">G$697*G$238*G$233</f>
        <v>0.62371136471544486</v>
      </c>
      <c r="H946" s="1881">
        <f t="shared" si="293"/>
        <v>0.66378366256654342</v>
      </c>
      <c r="I946" s="1881">
        <f t="shared" si="293"/>
        <v>0.71814899867747417</v>
      </c>
      <c r="J946" s="1881">
        <f t="shared" si="293"/>
        <v>0.76777122682858057</v>
      </c>
      <c r="K946" s="1881">
        <f t="shared" si="293"/>
        <v>0.80493781601782555</v>
      </c>
      <c r="L946" s="1881">
        <f t="shared" si="293"/>
        <v>0.83817234407161811</v>
      </c>
      <c r="M946" s="1881">
        <f t="shared" si="293"/>
        <v>0.86036009985066519</v>
      </c>
      <c r="N946" s="1881">
        <f t="shared" si="293"/>
        <v>0.87923908226213121</v>
      </c>
      <c r="O946" s="1881">
        <f t="shared" si="293"/>
        <v>0.89532651926069395</v>
      </c>
      <c r="P946" s="1879"/>
      <c r="Q946" s="1954"/>
    </row>
    <row r="947" spans="1:17" s="1703" customFormat="1" ht="12.75" customHeight="1">
      <c r="A947" s="1954"/>
      <c r="B947" s="1879"/>
      <c r="C947" s="1879"/>
      <c r="D947" s="1879"/>
      <c r="E947" s="1879"/>
      <c r="F947" s="1879"/>
      <c r="G947" s="1879"/>
      <c r="H947" s="1879"/>
      <c r="I947" s="1879"/>
      <c r="J947" s="1879"/>
      <c r="K947" s="1879"/>
      <c r="L947" s="1879"/>
      <c r="M947" s="1879"/>
      <c r="N947" s="1879"/>
      <c r="O947" s="1879"/>
      <c r="P947" s="1879"/>
      <c r="Q947" s="1954"/>
    </row>
    <row r="948" spans="1:17" customFormat="1" ht="12.75" customHeight="1"/>
    <row r="949" spans="1:17" customFormat="1" ht="12.75" customHeight="1"/>
    <row r="950" spans="1:17" customFormat="1" ht="12.75" customHeight="1"/>
    <row r="951" spans="1:17" customFormat="1" ht="12.75" customHeight="1"/>
    <row r="952" spans="1:17" s="1703" customFormat="1">
      <c r="A952" s="1954"/>
      <c r="B952" s="1954"/>
      <c r="C952" s="1822"/>
      <c r="D952" s="1822"/>
      <c r="E952" s="1822"/>
      <c r="F952" s="1822"/>
      <c r="G952" s="1822"/>
      <c r="H952" s="1822"/>
      <c r="I952" s="1822"/>
      <c r="J952" s="1822"/>
      <c r="K952" s="1822"/>
      <c r="L952" s="1822"/>
      <c r="M952" s="1822"/>
      <c r="N952" s="1822"/>
      <c r="O952" s="1822"/>
      <c r="P952" s="1954"/>
      <c r="Q952" s="1954"/>
    </row>
    <row r="953" spans="1:17" s="1703" customFormat="1">
      <c r="C953" s="1822"/>
      <c r="D953" s="1822"/>
      <c r="E953" s="1822"/>
      <c r="F953" s="1822"/>
      <c r="G953" s="1822"/>
      <c r="H953" s="1822"/>
      <c r="I953" s="1822"/>
      <c r="J953" s="1822"/>
      <c r="K953" s="1822"/>
      <c r="L953" s="1822"/>
      <c r="M953" s="1822"/>
      <c r="N953" s="1822"/>
      <c r="O953" s="1822"/>
    </row>
    <row r="954" spans="1:17" s="1703" customFormat="1">
      <c r="C954" s="1822"/>
      <c r="D954" s="1822"/>
      <c r="E954" s="1822"/>
      <c r="F954" s="1822"/>
      <c r="G954" s="1822"/>
      <c r="H954" s="1822"/>
      <c r="I954" s="1822"/>
      <c r="J954" s="1822"/>
      <c r="K954" s="1822"/>
      <c r="L954" s="1822"/>
      <c r="M954" s="1822"/>
      <c r="N954" s="1822"/>
      <c r="O954" s="1822"/>
    </row>
    <row r="955" spans="1:17" s="1703" customFormat="1">
      <c r="C955" s="1822"/>
      <c r="D955" s="1822"/>
      <c r="E955" s="1822"/>
      <c r="F955" s="1822"/>
      <c r="G955" s="1822"/>
      <c r="H955" s="1822"/>
      <c r="I955" s="1822"/>
      <c r="J955" s="1822"/>
      <c r="K955" s="1822"/>
      <c r="L955" s="1822"/>
      <c r="M955" s="1822"/>
      <c r="N955" s="1822"/>
      <c r="O955" s="1822"/>
    </row>
    <row r="956" spans="1:17" s="1822" customFormat="1"/>
    <row r="957" spans="1:17" s="1822" customFormat="1" ht="15.75" customHeight="1"/>
    <row r="958" spans="1:17" s="1822" customFormat="1" ht="5.25" customHeight="1"/>
    <row r="959" spans="1:17" s="1822" customFormat="1"/>
    <row r="960" spans="1:17" s="1822" customFormat="1"/>
    <row r="961" s="1822" customFormat="1"/>
    <row r="962" s="1822" customFormat="1"/>
    <row r="963" s="1822" customFormat="1"/>
    <row r="964" s="1822" customFormat="1"/>
    <row r="965" s="1822" customFormat="1" ht="15.75" customHeight="1"/>
    <row r="966" s="1822" customFormat="1" ht="5.25" customHeight="1"/>
    <row r="967" s="1822" customFormat="1"/>
    <row r="968" s="1822" customFormat="1"/>
    <row r="969" s="1822" customFormat="1"/>
    <row r="970" s="1822" customFormat="1"/>
    <row r="971" s="1822" customFormat="1"/>
    <row r="972" s="1822" customFormat="1"/>
    <row r="973" s="1822" customFormat="1" ht="15.75" customHeight="1"/>
    <row r="974" s="1822" customFormat="1" ht="5.25" customHeight="1"/>
    <row r="975" s="1822" customFormat="1"/>
    <row r="976" s="1822" customFormat="1"/>
    <row r="977" s="1822" customFormat="1"/>
    <row r="978" s="1822" customFormat="1"/>
    <row r="979" s="1822" customFormat="1"/>
    <row r="980" s="1822" customFormat="1"/>
    <row r="981" s="1822" customFormat="1" ht="15.75" customHeight="1"/>
    <row r="982" s="1822" customFormat="1" ht="5.25" customHeight="1"/>
    <row r="983" s="1822" customFormat="1"/>
    <row r="984" s="1822" customFormat="1"/>
    <row r="985" s="1822" customFormat="1"/>
    <row r="986" s="1822" customFormat="1"/>
    <row r="987" s="1822" customFormat="1"/>
    <row r="988" s="1822" customFormat="1"/>
    <row r="989" s="1822" customFormat="1" ht="15.75" customHeight="1"/>
    <row r="990" s="1822" customFormat="1" ht="5.25" customHeight="1"/>
    <row r="991" s="1822" customFormat="1"/>
    <row r="992" s="1822" customFormat="1"/>
    <row r="993" spans="3:15" s="1822" customFormat="1"/>
    <row r="994" spans="3:15" s="1822" customFormat="1"/>
    <row r="995" spans="3:15" s="1822" customFormat="1"/>
    <row r="996" spans="3:15" s="1822" customFormat="1"/>
    <row r="997" spans="3:15" s="1822" customFormat="1" ht="15.75" customHeight="1"/>
    <row r="998" spans="3:15" s="1822" customFormat="1" ht="5.25" customHeight="1"/>
    <row r="999" spans="3:15" s="1822" customFormat="1"/>
    <row r="1000" spans="3:15" s="1822" customFormat="1"/>
    <row r="1001" spans="3:15" s="1822" customFormat="1">
      <c r="C1001" s="1703"/>
      <c r="D1001" s="1703"/>
      <c r="E1001" s="1703"/>
      <c r="F1001" s="1703"/>
      <c r="G1001" s="1703"/>
      <c r="H1001" s="1703"/>
      <c r="I1001" s="1703"/>
      <c r="J1001" s="1703"/>
      <c r="K1001" s="1703"/>
      <c r="L1001" s="1703"/>
      <c r="M1001" s="1703"/>
      <c r="N1001" s="1703"/>
      <c r="O1001" s="1703"/>
    </row>
    <row r="1002" spans="3:15" s="1822" customFormat="1">
      <c r="C1002" s="1855"/>
      <c r="D1002" s="1855"/>
      <c r="E1002" s="1855"/>
      <c r="F1002" s="1855"/>
      <c r="G1002" s="1855"/>
      <c r="H1002" s="1855"/>
      <c r="I1002" s="1855"/>
      <c r="J1002" s="1855"/>
      <c r="K1002" s="1855"/>
      <c r="L1002" s="1855"/>
      <c r="M1002" s="1855"/>
      <c r="N1002" s="1855"/>
      <c r="O1002" s="1855"/>
    </row>
    <row r="1003" spans="3:15" s="1822" customFormat="1">
      <c r="C1003" s="1855"/>
      <c r="D1003" s="1855"/>
      <c r="E1003" s="1855"/>
      <c r="F1003" s="1855"/>
      <c r="G1003" s="1855"/>
      <c r="H1003" s="1855"/>
      <c r="I1003" s="1855"/>
      <c r="J1003" s="1855"/>
      <c r="K1003" s="1855"/>
      <c r="L1003" s="1855"/>
      <c r="M1003" s="1855"/>
      <c r="N1003" s="1855"/>
      <c r="O1003" s="1855"/>
    </row>
    <row r="1004" spans="3:15" s="1822" customFormat="1">
      <c r="C1004" s="1855"/>
      <c r="D1004" s="1855"/>
      <c r="E1004" s="1855"/>
      <c r="F1004" s="1855"/>
      <c r="G1004" s="1855"/>
      <c r="H1004" s="1855"/>
      <c r="I1004" s="1855"/>
      <c r="J1004" s="1855"/>
      <c r="K1004" s="1855"/>
      <c r="L1004" s="1855"/>
      <c r="M1004" s="1855"/>
      <c r="N1004" s="1855"/>
      <c r="O1004" s="1855"/>
    </row>
    <row r="1005" spans="3:15" s="1703" customFormat="1">
      <c r="C1005" s="1855"/>
      <c r="D1005" s="1855"/>
      <c r="E1005" s="1855"/>
      <c r="F1005" s="1855"/>
      <c r="G1005" s="1855"/>
      <c r="H1005" s="1855"/>
      <c r="I1005" s="1855"/>
      <c r="J1005" s="1855"/>
      <c r="K1005" s="1855"/>
      <c r="L1005" s="1855"/>
      <c r="M1005" s="1855"/>
      <c r="N1005" s="1855"/>
      <c r="O1005" s="1855"/>
    </row>
    <row r="1006" spans="3:15" s="1855" customFormat="1"/>
    <row r="1007" spans="3:15" s="1855" customFormat="1"/>
    <row r="1008" spans="3:15" s="1855" customFormat="1"/>
    <row r="1009" spans="3:15" s="1855" customFormat="1"/>
    <row r="1010" spans="3:15" s="1855" customFormat="1"/>
    <row r="1011" spans="3:15" s="1855" customFormat="1"/>
    <row r="1012" spans="3:15" s="1855" customFormat="1">
      <c r="C1012" s="117"/>
      <c r="D1012" s="117"/>
      <c r="E1012" s="117"/>
      <c r="F1012" s="117"/>
      <c r="G1012" s="117"/>
      <c r="H1012" s="117"/>
      <c r="I1012" s="117"/>
      <c r="J1012" s="117"/>
      <c r="K1012" s="117"/>
      <c r="L1012" s="117"/>
      <c r="M1012" s="117"/>
      <c r="N1012" s="117"/>
      <c r="O1012" s="117"/>
    </row>
    <row r="1013" spans="3:15" s="1855" customFormat="1"/>
    <row r="1014" spans="3:15" s="1855" customFormat="1"/>
    <row r="1015" spans="3:15" s="1855" customFormat="1"/>
    <row r="1016" spans="3:15" ht="5.25" customHeight="1">
      <c r="C1016" s="1855"/>
      <c r="D1016" s="1855"/>
      <c r="E1016" s="1855"/>
      <c r="F1016" s="1855"/>
      <c r="G1016" s="1855"/>
      <c r="H1016" s="1855"/>
      <c r="I1016" s="1855"/>
      <c r="J1016" s="1855"/>
      <c r="K1016" s="1855"/>
      <c r="L1016" s="1855"/>
      <c r="M1016" s="1855"/>
      <c r="N1016" s="1855"/>
      <c r="O1016" s="1855"/>
    </row>
    <row r="1017" spans="3:15" s="1855" customFormat="1"/>
    <row r="1018" spans="3:15" s="1855" customFormat="1"/>
    <row r="1019" spans="3:15" s="1855" customFormat="1"/>
    <row r="1020" spans="3:15" s="1855" customFormat="1"/>
    <row r="1021" spans="3:15" s="1855" customFormat="1"/>
    <row r="1022" spans="3:15" s="1855" customFormat="1"/>
    <row r="1023" spans="3:15" s="1855" customFormat="1"/>
    <row r="1024" spans="3:15" s="1855" customFormat="1"/>
    <row r="1025" s="1855" customFormat="1"/>
    <row r="1026" s="1855" customFormat="1" ht="5.25" customHeight="1"/>
    <row r="1027" s="1855" customFormat="1"/>
    <row r="1028" s="1855" customFormat="1"/>
    <row r="1029" s="1855" customFormat="1"/>
    <row r="1030" s="1855" customFormat="1"/>
    <row r="1031" s="1855" customFormat="1"/>
    <row r="1032" s="1855" customFormat="1"/>
    <row r="1033" s="1855" customFormat="1"/>
    <row r="1034" s="1855" customFormat="1"/>
    <row r="1035" s="1855" customFormat="1"/>
    <row r="1036" s="1855" customFormat="1" ht="5.25" customHeight="1"/>
    <row r="1037" s="1855" customFormat="1"/>
    <row r="1038" s="1855" customFormat="1"/>
    <row r="1039" s="1855" customFormat="1"/>
    <row r="1040" s="1855" customFormat="1"/>
    <row r="1041" spans="3:15" s="1855" customFormat="1"/>
    <row r="1042" spans="3:15" s="1855" customFormat="1"/>
    <row r="1043" spans="3:15" s="1855" customFormat="1">
      <c r="C1043" s="117"/>
      <c r="D1043" s="117"/>
      <c r="E1043" s="117"/>
      <c r="F1043" s="117"/>
      <c r="G1043" s="117"/>
      <c r="H1043" s="117"/>
      <c r="I1043" s="117"/>
      <c r="J1043" s="117"/>
      <c r="K1043" s="117"/>
      <c r="L1043" s="117"/>
      <c r="M1043" s="117"/>
      <c r="N1043" s="117"/>
      <c r="O1043" s="117"/>
    </row>
    <row r="1044" spans="3:15" s="1855" customFormat="1">
      <c r="C1044" s="117"/>
      <c r="D1044" s="117"/>
      <c r="E1044" s="117"/>
      <c r="F1044" s="117"/>
      <c r="G1044" s="117"/>
      <c r="H1044" s="117"/>
      <c r="I1044" s="117"/>
      <c r="J1044" s="117"/>
      <c r="K1044" s="117"/>
      <c r="L1044" s="117"/>
      <c r="M1044" s="117"/>
      <c r="N1044" s="117"/>
      <c r="O1044" s="117"/>
    </row>
    <row r="1045" spans="3:15" s="1855" customFormat="1">
      <c r="C1045" s="117"/>
      <c r="D1045" s="117"/>
      <c r="E1045" s="117"/>
      <c r="F1045" s="117"/>
      <c r="G1045" s="117"/>
      <c r="H1045" s="117"/>
      <c r="I1045" s="117"/>
      <c r="J1045" s="117"/>
      <c r="K1045" s="117"/>
      <c r="L1045" s="117"/>
      <c r="M1045" s="117"/>
      <c r="N1045" s="117"/>
      <c r="O1045" s="117"/>
    </row>
    <row r="1046" spans="3:15" s="1855" customFormat="1" ht="5.25" customHeight="1">
      <c r="C1046" s="117"/>
      <c r="D1046" s="117"/>
      <c r="E1046" s="117"/>
      <c r="F1046" s="117"/>
      <c r="G1046" s="117"/>
      <c r="H1046" s="117"/>
      <c r="I1046" s="117"/>
      <c r="J1046" s="117"/>
      <c r="K1046" s="117"/>
      <c r="L1046" s="117"/>
      <c r="M1046" s="117"/>
      <c r="N1046" s="117"/>
      <c r="O1046" s="117"/>
    </row>
  </sheetData>
  <mergeCells count="1">
    <mergeCell ref="G140:O140"/>
  </mergeCells>
  <conditionalFormatting sqref="G330:O331 G340:O341 G348:O350 F173:O173 G159:O160 G167:O167 G169:O169 G149:O150">
    <cfRule type="cellIs" dxfId="1506" priority="31" operator="equal">
      <formula>TRUE</formula>
    </cfRule>
  </conditionalFormatting>
  <hyperlinks>
    <hyperlink ref="E2" r:id="rId1"/>
  </hyperlinks>
  <pageMargins left="0.7" right="0.7" top="0.75" bottom="0.75" header="0.3" footer="0.3"/>
  <pageSetup paperSize="9" orientation="portrait"/>
  <ignoredErrors>
    <ignoredError sqref="F32:J32" formulaRange="1"/>
    <ignoredError sqref="I161 K161 M161 I151:I152 K151:K152 M151:M152" formula="1"/>
  </ignoredErrors>
  <tableParts count="2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enableFormatConditionsCalculation="0">
    <tabColor theme="9"/>
    <outlinePr summaryBelow="0"/>
    <pageSetUpPr autoPageBreaks="0"/>
  </sheetPr>
  <dimension ref="A1:U727"/>
  <sheetViews>
    <sheetView workbookViewId="0"/>
  </sheetViews>
  <sheetFormatPr baseColWidth="10" defaultColWidth="8.83203125" defaultRowHeight="13" x14ac:dyDescent="0"/>
  <cols>
    <col min="1" max="1" width="7.6640625" style="117" customWidth="1"/>
    <col min="2" max="2" width="5.83203125" style="117" customWidth="1"/>
    <col min="3" max="3" width="20.5" style="117" customWidth="1"/>
    <col min="4" max="4" width="30.6640625" style="117" customWidth="1"/>
    <col min="5" max="5" width="20.6640625" style="117" customWidth="1"/>
    <col min="6" max="15" width="17.6640625" style="117" customWidth="1"/>
    <col min="16" max="16" width="2" style="117" customWidth="1"/>
    <col min="17" max="17" width="10.83203125" style="117" customWidth="1"/>
    <col min="18" max="16384" width="8.83203125" style="117"/>
  </cols>
  <sheetData>
    <row r="1" spans="1:16" ht="20.25" customHeight="1">
      <c r="A1" s="1012" t="s">
        <v>572</v>
      </c>
      <c r="B1" s="554" t="str">
        <f>INDEX(Workstreams[Workstream], MATCH($A1, Workstreams[Code], 0))</f>
        <v>Transport</v>
      </c>
      <c r="C1" s="554"/>
    </row>
    <row r="2" spans="1:16" s="528" customFormat="1" ht="19.5" customHeight="1">
      <c r="A2" s="6" t="s">
        <v>684</v>
      </c>
      <c r="B2" s="6" t="str">
        <f>INDEX(Modules[Module], MATCH($A2, Modules[Code], 0))</f>
        <v>Domestic freight</v>
      </c>
      <c r="C2" s="6"/>
      <c r="E2" s="1705" t="s">
        <v>1891</v>
      </c>
    </row>
    <row r="4" spans="1:16" ht="22" collapsed="1">
      <c r="A4" s="799"/>
      <c r="B4" s="843" t="s">
        <v>909</v>
      </c>
      <c r="C4" s="810"/>
      <c r="D4" s="810"/>
      <c r="E4" s="810"/>
      <c r="F4" s="810"/>
      <c r="G4" s="810"/>
      <c r="H4" s="810"/>
      <c r="I4" s="810"/>
      <c r="J4" s="810"/>
      <c r="K4" s="810"/>
      <c r="L4" s="810"/>
      <c r="M4" s="810"/>
      <c r="N4" s="810"/>
      <c r="O4" s="810"/>
      <c r="P4" s="811"/>
    </row>
    <row r="5" spans="1:16">
      <c r="B5" s="800"/>
      <c r="C5" s="802"/>
      <c r="D5" s="802"/>
      <c r="E5" s="802"/>
      <c r="F5" s="802"/>
      <c r="G5" s="802"/>
      <c r="H5" s="802"/>
      <c r="I5" s="802"/>
      <c r="J5" s="802"/>
      <c r="K5" s="802"/>
      <c r="L5" s="802"/>
      <c r="M5" s="802"/>
      <c r="N5" s="802"/>
      <c r="O5" s="802"/>
      <c r="P5" s="804"/>
    </row>
    <row r="6" spans="1:16" ht="5.25" customHeight="1">
      <c r="B6" s="800"/>
      <c r="C6" s="801"/>
      <c r="D6" s="802"/>
      <c r="E6" s="803"/>
      <c r="F6" s="802"/>
      <c r="G6" s="802"/>
      <c r="H6" s="802"/>
      <c r="I6" s="802"/>
      <c r="J6" s="802"/>
      <c r="K6" s="802"/>
      <c r="L6" s="802"/>
      <c r="M6" s="802"/>
      <c r="N6" s="802"/>
      <c r="O6" s="802"/>
      <c r="P6" s="804"/>
    </row>
    <row r="7" spans="1:16" ht="15">
      <c r="B7" s="805"/>
      <c r="C7" s="802"/>
      <c r="D7" s="606" t="s">
        <v>656</v>
      </c>
      <c r="E7" s="606" t="s">
        <v>908</v>
      </c>
      <c r="F7" s="802"/>
      <c r="G7" s="802"/>
      <c r="H7" s="802"/>
      <c r="I7" s="802"/>
      <c r="J7" s="802"/>
      <c r="K7" s="802"/>
      <c r="L7" s="802"/>
      <c r="M7" s="802"/>
      <c r="N7" s="802"/>
      <c r="O7" s="802"/>
      <c r="P7" s="804"/>
    </row>
    <row r="8" spans="1:16" ht="15">
      <c r="B8" s="805"/>
      <c r="C8" s="802"/>
      <c r="D8" s="627" t="s">
        <v>911</v>
      </c>
      <c r="E8" s="627">
        <f>XII.b.Scenario</f>
        <v>4</v>
      </c>
      <c r="F8" s="802"/>
      <c r="G8" s="802"/>
      <c r="H8" s="802"/>
      <c r="I8" s="802"/>
      <c r="J8" s="802"/>
      <c r="K8" s="802"/>
      <c r="L8" s="802"/>
      <c r="M8" s="802"/>
      <c r="N8" s="802"/>
      <c r="O8" s="802"/>
      <c r="P8" s="804"/>
    </row>
    <row r="9" spans="1:16">
      <c r="B9" s="816"/>
      <c r="C9" s="808"/>
      <c r="D9" s="808"/>
      <c r="E9" s="808"/>
      <c r="F9" s="808"/>
      <c r="G9" s="808"/>
      <c r="H9" s="808"/>
      <c r="I9" s="808"/>
      <c r="J9" s="808"/>
      <c r="K9" s="808"/>
      <c r="L9" s="808"/>
      <c r="M9" s="808"/>
      <c r="N9" s="808"/>
      <c r="O9" s="808"/>
      <c r="P9" s="809"/>
    </row>
    <row r="11" spans="1:16" s="528" customFormat="1" ht="22" collapsed="1">
      <c r="A11" s="798"/>
      <c r="B11" s="845" t="s">
        <v>910</v>
      </c>
      <c r="C11" s="796"/>
      <c r="D11" s="796"/>
      <c r="E11" s="796"/>
      <c r="F11" s="796"/>
      <c r="G11" s="796"/>
      <c r="H11" s="796"/>
      <c r="I11" s="796"/>
      <c r="J11" s="796"/>
      <c r="K11" s="796"/>
      <c r="L11" s="796"/>
      <c r="M11" s="796"/>
      <c r="N11" s="796"/>
      <c r="O11" s="796"/>
      <c r="P11" s="797"/>
    </row>
    <row r="12" spans="1:16">
      <c r="B12" s="788"/>
      <c r="C12" s="588"/>
      <c r="D12" s="588"/>
      <c r="E12" s="588"/>
      <c r="F12" s="588"/>
      <c r="G12" s="588"/>
      <c r="H12" s="588"/>
      <c r="I12" s="588"/>
      <c r="J12" s="588"/>
      <c r="K12" s="588"/>
      <c r="L12" s="588"/>
      <c r="M12" s="588"/>
      <c r="N12" s="588"/>
      <c r="O12" s="588"/>
      <c r="P12" s="789"/>
    </row>
    <row r="13" spans="1:16">
      <c r="B13" s="788"/>
      <c r="C13" s="590" t="s">
        <v>947</v>
      </c>
      <c r="D13" s="588"/>
      <c r="E13" s="591"/>
      <c r="F13" s="588"/>
      <c r="G13" s="588"/>
      <c r="H13" s="588"/>
      <c r="I13" s="588"/>
      <c r="J13" s="588"/>
      <c r="K13" s="588"/>
      <c r="L13" s="588"/>
      <c r="M13" s="588"/>
      <c r="N13" s="588"/>
      <c r="O13" s="591" t="s">
        <v>685</v>
      </c>
      <c r="P13" s="789"/>
    </row>
    <row r="14" spans="1:16" ht="5.25" customHeight="1">
      <c r="B14" s="788"/>
      <c r="C14" s="588"/>
      <c r="D14" s="588"/>
      <c r="E14" s="588"/>
      <c r="F14" s="588"/>
      <c r="G14" s="588"/>
      <c r="H14" s="588"/>
      <c r="I14" s="588"/>
      <c r="J14" s="588"/>
      <c r="K14" s="588"/>
      <c r="L14" s="588"/>
      <c r="M14" s="588"/>
      <c r="N14" s="588"/>
      <c r="O14" s="588"/>
      <c r="P14" s="789"/>
    </row>
    <row r="15" spans="1:16" ht="14">
      <c r="B15" s="788"/>
      <c r="C15" s="542" t="s">
        <v>908</v>
      </c>
      <c r="D15" s="542" t="s">
        <v>74</v>
      </c>
      <c r="E15" s="542" t="s">
        <v>422</v>
      </c>
      <c r="F15" s="607">
        <v>2007</v>
      </c>
      <c r="G15" s="608">
        <v>2010</v>
      </c>
      <c r="H15" s="607">
        <v>2015</v>
      </c>
      <c r="I15" s="607">
        <v>2020</v>
      </c>
      <c r="J15" s="607">
        <v>2025</v>
      </c>
      <c r="K15" s="607">
        <v>2030</v>
      </c>
      <c r="L15" s="607">
        <v>2035</v>
      </c>
      <c r="M15" s="607">
        <v>2040</v>
      </c>
      <c r="N15" s="607">
        <v>2045</v>
      </c>
      <c r="O15" s="607">
        <v>2050</v>
      </c>
      <c r="P15" s="789"/>
    </row>
    <row r="16" spans="1:16" ht="15">
      <c r="B16" s="790"/>
      <c r="C16" s="567">
        <v>1</v>
      </c>
      <c r="D16" s="568" t="s">
        <v>533</v>
      </c>
      <c r="E16" s="848" t="s">
        <v>102</v>
      </c>
      <c r="F16" s="1078">
        <f>218.7*1000000</f>
        <v>218700000</v>
      </c>
      <c r="G16" s="610">
        <v>221649964.17390409</v>
      </c>
      <c r="H16" s="614">
        <v>234323971.81582978</v>
      </c>
      <c r="I16" s="614">
        <v>246997979.45775554</v>
      </c>
      <c r="J16" s="614">
        <v>259671987.09968132</v>
      </c>
      <c r="K16" s="614">
        <v>272345994.74160701</v>
      </c>
      <c r="L16" s="614">
        <v>285020002.38353276</v>
      </c>
      <c r="M16" s="614">
        <v>297694010.02545846</v>
      </c>
      <c r="N16" s="614">
        <v>310368017.66738415</v>
      </c>
      <c r="O16" s="614">
        <v>323042025.3093099</v>
      </c>
      <c r="P16" s="789"/>
    </row>
    <row r="17" spans="2:20" ht="15">
      <c r="B17" s="790"/>
      <c r="C17" s="567">
        <v>2</v>
      </c>
      <c r="D17" s="568" t="s">
        <v>533</v>
      </c>
      <c r="E17" s="848" t="s">
        <v>102</v>
      </c>
      <c r="F17" s="1078">
        <f>218.7*1000000</f>
        <v>218700000</v>
      </c>
      <c r="G17" s="611">
        <v>236950402.75704086</v>
      </c>
      <c r="H17" s="615">
        <v>246274420.77358758</v>
      </c>
      <c r="I17" s="614">
        <v>242676605.94560826</v>
      </c>
      <c r="J17" s="615">
        <v>237687505.34943798</v>
      </c>
      <c r="K17" s="614">
        <v>231307118.9850769</v>
      </c>
      <c r="L17" s="615">
        <v>241183548.34118631</v>
      </c>
      <c r="M17" s="614">
        <v>251481684.8079727</v>
      </c>
      <c r="N17" s="614">
        <v>262219534.57783452</v>
      </c>
      <c r="O17" s="614">
        <v>273415872.67764443</v>
      </c>
      <c r="P17" s="789"/>
    </row>
    <row r="18" spans="2:20" ht="15">
      <c r="B18" s="790"/>
      <c r="C18" s="567">
        <v>3</v>
      </c>
      <c r="D18" s="568" t="s">
        <v>533</v>
      </c>
      <c r="E18" s="848" t="s">
        <v>102</v>
      </c>
      <c r="F18" s="1079">
        <f>218.7*1000000</f>
        <v>218700000</v>
      </c>
      <c r="G18" s="611">
        <v>231821325.00090709</v>
      </c>
      <c r="H18" s="615">
        <v>256427547.97482327</v>
      </c>
      <c r="I18" s="615">
        <v>277223529.97779608</v>
      </c>
      <c r="J18" s="615">
        <v>269691831.75900668</v>
      </c>
      <c r="K18" s="615">
        <v>256153975.89242634</v>
      </c>
      <c r="L18" s="615">
        <v>237562522.62079078</v>
      </c>
      <c r="M18" s="615">
        <v>214870032.1868358</v>
      </c>
      <c r="N18" s="615">
        <v>189029064.83329746</v>
      </c>
      <c r="O18" s="615">
        <v>160992180.80291194</v>
      </c>
      <c r="P18" s="789"/>
    </row>
    <row r="19" spans="2:20" ht="15">
      <c r="B19" s="790"/>
      <c r="C19" s="545">
        <v>4</v>
      </c>
      <c r="D19" s="546" t="s">
        <v>533</v>
      </c>
      <c r="E19" s="546" t="s">
        <v>102</v>
      </c>
      <c r="F19" s="1080">
        <f>218.7*1000000</f>
        <v>218700000</v>
      </c>
      <c r="G19" s="612">
        <v>237215142.22998253</v>
      </c>
      <c r="H19" s="613">
        <v>274361990.26149905</v>
      </c>
      <c r="I19" s="613">
        <v>306350143.01480329</v>
      </c>
      <c r="J19" s="613">
        <v>277649667.07491285</v>
      </c>
      <c r="K19" s="613">
        <v>236566908.45785016</v>
      </c>
      <c r="L19" s="613">
        <v>185681214.80272144</v>
      </c>
      <c r="M19" s="613">
        <v>127571933.74863276</v>
      </c>
      <c r="N19" s="613">
        <v>64818412.934690274</v>
      </c>
      <c r="O19" s="613">
        <v>0</v>
      </c>
      <c r="P19" s="789"/>
    </row>
    <row r="20" spans="2:20" ht="15">
      <c r="B20" s="790"/>
      <c r="C20" s="567"/>
      <c r="D20" s="568"/>
      <c r="E20" s="568"/>
      <c r="F20" s="575"/>
      <c r="G20" s="576"/>
      <c r="H20" s="576"/>
      <c r="I20" s="576"/>
      <c r="J20" s="576"/>
      <c r="K20" s="576"/>
      <c r="L20" s="576"/>
      <c r="M20" s="576"/>
      <c r="N20" s="576"/>
      <c r="O20" s="576"/>
      <c r="P20" s="789"/>
    </row>
    <row r="21" spans="2:20" ht="15">
      <c r="B21" s="790"/>
      <c r="C21" s="590" t="s">
        <v>948</v>
      </c>
      <c r="D21" s="588"/>
      <c r="E21" s="591"/>
      <c r="F21" s="588"/>
      <c r="G21" s="588"/>
      <c r="H21" s="588"/>
      <c r="I21" s="588"/>
      <c r="J21" s="588"/>
      <c r="K21" s="588"/>
      <c r="L21" s="588"/>
      <c r="M21" s="588"/>
      <c r="N21" s="588"/>
      <c r="O21" s="591" t="str">
        <f>Preferences.EnergyUnits</f>
        <v>TWh</v>
      </c>
      <c r="P21" s="789"/>
      <c r="R21" s="1568"/>
      <c r="S21" s="1568"/>
    </row>
    <row r="22" spans="2:20" ht="5.25" customHeight="1">
      <c r="B22" s="790"/>
      <c r="C22" s="588"/>
      <c r="D22" s="588"/>
      <c r="E22" s="588"/>
      <c r="F22" s="588"/>
      <c r="G22" s="588"/>
      <c r="H22" s="588"/>
      <c r="I22" s="588"/>
      <c r="J22" s="588"/>
      <c r="K22" s="588"/>
      <c r="L22" s="588"/>
      <c r="M22" s="588"/>
      <c r="N22" s="588"/>
      <c r="O22" s="588"/>
      <c r="P22" s="789"/>
      <c r="R22" s="1568"/>
      <c r="S22" s="1568"/>
    </row>
    <row r="23" spans="2:20" ht="15">
      <c r="B23" s="790"/>
      <c r="C23" s="542" t="s">
        <v>908</v>
      </c>
      <c r="D23" s="542" t="s">
        <v>74</v>
      </c>
      <c r="E23" s="542" t="s">
        <v>422</v>
      </c>
      <c r="F23" s="607">
        <v>2007</v>
      </c>
      <c r="G23" s="608">
        <v>2010</v>
      </c>
      <c r="H23" s="607">
        <v>2015</v>
      </c>
      <c r="I23" s="607">
        <v>2020</v>
      </c>
      <c r="J23" s="607">
        <v>2025</v>
      </c>
      <c r="K23" s="607">
        <v>2030</v>
      </c>
      <c r="L23" s="607">
        <v>2035</v>
      </c>
      <c r="M23" s="607">
        <v>2040</v>
      </c>
      <c r="N23" s="607">
        <v>2045</v>
      </c>
      <c r="O23" s="607">
        <v>2050</v>
      </c>
      <c r="P23" s="789"/>
      <c r="R23" s="1568"/>
      <c r="S23" s="1568"/>
    </row>
    <row r="24" spans="2:20" ht="15">
      <c r="B24" s="790"/>
      <c r="C24" s="567">
        <v>1</v>
      </c>
      <c r="D24" s="568" t="s">
        <v>686</v>
      </c>
      <c r="E24" s="848" t="s">
        <v>102</v>
      </c>
      <c r="F24" s="1078">
        <f>101.2*1000000*Unit.kWh</f>
        <v>0.10120000000000001</v>
      </c>
      <c r="G24" s="610">
        <f>(Unit.kWh)*102595991.85085</f>
        <v>0.10259599185085001</v>
      </c>
      <c r="H24" s="614">
        <f>(Unit.kWh)*108462459.682662</f>
        <v>0.10846245968266201</v>
      </c>
      <c r="I24" s="614">
        <f>(Unit.kWh)*114328927.514475</f>
        <v>0.11432892751447502</v>
      </c>
      <c r="J24" s="614">
        <f>(Unit.kWh)*120195395.346288</f>
        <v>0.12019539534628801</v>
      </c>
      <c r="K24" s="614">
        <f>(Unit.kWh)*126061863.1781</f>
        <v>0.1260618631781</v>
      </c>
      <c r="L24" s="614">
        <f>(Unit.kWh)*131928331.009913</f>
        <v>0.131928331009913</v>
      </c>
      <c r="M24" s="614">
        <f>(Unit.kWh)*137794798.841725</f>
        <v>0.13779479884172499</v>
      </c>
      <c r="N24" s="614">
        <f>(Unit.kWh)*143661266.673538</f>
        <v>0.14366126667353801</v>
      </c>
      <c r="O24" s="614">
        <f>(Unit.kWh)*149527734.505351</f>
        <v>0.14952773450535101</v>
      </c>
      <c r="P24" s="789"/>
      <c r="R24" s="1568"/>
      <c r="S24" s="1568"/>
    </row>
    <row r="25" spans="2:20" ht="15">
      <c r="B25" s="790"/>
      <c r="C25" s="567">
        <v>2</v>
      </c>
      <c r="D25" s="568" t="s">
        <v>686</v>
      </c>
      <c r="E25" s="848" t="s">
        <v>102</v>
      </c>
      <c r="F25" s="1078">
        <f>101.2*1000000*Unit.kWh</f>
        <v>0.10120000000000001</v>
      </c>
      <c r="G25" s="611">
        <f>(Unit.kWh)*109678166.116208</f>
        <v>0.10967816611620801</v>
      </c>
      <c r="H25" s="615">
        <f>(Unit.kWh)*113994011.056712</f>
        <v>0.113994011056712</v>
      </c>
      <c r="I25" s="614">
        <f>(Unit.kWh)*112328676.337855</f>
        <v>0.11232867633785501</v>
      </c>
      <c r="J25" s="615">
        <f>(Unit.kWh)*110019351.696114</f>
        <v>0.11001935169611401</v>
      </c>
      <c r="K25" s="614">
        <f>(Unit.kWh)*107066037.131489</f>
        <v>0.107066037131489</v>
      </c>
      <c r="L25" s="615">
        <f>(Unit.kWh)*111637578.884322</f>
        <v>0.11163757888432201</v>
      </c>
      <c r="M25" s="614">
        <f>(Unit.kWh)*116404317.868301</f>
        <v>0.11640431786830101</v>
      </c>
      <c r="N25" s="614">
        <f>(Unit.kWh)*121374588.680617</f>
        <v>0.12137458868061701</v>
      </c>
      <c r="O25" s="614">
        <f>(Unit.kWh)*126557081.791901</f>
        <v>0.126557081791901</v>
      </c>
      <c r="P25" s="789"/>
      <c r="R25" s="1568"/>
      <c r="S25" s="1568"/>
    </row>
    <row r="26" spans="2:20" ht="15">
      <c r="B26" s="790"/>
      <c r="C26" s="567">
        <v>3</v>
      </c>
      <c r="D26" s="568" t="s">
        <v>686</v>
      </c>
      <c r="E26" s="848" t="s">
        <v>102</v>
      </c>
      <c r="F26" s="1079">
        <f>101.2*1000000*Unit.kWh</f>
        <v>0.10120000000000001</v>
      </c>
      <c r="G26" s="611">
        <f>(Unit.kWh)*107304049.695157</f>
        <v>0.10730404969515701</v>
      </c>
      <c r="H26" s="615">
        <f>(Unit.kWh)*120255387.307571</f>
        <v>0.120255387307571</v>
      </c>
      <c r="I26" s="615">
        <f>(Unit.kWh)*131883978.986792</f>
        <v>0.13188397898679199</v>
      </c>
      <c r="J26" s="615">
        <f>(Unit.kWh)*229982374.070715</f>
        <v>0.22998237407071503</v>
      </c>
      <c r="K26" s="615">
        <f>(Unit.kWh)*337850929.974897</f>
        <v>0.33785092997489707</v>
      </c>
      <c r="L26" s="615">
        <f>(Unit.kWh)*453039529.657146</f>
        <v>0.453039529657146</v>
      </c>
      <c r="M26" s="615">
        <f>(Unit.kWh)*573098056.075271</f>
        <v>0.57309805607527109</v>
      </c>
      <c r="N26" s="615">
        <f>(Unit.kWh)*695576392.187079</f>
        <v>0.69557639218707901</v>
      </c>
      <c r="O26" s="615">
        <f>(Unit.kWh)*818024420.950376</f>
        <v>0.81802442095037609</v>
      </c>
      <c r="P26" s="789"/>
      <c r="R26" s="1568"/>
      <c r="S26" s="1568"/>
    </row>
    <row r="27" spans="2:20" ht="15">
      <c r="B27" s="790"/>
      <c r="C27" s="545">
        <v>4</v>
      </c>
      <c r="D27" s="546" t="s">
        <v>686</v>
      </c>
      <c r="E27" s="546" t="s">
        <v>102</v>
      </c>
      <c r="F27" s="1080">
        <f>101.2*1000000*Unit.kWh</f>
        <v>0.10120000000000001</v>
      </c>
      <c r="G27" s="612">
        <f>(Unit.kWh)*109800707.118683</f>
        <v>0.10980070711868301</v>
      </c>
      <c r="H27" s="613">
        <f>(Unit.kWh)*128666002.003076</f>
        <v>0.12866600200307601</v>
      </c>
      <c r="I27" s="613">
        <f>(Unit.kWh)*145740427.687365</f>
        <v>0.145740427687365</v>
      </c>
      <c r="J27" s="613">
        <f>(Unit.kWh)*359866708.698829</f>
        <v>0.35986670869882903</v>
      </c>
      <c r="K27" s="613">
        <f>(Unit.kWh)*605525388.650202</f>
        <v>0.60552538865020211</v>
      </c>
      <c r="L27" s="613">
        <f>(Unit.kWh)*876082027.718381</f>
        <v>0.87608202771838106</v>
      </c>
      <c r="M27" s="613">
        <f>(Unit.kWh)*1164902186.08026</f>
        <v>1.1649021860802602</v>
      </c>
      <c r="N27" s="613">
        <f>(Unit.kWh)*1465351423.91274</f>
        <v>1.4653514239127401</v>
      </c>
      <c r="O27" s="613">
        <f>(Unit.kWh)*1770795301.39271</f>
        <v>1.77079530139271</v>
      </c>
      <c r="P27" s="789"/>
      <c r="R27" s="1568"/>
      <c r="S27" s="1568"/>
      <c r="T27"/>
    </row>
    <row r="28" spans="2:20" ht="15">
      <c r="B28" s="790"/>
      <c r="C28" s="567"/>
      <c r="D28" s="568"/>
      <c r="E28" s="568"/>
      <c r="F28" s="575"/>
      <c r="G28" s="576"/>
      <c r="H28" s="576"/>
      <c r="I28" s="576"/>
      <c r="J28" s="576"/>
      <c r="K28" s="576"/>
      <c r="L28" s="576"/>
      <c r="M28" s="576"/>
      <c r="N28" s="576"/>
      <c r="O28" s="576"/>
      <c r="P28" s="789"/>
      <c r="R28" s="1568"/>
      <c r="S28" s="1568"/>
      <c r="T28"/>
    </row>
    <row r="29" spans="2:20" s="1751" customFormat="1" ht="15">
      <c r="B29" s="790"/>
      <c r="C29" s="1723" t="s">
        <v>1603</v>
      </c>
      <c r="D29" s="1722"/>
      <c r="E29" s="591"/>
      <c r="F29" s="1722"/>
      <c r="G29" s="1722"/>
      <c r="H29" s="1722"/>
      <c r="I29" s="1722"/>
      <c r="J29" s="1722"/>
      <c r="K29" s="1722"/>
      <c r="L29" s="1722"/>
      <c r="M29" s="1722"/>
      <c r="N29" s="1722"/>
      <c r="O29" s="591" t="s">
        <v>934</v>
      </c>
      <c r="P29" s="1726"/>
    </row>
    <row r="30" spans="2:20" s="1751" customFormat="1" ht="15">
      <c r="B30" s="790"/>
      <c r="C30" s="1722"/>
      <c r="D30" s="1722"/>
      <c r="E30" s="1722"/>
      <c r="F30" s="1722"/>
      <c r="G30" s="1722"/>
      <c r="H30" s="1722"/>
      <c r="I30" s="1722"/>
      <c r="J30" s="1722"/>
      <c r="K30" s="1722"/>
      <c r="L30" s="1722"/>
      <c r="M30" s="1722"/>
      <c r="N30" s="1722"/>
      <c r="O30" s="1722"/>
      <c r="P30" s="1726"/>
    </row>
    <row r="31" spans="2:20" s="1751" customFormat="1" ht="15">
      <c r="B31" s="790"/>
      <c r="C31" s="542" t="s">
        <v>908</v>
      </c>
      <c r="D31" s="542" t="s">
        <v>74</v>
      </c>
      <c r="E31" s="542" t="s">
        <v>422</v>
      </c>
      <c r="F31" s="607">
        <v>2007</v>
      </c>
      <c r="G31" s="608">
        <v>2010</v>
      </c>
      <c r="H31" s="607">
        <v>2015</v>
      </c>
      <c r="I31" s="607">
        <v>2020</v>
      </c>
      <c r="J31" s="607">
        <v>2025</v>
      </c>
      <c r="K31" s="607">
        <v>2030</v>
      </c>
      <c r="L31" s="607">
        <v>2035</v>
      </c>
      <c r="M31" s="607">
        <v>2040</v>
      </c>
      <c r="N31" s="607">
        <v>2045</v>
      </c>
      <c r="O31" s="607">
        <v>2050</v>
      </c>
      <c r="P31" s="1726"/>
    </row>
    <row r="32" spans="2:20" s="1751" customFormat="1" ht="15">
      <c r="B32" s="790"/>
      <c r="C32" s="1720">
        <v>1</v>
      </c>
      <c r="D32" s="1721" t="s">
        <v>949</v>
      </c>
      <c r="E32" s="848" t="s">
        <v>102</v>
      </c>
      <c r="F32" s="1072">
        <f>(44.7/1000)*F216/(F216+F218)</f>
        <v>4.2823635043548469E-2</v>
      </c>
      <c r="G32" s="582">
        <f>F32*G16/F16</f>
        <v>4.3401267367164438E-2</v>
      </c>
      <c r="H32" s="582">
        <f t="shared" ref="H32:O32" si="0">G32*H16/G16</f>
        <v>4.5882964110634812E-2</v>
      </c>
      <c r="I32" s="582">
        <f t="shared" si="0"/>
        <v>4.8364660854105193E-2</v>
      </c>
      <c r="J32" s="582">
        <f t="shared" si="0"/>
        <v>5.0846357597575588E-2</v>
      </c>
      <c r="K32" s="582">
        <f t="shared" si="0"/>
        <v>5.3328054341045962E-2</v>
      </c>
      <c r="L32" s="582">
        <f t="shared" si="0"/>
        <v>5.5809751084516343E-2</v>
      </c>
      <c r="M32" s="582">
        <f t="shared" si="0"/>
        <v>5.829144782798671E-2</v>
      </c>
      <c r="N32" s="582">
        <f t="shared" si="0"/>
        <v>6.0773144571457084E-2</v>
      </c>
      <c r="O32" s="582">
        <f t="shared" si="0"/>
        <v>6.3254841314927465E-2</v>
      </c>
      <c r="P32" s="1726"/>
    </row>
    <row r="33" spans="1:20" s="1751" customFormat="1" ht="15">
      <c r="B33" s="790"/>
      <c r="C33" s="1720">
        <v>2</v>
      </c>
      <c r="D33" s="1721" t="s">
        <v>949</v>
      </c>
      <c r="E33" s="848" t="s">
        <v>102</v>
      </c>
      <c r="F33" s="1072">
        <f>F32</f>
        <v>4.2823635043548469E-2</v>
      </c>
      <c r="G33" s="582">
        <f t="shared" ref="G33:O33" si="1">F33*G17/F17</f>
        <v>4.6397245409644898E-2</v>
      </c>
      <c r="H33" s="582">
        <f t="shared" si="1"/>
        <v>4.822298086771562E-2</v>
      </c>
      <c r="I33" s="582">
        <f t="shared" si="1"/>
        <v>4.7518492942943545E-2</v>
      </c>
      <c r="J33" s="582">
        <f t="shared" si="1"/>
        <v>4.6541577427964366E-2</v>
      </c>
      <c r="K33" s="582">
        <f t="shared" si="1"/>
        <v>4.5292234322778117E-2</v>
      </c>
      <c r="L33" s="582">
        <f t="shared" si="1"/>
        <v>4.7226137415047977E-2</v>
      </c>
      <c r="M33" s="582">
        <f t="shared" si="1"/>
        <v>4.9242614953604526E-2</v>
      </c>
      <c r="N33" s="582">
        <f t="shared" si="1"/>
        <v>5.1345192729996901E-2</v>
      </c>
      <c r="O33" s="582">
        <f t="shared" si="1"/>
        <v>5.3537547081210599E-2</v>
      </c>
      <c r="P33" s="1726"/>
    </row>
    <row r="34" spans="1:20" s="1751" customFormat="1" ht="15">
      <c r="B34" s="790"/>
      <c r="C34" s="1720">
        <v>3</v>
      </c>
      <c r="D34" s="1721" t="s">
        <v>949</v>
      </c>
      <c r="E34" s="848" t="s">
        <v>102</v>
      </c>
      <c r="F34" s="1072">
        <f>F33</f>
        <v>4.2823635043548469E-2</v>
      </c>
      <c r="G34" s="582">
        <f t="shared" ref="G34:O34" si="2">F34*G18/F18</f>
        <v>4.5392920974625897E-2</v>
      </c>
      <c r="H34" s="582">
        <f t="shared" si="2"/>
        <v>5.0211064149912429E-2</v>
      </c>
      <c r="I34" s="582">
        <f t="shared" si="2"/>
        <v>5.4283124248986549E-2</v>
      </c>
      <c r="J34" s="582">
        <f t="shared" si="2"/>
        <v>5.2808342832527562E-2</v>
      </c>
      <c r="K34" s="582">
        <f t="shared" si="2"/>
        <v>5.0157496015414631E-2</v>
      </c>
      <c r="L34" s="582">
        <f t="shared" si="2"/>
        <v>4.6517104566700836E-2</v>
      </c>
      <c r="M34" s="582">
        <f t="shared" si="2"/>
        <v>4.2073689255439278E-2</v>
      </c>
      <c r="N34" s="582">
        <f t="shared" si="2"/>
        <v>3.7013770850683095E-2</v>
      </c>
      <c r="O34" s="582">
        <f t="shared" si="2"/>
        <v>3.1523870121485463E-2</v>
      </c>
      <c r="P34" s="1726"/>
    </row>
    <row r="35" spans="1:20" s="1751" customFormat="1" ht="15">
      <c r="B35" s="790"/>
      <c r="C35" s="1718">
        <v>4</v>
      </c>
      <c r="D35" s="546" t="s">
        <v>949</v>
      </c>
      <c r="E35" s="546" t="s">
        <v>102</v>
      </c>
      <c r="F35" s="1072">
        <f>F34</f>
        <v>4.2823635043548469E-2</v>
      </c>
      <c r="G35" s="582">
        <f t="shared" ref="G35:O35" si="3">F35*G19/F19</f>
        <v>4.6449084031368146E-2</v>
      </c>
      <c r="H35" s="582">
        <f t="shared" si="3"/>
        <v>5.3722806313580403E-2</v>
      </c>
      <c r="I35" s="582">
        <f t="shared" si="3"/>
        <v>5.9986404755394677E-2</v>
      </c>
      <c r="J35" s="582">
        <f t="shared" si="3"/>
        <v>5.4366566130675829E-2</v>
      </c>
      <c r="K35" s="582">
        <f t="shared" si="3"/>
        <v>4.6322153411886217E-2</v>
      </c>
      <c r="L35" s="582">
        <f t="shared" si="3"/>
        <v>3.635822851922485E-2</v>
      </c>
      <c r="M35" s="582">
        <f t="shared" si="3"/>
        <v>2.4979853372890694E-2</v>
      </c>
      <c r="N35" s="582">
        <f t="shared" si="3"/>
        <v>1.2692089893082755E-2</v>
      </c>
      <c r="O35" s="582">
        <f t="shared" si="3"/>
        <v>0</v>
      </c>
      <c r="P35" s="1726"/>
    </row>
    <row r="36" spans="1:20" s="1751" customFormat="1">
      <c r="B36" s="792"/>
      <c r="C36" s="1720"/>
      <c r="D36" s="1721"/>
      <c r="E36" s="1721"/>
      <c r="F36" s="614"/>
      <c r="G36" s="615"/>
      <c r="H36" s="615"/>
      <c r="I36" s="615"/>
      <c r="J36" s="615"/>
      <c r="K36" s="615"/>
      <c r="L36" s="615"/>
      <c r="M36" s="615"/>
      <c r="N36" s="615"/>
      <c r="O36" s="615"/>
      <c r="P36" s="1726"/>
    </row>
    <row r="37" spans="1:20" s="1751" customFormat="1">
      <c r="B37" s="792"/>
      <c r="C37" s="1723" t="s">
        <v>1604</v>
      </c>
      <c r="D37" s="1722"/>
      <c r="E37" s="591"/>
      <c r="F37" s="1722"/>
      <c r="G37" s="1722"/>
      <c r="H37" s="1722"/>
      <c r="I37" s="1722"/>
      <c r="J37" s="1722"/>
      <c r="K37" s="1722"/>
      <c r="L37" s="1722"/>
      <c r="M37" s="1722"/>
      <c r="N37" s="1722"/>
      <c r="O37" s="591" t="s">
        <v>934</v>
      </c>
      <c r="P37" s="1726"/>
    </row>
    <row r="38" spans="1:20" s="1751" customFormat="1">
      <c r="B38" s="792"/>
      <c r="C38" s="1722"/>
      <c r="D38" s="1722"/>
      <c r="E38" s="1722"/>
      <c r="F38" s="1722"/>
      <c r="G38" s="1722"/>
      <c r="H38" s="1722"/>
      <c r="I38" s="1722"/>
      <c r="J38" s="1722"/>
      <c r="K38" s="1722"/>
      <c r="L38" s="1722"/>
      <c r="M38" s="1722"/>
      <c r="N38" s="1722"/>
      <c r="O38" s="1722"/>
      <c r="P38" s="1726"/>
    </row>
    <row r="39" spans="1:20" s="1751" customFormat="1" ht="15">
      <c r="B39" s="790"/>
      <c r="C39" s="542" t="s">
        <v>908</v>
      </c>
      <c r="D39" s="542" t="s">
        <v>74</v>
      </c>
      <c r="E39" s="542" t="s">
        <v>422</v>
      </c>
      <c r="F39" s="607">
        <v>2007</v>
      </c>
      <c r="G39" s="608">
        <v>2010</v>
      </c>
      <c r="H39" s="607">
        <v>2015</v>
      </c>
      <c r="I39" s="607">
        <v>2020</v>
      </c>
      <c r="J39" s="607">
        <v>2025</v>
      </c>
      <c r="K39" s="607">
        <v>2030</v>
      </c>
      <c r="L39" s="607">
        <v>2035</v>
      </c>
      <c r="M39" s="607">
        <v>2040</v>
      </c>
      <c r="N39" s="607">
        <v>2045</v>
      </c>
      <c r="O39" s="607">
        <v>2050</v>
      </c>
      <c r="P39" s="1726"/>
    </row>
    <row r="40" spans="1:20" s="1751" customFormat="1" ht="15">
      <c r="B40" s="790"/>
      <c r="C40" s="1720">
        <v>1</v>
      </c>
      <c r="D40" s="1721" t="s">
        <v>686</v>
      </c>
      <c r="E40" s="848" t="s">
        <v>102</v>
      </c>
      <c r="F40" s="1072">
        <f>(44.7/1000)*F218/(F216+F218)</f>
        <v>1.8763649564515329E-3</v>
      </c>
      <c r="G40" s="582">
        <f>F40*G24/F24</f>
        <v>1.9022482587087153E-3</v>
      </c>
      <c r="H40" s="582">
        <f t="shared" ref="H40:O40" si="4">G40*H24/G24</f>
        <v>2.0110193521648639E-3</v>
      </c>
      <c r="I40" s="582">
        <f t="shared" si="4"/>
        <v>2.1197904456210313E-3</v>
      </c>
      <c r="J40" s="582">
        <f t="shared" si="4"/>
        <v>2.2285615390771987E-3</v>
      </c>
      <c r="K40" s="582">
        <f t="shared" si="4"/>
        <v>2.3373326325333474E-3</v>
      </c>
      <c r="L40" s="582">
        <f t="shared" si="4"/>
        <v>2.4461037259895149E-3</v>
      </c>
      <c r="M40" s="582">
        <f t="shared" si="4"/>
        <v>2.5548748194456632E-3</v>
      </c>
      <c r="N40" s="582">
        <f t="shared" si="4"/>
        <v>2.6636459129018306E-3</v>
      </c>
      <c r="O40" s="582">
        <f t="shared" si="4"/>
        <v>2.772417006357998E-3</v>
      </c>
      <c r="P40" s="1726"/>
    </row>
    <row r="41" spans="1:20" s="1751" customFormat="1" ht="15">
      <c r="B41" s="790"/>
      <c r="C41" s="1720">
        <v>2</v>
      </c>
      <c r="D41" s="1721" t="s">
        <v>686</v>
      </c>
      <c r="E41" s="848" t="s">
        <v>102</v>
      </c>
      <c r="F41" s="1072">
        <f>F40</f>
        <v>1.8763649564515329E-3</v>
      </c>
      <c r="G41" s="582">
        <f t="shared" ref="G41:O41" si="5">F41*G25/F25</f>
        <v>2.0335599544300653E-3</v>
      </c>
      <c r="H41" s="582">
        <f t="shared" si="5"/>
        <v>2.1135807074324402E-3</v>
      </c>
      <c r="I41" s="582">
        <f t="shared" si="5"/>
        <v>2.0827034771238894E-3</v>
      </c>
      <c r="J41" s="582">
        <f t="shared" si="5"/>
        <v>2.0398859293883874E-3</v>
      </c>
      <c r="K41" s="582">
        <f t="shared" si="5"/>
        <v>1.9851280642259337E-3</v>
      </c>
      <c r="L41" s="582">
        <f t="shared" si="5"/>
        <v>2.0698897316367127E-3</v>
      </c>
      <c r="M41" s="582">
        <f t="shared" si="5"/>
        <v>2.1582705813016296E-3</v>
      </c>
      <c r="N41" s="582">
        <f t="shared" si="5"/>
        <v>2.2504251462848674E-3</v>
      </c>
      <c r="O41" s="582">
        <f t="shared" si="5"/>
        <v>2.3465145579554679E-3</v>
      </c>
      <c r="P41" s="1726"/>
    </row>
    <row r="42" spans="1:20" s="1751" customFormat="1" ht="15">
      <c r="B42" s="790"/>
      <c r="C42" s="1720">
        <v>3</v>
      </c>
      <c r="D42" s="1721" t="s">
        <v>686</v>
      </c>
      <c r="E42" s="848" t="s">
        <v>102</v>
      </c>
      <c r="F42" s="1072">
        <f>F41</f>
        <v>1.8763649564515329E-3</v>
      </c>
      <c r="G42" s="582">
        <f t="shared" ref="G42:O42" si="6">F42*G26/F26</f>
        <v>1.9895410922265455E-3</v>
      </c>
      <c r="H42" s="582">
        <f t="shared" si="6"/>
        <v>2.2296738593718646E-3</v>
      </c>
      <c r="I42" s="582">
        <f t="shared" si="6"/>
        <v>2.445281388223388E-3</v>
      </c>
      <c r="J42" s="582">
        <f t="shared" si="6"/>
        <v>4.2641390050179584E-3</v>
      </c>
      <c r="K42" s="582">
        <f t="shared" si="6"/>
        <v>6.2641466947574867E-3</v>
      </c>
      <c r="L42" s="582">
        <f t="shared" si="6"/>
        <v>8.3998764558888706E-3</v>
      </c>
      <c r="M42" s="582">
        <f t="shared" si="6"/>
        <v>1.0625900286859034E-2</v>
      </c>
      <c r="N42" s="582">
        <f t="shared" si="6"/>
        <v>1.2896790186114851E-2</v>
      </c>
      <c r="O42" s="582">
        <f t="shared" si="6"/>
        <v>1.5167118152103191E-2</v>
      </c>
      <c r="P42" s="1726"/>
    </row>
    <row r="43" spans="1:20" s="1751" customFormat="1" ht="15">
      <c r="B43" s="790"/>
      <c r="C43" s="1718">
        <v>4</v>
      </c>
      <c r="D43" s="546" t="s">
        <v>686</v>
      </c>
      <c r="E43" s="546" t="s">
        <v>102</v>
      </c>
      <c r="F43" s="1072">
        <f>F42</f>
        <v>1.8763649564515329E-3</v>
      </c>
      <c r="G43" s="582">
        <f t="shared" ref="G43:O43" si="7">F43*G27/F27</f>
        <v>2.035832006236118E-3</v>
      </c>
      <c r="H43" s="582">
        <f t="shared" si="7"/>
        <v>2.385616375941646E-3</v>
      </c>
      <c r="I43" s="582">
        <f t="shared" si="7"/>
        <v>2.7021959609765849E-3</v>
      </c>
      <c r="J43" s="582">
        <f t="shared" si="7"/>
        <v>6.672344675850146E-3</v>
      </c>
      <c r="K43" s="582">
        <f t="shared" si="7"/>
        <v>1.1227140508942034E-2</v>
      </c>
      <c r="L43" s="582">
        <f t="shared" si="7"/>
        <v>1.6243573278535282E-2</v>
      </c>
      <c r="M43" s="582">
        <f t="shared" si="7"/>
        <v>2.1598632802912871E-2</v>
      </c>
      <c r="N43" s="582">
        <f t="shared" si="7"/>
        <v>2.7169308900357902E-2</v>
      </c>
      <c r="O43" s="582">
        <f t="shared" si="7"/>
        <v>3.2832591389153266E-2</v>
      </c>
      <c r="P43" s="1726"/>
    </row>
    <row r="44" spans="1:20" ht="15">
      <c r="A44" s="1365"/>
      <c r="B44" s="1362"/>
      <c r="C44" s="1363"/>
      <c r="D44" s="1364"/>
      <c r="E44" s="1364"/>
      <c r="F44" s="1456"/>
      <c r="G44" s="1457"/>
      <c r="H44" s="1457"/>
      <c r="I44" s="1457"/>
      <c r="J44" s="1457"/>
      <c r="K44" s="1457"/>
      <c r="L44" s="1457"/>
      <c r="M44" s="1457"/>
      <c r="N44" s="1457"/>
      <c r="O44" s="1457"/>
      <c r="P44" s="837"/>
      <c r="Q44" s="1569"/>
      <c r="R44" s="1569"/>
      <c r="S44" s="1568"/>
    </row>
    <row r="45" spans="1:20" ht="15">
      <c r="B45" s="790"/>
      <c r="C45" s="590" t="s">
        <v>1140</v>
      </c>
      <c r="D45" s="588"/>
      <c r="E45" s="591"/>
      <c r="F45" s="588"/>
      <c r="G45" s="588"/>
      <c r="H45" s="588"/>
      <c r="I45" s="588"/>
      <c r="J45" s="588"/>
      <c r="K45" s="588"/>
      <c r="L45" s="588"/>
      <c r="M45" s="588"/>
      <c r="N45" s="588"/>
      <c r="O45" s="591" t="s">
        <v>934</v>
      </c>
      <c r="P45" s="789"/>
      <c r="Q45" s="1569"/>
      <c r="R45" s="1569"/>
      <c r="S45" s="1568"/>
      <c r="T45"/>
    </row>
    <row r="46" spans="1:20" ht="5.25" customHeight="1">
      <c r="B46" s="790"/>
      <c r="C46" s="588"/>
      <c r="D46" s="588"/>
      <c r="E46" s="588"/>
      <c r="F46" s="588"/>
      <c r="G46" s="588"/>
      <c r="H46" s="588"/>
      <c r="I46" s="588"/>
      <c r="J46" s="588"/>
      <c r="K46" s="588"/>
      <c r="L46" s="588"/>
      <c r="M46" s="588"/>
      <c r="N46" s="588"/>
      <c r="O46" s="588"/>
      <c r="P46" s="789"/>
      <c r="Q46" s="1569"/>
      <c r="R46" s="1569"/>
      <c r="S46" s="1568"/>
      <c r="T46"/>
    </row>
    <row r="47" spans="1:20" ht="15">
      <c r="B47" s="790"/>
      <c r="C47" s="542" t="s">
        <v>908</v>
      </c>
      <c r="D47" s="542" t="s">
        <v>74</v>
      </c>
      <c r="E47" s="542" t="s">
        <v>422</v>
      </c>
      <c r="F47" s="607">
        <v>2007</v>
      </c>
      <c r="G47" s="608">
        <v>2010</v>
      </c>
      <c r="H47" s="607">
        <v>2015</v>
      </c>
      <c r="I47" s="607">
        <v>2020</v>
      </c>
      <c r="J47" s="607">
        <v>2025</v>
      </c>
      <c r="K47" s="607">
        <v>2030</v>
      </c>
      <c r="L47" s="607">
        <v>2035</v>
      </c>
      <c r="M47" s="607">
        <v>2040</v>
      </c>
      <c r="N47" s="607">
        <v>2045</v>
      </c>
      <c r="O47" s="607">
        <v>2050</v>
      </c>
      <c r="P47" s="789"/>
      <c r="Q47" s="1569"/>
      <c r="R47" s="1569"/>
      <c r="S47" s="1568"/>
      <c r="T47"/>
    </row>
    <row r="48" spans="1:20" ht="15">
      <c r="B48" s="790"/>
      <c r="C48" s="567">
        <v>1</v>
      </c>
      <c r="D48" s="568" t="s">
        <v>949</v>
      </c>
      <c r="E48" s="848" t="s">
        <v>102</v>
      </c>
      <c r="F48" s="1072">
        <f>29.4</f>
        <v>29.4</v>
      </c>
      <c r="G48" s="582">
        <v>28.469167920000025</v>
      </c>
      <c r="H48" s="575">
        <v>31.046209019084444</v>
      </c>
      <c r="I48" s="575">
        <v>32.411731566795552</v>
      </c>
      <c r="J48" s="575">
        <v>33.777254114506661</v>
      </c>
      <c r="K48" s="575">
        <v>35.14277666221777</v>
      </c>
      <c r="L48" s="575">
        <v>36.508299209928879</v>
      </c>
      <c r="M48" s="575">
        <v>37.873821757639995</v>
      </c>
      <c r="N48" s="575">
        <v>39.239344305351104</v>
      </c>
      <c r="O48" s="575">
        <v>40.604866853062212</v>
      </c>
      <c r="P48" s="789">
        <v>41.970389400773321</v>
      </c>
      <c r="Q48" s="1569"/>
      <c r="R48" s="1569"/>
      <c r="S48" s="1568"/>
      <c r="T48"/>
    </row>
    <row r="49" spans="2:20" ht="15">
      <c r="B49" s="790"/>
      <c r="C49" s="567">
        <v>2</v>
      </c>
      <c r="D49" s="568" t="s">
        <v>949</v>
      </c>
      <c r="E49" s="848" t="s">
        <v>102</v>
      </c>
      <c r="F49" s="1072">
        <f>29.4</f>
        <v>29.4</v>
      </c>
      <c r="G49" s="583">
        <v>28.469167920000025</v>
      </c>
      <c r="H49" s="745">
        <v>30.744546474281798</v>
      </c>
      <c r="I49" s="575">
        <v>31.355912659986288</v>
      </c>
      <c r="J49" s="745">
        <v>31.967278845690778</v>
      </c>
      <c r="K49" s="575">
        <v>32.578645031395268</v>
      </c>
      <c r="L49" s="745">
        <v>33.190011217099759</v>
      </c>
      <c r="M49" s="575">
        <v>33.801377402804249</v>
      </c>
      <c r="N49" s="575">
        <v>34.412743588508739</v>
      </c>
      <c r="O49" s="575">
        <v>35.02410977421323</v>
      </c>
      <c r="P49" s="789">
        <v>35.63547595991772</v>
      </c>
      <c r="Q49" s="1569"/>
      <c r="R49" s="1569"/>
      <c r="S49" s="1568"/>
      <c r="T49"/>
    </row>
    <row r="50" spans="2:20" ht="15">
      <c r="B50" s="790"/>
      <c r="C50" s="567">
        <v>3</v>
      </c>
      <c r="D50" s="568" t="s">
        <v>949</v>
      </c>
      <c r="E50" s="848" t="s">
        <v>102</v>
      </c>
      <c r="F50" s="1083">
        <f>29.4</f>
        <v>29.4</v>
      </c>
      <c r="G50" s="1572">
        <v>28.5</v>
      </c>
      <c r="H50" s="1573">
        <v>30.24885238725339</v>
      </c>
      <c r="I50" s="1573">
        <v>29.620983355386866</v>
      </c>
      <c r="J50" s="1573">
        <v>28.993114323520341</v>
      </c>
      <c r="K50" s="1573">
        <v>28.365245291653817</v>
      </c>
      <c r="L50" s="1573">
        <v>27.73737625978729</v>
      </c>
      <c r="M50" s="1573">
        <v>27.109507227920766</v>
      </c>
      <c r="N50" s="1573">
        <v>26.481638196054242</v>
      </c>
      <c r="O50" s="1573">
        <v>25.853769164187717</v>
      </c>
      <c r="P50" s="789">
        <v>25.225900132321193</v>
      </c>
      <c r="Q50" s="1569"/>
      <c r="R50" s="1569"/>
      <c r="S50" s="1568"/>
      <c r="T50"/>
    </row>
    <row r="51" spans="2:20" ht="15">
      <c r="B51" s="790"/>
      <c r="C51" s="545">
        <v>4</v>
      </c>
      <c r="D51" s="546" t="s">
        <v>949</v>
      </c>
      <c r="E51" s="546" t="s">
        <v>102</v>
      </c>
      <c r="F51" s="1084">
        <f>29.4</f>
        <v>29.4</v>
      </c>
      <c r="G51" s="1574">
        <v>25.8</v>
      </c>
      <c r="H51" s="1575">
        <v>30.083165030062446</v>
      </c>
      <c r="I51" s="1575">
        <v>29.041077605218561</v>
      </c>
      <c r="J51" s="1575">
        <v>27.998990180374676</v>
      </c>
      <c r="K51" s="1575">
        <v>26.956902755530791</v>
      </c>
      <c r="L51" s="1575">
        <v>25.914815330686906</v>
      </c>
      <c r="M51" s="1575">
        <v>24.748364266313786</v>
      </c>
      <c r="N51" s="1575">
        <v>23.175297867771626</v>
      </c>
      <c r="O51" s="1575">
        <v>21.649125403347536</v>
      </c>
      <c r="P51" s="789">
        <v>21.74646563131137</v>
      </c>
      <c r="Q51" s="1569"/>
      <c r="R51" s="1569"/>
      <c r="S51" s="1568"/>
      <c r="T51"/>
    </row>
    <row r="52" spans="2:20">
      <c r="B52" s="792"/>
      <c r="C52" s="567"/>
      <c r="D52" s="568"/>
      <c r="E52" s="568"/>
      <c r="F52" s="614"/>
      <c r="G52" s="615"/>
      <c r="H52" s="615"/>
      <c r="I52" s="615"/>
      <c r="J52" s="615"/>
      <c r="K52" s="615"/>
      <c r="L52" s="615"/>
      <c r="M52" s="615"/>
      <c r="N52" s="615"/>
      <c r="O52" s="615"/>
      <c r="P52" s="789"/>
      <c r="Q52" s="1569"/>
      <c r="R52" s="1569"/>
      <c r="S52" s="1568"/>
      <c r="T52"/>
    </row>
    <row r="53" spans="2:20">
      <c r="B53" s="792"/>
      <c r="C53" s="590" t="s">
        <v>1141</v>
      </c>
      <c r="D53" s="588"/>
      <c r="E53" s="591"/>
      <c r="F53" s="588"/>
      <c r="G53" s="588"/>
      <c r="H53" s="588"/>
      <c r="I53" s="588"/>
      <c r="J53" s="588"/>
      <c r="K53" s="588"/>
      <c r="L53" s="588"/>
      <c r="M53" s="588"/>
      <c r="N53" s="588"/>
      <c r="O53" s="591" t="s">
        <v>934</v>
      </c>
      <c r="P53" s="789"/>
      <c r="Q53" s="1569"/>
      <c r="R53" s="1569"/>
      <c r="S53" s="1568"/>
    </row>
    <row r="54" spans="2:20" ht="5.25" customHeight="1">
      <c r="B54" s="792"/>
      <c r="C54" s="588"/>
      <c r="D54" s="588"/>
      <c r="E54" s="588"/>
      <c r="F54" s="588"/>
      <c r="G54" s="588"/>
      <c r="H54" s="588"/>
      <c r="I54" s="588"/>
      <c r="J54" s="588"/>
      <c r="K54" s="588"/>
      <c r="L54" s="588"/>
      <c r="M54" s="588"/>
      <c r="N54" s="588"/>
      <c r="O54" s="588"/>
      <c r="P54" s="789"/>
      <c r="Q54" s="1569"/>
      <c r="R54" s="1569"/>
      <c r="S54" s="1568"/>
    </row>
    <row r="55" spans="2:20" ht="15">
      <c r="B55" s="790"/>
      <c r="C55" s="542" t="s">
        <v>908</v>
      </c>
      <c r="D55" s="542" t="s">
        <v>74</v>
      </c>
      <c r="E55" s="542" t="s">
        <v>422</v>
      </c>
      <c r="F55" s="607">
        <v>2007</v>
      </c>
      <c r="G55" s="608">
        <v>2010</v>
      </c>
      <c r="H55" s="607">
        <v>2015</v>
      </c>
      <c r="I55" s="607">
        <v>2020</v>
      </c>
      <c r="J55" s="607">
        <v>2025</v>
      </c>
      <c r="K55" s="607">
        <v>2030</v>
      </c>
      <c r="L55" s="607">
        <v>2035</v>
      </c>
      <c r="M55" s="607">
        <v>2040</v>
      </c>
      <c r="N55" s="607">
        <v>2045</v>
      </c>
      <c r="O55" s="607">
        <v>2050</v>
      </c>
      <c r="P55" s="789"/>
      <c r="Q55" s="1569"/>
      <c r="R55" s="1569"/>
      <c r="S55" s="1568"/>
    </row>
    <row r="56" spans="2:20" ht="15">
      <c r="B56" s="790"/>
      <c r="C56" s="567">
        <v>1</v>
      </c>
      <c r="D56" s="568" t="s">
        <v>686</v>
      </c>
      <c r="E56" s="848" t="s">
        <v>102</v>
      </c>
      <c r="F56" s="1072">
        <v>0</v>
      </c>
      <c r="G56" s="582">
        <v>0</v>
      </c>
      <c r="H56" s="575">
        <v>0</v>
      </c>
      <c r="I56" s="575">
        <v>0</v>
      </c>
      <c r="J56" s="575">
        <v>0</v>
      </c>
      <c r="K56" s="575">
        <v>0</v>
      </c>
      <c r="L56" s="575">
        <v>0</v>
      </c>
      <c r="M56" s="575">
        <v>0</v>
      </c>
      <c r="N56" s="575">
        <v>0</v>
      </c>
      <c r="O56" s="575">
        <v>0</v>
      </c>
      <c r="P56" s="789"/>
      <c r="Q56" s="1569"/>
      <c r="R56" s="1569"/>
      <c r="S56" s="1568"/>
    </row>
    <row r="57" spans="2:20" ht="15">
      <c r="B57" s="790"/>
      <c r="C57" s="567">
        <v>2</v>
      </c>
      <c r="D57" s="568" t="s">
        <v>686</v>
      </c>
      <c r="E57" s="848" t="s">
        <v>102</v>
      </c>
      <c r="F57" s="1072">
        <v>0</v>
      </c>
      <c r="G57" s="583">
        <v>0</v>
      </c>
      <c r="H57" s="745">
        <v>0</v>
      </c>
      <c r="I57" s="575">
        <v>0</v>
      </c>
      <c r="J57" s="745">
        <v>0</v>
      </c>
      <c r="K57" s="575">
        <v>0</v>
      </c>
      <c r="L57" s="745">
        <v>0</v>
      </c>
      <c r="M57" s="575">
        <v>0</v>
      </c>
      <c r="N57" s="575">
        <v>0</v>
      </c>
      <c r="O57" s="575">
        <v>0</v>
      </c>
      <c r="P57" s="789"/>
      <c r="Q57" s="1569"/>
      <c r="R57" s="1569"/>
      <c r="S57" s="1568"/>
    </row>
    <row r="58" spans="2:20" ht="15">
      <c r="B58" s="790"/>
      <c r="C58" s="567">
        <v>3</v>
      </c>
      <c r="D58" s="568" t="s">
        <v>686</v>
      </c>
      <c r="E58" s="848" t="s">
        <v>102</v>
      </c>
      <c r="F58" s="1083">
        <v>0</v>
      </c>
      <c r="G58" s="583">
        <v>0</v>
      </c>
      <c r="H58" s="745">
        <v>0</v>
      </c>
      <c r="I58" s="745">
        <v>0</v>
      </c>
      <c r="J58" s="745">
        <v>0</v>
      </c>
      <c r="K58" s="745">
        <v>0</v>
      </c>
      <c r="L58" s="745">
        <v>0</v>
      </c>
      <c r="M58" s="745">
        <v>0</v>
      </c>
      <c r="N58" s="745">
        <v>0</v>
      </c>
      <c r="O58" s="745">
        <v>0</v>
      </c>
      <c r="P58" s="789"/>
      <c r="Q58" s="1569"/>
      <c r="R58" s="1569"/>
      <c r="S58" s="1568"/>
    </row>
    <row r="59" spans="2:20" ht="15">
      <c r="B59" s="790"/>
      <c r="C59" s="545">
        <v>4</v>
      </c>
      <c r="D59" s="546" t="s">
        <v>686</v>
      </c>
      <c r="E59" s="546" t="s">
        <v>102</v>
      </c>
      <c r="F59" s="1084">
        <v>0</v>
      </c>
      <c r="G59" s="584">
        <v>0</v>
      </c>
      <c r="H59" s="585">
        <v>0</v>
      </c>
      <c r="I59" s="585">
        <v>0</v>
      </c>
      <c r="J59" s="585">
        <v>0</v>
      </c>
      <c r="K59" s="585">
        <v>0</v>
      </c>
      <c r="L59" s="585">
        <v>0</v>
      </c>
      <c r="M59" s="585">
        <v>0.124363639529215</v>
      </c>
      <c r="N59" s="585">
        <v>0.65534261322747522</v>
      </c>
      <c r="O59" s="585">
        <v>1.1394276528077651</v>
      </c>
      <c r="P59" s="789"/>
      <c r="Q59" s="1569"/>
      <c r="R59" s="1569"/>
      <c r="S59" s="1568"/>
    </row>
    <row r="60" spans="2:20" s="1568" customFormat="1" ht="15">
      <c r="B60" s="790"/>
      <c r="C60" s="567"/>
      <c r="D60" s="568"/>
      <c r="E60" s="568"/>
      <c r="F60" s="1083"/>
      <c r="G60" s="745"/>
      <c r="H60" s="745"/>
      <c r="I60" s="745"/>
      <c r="J60" s="745"/>
      <c r="K60" s="745"/>
      <c r="L60" s="745"/>
      <c r="M60" s="745"/>
      <c r="N60" s="745"/>
      <c r="O60" s="745"/>
      <c r="P60" s="789"/>
      <c r="Q60" s="1569"/>
      <c r="R60" s="1569"/>
    </row>
    <row r="61" spans="2:20">
      <c r="B61" s="792"/>
      <c r="C61" s="590" t="s">
        <v>1182</v>
      </c>
      <c r="D61" s="588"/>
      <c r="E61" s="591"/>
      <c r="F61" s="588"/>
      <c r="G61" s="588"/>
      <c r="H61" s="588"/>
      <c r="I61" s="588"/>
      <c r="J61" s="588"/>
      <c r="K61" s="588"/>
      <c r="L61" s="588"/>
      <c r="M61" s="588"/>
      <c r="N61" s="588"/>
      <c r="O61" s="591" t="str">
        <f>Preferences.EnergyUnits &amp; " / bn vehicle-km"</f>
        <v>TWh / bn vehicle-km</v>
      </c>
      <c r="P61" s="789"/>
      <c r="Q61" s="1569"/>
      <c r="R61" s="1569"/>
      <c r="S61" s="1568"/>
    </row>
    <row r="62" spans="2:20" ht="5.25" customHeight="1">
      <c r="B62" s="792"/>
      <c r="C62" s="588"/>
      <c r="D62" s="588"/>
      <c r="E62" s="588"/>
      <c r="F62" s="588"/>
      <c r="G62" s="588"/>
      <c r="H62" s="588"/>
      <c r="I62" s="588"/>
      <c r="J62" s="588"/>
      <c r="K62" s="588"/>
      <c r="L62" s="588"/>
      <c r="M62" s="588"/>
      <c r="N62" s="588"/>
      <c r="O62" s="588"/>
      <c r="P62" s="789"/>
      <c r="Q62" s="1569"/>
      <c r="R62" s="1569"/>
      <c r="S62" s="1568"/>
    </row>
    <row r="63" spans="2:20" ht="15">
      <c r="B63" s="790"/>
      <c r="C63" s="542" t="s">
        <v>908</v>
      </c>
      <c r="D63" s="542" t="s">
        <v>74</v>
      </c>
      <c r="E63" s="542" t="s">
        <v>422</v>
      </c>
      <c r="F63" s="607">
        <v>2007</v>
      </c>
      <c r="G63" s="608">
        <v>2010</v>
      </c>
      <c r="H63" s="607">
        <v>2015</v>
      </c>
      <c r="I63" s="607">
        <v>2020</v>
      </c>
      <c r="J63" s="607">
        <v>2025</v>
      </c>
      <c r="K63" s="607">
        <v>2030</v>
      </c>
      <c r="L63" s="607">
        <v>2035</v>
      </c>
      <c r="M63" s="607">
        <v>2040</v>
      </c>
      <c r="N63" s="607">
        <v>2045</v>
      </c>
      <c r="O63" s="607">
        <v>2050</v>
      </c>
      <c r="P63" s="789"/>
      <c r="Q63" s="1569"/>
      <c r="R63" s="1569"/>
      <c r="S63" s="1568"/>
    </row>
    <row r="64" spans="2:20" ht="15">
      <c r="B64" s="790"/>
      <c r="C64" s="567">
        <v>1</v>
      </c>
      <c r="D64" s="568" t="s">
        <v>533</v>
      </c>
      <c r="E64" s="848"/>
      <c r="F64" s="1459">
        <f>(8.3*1000000*1000)*Constants.Density.Diesel*Constants.GCV.Diesel/F$48</f>
        <v>2.9814580789475755</v>
      </c>
      <c r="G64" s="602">
        <f>(Unit.TJ)*11662</f>
        <v>3.2394444444444446</v>
      </c>
      <c r="H64" s="1385">
        <f>G64+(I64-G64)/(I$63-G$63)*(H$63-G$63)</f>
        <v>3.2220833333333334</v>
      </c>
      <c r="I64" s="857">
        <f>(Unit.TJ)*11537</f>
        <v>3.2047222222222222</v>
      </c>
      <c r="J64" s="1385">
        <f>I64+(K64-I64)/(K$63-I$63)*(J$63-I$63)</f>
        <v>3.1873611111111111</v>
      </c>
      <c r="K64" s="857">
        <f>(Unit.TJ)*11412</f>
        <v>3.17</v>
      </c>
      <c r="L64" s="1385">
        <f>K64+(M64-K64)/(M$63-K$63)*(L$63-K$63)</f>
        <v>3.17</v>
      </c>
      <c r="M64" s="857">
        <f>(Unit.TJ)*11412</f>
        <v>3.17</v>
      </c>
      <c r="N64" s="1385">
        <f>M64+(O64-M64)/(O$63-M$63)*(N$63-M$63)</f>
        <v>3.17</v>
      </c>
      <c r="O64" s="857">
        <f>(Unit.TJ)*11412</f>
        <v>3.17</v>
      </c>
      <c r="P64" s="789"/>
      <c r="R64" s="1568"/>
      <c r="S64" s="1568"/>
    </row>
    <row r="65" spans="2:20" ht="15">
      <c r="B65" s="790"/>
      <c r="C65" s="567">
        <v>2</v>
      </c>
      <c r="D65" s="568" t="s">
        <v>533</v>
      </c>
      <c r="E65" s="848"/>
      <c r="F65" s="1459">
        <f>(8.3*1000000*1000)*Constants.Density.Diesel*Constants.GCV.Diesel/F$48</f>
        <v>2.9814580789475755</v>
      </c>
      <c r="G65" s="1135">
        <f>(Unit.TJ)*11662</f>
        <v>3.2394444444444446</v>
      </c>
      <c r="H65" s="1418">
        <f t="shared" ref="H65:J67" si="8">G65+(I65-G65)/(I$63-G$63)*(H$63-G$63)</f>
        <v>2.9611111111111112</v>
      </c>
      <c r="I65" s="857">
        <f>(Unit.TJ)*9658</f>
        <v>2.6827777777777779</v>
      </c>
      <c r="J65" s="1418">
        <f t="shared" si="8"/>
        <v>2.4044444444444446</v>
      </c>
      <c r="K65" s="857">
        <f>(Unit.TJ)*7654</f>
        <v>2.1261111111111113</v>
      </c>
      <c r="L65" s="1418">
        <f>K65+(M65-K65)/(M$63-K$63)*(L$63-K$63)</f>
        <v>2.1261111111111113</v>
      </c>
      <c r="M65" s="857">
        <f>(Unit.TJ)*7654</f>
        <v>2.1261111111111113</v>
      </c>
      <c r="N65" s="1418">
        <f>M65+(O65-M65)/(O$63-M$63)*(N$63-M$63)</f>
        <v>2.1261111111111113</v>
      </c>
      <c r="O65" s="857">
        <f>(Unit.TJ)*7654</f>
        <v>2.1261111111111113</v>
      </c>
      <c r="P65" s="789"/>
      <c r="R65" s="1568"/>
      <c r="S65" s="1568"/>
    </row>
    <row r="66" spans="2:20" ht="15">
      <c r="B66" s="790"/>
      <c r="C66" s="567">
        <v>3</v>
      </c>
      <c r="D66" s="568" t="s">
        <v>533</v>
      </c>
      <c r="E66" s="848"/>
      <c r="F66" s="1460">
        <f>(8.3*1000000*1000)*Constants.Density.Diesel*Constants.GCV.Diesel/F$48</f>
        <v>2.9814580789475755</v>
      </c>
      <c r="G66" s="1135">
        <f>(Unit.TJ)*11662</f>
        <v>3.2394444444444446</v>
      </c>
      <c r="H66" s="1418">
        <f t="shared" si="8"/>
        <v>2.8176388888888892</v>
      </c>
      <c r="I66" s="1134">
        <f>(Unit.TJ)*8625</f>
        <v>2.3958333333333335</v>
      </c>
      <c r="J66" s="1418">
        <f t="shared" si="8"/>
        <v>1.9740277777777777</v>
      </c>
      <c r="K66" s="1134">
        <f>(Unit.TJ)*5588</f>
        <v>1.5522222222222222</v>
      </c>
      <c r="L66" s="1418">
        <f>K66+(M66-K66)/(M$63-K$63)*(L$63-K$63)</f>
        <v>1.5444444444444443</v>
      </c>
      <c r="M66" s="1134">
        <f>(Unit.TJ)*5532</f>
        <v>1.5366666666666666</v>
      </c>
      <c r="N66" s="1418">
        <f>M66+(O66-M66)/(O$63-M$63)*(N$63-M$63)</f>
        <v>1.528888888888889</v>
      </c>
      <c r="O66" s="1134">
        <f>(Unit.TJ)*5476</f>
        <v>1.5211111111111111</v>
      </c>
      <c r="P66" s="789"/>
      <c r="R66" s="1568"/>
      <c r="S66" s="1568"/>
    </row>
    <row r="67" spans="2:20" ht="15">
      <c r="B67" s="790"/>
      <c r="C67" s="545">
        <v>4</v>
      </c>
      <c r="D67" s="546" t="s">
        <v>533</v>
      </c>
      <c r="E67" s="546"/>
      <c r="F67" s="1461">
        <f>(8.3*1000000*1000)*Constants.Density.Diesel*Constants.GCV.Diesel/F$48</f>
        <v>2.9814580789475755</v>
      </c>
      <c r="G67" s="1137">
        <f>(Unit.TJ)*11662</f>
        <v>3.2394444444444446</v>
      </c>
      <c r="H67" s="1462">
        <f t="shared" si="8"/>
        <v>2.8176388888888892</v>
      </c>
      <c r="I67" s="1136">
        <f>(Unit.TJ)*8625</f>
        <v>2.3958333333333335</v>
      </c>
      <c r="J67" s="1462">
        <f t="shared" si="8"/>
        <v>1.9740277777777777</v>
      </c>
      <c r="K67" s="1136">
        <f>(Unit.TJ)*5588</f>
        <v>1.5522222222222222</v>
      </c>
      <c r="L67" s="1462">
        <f>K67+(M67-K67)/(M$63-K$63)*(L$63-K$63)</f>
        <v>1.4984722222222222</v>
      </c>
      <c r="M67" s="1136">
        <f>(Unit.TJ)*5201</f>
        <v>1.4447222222222222</v>
      </c>
      <c r="N67" s="1462">
        <f>M67+(O67-M67)/(O$63-M$63)*(N$63-M$63)</f>
        <v>1.391111111111111</v>
      </c>
      <c r="O67" s="1136">
        <f>(Unit.TJ)*4815</f>
        <v>1.3374999999999999</v>
      </c>
      <c r="P67" s="789"/>
      <c r="R67" s="1568"/>
      <c r="S67" s="1568"/>
    </row>
    <row r="68" spans="2:20">
      <c r="B68" s="792"/>
      <c r="C68" s="567"/>
      <c r="D68" s="568"/>
      <c r="E68" s="568"/>
      <c r="F68" s="614"/>
      <c r="G68" s="615"/>
      <c r="H68" s="615"/>
      <c r="I68" s="615"/>
      <c r="J68" s="615"/>
      <c r="K68" s="615"/>
      <c r="L68" s="615"/>
      <c r="M68" s="615"/>
      <c r="N68" s="615"/>
      <c r="O68" s="615"/>
      <c r="P68" s="789"/>
      <c r="R68" s="1568"/>
      <c r="S68" s="1568"/>
    </row>
    <row r="69" spans="2:20">
      <c r="B69" s="792"/>
      <c r="C69" s="590" t="s">
        <v>1183</v>
      </c>
      <c r="D69" s="588"/>
      <c r="E69" s="591"/>
      <c r="F69" s="588"/>
      <c r="G69" s="588"/>
      <c r="H69" s="588"/>
      <c r="I69" s="588"/>
      <c r="J69" s="588"/>
      <c r="K69" s="588"/>
      <c r="L69" s="588"/>
      <c r="M69" s="588"/>
      <c r="N69" s="588"/>
      <c r="O69" s="591" t="str">
        <f>Preferences.EnergyUnits &amp; " / bn vehicle-km"</f>
        <v>TWh / bn vehicle-km</v>
      </c>
      <c r="P69" s="789"/>
      <c r="R69" s="1568"/>
      <c r="S69" s="1568"/>
    </row>
    <row r="70" spans="2:20" ht="5.25" customHeight="1">
      <c r="B70" s="792"/>
      <c r="C70" s="588"/>
      <c r="D70" s="588"/>
      <c r="E70" s="588"/>
      <c r="F70" s="588"/>
      <c r="G70" s="588"/>
      <c r="H70" s="588"/>
      <c r="I70" s="588"/>
      <c r="J70" s="588"/>
      <c r="K70" s="588"/>
      <c r="L70" s="588"/>
      <c r="M70" s="588"/>
      <c r="N70" s="588"/>
      <c r="O70" s="588"/>
      <c r="P70" s="789"/>
      <c r="R70" s="1568"/>
      <c r="S70" s="1568"/>
    </row>
    <row r="71" spans="2:20" ht="15">
      <c r="B71" s="790"/>
      <c r="C71" s="542" t="s">
        <v>908</v>
      </c>
      <c r="D71" s="542" t="s">
        <v>74</v>
      </c>
      <c r="E71" s="542" t="s">
        <v>422</v>
      </c>
      <c r="F71" s="607">
        <v>2007</v>
      </c>
      <c r="G71" s="608">
        <v>2010</v>
      </c>
      <c r="H71" s="607">
        <v>2015</v>
      </c>
      <c r="I71" s="607">
        <v>2020</v>
      </c>
      <c r="J71" s="607">
        <v>2025</v>
      </c>
      <c r="K71" s="607">
        <v>2030</v>
      </c>
      <c r="L71" s="607">
        <v>2035</v>
      </c>
      <c r="M71" s="607">
        <v>2040</v>
      </c>
      <c r="N71" s="607">
        <v>2045</v>
      </c>
      <c r="O71" s="607">
        <v>2050</v>
      </c>
      <c r="P71" s="789"/>
      <c r="R71" s="1568"/>
      <c r="S71" s="1568"/>
    </row>
    <row r="72" spans="2:20" ht="15">
      <c r="B72" s="790"/>
      <c r="C72" s="567">
        <v>1</v>
      </c>
      <c r="D72" s="568" t="s">
        <v>686</v>
      </c>
      <c r="E72" s="848"/>
      <c r="F72" s="1459"/>
      <c r="G72" s="602">
        <f>G$67*(2552/10724)</f>
        <v>0.77089353060632437</v>
      </c>
      <c r="H72" s="857">
        <f t="shared" ref="H72:O75" si="9">H$67*(2552/10724)</f>
        <v>0.67051608023540143</v>
      </c>
      <c r="I72" s="857">
        <f t="shared" si="9"/>
        <v>0.5701386298644785</v>
      </c>
      <c r="J72" s="857">
        <f t="shared" si="9"/>
        <v>0.46976117949355545</v>
      </c>
      <c r="K72" s="857">
        <f t="shared" si="9"/>
        <v>0.36938372912263251</v>
      </c>
      <c r="L72" s="857">
        <f t="shared" si="9"/>
        <v>0.35659279290480334</v>
      </c>
      <c r="M72" s="857">
        <f t="shared" si="9"/>
        <v>0.34380185668697416</v>
      </c>
      <c r="N72" s="857">
        <f t="shared" si="9"/>
        <v>0.33104397198391972</v>
      </c>
      <c r="O72" s="857">
        <f t="shared" si="9"/>
        <v>0.31828608728086533</v>
      </c>
      <c r="P72" s="789"/>
      <c r="R72" s="1568"/>
      <c r="S72" s="1568"/>
    </row>
    <row r="73" spans="2:20" ht="15">
      <c r="B73" s="790"/>
      <c r="C73" s="567">
        <v>2</v>
      </c>
      <c r="D73" s="568" t="s">
        <v>686</v>
      </c>
      <c r="E73" s="848"/>
      <c r="F73" s="1459"/>
      <c r="G73" s="1135">
        <f>G$67*(2552/10724)</f>
        <v>0.77089353060632437</v>
      </c>
      <c r="H73" s="1134">
        <f t="shared" si="9"/>
        <v>0.67051608023540143</v>
      </c>
      <c r="I73" s="857">
        <f t="shared" si="9"/>
        <v>0.5701386298644785</v>
      </c>
      <c r="J73" s="1134">
        <f t="shared" si="9"/>
        <v>0.46976117949355545</v>
      </c>
      <c r="K73" s="857">
        <f t="shared" si="9"/>
        <v>0.36938372912263251</v>
      </c>
      <c r="L73" s="1134">
        <f t="shared" si="9"/>
        <v>0.35659279290480334</v>
      </c>
      <c r="M73" s="857">
        <f t="shared" si="9"/>
        <v>0.34380185668697416</v>
      </c>
      <c r="N73" s="857">
        <f t="shared" si="9"/>
        <v>0.33104397198391972</v>
      </c>
      <c r="O73" s="857">
        <f t="shared" si="9"/>
        <v>0.31828608728086533</v>
      </c>
      <c r="P73" s="789"/>
      <c r="R73" s="1568"/>
      <c r="S73" s="1568"/>
    </row>
    <row r="74" spans="2:20" ht="15">
      <c r="B74" s="790"/>
      <c r="C74" s="567">
        <v>3</v>
      </c>
      <c r="D74" s="568" t="s">
        <v>686</v>
      </c>
      <c r="E74" s="848"/>
      <c r="F74" s="1460"/>
      <c r="G74" s="1135">
        <f>G$67*(2552/10724)</f>
        <v>0.77089353060632437</v>
      </c>
      <c r="H74" s="1134">
        <f t="shared" si="9"/>
        <v>0.67051608023540143</v>
      </c>
      <c r="I74" s="1134">
        <f t="shared" si="9"/>
        <v>0.5701386298644785</v>
      </c>
      <c r="J74" s="1134">
        <f t="shared" si="9"/>
        <v>0.46976117949355545</v>
      </c>
      <c r="K74" s="1134">
        <f t="shared" si="9"/>
        <v>0.36938372912263251</v>
      </c>
      <c r="L74" s="1134">
        <f t="shared" si="9"/>
        <v>0.35659279290480334</v>
      </c>
      <c r="M74" s="1134">
        <f t="shared" si="9"/>
        <v>0.34380185668697416</v>
      </c>
      <c r="N74" s="1134">
        <f t="shared" si="9"/>
        <v>0.33104397198391972</v>
      </c>
      <c r="O74" s="1134">
        <f t="shared" si="9"/>
        <v>0.31828608728086533</v>
      </c>
      <c r="P74" s="789"/>
      <c r="R74" s="1568"/>
      <c r="S74" s="1568"/>
    </row>
    <row r="75" spans="2:20" ht="15">
      <c r="B75" s="790"/>
      <c r="C75" s="545">
        <v>4</v>
      </c>
      <c r="D75" s="546" t="s">
        <v>686</v>
      </c>
      <c r="E75" s="546"/>
      <c r="F75" s="1461"/>
      <c r="G75" s="1137">
        <f>G$67*(2552/10724)</f>
        <v>0.77089353060632437</v>
      </c>
      <c r="H75" s="1136">
        <f t="shared" si="9"/>
        <v>0.67051608023540143</v>
      </c>
      <c r="I75" s="1136">
        <f t="shared" si="9"/>
        <v>0.5701386298644785</v>
      </c>
      <c r="J75" s="1136">
        <f t="shared" si="9"/>
        <v>0.46976117949355545</v>
      </c>
      <c r="K75" s="1136">
        <f t="shared" si="9"/>
        <v>0.36938372912263251</v>
      </c>
      <c r="L75" s="1136">
        <f t="shared" si="9"/>
        <v>0.35659279290480334</v>
      </c>
      <c r="M75" s="1136">
        <f t="shared" si="9"/>
        <v>0.34380185668697416</v>
      </c>
      <c r="N75" s="1136">
        <f t="shared" si="9"/>
        <v>0.33104397198391972</v>
      </c>
      <c r="O75" s="1136">
        <f t="shared" si="9"/>
        <v>0.31828608728086533</v>
      </c>
      <c r="P75" s="789"/>
      <c r="R75" s="1568"/>
      <c r="S75" s="1568"/>
    </row>
    <row r="76" spans="2:20" s="1568" customFormat="1" ht="15">
      <c r="B76" s="790"/>
      <c r="C76" s="567"/>
      <c r="D76" s="568"/>
      <c r="E76" s="568"/>
      <c r="F76" s="1460"/>
      <c r="G76" s="1134"/>
      <c r="H76" s="1134"/>
      <c r="I76" s="1134"/>
      <c r="J76" s="1134"/>
      <c r="K76" s="1134"/>
      <c r="L76" s="1134"/>
      <c r="M76" s="1134"/>
      <c r="N76" s="1134"/>
      <c r="O76" s="1134"/>
      <c r="P76" s="789"/>
    </row>
    <row r="77" spans="2:20">
      <c r="B77" s="792"/>
      <c r="C77" s="590" t="s">
        <v>937</v>
      </c>
      <c r="D77" s="588"/>
      <c r="E77" s="591"/>
      <c r="F77" s="588"/>
      <c r="G77" s="588"/>
      <c r="H77" s="588"/>
      <c r="I77" s="588"/>
      <c r="J77" s="588"/>
      <c r="K77" s="588"/>
      <c r="L77" s="588"/>
      <c r="M77" s="588"/>
      <c r="N77" s="588"/>
      <c r="O77" s="591" t="str">
        <f>Preferences.EnergyUnits</f>
        <v>TWh</v>
      </c>
      <c r="P77" s="789"/>
      <c r="R77" s="1568"/>
      <c r="S77" s="1568"/>
      <c r="T77"/>
    </row>
    <row r="78" spans="2:20" ht="5.25" customHeight="1">
      <c r="B78" s="792"/>
      <c r="C78" s="588"/>
      <c r="D78" s="588"/>
      <c r="E78" s="588"/>
      <c r="F78" s="588"/>
      <c r="G78" s="588"/>
      <c r="H78" s="588"/>
      <c r="I78" s="588"/>
      <c r="J78" s="588"/>
      <c r="K78" s="588"/>
      <c r="L78" s="588"/>
      <c r="M78" s="588"/>
      <c r="N78" s="588"/>
      <c r="O78" s="588"/>
      <c r="P78" s="789"/>
      <c r="R78" s="1568"/>
      <c r="S78" s="1568"/>
      <c r="T78"/>
    </row>
    <row r="79" spans="2:20" ht="15">
      <c r="B79" s="790"/>
      <c r="C79" s="542" t="s">
        <v>908</v>
      </c>
      <c r="D79" s="542" t="s">
        <v>74</v>
      </c>
      <c r="E79" s="542" t="s">
        <v>422</v>
      </c>
      <c r="F79" s="607">
        <v>2007</v>
      </c>
      <c r="G79" s="608">
        <v>2010</v>
      </c>
      <c r="H79" s="607">
        <v>2015</v>
      </c>
      <c r="I79" s="607">
        <v>2020</v>
      </c>
      <c r="J79" s="607">
        <v>2025</v>
      </c>
      <c r="K79" s="607">
        <v>2030</v>
      </c>
      <c r="L79" s="607">
        <v>2035</v>
      </c>
      <c r="M79" s="607">
        <v>2040</v>
      </c>
      <c r="N79" s="607">
        <v>2045</v>
      </c>
      <c r="O79" s="607">
        <v>2050</v>
      </c>
      <c r="P79" s="789"/>
      <c r="R79" s="1568"/>
      <c r="S79" s="1568"/>
      <c r="T79"/>
    </row>
    <row r="80" spans="2:20" ht="15">
      <c r="B80" s="790"/>
      <c r="C80" s="567">
        <v>1</v>
      </c>
      <c r="D80" s="568" t="s">
        <v>533</v>
      </c>
      <c r="E80" s="848"/>
      <c r="F80" s="1072">
        <f>1618*Unit.ktoe</f>
        <v>18.817339999999998</v>
      </c>
      <c r="G80" s="1081">
        <f>(1000000000*Constants.GCV.Diesel)*2.10031347962382</f>
        <v>26.572895707388618</v>
      </c>
      <c r="H80" s="1072">
        <f>(1000000000*Constants.GCV.Diesel)*2.00626959247649</f>
        <v>25.383064556311584</v>
      </c>
      <c r="I80" s="1072">
        <f>(1000000000*Constants.GCV.Diesel)*1.9435736677116</f>
        <v>24.589843788926849</v>
      </c>
      <c r="J80" s="1072">
        <f>(1000000000*Constants.GCV.Diesel)*1.89669215738187</f>
        <v>23.996704956708381</v>
      </c>
      <c r="K80" s="1072">
        <f>(1000000000*Constants.GCV.Diesel)*1.87235479009297</f>
        <v>23.688791719453825</v>
      </c>
      <c r="L80" s="1072">
        <f>(1000000000*Constants.GCV.Diesel)*1.84832970724319</f>
        <v>23.384829464713203</v>
      </c>
      <c r="M80" s="1072">
        <f>(1000000000*Constants.GCV.Diesel)*1.82461290176102</f>
        <v>23.084767495533725</v>
      </c>
      <c r="N80" s="1072">
        <f>(1000000000*Constants.GCV.Diesel)*1.80120041799163</f>
        <v>22.788555765479813</v>
      </c>
      <c r="O80" s="1072">
        <f>(1000000000*Constants.GCV.Diesel)*1.77808835103708</f>
        <v>22.496144870285519</v>
      </c>
      <c r="P80" s="789"/>
      <c r="R80" s="1568"/>
      <c r="S80" s="1568"/>
      <c r="T80"/>
    </row>
    <row r="81" spans="1:20" ht="15">
      <c r="B81" s="790"/>
      <c r="C81" s="567">
        <v>2</v>
      </c>
      <c r="D81" s="568" t="s">
        <v>533</v>
      </c>
      <c r="E81" s="848"/>
      <c r="F81" s="1072">
        <f>F$80</f>
        <v>18.817339999999998</v>
      </c>
      <c r="G81" s="1082">
        <f>(1000000000*Constants.GCV.Diesel)*2.14257629833211</f>
        <v>27.107599447916346</v>
      </c>
      <c r="H81" s="1083">
        <f>(1000000000*Constants.GCV.Diesel)*2.14959746966516</f>
        <v>27.196430403574574</v>
      </c>
      <c r="I81" s="1072">
        <f>(1000000000*Constants.GCV.Diesel)*2.18507211890636</f>
        <v>27.645251098050831</v>
      </c>
      <c r="J81" s="1083">
        <f>(1000000000*Constants.GCV.Diesel)*2.23550434972602</f>
        <v>28.28331318871636</v>
      </c>
      <c r="K81" s="1072">
        <f>(1000000000*Constants.GCV.Diesel)*2.31169445042529</f>
        <v>29.247260532509898</v>
      </c>
      <c r="L81" s="1083">
        <f>(1000000000*Constants.GCV.Diesel)*2.38871952103844</f>
        <v>30.221771808142936</v>
      </c>
      <c r="M81" s="1072">
        <f>(1000000000*Constants.GCV.Diesel)*2.46664994158631</f>
        <v>31.207737454577007</v>
      </c>
      <c r="N81" s="1072">
        <f>(1000000000*Constants.GCV.Diesel)*2.54555995101927</f>
        <v>32.206096733453151</v>
      </c>
      <c r="O81" s="1072">
        <f>(1000000000*Constants.GCV.Diesel)*2.62552796513812</f>
        <v>33.217841751386281</v>
      </c>
      <c r="P81" s="789"/>
      <c r="R81" s="1568"/>
      <c r="S81" s="1568"/>
      <c r="T81"/>
    </row>
    <row r="82" spans="1:20" ht="15">
      <c r="B82" s="790"/>
      <c r="C82" s="567">
        <v>3</v>
      </c>
      <c r="D82" s="568" t="s">
        <v>533</v>
      </c>
      <c r="E82" s="848"/>
      <c r="F82" s="1083">
        <f>F$80</f>
        <v>18.817339999999998</v>
      </c>
      <c r="G82" s="1082">
        <f>(1000000000*Constants.GCV.Diesel)*2.12219245835527</f>
        <v>26.849705729156948</v>
      </c>
      <c r="H82" s="1083">
        <f>(1000000000*Constants.GCV.Diesel)*2.08046879812531</f>
        <v>26.321823352274894</v>
      </c>
      <c r="I82" s="1083">
        <f>(1000000000*Constants.GCV.Diesel)*2.06859465871172</f>
        <v>26.171593269330877</v>
      </c>
      <c r="J82" s="1083">
        <f>(1000000000*Constants.GCV.Diesel)*2.07209136114583</f>
        <v>26.215833098291089</v>
      </c>
      <c r="K82" s="1083">
        <f>(1000000000*Constants.GCV.Diesel)*2.09979591631414</f>
        <v>26.566347563036107</v>
      </c>
      <c r="L82" s="1083">
        <f>(1000000000*Constants.GCV.Diesel)*2.12808334422437</f>
        <v>26.924236458661085</v>
      </c>
      <c r="M82" s="1083">
        <f>(1000000000*Constants.GCV.Diesel)*2.15698814715343</f>
        <v>27.289936303530954</v>
      </c>
      <c r="N82" s="1083">
        <f>(1000000000*Constants.GCV.Diesel)*2.18654684990086</f>
        <v>27.663909204706563</v>
      </c>
      <c r="O82" s="1083">
        <f>(1000000000*Constants.GCV.Diesel)*2.21679816405461</f>
        <v>28.046644936214143</v>
      </c>
      <c r="P82" s="789"/>
      <c r="R82" s="1568"/>
      <c r="S82" s="1568"/>
      <c r="T82"/>
    </row>
    <row r="83" spans="1:20" ht="15">
      <c r="B83" s="790"/>
      <c r="C83" s="545">
        <v>4</v>
      </c>
      <c r="D83" s="546" t="s">
        <v>533</v>
      </c>
      <c r="E83" s="546"/>
      <c r="F83" s="1084">
        <f>F$80</f>
        <v>18.817339999999998</v>
      </c>
      <c r="G83" s="1085">
        <f>(1000000000*Constants.GCV.Diesel)*2.14552746036813</f>
        <v>27.144937170003814</v>
      </c>
      <c r="H83" s="1084">
        <f>(1000000000*Constants.GCV.Diesel)*2.15960588374617</f>
        <v>27.32305556984198</v>
      </c>
      <c r="I83" s="1084">
        <f>(1000000000*Constants.GCV.Diesel)*2.20193566664661</f>
        <v>27.858606532706467</v>
      </c>
      <c r="J83" s="1084">
        <f>(1000000000*Constants.GCV.Diesel)*2.25916319951288</f>
        <v>28.582641909901167</v>
      </c>
      <c r="K83" s="1084">
        <f>(1000000000*Constants.GCV.Diesel)*2.34237301295663</f>
        <v>29.635401755478146</v>
      </c>
      <c r="L83" s="1084">
        <f>(1000000000*Constants.GCV.Diesel)*2.42645429481524</f>
        <v>30.699187307229483</v>
      </c>
      <c r="M83" s="1084">
        <f>(1000000000*Constants.GCV.Diesel)*2.51148261947115</f>
        <v>31.774954722510824</v>
      </c>
      <c r="N83" s="1084">
        <f>(1000000000*Constants.GCV.Diesel)*2.59753768611041</f>
        <v>32.863712345161993</v>
      </c>
      <c r="O83" s="1084">
        <f>(1000000000*Constants.GCV.Diesel)*2.68470365888967</f>
        <v>33.966525009255932</v>
      </c>
      <c r="P83" s="789"/>
      <c r="R83" s="1568"/>
      <c r="S83" s="1568"/>
      <c r="T83"/>
    </row>
    <row r="84" spans="1:20">
      <c r="B84" s="792"/>
      <c r="C84" s="567"/>
      <c r="D84" s="568"/>
      <c r="E84" s="568"/>
      <c r="F84" s="614"/>
      <c r="G84" s="615"/>
      <c r="H84" s="615"/>
      <c r="I84" s="615"/>
      <c r="J84" s="615"/>
      <c r="K84" s="615"/>
      <c r="L84" s="615"/>
      <c r="M84" s="615"/>
      <c r="N84" s="615"/>
      <c r="O84" s="615"/>
      <c r="P84" s="789"/>
      <c r="R84" s="1568"/>
      <c r="S84" s="1568"/>
      <c r="T84"/>
    </row>
    <row r="85" spans="1:20">
      <c r="B85" s="792"/>
      <c r="C85" s="840" t="s">
        <v>604</v>
      </c>
      <c r="D85" s="592"/>
      <c r="E85" s="588"/>
      <c r="F85" s="588"/>
      <c r="G85" s="588"/>
      <c r="H85" s="588"/>
      <c r="I85" s="588"/>
      <c r="J85" s="588"/>
      <c r="K85" s="588"/>
      <c r="L85" s="588"/>
      <c r="M85" s="588"/>
      <c r="N85" s="588"/>
      <c r="O85" s="588"/>
      <c r="P85" s="789"/>
      <c r="R85" s="1568"/>
      <c r="S85" s="1568"/>
      <c r="T85"/>
    </row>
    <row r="86" spans="1:20">
      <c r="B86" s="792"/>
      <c r="C86" s="839" t="s">
        <v>102</v>
      </c>
      <c r="D86" s="592" t="s">
        <v>1616</v>
      </c>
      <c r="E86" s="588"/>
      <c r="F86" s="588"/>
      <c r="G86" s="588"/>
      <c r="H86" s="588"/>
      <c r="I86" s="588"/>
      <c r="J86" s="588"/>
      <c r="K86" s="588"/>
      <c r="L86" s="588"/>
      <c r="M86" s="588"/>
      <c r="N86" s="588"/>
      <c r="O86" s="588"/>
      <c r="P86" s="789"/>
      <c r="R86" s="1568"/>
      <c r="S86" s="1568"/>
    </row>
    <row r="87" spans="1:20">
      <c r="B87" s="792"/>
      <c r="C87" s="839" t="s">
        <v>108</v>
      </c>
      <c r="D87" s="588" t="s">
        <v>1142</v>
      </c>
      <c r="E87" s="588"/>
      <c r="F87" s="588"/>
      <c r="G87" s="588"/>
      <c r="H87" s="588"/>
      <c r="I87" s="588"/>
      <c r="J87" s="588"/>
      <c r="K87" s="588"/>
      <c r="L87" s="588"/>
      <c r="M87" s="588"/>
      <c r="N87" s="588"/>
      <c r="O87" s="588"/>
      <c r="P87" s="789"/>
      <c r="R87" s="1568"/>
      <c r="S87" s="1568"/>
    </row>
    <row r="88" spans="1:20" ht="15">
      <c r="B88" s="817"/>
      <c r="C88" s="818"/>
      <c r="D88" s="819"/>
      <c r="E88" s="819"/>
      <c r="F88" s="820"/>
      <c r="G88" s="821"/>
      <c r="H88" s="821"/>
      <c r="I88" s="821"/>
      <c r="J88" s="821"/>
      <c r="K88" s="821"/>
      <c r="L88" s="821"/>
      <c r="M88" s="821"/>
      <c r="N88" s="821"/>
      <c r="O88" s="821"/>
      <c r="P88" s="795"/>
      <c r="R88" s="1568"/>
      <c r="S88" s="1568"/>
    </row>
    <row r="89" spans="1:20">
      <c r="R89" s="1568"/>
      <c r="S89" s="1568"/>
    </row>
    <row r="90" spans="1:20" s="528" customFormat="1" ht="22" collapsed="1">
      <c r="A90" s="798"/>
      <c r="B90" s="845" t="s">
        <v>635</v>
      </c>
      <c r="C90" s="796"/>
      <c r="D90" s="796"/>
      <c r="E90" s="796"/>
      <c r="F90" s="796"/>
      <c r="G90" s="796"/>
      <c r="H90" s="796"/>
      <c r="I90" s="796"/>
      <c r="J90" s="796"/>
      <c r="K90" s="796"/>
      <c r="L90" s="796"/>
      <c r="M90" s="796"/>
      <c r="N90" s="796"/>
      <c r="O90" s="796"/>
      <c r="P90" s="797"/>
      <c r="R90" s="1568"/>
      <c r="S90" s="1568"/>
    </row>
    <row r="91" spans="1:20">
      <c r="B91" s="788"/>
      <c r="C91" s="588"/>
      <c r="D91" s="588"/>
      <c r="E91" s="588"/>
      <c r="F91" s="588"/>
      <c r="G91" s="588"/>
      <c r="H91" s="588"/>
      <c r="I91" s="588"/>
      <c r="J91" s="588"/>
      <c r="K91" s="588"/>
      <c r="L91" s="588"/>
      <c r="M91" s="588"/>
      <c r="N91" s="588"/>
      <c r="O91" s="588"/>
      <c r="P91" s="789"/>
      <c r="R91" s="1568"/>
      <c r="S91" s="1568"/>
    </row>
    <row r="92" spans="1:20" s="1804" customFormat="1">
      <c r="A92" s="1717"/>
      <c r="B92" s="1727"/>
      <c r="C92" s="1723" t="s">
        <v>1670</v>
      </c>
      <c r="D92" s="1722"/>
      <c r="E92" s="591"/>
      <c r="F92" s="1722"/>
      <c r="G92" s="1095"/>
      <c r="H92" s="1056"/>
      <c r="I92" s="1056"/>
      <c r="J92" s="594"/>
      <c r="K92" s="1099"/>
      <c r="L92" s="1099"/>
      <c r="M92" s="1099"/>
      <c r="N92" s="1099"/>
      <c r="O92" s="594" t="s">
        <v>1669</v>
      </c>
      <c r="P92" s="1726"/>
    </row>
    <row r="93" spans="1:20" s="1804" customFormat="1" ht="6.75" customHeight="1">
      <c r="A93" s="1717"/>
      <c r="B93" s="790"/>
      <c r="C93" s="1722"/>
      <c r="D93" s="1722"/>
      <c r="E93" s="1722"/>
      <c r="F93" s="1722"/>
      <c r="G93" s="1056"/>
      <c r="H93" s="1056"/>
      <c r="I93" s="1056"/>
      <c r="J93" s="1056"/>
      <c r="K93" s="1099"/>
      <c r="L93" s="1099"/>
      <c r="M93" s="1099"/>
      <c r="N93" s="1099"/>
      <c r="O93" s="1099"/>
      <c r="P93" s="1726"/>
    </row>
    <row r="94" spans="1:20" s="1804" customFormat="1" ht="15">
      <c r="A94" s="1717"/>
      <c r="B94" s="790"/>
      <c r="C94" s="547" t="s">
        <v>77</v>
      </c>
      <c r="D94" s="542" t="s">
        <v>906</v>
      </c>
      <c r="E94" s="542" t="s">
        <v>422</v>
      </c>
      <c r="F94" s="607">
        <v>2007</v>
      </c>
      <c r="G94" s="608">
        <v>2010</v>
      </c>
      <c r="H94" s="607">
        <v>2015</v>
      </c>
      <c r="I94" s="607">
        <v>2020</v>
      </c>
      <c r="J94" s="607">
        <v>2025</v>
      </c>
      <c r="K94" s="607">
        <v>2030</v>
      </c>
      <c r="L94" s="607">
        <v>2035</v>
      </c>
      <c r="M94" s="607">
        <v>2040</v>
      </c>
      <c r="N94" s="607">
        <v>2045</v>
      </c>
      <c r="O94" s="607">
        <v>2050</v>
      </c>
      <c r="P94" s="1726"/>
    </row>
    <row r="95" spans="1:20" s="1804" customFormat="1" ht="15">
      <c r="A95" s="1717"/>
      <c r="B95" s="790"/>
      <c r="C95" s="1454" t="s">
        <v>23</v>
      </c>
      <c r="D95" s="1721" t="s">
        <v>1681</v>
      </c>
      <c r="E95" s="1719"/>
      <c r="F95" s="1097">
        <v>54000</v>
      </c>
      <c r="G95" s="1097">
        <v>54000</v>
      </c>
      <c r="H95" s="1097">
        <v>54000</v>
      </c>
      <c r="I95" s="1097">
        <v>54000</v>
      </c>
      <c r="J95" s="1097">
        <v>54000</v>
      </c>
      <c r="K95" s="1097">
        <v>54000</v>
      </c>
      <c r="L95" s="1097">
        <v>54000</v>
      </c>
      <c r="M95" s="1097">
        <v>54000</v>
      </c>
      <c r="N95" s="1097">
        <v>54000</v>
      </c>
      <c r="O95" s="1097">
        <v>54000</v>
      </c>
      <c r="P95" s="1726"/>
    </row>
    <row r="96" spans="1:20" s="1804" customFormat="1" ht="15">
      <c r="A96" s="1717"/>
      <c r="B96" s="790"/>
      <c r="C96" s="626" t="s">
        <v>24</v>
      </c>
      <c r="D96" s="1721" t="s">
        <v>1682</v>
      </c>
      <c r="E96" s="848"/>
      <c r="F96" s="1097">
        <v>186000</v>
      </c>
      <c r="G96" s="1097">
        <v>186000</v>
      </c>
      <c r="H96" s="1097">
        <v>186000</v>
      </c>
      <c r="I96" s="1097">
        <v>186000</v>
      </c>
      <c r="J96" s="1097">
        <v>186000</v>
      </c>
      <c r="K96" s="1097">
        <v>186000</v>
      </c>
      <c r="L96" s="1097">
        <v>186000</v>
      </c>
      <c r="M96" s="1097">
        <v>186000</v>
      </c>
      <c r="N96" s="1097">
        <v>186000</v>
      </c>
      <c r="O96" s="1097">
        <v>186000</v>
      </c>
      <c r="P96" s="1726"/>
    </row>
    <row r="97" spans="2:19" s="1804" customFormat="1">
      <c r="B97" s="1725"/>
      <c r="C97" s="1722"/>
      <c r="D97" s="1722"/>
      <c r="E97" s="1722"/>
      <c r="F97" s="1722"/>
      <c r="G97" s="1722"/>
      <c r="H97" s="1722"/>
      <c r="I97" s="1722"/>
      <c r="J97" s="1722"/>
      <c r="K97" s="1722"/>
      <c r="L97" s="1722"/>
      <c r="M97" s="1722"/>
      <c r="N97" s="1722"/>
      <c r="O97" s="1722"/>
      <c r="P97" s="1726"/>
    </row>
    <row r="98" spans="2:19">
      <c r="B98" s="788"/>
      <c r="C98" s="590" t="s">
        <v>943</v>
      </c>
      <c r="D98" s="588"/>
      <c r="E98" s="591"/>
      <c r="F98" s="591" t="s">
        <v>1260</v>
      </c>
      <c r="G98" s="1512">
        <f>45.5/42.8</f>
        <v>1.0630841121495327</v>
      </c>
      <c r="H98" s="588"/>
      <c r="I98" s="588"/>
      <c r="J98" s="588"/>
      <c r="K98" s="588"/>
      <c r="L98" s="588"/>
      <c r="M98" s="588"/>
      <c r="N98" s="588"/>
      <c r="O98" s="591" t="str">
        <f>Preferences.EnergyUnits &amp; " / bn vehicle-km"</f>
        <v>TWh / bn vehicle-km</v>
      </c>
      <c r="P98" s="789"/>
      <c r="R98" s="1568"/>
      <c r="S98" s="1568"/>
    </row>
    <row r="99" spans="2:19" ht="5.25" customHeight="1">
      <c r="B99" s="788"/>
      <c r="C99" s="588"/>
      <c r="D99" s="588"/>
      <c r="E99" s="588"/>
      <c r="F99" s="588"/>
      <c r="G99" s="588"/>
      <c r="H99" s="588"/>
      <c r="I99" s="588"/>
      <c r="J99" s="588"/>
      <c r="K99" s="588"/>
      <c r="L99" s="588"/>
      <c r="M99" s="588"/>
      <c r="N99" s="588"/>
      <c r="O99" s="588"/>
      <c r="P99" s="789"/>
      <c r="R99" s="1568"/>
      <c r="S99" s="1568"/>
    </row>
    <row r="100" spans="2:19" ht="15">
      <c r="B100" s="790"/>
      <c r="C100" s="542" t="s">
        <v>72</v>
      </c>
      <c r="D100" s="542" t="s">
        <v>74</v>
      </c>
      <c r="E100" s="542" t="s">
        <v>422</v>
      </c>
      <c r="F100" s="607">
        <v>2007</v>
      </c>
      <c r="G100" s="608">
        <v>2010</v>
      </c>
      <c r="H100" s="607">
        <v>2015</v>
      </c>
      <c r="I100" s="607">
        <v>2020</v>
      </c>
      <c r="J100" s="607">
        <v>2025</v>
      </c>
      <c r="K100" s="607">
        <v>2030</v>
      </c>
      <c r="L100" s="607">
        <v>2035</v>
      </c>
      <c r="M100" s="607">
        <v>2040</v>
      </c>
      <c r="N100" s="607">
        <v>2045</v>
      </c>
      <c r="O100" s="607">
        <v>2050</v>
      </c>
      <c r="P100" s="789"/>
      <c r="R100" s="1568"/>
      <c r="S100" s="1568"/>
    </row>
    <row r="101" spans="2:19" ht="15">
      <c r="B101" s="790"/>
      <c r="C101" s="1033" t="s">
        <v>44</v>
      </c>
      <c r="D101" s="569" t="str">
        <f>INDEX(Vectors[Description], MATCH($C101, Vectors[Code], 0))</f>
        <v>Liquid hydrocarbons</v>
      </c>
      <c r="E101" s="1086" t="s">
        <v>102</v>
      </c>
      <c r="F101" s="1458">
        <f>(8.3*1000000*1000)*Constants.Density.Diesel*Constants.GCV.Diesel/F$48</f>
        <v>2.9814580789475755</v>
      </c>
      <c r="G101" s="1465">
        <f>11.663*$G$98*Unit.MJ*1000000000</f>
        <v>3.4440972222222221</v>
      </c>
      <c r="H101" s="1384">
        <f>(I101-G101)/(I$100-G$100)*(H$100-G$100)+G101</f>
        <v>2.9955347871235722</v>
      </c>
      <c r="I101" s="1453">
        <f>8.625*$G$98*Unit.MJ*1000000000</f>
        <v>2.5469723520249223</v>
      </c>
      <c r="J101" s="1384">
        <f>(K101-I101)/(K$100-I$100)*(J$100-I$100)+I101</f>
        <v>2.0985575674974042</v>
      </c>
      <c r="K101" s="1453">
        <f>5.588*$G$98*Unit.MJ*1000000000</f>
        <v>1.6501427829698858</v>
      </c>
      <c r="L101" s="1384">
        <f>(M101-K101)/(M$100-K$100)*(L$100-K$100)+K101</f>
        <v>1.5930020119418482</v>
      </c>
      <c r="M101" s="1453">
        <f>5.201*$G$98*Unit.MJ*1000000000</f>
        <v>1.5358612409138108</v>
      </c>
      <c r="N101" s="1384">
        <f>(O101-M101)/(O$100-M$100)*(N$100-M$100)+M101</f>
        <v>1.4788681204569056</v>
      </c>
      <c r="O101" s="1453">
        <f>4.815*$G$98*Unit.MJ*1000000000</f>
        <v>1.4218750000000002</v>
      </c>
      <c r="P101" s="789"/>
      <c r="Q101" s="1077"/>
      <c r="R101" s="1568"/>
      <c r="S101" s="1568"/>
    </row>
    <row r="102" spans="2:19" ht="15">
      <c r="B102" s="790"/>
      <c r="C102" s="598" t="s">
        <v>40</v>
      </c>
      <c r="D102" s="599" t="str">
        <f>INDEX(Vectors[Description], MATCH($C102, Vectors[Code], 0))</f>
        <v>Electricity (delivered to end user)</v>
      </c>
      <c r="E102" s="1011"/>
      <c r="F102" s="1431"/>
      <c r="G102" s="1463">
        <f>G101*(2552/10724)</f>
        <v>0.81959493762692193</v>
      </c>
      <c r="H102" s="1464">
        <f t="shared" ref="H102:O102" si="10">H101*(2552/10724)</f>
        <v>0.71285012837927608</v>
      </c>
      <c r="I102" s="1464">
        <f t="shared" si="10"/>
        <v>0.60610531913163013</v>
      </c>
      <c r="J102" s="1464">
        <f t="shared" si="10"/>
        <v>0.49939564642422374</v>
      </c>
      <c r="K102" s="1464">
        <f t="shared" si="10"/>
        <v>0.39268597371681729</v>
      </c>
      <c r="L102" s="1464">
        <f t="shared" si="10"/>
        <v>0.379088132644125</v>
      </c>
      <c r="M102" s="1464">
        <f t="shared" si="10"/>
        <v>0.36549029157143276</v>
      </c>
      <c r="N102" s="1464">
        <f t="shared" si="10"/>
        <v>0.35192758703898014</v>
      </c>
      <c r="O102" s="1464">
        <f t="shared" si="10"/>
        <v>0.33836488250652746</v>
      </c>
      <c r="P102" s="789"/>
      <c r="Q102" s="1077"/>
    </row>
    <row r="103" spans="2:19">
      <c r="B103" s="788"/>
      <c r="C103" s="588"/>
      <c r="D103" s="588"/>
      <c r="E103" s="588"/>
      <c r="F103" s="588"/>
      <c r="G103" s="588"/>
      <c r="H103" s="588"/>
      <c r="I103" s="588"/>
      <c r="J103" s="588"/>
      <c r="K103" s="588"/>
      <c r="L103" s="588"/>
      <c r="M103" s="588"/>
      <c r="N103" s="588"/>
      <c r="O103" s="588"/>
      <c r="P103" s="789"/>
    </row>
    <row r="104" spans="2:19" s="1855" customFormat="1">
      <c r="B104" s="1725"/>
      <c r="C104" s="1723" t="s">
        <v>1763</v>
      </c>
      <c r="D104" s="1722"/>
      <c r="E104" s="1722"/>
      <c r="F104" s="1722"/>
      <c r="G104" s="1722"/>
      <c r="H104" s="1722"/>
      <c r="I104" s="1722"/>
      <c r="J104" s="1722"/>
      <c r="K104" s="1722"/>
      <c r="L104" s="1722"/>
      <c r="M104" s="1722"/>
      <c r="N104" s="1722"/>
      <c r="O104" s="1722" t="str">
        <f>"kt per "&amp;Preferences.EnergyUnits</f>
        <v>kt per TWh</v>
      </c>
      <c r="P104" s="1726"/>
    </row>
    <row r="105" spans="2:19" s="1855" customFormat="1" ht="5.25" customHeight="1">
      <c r="B105" s="1725"/>
      <c r="C105" s="1722"/>
      <c r="D105" s="1722"/>
      <c r="E105" s="1133"/>
      <c r="F105" s="1132"/>
      <c r="G105" s="1722"/>
      <c r="H105" s="1722"/>
      <c r="I105" s="1722"/>
      <c r="J105" s="1722"/>
      <c r="K105" s="1722"/>
      <c r="L105" s="1722"/>
      <c r="M105" s="1722"/>
      <c r="N105" s="1722"/>
      <c r="O105" s="1722"/>
      <c r="P105" s="1726"/>
    </row>
    <row r="106" spans="2:19" s="1855" customFormat="1" ht="14">
      <c r="B106" s="1725"/>
      <c r="C106" s="1868" t="s">
        <v>77</v>
      </c>
      <c r="D106" s="1868" t="s">
        <v>906</v>
      </c>
      <c r="E106" s="1869" t="s">
        <v>657</v>
      </c>
      <c r="F106" s="1870" t="s">
        <v>579</v>
      </c>
      <c r="G106" s="1870" t="s">
        <v>580</v>
      </c>
      <c r="H106" s="1870" t="s">
        <v>605</v>
      </c>
      <c r="I106" s="1870" t="s">
        <v>606</v>
      </c>
      <c r="J106" s="1870" t="s">
        <v>607</v>
      </c>
      <c r="K106" s="1870" t="s">
        <v>608</v>
      </c>
      <c r="L106" s="1870" t="s">
        <v>609</v>
      </c>
      <c r="M106" s="1870" t="s">
        <v>610</v>
      </c>
      <c r="N106" s="1870" t="s">
        <v>611</v>
      </c>
      <c r="O106" s="1870" t="s">
        <v>612</v>
      </c>
      <c r="P106" s="1726"/>
    </row>
    <row r="107" spans="2:19" s="1855" customFormat="1">
      <c r="B107" s="1725"/>
      <c r="C107" s="1871" t="s">
        <v>684</v>
      </c>
      <c r="D107" s="1770" t="s">
        <v>921</v>
      </c>
      <c r="E107" s="1872" t="s">
        <v>962</v>
      </c>
      <c r="F107" s="1389">
        <f>EF.XII.b.PM10[[#This Row],[2010]]</f>
        <v>0.28399999999999997</v>
      </c>
      <c r="G107" s="1389">
        <f>0.284*(1/Unit.TWh)</f>
        <v>0.28399999999999997</v>
      </c>
      <c r="H107" s="1389">
        <f>0.245666666666667*(1/Unit.TWh)</f>
        <v>0.24566666666666701</v>
      </c>
      <c r="I107" s="1389">
        <f>0.2015*(1/Unit.TWh)</f>
        <v>0.20150000000000001</v>
      </c>
      <c r="J107" s="1389">
        <f>0.157333333333333*(1/Unit.TWh)</f>
        <v>0.15733333333333299</v>
      </c>
      <c r="K107" s="1389">
        <f>0.113166666666667*(1/Unit.TWh)</f>
        <v>0.113166666666667</v>
      </c>
      <c r="L107" s="1389">
        <f>0.069*(1/Unit.TWh)</f>
        <v>6.9000000000000006E-2</v>
      </c>
      <c r="M107" s="1389">
        <f>0.0308333333333333*(1/Unit.TWh)</f>
        <v>3.0833333333333299E-2</v>
      </c>
      <c r="N107" s="1389">
        <f>0.025*(1/Unit.TWh)</f>
        <v>2.5000000000000001E-2</v>
      </c>
      <c r="O107" s="1389">
        <f>0.025*(1/Unit.TWh)</f>
        <v>2.5000000000000001E-2</v>
      </c>
      <c r="P107" s="1726"/>
    </row>
    <row r="108" spans="2:19" s="1855" customFormat="1">
      <c r="B108" s="1725"/>
      <c r="C108" s="1871" t="s">
        <v>684</v>
      </c>
      <c r="D108" s="1770" t="s">
        <v>921</v>
      </c>
      <c r="E108" s="1769" t="s">
        <v>963</v>
      </c>
      <c r="F108" s="1873">
        <f>EF.XII.b.PM10[[#This Row],[2010]]</f>
        <v>0</v>
      </c>
      <c r="G108" s="1873">
        <f t="shared" ref="G108:O108" si="11">0*(1/Unit.TWh)</f>
        <v>0</v>
      </c>
      <c r="H108" s="1873">
        <f t="shared" si="11"/>
        <v>0</v>
      </c>
      <c r="I108" s="1873">
        <f t="shared" si="11"/>
        <v>0</v>
      </c>
      <c r="J108" s="1873">
        <f t="shared" si="11"/>
        <v>0</v>
      </c>
      <c r="K108" s="1873">
        <f t="shared" si="11"/>
        <v>0</v>
      </c>
      <c r="L108" s="1873">
        <f t="shared" si="11"/>
        <v>0</v>
      </c>
      <c r="M108" s="1873">
        <f t="shared" si="11"/>
        <v>0</v>
      </c>
      <c r="N108" s="1873">
        <f t="shared" si="11"/>
        <v>0</v>
      </c>
      <c r="O108" s="1873">
        <f t="shared" si="11"/>
        <v>0</v>
      </c>
      <c r="P108" s="1726"/>
    </row>
    <row r="109" spans="2:19" s="1855" customFormat="1">
      <c r="B109" s="1725"/>
      <c r="C109" s="1871" t="s">
        <v>684</v>
      </c>
      <c r="D109" s="1769" t="s">
        <v>1770</v>
      </c>
      <c r="E109" s="1769" t="s">
        <v>962</v>
      </c>
      <c r="F109" s="1873">
        <f>EF.XII.b.PM10[[#This Row],[2010]]</f>
        <v>5.1065928683454803E-2</v>
      </c>
      <c r="G109" s="1389">
        <f>0.0510659286834548*(1/Unit.TWh)</f>
        <v>5.1065928683454803E-2</v>
      </c>
      <c r="H109" s="1389">
        <f>0.0376329218937318*(1/Unit.TWh)</f>
        <v>3.7632921893731797E-2</v>
      </c>
      <c r="I109" s="1389">
        <f>0.0314237522645619*(1/Unit.TWh)</f>
        <v>3.1423752264561899E-2</v>
      </c>
      <c r="J109" s="1389">
        <f>0.0304830293892288*(1/Unit.TWh)</f>
        <v>3.04830293892288E-2</v>
      </c>
      <c r="K109" s="1389">
        <f>0.0304215804075059*(1/Unit.TWh)</f>
        <v>3.0421580407505901E-2</v>
      </c>
      <c r="L109" s="1389">
        <f>0.0302205363536633*(1/Unit.TWh)</f>
        <v>3.0220536353663299E-2</v>
      </c>
      <c r="M109" s="1389">
        <f>0.0302205363536633*(1/Unit.TWh)</f>
        <v>3.0220536353663299E-2</v>
      </c>
      <c r="N109" s="1389">
        <f>0.0302205363536633*(1/Unit.TWh)</f>
        <v>3.0220536353663299E-2</v>
      </c>
      <c r="O109" s="1389">
        <f>0.0302205363536633*(1/Unit.TWh)</f>
        <v>3.0220536353663299E-2</v>
      </c>
      <c r="P109" s="1726"/>
    </row>
    <row r="110" spans="2:19" s="1855" customFormat="1">
      <c r="B110" s="1725"/>
      <c r="C110" s="1871" t="s">
        <v>684</v>
      </c>
      <c r="D110" s="1769" t="s">
        <v>1770</v>
      </c>
      <c r="E110" s="1769" t="s">
        <v>963</v>
      </c>
      <c r="F110" s="1873">
        <f>EF.XII.b.PM10[[#This Row],[2010]]</f>
        <v>2.8295266901932101E-2</v>
      </c>
      <c r="G110" s="1389">
        <f>0.0282952669019321*(1/Unit.TWh)</f>
        <v>2.8295266901932101E-2</v>
      </c>
      <c r="H110" s="1389">
        <f>0.0297294445846166*(1/Unit.TWh)</f>
        <v>2.9729444584616599E-2</v>
      </c>
      <c r="I110" s="1389">
        <f>0.0297426011530885*(1/Unit.TWh)</f>
        <v>2.9742601153088501E-2</v>
      </c>
      <c r="J110" s="1389">
        <f>0.0296209641445674*(1/Unit.TWh)</f>
        <v>2.9620964144567399E-2</v>
      </c>
      <c r="K110" s="1389">
        <f>0.0296297521509535*(1/Unit.TWh)</f>
        <v>2.9629752150953498E-2</v>
      </c>
      <c r="L110" s="1389">
        <f>0.0294306205859705*(1/Unit.TWh)</f>
        <v>2.9430620585970499E-2</v>
      </c>
      <c r="M110" s="1389">
        <f>0.0294306205859705*(1/Unit.TWh)</f>
        <v>2.9430620585970499E-2</v>
      </c>
      <c r="N110" s="1389">
        <f>0.0294306205859705*(1/Unit.TWh)</f>
        <v>2.9430620585970499E-2</v>
      </c>
      <c r="O110" s="1389">
        <f>0.0294306205859705*(1/Unit.TWh)</f>
        <v>2.9430620585970499E-2</v>
      </c>
      <c r="P110" s="1726"/>
    </row>
    <row r="111" spans="2:19" s="1855" customFormat="1">
      <c r="B111" s="1725"/>
      <c r="C111" s="1871" t="s">
        <v>684</v>
      </c>
      <c r="D111" s="1769" t="s">
        <v>1170</v>
      </c>
      <c r="E111" s="1769" t="s">
        <v>962</v>
      </c>
      <c r="F111" s="1873">
        <f>EF.XII.b.PM10[[#This Row],[2010]]</f>
        <v>0.23227607711645901</v>
      </c>
      <c r="G111" s="1389">
        <f>0.232276077116459*(1/Unit.TWh)</f>
        <v>0.23227607711645901</v>
      </c>
      <c r="H111" s="1389">
        <f>0.163782197079641*(1/Unit.TWh)</f>
        <v>0.16378219707964101</v>
      </c>
      <c r="I111" s="1389">
        <f t="shared" ref="I111:O111" si="12">0.101877930768909*(1/Unit.TWh)</f>
        <v>0.101877930768909</v>
      </c>
      <c r="J111" s="1389">
        <f t="shared" si="12"/>
        <v>0.101877930768909</v>
      </c>
      <c r="K111" s="1389">
        <f t="shared" si="12"/>
        <v>0.101877930768909</v>
      </c>
      <c r="L111" s="1389">
        <f t="shared" si="12"/>
        <v>0.101877930768909</v>
      </c>
      <c r="M111" s="1389">
        <f t="shared" si="12"/>
        <v>0.101877930768909</v>
      </c>
      <c r="N111" s="1389">
        <f t="shared" si="12"/>
        <v>0.101877930768909</v>
      </c>
      <c r="O111" s="1389">
        <f t="shared" si="12"/>
        <v>0.101877930768909</v>
      </c>
      <c r="P111" s="1726"/>
    </row>
    <row r="112" spans="2:19" s="1717" customFormat="1" ht="15">
      <c r="B112" s="1058"/>
      <c r="C112" s="1060"/>
      <c r="D112" s="1721"/>
      <c r="E112" s="848"/>
      <c r="F112" s="1055"/>
      <c r="G112" s="1056"/>
      <c r="H112" s="1056"/>
      <c r="I112" s="1056"/>
      <c r="J112" s="1056"/>
      <c r="K112" s="615"/>
      <c r="L112" s="615"/>
      <c r="M112" s="615"/>
      <c r="N112" s="615"/>
      <c r="O112" s="615"/>
      <c r="P112" s="842"/>
    </row>
    <row r="113" spans="2:16" s="1855" customFormat="1">
      <c r="B113" s="1725"/>
      <c r="C113" s="1723" t="s">
        <v>1764</v>
      </c>
      <c r="D113" s="1722"/>
      <c r="E113" s="1722"/>
      <c r="F113" s="1722"/>
      <c r="G113" s="1722"/>
      <c r="H113" s="1722"/>
      <c r="I113" s="1722"/>
      <c r="J113" s="1722"/>
      <c r="K113" s="1722"/>
      <c r="L113" s="1722"/>
      <c r="M113" s="1722"/>
      <c r="N113" s="1722"/>
      <c r="O113" s="1722" t="str">
        <f>"kt per "&amp;Preferences.EnergyUnits</f>
        <v>kt per TWh</v>
      </c>
      <c r="P113" s="1726"/>
    </row>
    <row r="114" spans="2:16" s="1855" customFormat="1" ht="5.25" customHeight="1">
      <c r="B114" s="1725"/>
      <c r="C114" s="1722"/>
      <c r="D114" s="1722"/>
      <c r="E114" s="1133"/>
      <c r="F114" s="1132"/>
      <c r="G114" s="1722"/>
      <c r="H114" s="1722"/>
      <c r="I114" s="1722"/>
      <c r="J114" s="1722"/>
      <c r="K114" s="1722"/>
      <c r="L114" s="1722"/>
      <c r="M114" s="1722"/>
      <c r="N114" s="1722"/>
      <c r="O114" s="1722"/>
      <c r="P114" s="1726"/>
    </row>
    <row r="115" spans="2:16" s="1855" customFormat="1" ht="14">
      <c r="B115" s="1725"/>
      <c r="C115" s="1868" t="s">
        <v>77</v>
      </c>
      <c r="D115" s="1868" t="s">
        <v>906</v>
      </c>
      <c r="E115" s="1869" t="s">
        <v>657</v>
      </c>
      <c r="F115" s="1870" t="s">
        <v>579</v>
      </c>
      <c r="G115" s="1870" t="s">
        <v>580</v>
      </c>
      <c r="H115" s="1870" t="s">
        <v>605</v>
      </c>
      <c r="I115" s="1870" t="s">
        <v>606</v>
      </c>
      <c r="J115" s="1870" t="s">
        <v>607</v>
      </c>
      <c r="K115" s="1870" t="s">
        <v>608</v>
      </c>
      <c r="L115" s="1870" t="s">
        <v>609</v>
      </c>
      <c r="M115" s="1870" t="s">
        <v>610</v>
      </c>
      <c r="N115" s="1870" t="s">
        <v>611</v>
      </c>
      <c r="O115" s="1870" t="s">
        <v>612</v>
      </c>
      <c r="P115" s="1726"/>
    </row>
    <row r="116" spans="2:16" s="1855" customFormat="1">
      <c r="B116" s="1725"/>
      <c r="C116" s="1871" t="s">
        <v>684</v>
      </c>
      <c r="D116" s="1770" t="s">
        <v>921</v>
      </c>
      <c r="E116" s="1872" t="s">
        <v>962</v>
      </c>
      <c r="F116" s="1389">
        <f>EF.XII.b.NOX[[#This Row],[2010]]</f>
        <v>13.587999999999999</v>
      </c>
      <c r="G116" s="1389">
        <f>13.588*(1/Unit.TWh)</f>
        <v>13.587999999999999</v>
      </c>
      <c r="H116" s="1389">
        <f>11.9763333333333*(1/Unit.TWh)</f>
        <v>11.976333333333301</v>
      </c>
      <c r="I116" s="1389">
        <f>10.238*(1/Unit.TWh)</f>
        <v>10.238</v>
      </c>
      <c r="J116" s="1389">
        <f>8.49966666666667*(1/Unit.TWh)</f>
        <v>8.4996666666666698</v>
      </c>
      <c r="K116" s="1389">
        <f>6.76133333333333*(1/Unit.TWh)</f>
        <v>6.7613333333333303</v>
      </c>
      <c r="L116" s="1389">
        <f>5.023*(1/Unit.TWh)</f>
        <v>5.0229999999999997</v>
      </c>
      <c r="M116" s="1389">
        <f>3.72666666666667*(1/Unit.TWh)</f>
        <v>3.7266666666666701</v>
      </c>
      <c r="N116" s="1389">
        <f>3.6*(1/Unit.TWh)</f>
        <v>3.6</v>
      </c>
      <c r="O116" s="1389">
        <f>3.6*(1/Unit.TWh)</f>
        <v>3.6</v>
      </c>
      <c r="P116" s="1726"/>
    </row>
    <row r="117" spans="2:16" s="1855" customFormat="1">
      <c r="B117" s="1725"/>
      <c r="C117" s="1871" t="s">
        <v>684</v>
      </c>
      <c r="D117" s="1770" t="s">
        <v>921</v>
      </c>
      <c r="E117" s="1769" t="s">
        <v>963</v>
      </c>
      <c r="F117" s="1873">
        <f>EF.XII.b.NOX[[#This Row],[2010]]</f>
        <v>0</v>
      </c>
      <c r="G117" s="1873">
        <f t="shared" ref="G117:O117" si="13">0*(1/Unit.TWh)</f>
        <v>0</v>
      </c>
      <c r="H117" s="1873">
        <f t="shared" si="13"/>
        <v>0</v>
      </c>
      <c r="I117" s="1873">
        <f t="shared" si="13"/>
        <v>0</v>
      </c>
      <c r="J117" s="1873">
        <f t="shared" si="13"/>
        <v>0</v>
      </c>
      <c r="K117" s="1873">
        <f t="shared" si="13"/>
        <v>0</v>
      </c>
      <c r="L117" s="1873">
        <f t="shared" si="13"/>
        <v>0</v>
      </c>
      <c r="M117" s="1873">
        <f t="shared" si="13"/>
        <v>0</v>
      </c>
      <c r="N117" s="1873">
        <f t="shared" si="13"/>
        <v>0</v>
      </c>
      <c r="O117" s="1873">
        <f t="shared" si="13"/>
        <v>0</v>
      </c>
      <c r="P117" s="1726"/>
    </row>
    <row r="118" spans="2:16" s="1855" customFormat="1">
      <c r="B118" s="1725"/>
      <c r="C118" s="1871" t="s">
        <v>684</v>
      </c>
      <c r="D118" s="1769" t="s">
        <v>1770</v>
      </c>
      <c r="E118" s="1769" t="s">
        <v>962</v>
      </c>
      <c r="F118" s="1873">
        <f>EF.XII.b.NOX[[#This Row],[2010]]</f>
        <v>1.3563042593013299</v>
      </c>
      <c r="G118" s="1389">
        <f>1.35630425930133*(1/Unit.TWh)</f>
        <v>1.3563042593013299</v>
      </c>
      <c r="H118" s="1389">
        <f>0.600487696866041*(1/Unit.TWh)</f>
        <v>0.60048769686604098</v>
      </c>
      <c r="I118" s="1389">
        <f>0.16047711449102*(1/Unit.TWh)</f>
        <v>0.16047711449102001</v>
      </c>
      <c r="J118" s="1389">
        <f>0.0839169806445128*(1/Unit.TWh)</f>
        <v>8.3916980644512806E-2</v>
      </c>
      <c r="K118" s="1389">
        <f>0.077332183695044*(1/Unit.TWh)</f>
        <v>7.7332183695043993E-2</v>
      </c>
      <c r="L118" s="1389">
        <f>0.0765312356472111*(1/Unit.TWh)</f>
        <v>7.6531235647211093E-2</v>
      </c>
      <c r="M118" s="1389">
        <f>0.0765312356472111*(1/Unit.TWh)</f>
        <v>7.6531235647211093E-2</v>
      </c>
      <c r="N118" s="1389">
        <f>0.0765312356472111*(1/Unit.TWh)</f>
        <v>7.6531235647211093E-2</v>
      </c>
      <c r="O118" s="1389">
        <f>0.0765312356472111*(1/Unit.TWh)</f>
        <v>7.6531235647211093E-2</v>
      </c>
      <c r="P118" s="1726"/>
    </row>
    <row r="119" spans="2:16" s="1855" customFormat="1">
      <c r="B119" s="1725"/>
      <c r="C119" s="1871" t="s">
        <v>684</v>
      </c>
      <c r="D119" s="1769" t="s">
        <v>1770</v>
      </c>
      <c r="E119" s="1769" t="s">
        <v>963</v>
      </c>
      <c r="F119" s="1873">
        <f>EF.XII.b.NOX[[#This Row],[2010]]</f>
        <v>0</v>
      </c>
      <c r="G119" s="1389">
        <f t="shared" ref="G119:O119" si="14">0*(1/Unit.TWh)</f>
        <v>0</v>
      </c>
      <c r="H119" s="1389">
        <f t="shared" si="14"/>
        <v>0</v>
      </c>
      <c r="I119" s="1389">
        <f t="shared" si="14"/>
        <v>0</v>
      </c>
      <c r="J119" s="1389">
        <f t="shared" si="14"/>
        <v>0</v>
      </c>
      <c r="K119" s="1389">
        <f t="shared" si="14"/>
        <v>0</v>
      </c>
      <c r="L119" s="1389">
        <f t="shared" si="14"/>
        <v>0</v>
      </c>
      <c r="M119" s="1389">
        <f t="shared" si="14"/>
        <v>0</v>
      </c>
      <c r="N119" s="1389">
        <f t="shared" si="14"/>
        <v>0</v>
      </c>
      <c r="O119" s="1389">
        <f t="shared" si="14"/>
        <v>0</v>
      </c>
      <c r="P119" s="1726"/>
    </row>
    <row r="120" spans="2:16" s="1855" customFormat="1">
      <c r="B120" s="1725"/>
      <c r="C120" s="1871" t="s">
        <v>684</v>
      </c>
      <c r="D120" s="1769" t="s">
        <v>1170</v>
      </c>
      <c r="E120" s="1769" t="s">
        <v>962</v>
      </c>
      <c r="F120" s="1873">
        <f>EF.XII.b.NOX[[#This Row],[2010]]</f>
        <v>5.2743658010896999</v>
      </c>
      <c r="G120" s="1389">
        <f>5.2743658010897*(1/Unit.TWh)</f>
        <v>5.2743658010896999</v>
      </c>
      <c r="H120" s="1389">
        <f>4.93418827412335*(1/Unit.TWh)</f>
        <v>4.9341882741233496</v>
      </c>
      <c r="I120" s="1389">
        <f t="shared" ref="I120:O120" si="15">4.62673832077086*(1/Unit.TWh)</f>
        <v>4.6267383207708601</v>
      </c>
      <c r="J120" s="1389">
        <f t="shared" si="15"/>
        <v>4.6267383207708601</v>
      </c>
      <c r="K120" s="1389">
        <f t="shared" si="15"/>
        <v>4.6267383207708601</v>
      </c>
      <c r="L120" s="1389">
        <f t="shared" si="15"/>
        <v>4.6267383207708601</v>
      </c>
      <c r="M120" s="1389">
        <f t="shared" si="15"/>
        <v>4.6267383207708601</v>
      </c>
      <c r="N120" s="1389">
        <f t="shared" si="15"/>
        <v>4.6267383207708601</v>
      </c>
      <c r="O120" s="1389">
        <f t="shared" si="15"/>
        <v>4.6267383207708601</v>
      </c>
      <c r="P120" s="1726"/>
    </row>
    <row r="121" spans="2:16" s="1855" customFormat="1">
      <c r="B121" s="1725"/>
      <c r="C121" s="1871"/>
      <c r="D121" s="1769"/>
      <c r="E121" s="1769"/>
      <c r="F121" s="1873"/>
      <c r="G121" s="1389"/>
      <c r="H121" s="1389"/>
      <c r="I121" s="1389"/>
      <c r="J121" s="1389"/>
      <c r="K121" s="1389"/>
      <c r="L121" s="1389"/>
      <c r="M121" s="1389"/>
      <c r="N121" s="1389"/>
      <c r="O121" s="1389"/>
      <c r="P121" s="1726"/>
    </row>
    <row r="122" spans="2:16" s="1855" customFormat="1">
      <c r="B122" s="1725"/>
      <c r="C122" s="1723" t="s">
        <v>1765</v>
      </c>
      <c r="D122" s="1722"/>
      <c r="E122" s="1722"/>
      <c r="F122" s="1722"/>
      <c r="G122" s="1722"/>
      <c r="H122" s="1722"/>
      <c r="I122" s="1722"/>
      <c r="J122" s="1722"/>
      <c r="K122" s="1722"/>
      <c r="L122" s="1722"/>
      <c r="M122" s="1722"/>
      <c r="N122" s="1722"/>
      <c r="O122" s="1722" t="str">
        <f>"kt per "&amp;Preferences.EnergyUnits</f>
        <v>kt per TWh</v>
      </c>
      <c r="P122" s="1726"/>
    </row>
    <row r="123" spans="2:16" s="1855" customFormat="1" ht="5.25" customHeight="1">
      <c r="B123" s="1725"/>
      <c r="C123" s="1722"/>
      <c r="D123" s="1722"/>
      <c r="E123" s="1133"/>
      <c r="F123" s="1132"/>
      <c r="G123" s="1722"/>
      <c r="H123" s="1722"/>
      <c r="I123" s="1722"/>
      <c r="J123" s="1722"/>
      <c r="K123" s="1722"/>
      <c r="L123" s="1722"/>
      <c r="M123" s="1722"/>
      <c r="N123" s="1722"/>
      <c r="O123" s="1722"/>
      <c r="P123" s="1726"/>
    </row>
    <row r="124" spans="2:16" s="1855" customFormat="1" ht="14">
      <c r="B124" s="1725"/>
      <c r="C124" s="1868" t="s">
        <v>77</v>
      </c>
      <c r="D124" s="1868" t="s">
        <v>906</v>
      </c>
      <c r="E124" s="1869" t="s">
        <v>657</v>
      </c>
      <c r="F124" s="1870" t="s">
        <v>579</v>
      </c>
      <c r="G124" s="1870" t="s">
        <v>580</v>
      </c>
      <c r="H124" s="1870" t="s">
        <v>605</v>
      </c>
      <c r="I124" s="1870" t="s">
        <v>606</v>
      </c>
      <c r="J124" s="1870" t="s">
        <v>607</v>
      </c>
      <c r="K124" s="1870" t="s">
        <v>608</v>
      </c>
      <c r="L124" s="1870" t="s">
        <v>609</v>
      </c>
      <c r="M124" s="1870" t="s">
        <v>610</v>
      </c>
      <c r="N124" s="1870" t="s">
        <v>611</v>
      </c>
      <c r="O124" s="1870" t="s">
        <v>612</v>
      </c>
      <c r="P124" s="1726"/>
    </row>
    <row r="125" spans="2:16" s="1855" customFormat="1">
      <c r="B125" s="1725"/>
      <c r="C125" s="1871" t="s">
        <v>684</v>
      </c>
      <c r="D125" s="1770" t="s">
        <v>921</v>
      </c>
      <c r="E125" s="1872" t="s">
        <v>962</v>
      </c>
      <c r="F125" s="1389">
        <f>EF.XII.b.SO2[[#This Row],[2010]]</f>
        <v>8.8947368421052594E-2</v>
      </c>
      <c r="G125" s="1389">
        <f>0.0889473684210526*(1/Unit.TWh)</f>
        <v>8.8947368421052594E-2</v>
      </c>
      <c r="H125" s="1389">
        <f t="shared" ref="H125:O125" si="16">0.00157894736842105*(1/Unit.TWh)</f>
        <v>1.57894736842105E-3</v>
      </c>
      <c r="I125" s="1389">
        <f t="shared" si="16"/>
        <v>1.57894736842105E-3</v>
      </c>
      <c r="J125" s="1389">
        <f t="shared" si="16"/>
        <v>1.57894736842105E-3</v>
      </c>
      <c r="K125" s="1389">
        <f t="shared" si="16"/>
        <v>1.57894736842105E-3</v>
      </c>
      <c r="L125" s="1389">
        <f t="shared" si="16"/>
        <v>1.57894736842105E-3</v>
      </c>
      <c r="M125" s="1389">
        <f t="shared" si="16"/>
        <v>1.57894736842105E-3</v>
      </c>
      <c r="N125" s="1389">
        <f t="shared" si="16"/>
        <v>1.57894736842105E-3</v>
      </c>
      <c r="O125" s="1389">
        <f t="shared" si="16"/>
        <v>1.57894736842105E-3</v>
      </c>
      <c r="P125" s="1726"/>
    </row>
    <row r="126" spans="2:16" s="1855" customFormat="1">
      <c r="B126" s="1725"/>
      <c r="C126" s="1871" t="s">
        <v>684</v>
      </c>
      <c r="D126" s="1770" t="s">
        <v>921</v>
      </c>
      <c r="E126" s="1769" t="s">
        <v>963</v>
      </c>
      <c r="F126" s="1389">
        <f>EF.XII.b.SO2[[#This Row],[2010]]</f>
        <v>0</v>
      </c>
      <c r="G126" s="1873">
        <f t="shared" ref="G126:O126" si="17">0*(1/Unit.TWh)</f>
        <v>0</v>
      </c>
      <c r="H126" s="1873">
        <f t="shared" si="17"/>
        <v>0</v>
      </c>
      <c r="I126" s="1873">
        <f t="shared" si="17"/>
        <v>0</v>
      </c>
      <c r="J126" s="1873">
        <f t="shared" si="17"/>
        <v>0</v>
      </c>
      <c r="K126" s="1873">
        <f t="shared" si="17"/>
        <v>0</v>
      </c>
      <c r="L126" s="1873">
        <f t="shared" si="17"/>
        <v>0</v>
      </c>
      <c r="M126" s="1873">
        <f t="shared" si="17"/>
        <v>0</v>
      </c>
      <c r="N126" s="1873">
        <f t="shared" si="17"/>
        <v>0</v>
      </c>
      <c r="O126" s="1873">
        <f t="shared" si="17"/>
        <v>0</v>
      </c>
      <c r="P126" s="1726"/>
    </row>
    <row r="127" spans="2:16" s="1855" customFormat="1">
      <c r="B127" s="1725"/>
      <c r="C127" s="1871" t="s">
        <v>684</v>
      </c>
      <c r="D127" s="1769" t="s">
        <v>1770</v>
      </c>
      <c r="E127" s="1769" t="s">
        <v>962</v>
      </c>
      <c r="F127" s="1389">
        <f>EF.XII.b.SO2[[#This Row],[2010]]</f>
        <v>1.1684210526315801E-3</v>
      </c>
      <c r="G127" s="1389">
        <f>0.00116842105263158*(1/Unit.TWh)</f>
        <v>1.1684210526315801E-3</v>
      </c>
      <c r="H127" s="1389">
        <f>0.00107424570114252*(1/Unit.TWh)</f>
        <v>1.0742457011425201E-3</v>
      </c>
      <c r="I127" s="1389">
        <f>0.00102350454301691*(1/Unit.TWh)</f>
        <v>1.02350454301691E-3</v>
      </c>
      <c r="J127" s="1389">
        <f>0.00096964891038593*(1/Unit.TWh)</f>
        <v>9.6964891038592998E-4</v>
      </c>
      <c r="K127" s="1389">
        <f>0.000928493149890139*(1/Unit.TWh)</f>
        <v>9.28493149890139E-4</v>
      </c>
      <c r="L127" s="1389">
        <f>0.000871867628299022*(1/Unit.TWh)</f>
        <v>8.7186762829902199E-4</v>
      </c>
      <c r="M127" s="1389">
        <f>0.000871867628299022*(1/Unit.TWh)</f>
        <v>8.7186762829902199E-4</v>
      </c>
      <c r="N127" s="1389">
        <f>0.000871867628299022*(1/Unit.TWh)</f>
        <v>8.7186762829902199E-4</v>
      </c>
      <c r="O127" s="1389">
        <f>0.000871867628299022*(1/Unit.TWh)</f>
        <v>8.7186762829902199E-4</v>
      </c>
      <c r="P127" s="1726"/>
    </row>
    <row r="128" spans="2:16" s="1855" customFormat="1">
      <c r="B128" s="1725"/>
      <c r="C128" s="1871" t="s">
        <v>684</v>
      </c>
      <c r="D128" s="1769" t="s">
        <v>1770</v>
      </c>
      <c r="E128" s="1769" t="s">
        <v>963</v>
      </c>
      <c r="F128" s="1389">
        <f>EF.XII.b.SO2[[#This Row],[2010]]</f>
        <v>0</v>
      </c>
      <c r="G128" s="1389">
        <f t="shared" ref="G128:O128" si="18">0*(1/Unit.TWh)</f>
        <v>0</v>
      </c>
      <c r="H128" s="1389">
        <f t="shared" si="18"/>
        <v>0</v>
      </c>
      <c r="I128" s="1389">
        <f t="shared" si="18"/>
        <v>0</v>
      </c>
      <c r="J128" s="1389">
        <f t="shared" si="18"/>
        <v>0</v>
      </c>
      <c r="K128" s="1389">
        <f t="shared" si="18"/>
        <v>0</v>
      </c>
      <c r="L128" s="1389">
        <f t="shared" si="18"/>
        <v>0</v>
      </c>
      <c r="M128" s="1389">
        <f t="shared" si="18"/>
        <v>0</v>
      </c>
      <c r="N128" s="1389">
        <f t="shared" si="18"/>
        <v>0</v>
      </c>
      <c r="O128" s="1389">
        <f t="shared" si="18"/>
        <v>0</v>
      </c>
      <c r="P128" s="1726"/>
    </row>
    <row r="129" spans="2:16" s="1855" customFormat="1">
      <c r="B129" s="1725"/>
      <c r="C129" s="1871" t="s">
        <v>684</v>
      </c>
      <c r="D129" s="1769" t="s">
        <v>1170</v>
      </c>
      <c r="E129" s="1769" t="s">
        <v>962</v>
      </c>
      <c r="F129" s="1389">
        <f>EF.XII.b.SO2[[#This Row],[2010]]</f>
        <v>2.2028407997125599</v>
      </c>
      <c r="G129" s="1389">
        <f>2.20284079971256*(1/Unit.TWh)</f>
        <v>2.2028407997125599</v>
      </c>
      <c r="H129" s="1389">
        <f>1.20995257256538*(1/Unit.TWh)</f>
        <v>1.2099525725653799</v>
      </c>
      <c r="I129" s="1389">
        <f t="shared" ref="I129:O129" si="19">0.31258747663168*(1/Unit.TWh)</f>
        <v>0.31258747663168002</v>
      </c>
      <c r="J129" s="1389">
        <f t="shared" si="19"/>
        <v>0.31258747663168002</v>
      </c>
      <c r="K129" s="1389">
        <f t="shared" si="19"/>
        <v>0.31258747663168002</v>
      </c>
      <c r="L129" s="1389">
        <f t="shared" si="19"/>
        <v>0.31258747663168002</v>
      </c>
      <c r="M129" s="1389">
        <f t="shared" si="19"/>
        <v>0.31258747663168002</v>
      </c>
      <c r="N129" s="1389">
        <f t="shared" si="19"/>
        <v>0.31258747663168002</v>
      </c>
      <c r="O129" s="1389">
        <f t="shared" si="19"/>
        <v>0.31258747663168002</v>
      </c>
      <c r="P129" s="1726"/>
    </row>
    <row r="130" spans="2:16" s="1717" customFormat="1" ht="15">
      <c r="B130" s="1058"/>
      <c r="C130" s="1060"/>
      <c r="D130" s="1721"/>
      <c r="E130" s="848"/>
      <c r="F130" s="1055"/>
      <c r="G130" s="1056"/>
      <c r="H130" s="1056"/>
      <c r="I130" s="1056"/>
      <c r="J130" s="1056"/>
      <c r="K130" s="615"/>
      <c r="L130" s="615"/>
      <c r="M130" s="615"/>
      <c r="N130" s="615"/>
      <c r="O130" s="615"/>
      <c r="P130" s="842"/>
    </row>
    <row r="131" spans="2:16" s="1855" customFormat="1">
      <c r="B131" s="1725"/>
      <c r="C131" s="1723" t="s">
        <v>1767</v>
      </c>
      <c r="D131" s="1722"/>
      <c r="E131" s="1722"/>
      <c r="F131" s="1722"/>
      <c r="G131" s="1722"/>
      <c r="H131" s="1722"/>
      <c r="I131" s="1722"/>
      <c r="J131" s="1722"/>
      <c r="K131" s="1722"/>
      <c r="L131" s="1722"/>
      <c r="M131" s="1722"/>
      <c r="N131" s="1722"/>
      <c r="O131" s="1722" t="str">
        <f>"kt per "&amp;Preferences.EnergyUnits</f>
        <v>kt per TWh</v>
      </c>
      <c r="P131" s="1726"/>
    </row>
    <row r="132" spans="2:16" s="1855" customFormat="1" ht="5.25" customHeight="1">
      <c r="B132" s="1725"/>
      <c r="C132" s="1722"/>
      <c r="D132" s="1722"/>
      <c r="E132" s="1133"/>
      <c r="F132" s="1132"/>
      <c r="G132" s="1722"/>
      <c r="H132" s="1722"/>
      <c r="I132" s="1722"/>
      <c r="J132" s="1722"/>
      <c r="K132" s="1722"/>
      <c r="L132" s="1722"/>
      <c r="M132" s="1722"/>
      <c r="N132" s="1722"/>
      <c r="O132" s="1722"/>
      <c r="P132" s="1726"/>
    </row>
    <row r="133" spans="2:16" s="1855" customFormat="1" ht="14">
      <c r="B133" s="1725"/>
      <c r="C133" s="1868" t="s">
        <v>77</v>
      </c>
      <c r="D133" s="1868" t="s">
        <v>906</v>
      </c>
      <c r="E133" s="1869" t="s">
        <v>657</v>
      </c>
      <c r="F133" s="1870" t="s">
        <v>579</v>
      </c>
      <c r="G133" s="1870" t="s">
        <v>580</v>
      </c>
      <c r="H133" s="1870" t="s">
        <v>605</v>
      </c>
      <c r="I133" s="1870" t="s">
        <v>606</v>
      </c>
      <c r="J133" s="1870" t="s">
        <v>607</v>
      </c>
      <c r="K133" s="1870" t="s">
        <v>608</v>
      </c>
      <c r="L133" s="1870" t="s">
        <v>609</v>
      </c>
      <c r="M133" s="1870" t="s">
        <v>610</v>
      </c>
      <c r="N133" s="1870" t="s">
        <v>611</v>
      </c>
      <c r="O133" s="1870" t="s">
        <v>612</v>
      </c>
      <c r="P133" s="1726"/>
    </row>
    <row r="134" spans="2:16" s="1855" customFormat="1">
      <c r="B134" s="1725"/>
      <c r="C134" s="1871" t="s">
        <v>684</v>
      </c>
      <c r="D134" s="1770" t="s">
        <v>921</v>
      </c>
      <c r="E134" s="1872" t="s">
        <v>962</v>
      </c>
      <c r="F134" s="1389">
        <f>EF.XII.b.NMVOC[[#This Row],[2010]]</f>
        <v>1.3361333333333301</v>
      </c>
      <c r="G134" s="1389">
        <f>1.33613333333333*(1/Unit.TWh)</f>
        <v>1.3361333333333301</v>
      </c>
      <c r="H134" s="1389">
        <f>1.16896666666667*(1/Unit.TWh)</f>
        <v>1.16896666666667</v>
      </c>
      <c r="I134" s="1389">
        <f>1.0018*(1/Unit.TWh)</f>
        <v>1.0018</v>
      </c>
      <c r="J134" s="1389">
        <f>0.834633333333333*(1/Unit.TWh)</f>
        <v>0.83463333333333301</v>
      </c>
      <c r="K134" s="1389">
        <f>0.667466666666667*(1/Unit.TWh)</f>
        <v>0.66746666666666699</v>
      </c>
      <c r="L134" s="1389">
        <f>0.5003*(1/Unit.TWh)</f>
        <v>0.50029999999999997</v>
      </c>
      <c r="M134" s="1389">
        <f>0.4*(1/Unit.TWh)</f>
        <v>0.4</v>
      </c>
      <c r="N134" s="1389">
        <f>0.4*(1/Unit.TWh)</f>
        <v>0.4</v>
      </c>
      <c r="O134" s="1389">
        <f>0.4*(1/Unit.TWh)</f>
        <v>0.4</v>
      </c>
      <c r="P134" s="1726"/>
    </row>
    <row r="135" spans="2:16" s="1855" customFormat="1">
      <c r="B135" s="1725"/>
      <c r="C135" s="1871" t="s">
        <v>684</v>
      </c>
      <c r="D135" s="1770" t="s">
        <v>921</v>
      </c>
      <c r="E135" s="1769" t="s">
        <v>963</v>
      </c>
      <c r="F135" s="1873">
        <f>EF.XII.b.NMVOC[[#This Row],[2010]]</f>
        <v>0</v>
      </c>
      <c r="G135" s="1873">
        <f t="shared" ref="G135:O135" si="20">0*(1/Unit.TWh)</f>
        <v>0</v>
      </c>
      <c r="H135" s="1873">
        <f t="shared" si="20"/>
        <v>0</v>
      </c>
      <c r="I135" s="1873">
        <f t="shared" si="20"/>
        <v>0</v>
      </c>
      <c r="J135" s="1873">
        <f t="shared" si="20"/>
        <v>0</v>
      </c>
      <c r="K135" s="1873">
        <f t="shared" si="20"/>
        <v>0</v>
      </c>
      <c r="L135" s="1873">
        <f t="shared" si="20"/>
        <v>0</v>
      </c>
      <c r="M135" s="1873">
        <f t="shared" si="20"/>
        <v>0</v>
      </c>
      <c r="N135" s="1873">
        <f t="shared" si="20"/>
        <v>0</v>
      </c>
      <c r="O135" s="1873">
        <f t="shared" si="20"/>
        <v>0</v>
      </c>
      <c r="P135" s="1726"/>
    </row>
    <row r="136" spans="2:16" s="1855" customFormat="1">
      <c r="B136" s="1725"/>
      <c r="C136" s="1871" t="s">
        <v>684</v>
      </c>
      <c r="D136" s="1769" t="s">
        <v>1770</v>
      </c>
      <c r="E136" s="1769" t="s">
        <v>962</v>
      </c>
      <c r="F136" s="1873">
        <f>EF.XII.b.NMVOC[[#This Row],[2010]]</f>
        <v>3.8133378080924499E-2</v>
      </c>
      <c r="G136" s="1389">
        <f>0.0381333780809245*(1/Unit.TWh)</f>
        <v>3.8133378080924499E-2</v>
      </c>
      <c r="H136" s="1389">
        <f>0.0101807957568558*(1/Unit.TWh)</f>
        <v>1.01807957568558E-2</v>
      </c>
      <c r="I136" s="1389">
        <f>0.0016789558507987*(1/Unit.TWh)</f>
        <v>1.6789558507986999E-3</v>
      </c>
      <c r="J136" s="1389">
        <f>0.00108706449039611*(1/Unit.TWh)</f>
        <v>1.08706449039611E-3</v>
      </c>
      <c r="K136" s="1389">
        <f>0.00105877611882696*(1/Unit.TWh)</f>
        <v>1.05877611882696E-3</v>
      </c>
      <c r="L136" s="1389">
        <f>0.00105050041725171*(1/Unit.TWh)</f>
        <v>1.05050041725171E-3</v>
      </c>
      <c r="M136" s="1389">
        <f>0.00105050041725171*(1/Unit.TWh)</f>
        <v>1.05050041725171E-3</v>
      </c>
      <c r="N136" s="1389">
        <f>0.00105050041725171*(1/Unit.TWh)</f>
        <v>1.05050041725171E-3</v>
      </c>
      <c r="O136" s="1389">
        <f>0.00105050041725171*(1/Unit.TWh)</f>
        <v>1.05050041725171E-3</v>
      </c>
      <c r="P136" s="1726"/>
    </row>
    <row r="137" spans="2:16" s="1855" customFormat="1">
      <c r="B137" s="1725"/>
      <c r="C137" s="1871" t="s">
        <v>684</v>
      </c>
      <c r="D137" s="1769" t="s">
        <v>1770</v>
      </c>
      <c r="E137" s="1769" t="s">
        <v>963</v>
      </c>
      <c r="F137" s="1873">
        <f>EF.XII.b.NMVOC[[#This Row],[2010]]</f>
        <v>0</v>
      </c>
      <c r="G137" s="1389">
        <f t="shared" ref="G137:O137" si="21">0*(1/Unit.TWh)</f>
        <v>0</v>
      </c>
      <c r="H137" s="1389">
        <f t="shared" si="21"/>
        <v>0</v>
      </c>
      <c r="I137" s="1389">
        <f t="shared" si="21"/>
        <v>0</v>
      </c>
      <c r="J137" s="1389">
        <f t="shared" si="21"/>
        <v>0</v>
      </c>
      <c r="K137" s="1389">
        <f t="shared" si="21"/>
        <v>0</v>
      </c>
      <c r="L137" s="1389">
        <f t="shared" si="21"/>
        <v>0</v>
      </c>
      <c r="M137" s="1389">
        <f t="shared" si="21"/>
        <v>0</v>
      </c>
      <c r="N137" s="1389">
        <f t="shared" si="21"/>
        <v>0</v>
      </c>
      <c r="O137" s="1389">
        <f t="shared" si="21"/>
        <v>0</v>
      </c>
      <c r="P137" s="1726"/>
    </row>
    <row r="138" spans="2:16" s="1855" customFormat="1">
      <c r="B138" s="1725"/>
      <c r="C138" s="1871" t="s">
        <v>684</v>
      </c>
      <c r="D138" s="1769" t="s">
        <v>1170</v>
      </c>
      <c r="E138" s="1769" t="s">
        <v>962</v>
      </c>
      <c r="F138" s="1873">
        <f>EF.XII.b.NMVOC[[#This Row],[2010]]</f>
        <v>0.23554965625494501</v>
      </c>
      <c r="G138" s="1389">
        <f>0.235549656254945*(1/Unit.TWh)</f>
        <v>0.23554965625494501</v>
      </c>
      <c r="H138" s="1389">
        <f>0.227593183398212*(1/Unit.TWh)</f>
        <v>0.227593183398212</v>
      </c>
      <c r="I138" s="1389">
        <f t="shared" ref="I138:O138" si="22">0.220402181598452*(1/Unit.TWh)</f>
        <v>0.22040218159845201</v>
      </c>
      <c r="J138" s="1389">
        <f t="shared" si="22"/>
        <v>0.22040218159845201</v>
      </c>
      <c r="K138" s="1389">
        <f t="shared" si="22"/>
        <v>0.22040218159845201</v>
      </c>
      <c r="L138" s="1389">
        <f t="shared" si="22"/>
        <v>0.22040218159845201</v>
      </c>
      <c r="M138" s="1389">
        <f t="shared" si="22"/>
        <v>0.22040218159845201</v>
      </c>
      <c r="N138" s="1389">
        <f t="shared" si="22"/>
        <v>0.22040218159845201</v>
      </c>
      <c r="O138" s="1389">
        <f t="shared" si="22"/>
        <v>0.22040218159845201</v>
      </c>
      <c r="P138" s="1726"/>
    </row>
    <row r="139" spans="2:16" s="1977" customFormat="1">
      <c r="B139" s="1725"/>
      <c r="C139" s="1871"/>
      <c r="D139" s="1769"/>
      <c r="E139" s="1769"/>
      <c r="F139" s="1873"/>
      <c r="G139" s="1389"/>
      <c r="H139" s="1389"/>
      <c r="I139" s="1389"/>
      <c r="J139" s="1389"/>
      <c r="K139" s="1389"/>
      <c r="L139" s="1389"/>
      <c r="M139" s="1389"/>
      <c r="N139" s="1389"/>
      <c r="O139" s="1389"/>
      <c r="P139" s="1726"/>
    </row>
    <row r="140" spans="2:16" s="1977" customFormat="1">
      <c r="B140" s="1725"/>
      <c r="C140" s="1089" t="s">
        <v>1596</v>
      </c>
      <c r="D140" s="1769"/>
      <c r="E140" s="1769"/>
      <c r="F140" s="1873"/>
      <c r="G140" s="1389"/>
      <c r="H140" s="1389"/>
      <c r="I140" s="1389"/>
      <c r="J140" s="1389"/>
      <c r="K140" s="1389"/>
      <c r="L140" s="1389"/>
      <c r="M140" s="1389"/>
      <c r="N140" s="1389"/>
      <c r="O140" s="1389"/>
      <c r="P140" s="1726"/>
    </row>
    <row r="141" spans="2:16" s="1977" customFormat="1" ht="14">
      <c r="B141" s="1725"/>
      <c r="C141" s="1989" t="s">
        <v>1598</v>
      </c>
      <c r="D141" s="1769"/>
      <c r="E141" s="1769"/>
      <c r="F141" s="1873"/>
      <c r="G141" s="1389"/>
      <c r="H141" s="1389"/>
      <c r="I141" s="1389"/>
      <c r="J141" s="1389"/>
      <c r="K141" s="1389"/>
      <c r="L141" s="1389"/>
      <c r="M141" s="1389"/>
      <c r="N141" s="1389"/>
      <c r="O141" s="1389"/>
      <c r="P141" s="1726"/>
    </row>
    <row r="142" spans="2:16" s="1977" customFormat="1">
      <c r="B142" s="1725"/>
      <c r="C142" s="1959">
        <v>30</v>
      </c>
      <c r="D142" s="1769"/>
      <c r="E142" s="1769"/>
      <c r="F142" s="1873"/>
      <c r="G142" s="1389"/>
      <c r="H142" s="1389"/>
      <c r="I142" s="1389"/>
      <c r="J142" s="1389"/>
      <c r="K142" s="1389"/>
      <c r="L142" s="1389"/>
      <c r="M142" s="1389"/>
      <c r="N142" s="1389"/>
      <c r="O142" s="1389"/>
      <c r="P142" s="1726"/>
    </row>
    <row r="143" spans="2:16" s="1977" customFormat="1">
      <c r="B143" s="1725"/>
      <c r="C143" s="1955">
        <v>30</v>
      </c>
      <c r="D143" s="1769"/>
      <c r="E143" s="1769"/>
      <c r="F143" s="1873"/>
      <c r="G143" s="1389"/>
      <c r="H143" s="1389"/>
      <c r="I143" s="1389"/>
      <c r="J143" s="1389"/>
      <c r="K143" s="1389"/>
      <c r="L143" s="1389"/>
      <c r="M143" s="1389"/>
      <c r="N143" s="1389"/>
      <c r="O143" s="1389"/>
      <c r="P143" s="1726"/>
    </row>
    <row r="144" spans="2:16" s="1977" customFormat="1">
      <c r="B144" s="1725"/>
      <c r="C144" s="1955">
        <v>7</v>
      </c>
      <c r="D144" s="1769"/>
      <c r="E144" s="1769"/>
      <c r="F144" s="1873"/>
      <c r="G144" s="1389"/>
      <c r="H144" s="1389"/>
      <c r="I144" s="1389"/>
      <c r="J144" s="1389"/>
      <c r="K144" s="1389"/>
      <c r="L144" s="1389"/>
      <c r="M144" s="1389"/>
      <c r="N144" s="1389"/>
      <c r="O144" s="1389"/>
      <c r="P144" s="1726"/>
    </row>
    <row r="145" spans="1:17" s="1977" customFormat="1">
      <c r="B145" s="1725"/>
      <c r="C145" s="1957">
        <v>7</v>
      </c>
      <c r="D145" s="1769"/>
      <c r="E145" s="1769"/>
      <c r="F145" s="1873"/>
      <c r="G145" s="1389"/>
      <c r="H145" s="1389"/>
      <c r="I145" s="1389"/>
      <c r="J145" s="1389"/>
      <c r="K145" s="1389"/>
      <c r="L145" s="1389"/>
      <c r="M145" s="1389"/>
      <c r="N145" s="1389"/>
      <c r="O145" s="1389"/>
      <c r="P145" s="1726"/>
    </row>
    <row r="146" spans="1:17" s="1855" customFormat="1">
      <c r="B146" s="1725"/>
      <c r="C146" s="1871"/>
      <c r="D146" s="1769"/>
      <c r="E146" s="1769"/>
      <c r="F146" s="1873"/>
      <c r="G146" s="1389"/>
      <c r="H146" s="1389"/>
      <c r="I146" s="1389"/>
      <c r="J146" s="1389"/>
      <c r="K146" s="1389"/>
      <c r="L146" s="1389"/>
      <c r="M146" s="1389"/>
      <c r="N146" s="1389"/>
      <c r="O146" s="1389"/>
      <c r="P146" s="1726"/>
    </row>
    <row r="147" spans="1:17">
      <c r="B147" s="788"/>
      <c r="C147" s="588" t="s">
        <v>604</v>
      </c>
      <c r="D147" s="588"/>
      <c r="E147" s="588"/>
      <c r="F147" s="588"/>
      <c r="G147" s="588"/>
      <c r="H147" s="588"/>
      <c r="I147" s="588"/>
      <c r="J147" s="588"/>
      <c r="K147" s="588"/>
      <c r="L147" s="588"/>
      <c r="M147" s="588"/>
      <c r="N147" s="588"/>
      <c r="O147" s="588"/>
      <c r="P147" s="789"/>
    </row>
    <row r="148" spans="1:17">
      <c r="B148" s="788"/>
      <c r="C148" s="591" t="s">
        <v>1259</v>
      </c>
      <c r="D148" s="588" t="s">
        <v>1261</v>
      </c>
      <c r="E148" s="588"/>
      <c r="F148" s="588"/>
      <c r="G148" s="588"/>
      <c r="H148" s="588"/>
      <c r="I148" s="588"/>
      <c r="J148" s="588"/>
      <c r="K148" s="588"/>
      <c r="L148" s="588"/>
      <c r="M148" s="588"/>
      <c r="N148" s="588"/>
      <c r="O148" s="588"/>
      <c r="P148" s="789"/>
    </row>
    <row r="149" spans="1:17">
      <c r="B149" s="788"/>
      <c r="C149" s="591" t="s">
        <v>102</v>
      </c>
      <c r="D149" s="588" t="s">
        <v>945</v>
      </c>
      <c r="E149" s="588"/>
      <c r="F149" s="588"/>
      <c r="G149" s="588"/>
      <c r="H149" s="588"/>
      <c r="I149" s="588"/>
      <c r="J149" s="588"/>
      <c r="K149" s="588"/>
      <c r="L149" s="588"/>
      <c r="M149" s="588"/>
      <c r="N149" s="588"/>
      <c r="O149" s="588"/>
      <c r="P149" s="789"/>
    </row>
    <row r="150" spans="1:17">
      <c r="B150" s="788"/>
      <c r="C150" s="591"/>
      <c r="D150" s="588" t="s">
        <v>946</v>
      </c>
      <c r="E150" s="588"/>
      <c r="F150" s="588"/>
      <c r="G150" s="588"/>
      <c r="H150" s="588"/>
      <c r="I150" s="588"/>
      <c r="J150" s="588"/>
      <c r="K150" s="588"/>
      <c r="L150" s="588"/>
      <c r="M150" s="588"/>
      <c r="N150" s="588"/>
      <c r="O150" s="588"/>
      <c r="P150" s="789"/>
    </row>
    <row r="151" spans="1:17" s="1717" customFormat="1">
      <c r="B151" s="841"/>
      <c r="C151" s="591"/>
      <c r="D151" s="592"/>
      <c r="E151" s="841"/>
      <c r="F151" s="841"/>
      <c r="G151" s="841"/>
      <c r="H151" s="841"/>
      <c r="I151" s="841"/>
      <c r="J151" s="841"/>
      <c r="K151" s="841"/>
      <c r="L151" s="841"/>
      <c r="M151" s="841"/>
      <c r="N151" s="841"/>
      <c r="O151" s="841"/>
      <c r="P151" s="841"/>
    </row>
    <row r="152" spans="1:17" s="1703" customFormat="1">
      <c r="B152" s="844"/>
    </row>
    <row r="153" spans="1:17" s="1804" customFormat="1" ht="22">
      <c r="A153" s="798"/>
      <c r="B153" s="1729" t="s">
        <v>1565</v>
      </c>
      <c r="C153" s="796"/>
      <c r="D153" s="796"/>
      <c r="E153" s="796"/>
      <c r="F153" s="796"/>
      <c r="G153" s="796"/>
      <c r="H153" s="796"/>
      <c r="I153" s="796"/>
      <c r="J153" s="796"/>
      <c r="K153" s="796"/>
      <c r="L153" s="796"/>
      <c r="M153" s="796"/>
      <c r="N153" s="796"/>
      <c r="O153" s="796"/>
      <c r="P153" s="797"/>
    </row>
    <row r="154" spans="1:17" s="1804" customFormat="1">
      <c r="A154" s="1977"/>
      <c r="B154" s="1725"/>
      <c r="C154" s="1722"/>
      <c r="D154" s="1722"/>
      <c r="E154" s="1722"/>
      <c r="F154" s="1722"/>
      <c r="G154" s="1722"/>
      <c r="H154" s="1722"/>
      <c r="I154" s="1722"/>
      <c r="J154" s="1722"/>
      <c r="K154" s="1722"/>
      <c r="L154" s="1722"/>
      <c r="M154" s="1722"/>
      <c r="N154" s="1722"/>
      <c r="O154" s="1722"/>
      <c r="P154" s="1722"/>
      <c r="Q154" s="37"/>
    </row>
    <row r="155" spans="1:17" s="1804" customFormat="1">
      <c r="A155" s="1977"/>
      <c r="B155" s="1722"/>
      <c r="C155" s="1723" t="s">
        <v>1566</v>
      </c>
      <c r="D155" s="1722"/>
      <c r="E155" s="1722"/>
      <c r="F155" s="1722"/>
      <c r="G155" s="1722"/>
      <c r="H155" s="1722"/>
      <c r="I155" s="1722"/>
      <c r="J155" s="1722"/>
      <c r="K155" s="1722"/>
      <c r="L155" s="1722"/>
      <c r="M155" s="1722"/>
      <c r="N155" s="1722"/>
      <c r="O155" s="1987" t="str">
        <f>Preferences.moneyunits&amp;" per thousand vehicle units"</f>
        <v>£m per thousand vehicle units</v>
      </c>
      <c r="P155" s="1722"/>
      <c r="Q155" s="37"/>
    </row>
    <row r="156" spans="1:17" s="2042" customFormat="1" ht="7.5" customHeight="1">
      <c r="B156" s="1722"/>
      <c r="C156" s="1723"/>
      <c r="D156" s="1722"/>
      <c r="E156" s="1722"/>
      <c r="F156" s="1722"/>
      <c r="G156" s="1722"/>
      <c r="H156" s="1722"/>
      <c r="I156" s="1722"/>
      <c r="J156" s="1722"/>
      <c r="K156" s="1722"/>
      <c r="L156" s="1722"/>
      <c r="M156" s="1722"/>
      <c r="N156" s="1722"/>
      <c r="O156" s="1987"/>
      <c r="P156" s="1722"/>
      <c r="Q156" s="37"/>
    </row>
    <row r="157" spans="1:17" s="1804" customFormat="1" ht="14">
      <c r="A157" s="1977"/>
      <c r="B157" s="1704"/>
      <c r="C157" s="1784" t="s">
        <v>1816</v>
      </c>
      <c r="D157" s="1950"/>
      <c r="E157" s="1961" t="s">
        <v>1413</v>
      </c>
      <c r="F157" s="1963">
        <v>2007</v>
      </c>
      <c r="G157" s="1786">
        <v>2010</v>
      </c>
      <c r="H157" s="1786">
        <v>2015</v>
      </c>
      <c r="I157" s="1786">
        <v>2020</v>
      </c>
      <c r="J157" s="1786">
        <v>2025</v>
      </c>
      <c r="K157" s="1786">
        <v>2030</v>
      </c>
      <c r="L157" s="1786">
        <v>2035</v>
      </c>
      <c r="M157" s="1786">
        <v>2040</v>
      </c>
      <c r="N157" s="1786">
        <v>2045</v>
      </c>
      <c r="O157" s="1786">
        <v>2050</v>
      </c>
      <c r="P157" s="1722"/>
      <c r="Q157" s="37"/>
    </row>
    <row r="158" spans="1:17" s="1977" customFormat="1" ht="14">
      <c r="B158" s="1704"/>
      <c r="C158" s="1945" t="s">
        <v>942</v>
      </c>
      <c r="D158" s="1477" t="s">
        <v>1582</v>
      </c>
      <c r="E158" s="1945">
        <f>(O158-G158)/(O$157-G$157)</f>
        <v>0</v>
      </c>
      <c r="F158" s="1971">
        <f>2545742.9*Price2010*GBP*1000</f>
        <v>2545.7428999999997</v>
      </c>
      <c r="G158" s="1971">
        <f>2545742.9*Price2010*GBP*1000</f>
        <v>2545.7428999999997</v>
      </c>
      <c r="H158" s="1971">
        <f>G158+$E158*(H$157-G$157)</f>
        <v>2545.7428999999997</v>
      </c>
      <c r="I158" s="1971">
        <f t="shared" ref="I158" si="23">H158+$E158*(I$157-H$157)</f>
        <v>2545.7428999999997</v>
      </c>
      <c r="J158" s="1971">
        <f t="shared" ref="J158" si="24">I158+$E158*(J$157-I$157)</f>
        <v>2545.7428999999997</v>
      </c>
      <c r="K158" s="1971">
        <f t="shared" ref="K158" si="25">J158+$E158*(K$157-J$157)</f>
        <v>2545.7428999999997</v>
      </c>
      <c r="L158" s="1971">
        <f t="shared" ref="L158" si="26">K158+$E158*(L$157-K$157)</f>
        <v>2545.7428999999997</v>
      </c>
      <c r="M158" s="1971">
        <f t="shared" ref="M158" si="27">L158+$E158*(M$157-L$157)</f>
        <v>2545.7428999999997</v>
      </c>
      <c r="N158" s="1971">
        <f t="shared" ref="N158" si="28">M158+$E158*(N$157-M$157)</f>
        <v>2545.7428999999997</v>
      </c>
      <c r="O158" s="1971">
        <f>2545742.9*Price2010*GBP*1000</f>
        <v>2545.7428999999997</v>
      </c>
      <c r="P158" s="1722"/>
      <c r="Q158" s="37"/>
    </row>
    <row r="159" spans="1:17" s="1804" customFormat="1" ht="14">
      <c r="A159" s="1977"/>
      <c r="B159" s="1704"/>
      <c r="C159" s="1722" t="s">
        <v>942</v>
      </c>
      <c r="D159" s="1721" t="s">
        <v>741</v>
      </c>
      <c r="E159" s="1722">
        <f t="shared" ref="E159:E161" si="29">(O159-G159)/(O$157-G$157)</f>
        <v>5.0000000101135814E-6</v>
      </c>
      <c r="F159" s="1794">
        <f>2233107.8*Price2010*GBP*1000</f>
        <v>2233.1077999999993</v>
      </c>
      <c r="G159" s="1794">
        <f>2233107.8*Price2010*GBP*1000</f>
        <v>2233.1077999999993</v>
      </c>
      <c r="H159" s="1794">
        <f t="shared" ref="H159:N159" si="30">G159+$E159*(H$157-G$157)</f>
        <v>2233.1078249999991</v>
      </c>
      <c r="I159" s="1794">
        <f t="shared" si="30"/>
        <v>2233.1078499999994</v>
      </c>
      <c r="J159" s="1794">
        <f t="shared" si="30"/>
        <v>2233.1078749999997</v>
      </c>
      <c r="K159" s="1794">
        <f t="shared" si="30"/>
        <v>2233.1079</v>
      </c>
      <c r="L159" s="1794">
        <f t="shared" si="30"/>
        <v>2233.1079250000003</v>
      </c>
      <c r="M159" s="1794">
        <f t="shared" si="30"/>
        <v>2233.1079500000005</v>
      </c>
      <c r="N159" s="1794">
        <f t="shared" si="30"/>
        <v>2233.1079750000008</v>
      </c>
      <c r="O159" s="1794">
        <f>2233108*1000*Price2010*GBP</f>
        <v>2233.1079999999997</v>
      </c>
      <c r="P159" s="1722"/>
      <c r="Q159" s="37"/>
    </row>
    <row r="160" spans="1:17" s="1804" customFormat="1" ht="14">
      <c r="A160" s="1977"/>
      <c r="B160" s="1704"/>
      <c r="C160" s="1722" t="s">
        <v>938</v>
      </c>
      <c r="D160" s="1721" t="s">
        <v>1583</v>
      </c>
      <c r="E160" s="1722">
        <f>(O160-G160)/(O$157-G$157)</f>
        <v>0</v>
      </c>
      <c r="F160" s="1794">
        <f>70790*GBP*Price2010*1000</f>
        <v>70.789999999999992</v>
      </c>
      <c r="G160" s="1794">
        <f>70790*Price2010*GBP*1000</f>
        <v>70.789999999999992</v>
      </c>
      <c r="H160" s="1794">
        <f t="shared" ref="H160:N160" si="31">G160+$E160*(H$157-G$157)</f>
        <v>70.789999999999992</v>
      </c>
      <c r="I160" s="1794">
        <f t="shared" si="31"/>
        <v>70.789999999999992</v>
      </c>
      <c r="J160" s="1794">
        <f t="shared" si="31"/>
        <v>70.789999999999992</v>
      </c>
      <c r="K160" s="1794">
        <f t="shared" si="31"/>
        <v>70.789999999999992</v>
      </c>
      <c r="L160" s="1794">
        <f t="shared" si="31"/>
        <v>70.789999999999992</v>
      </c>
      <c r="M160" s="1794">
        <f t="shared" si="31"/>
        <v>70.789999999999992</v>
      </c>
      <c r="N160" s="1794">
        <f t="shared" si="31"/>
        <v>70.789999999999992</v>
      </c>
      <c r="O160" s="1794">
        <f>70790*Price2010*GBP*1000</f>
        <v>70.789999999999992</v>
      </c>
      <c r="P160" s="1722"/>
      <c r="Q160" s="37"/>
    </row>
    <row r="161" spans="1:19" s="1804" customFormat="1" ht="14">
      <c r="A161" s="1977"/>
      <c r="B161" s="1722"/>
      <c r="C161" s="864" t="s">
        <v>938</v>
      </c>
      <c r="D161" s="599" t="s">
        <v>1584</v>
      </c>
      <c r="E161" s="864">
        <f t="shared" si="29"/>
        <v>0</v>
      </c>
      <c r="F161" s="1970">
        <f>1727273*GBP*Price2010*1000</f>
        <v>1727.2729999999999</v>
      </c>
      <c r="G161" s="1970">
        <f>1727273*Price2010*GBP*1000</f>
        <v>1727.2729999999999</v>
      </c>
      <c r="H161" s="1970">
        <f t="shared" ref="H161:N161" si="32">G161+$E161*(H$157-G$157)</f>
        <v>1727.2729999999999</v>
      </c>
      <c r="I161" s="1970">
        <f t="shared" si="32"/>
        <v>1727.2729999999999</v>
      </c>
      <c r="J161" s="1970">
        <f t="shared" si="32"/>
        <v>1727.2729999999999</v>
      </c>
      <c r="K161" s="1970">
        <f t="shared" si="32"/>
        <v>1727.2729999999999</v>
      </c>
      <c r="L161" s="1970">
        <f t="shared" si="32"/>
        <v>1727.2729999999999</v>
      </c>
      <c r="M161" s="1970">
        <f t="shared" si="32"/>
        <v>1727.2729999999999</v>
      </c>
      <c r="N161" s="1970">
        <f t="shared" si="32"/>
        <v>1727.2729999999999</v>
      </c>
      <c r="O161" s="1970">
        <f>1727273*Price2010*GBP*1000</f>
        <v>1727.2729999999999</v>
      </c>
      <c r="P161" s="1722"/>
      <c r="Q161" s="37"/>
      <c r="R161" s="2007"/>
      <c r="S161" s="2007"/>
    </row>
    <row r="162" spans="1:19" s="1804" customFormat="1">
      <c r="A162" s="1977"/>
      <c r="B162" s="1722"/>
      <c r="C162" s="1704"/>
      <c r="D162" s="1704"/>
      <c r="E162" s="1704"/>
      <c r="F162" s="1704"/>
      <c r="G162" s="1704"/>
      <c r="H162" s="1704"/>
      <c r="I162" s="1704"/>
      <c r="J162" s="1704"/>
      <c r="K162" s="1704"/>
      <c r="L162" s="1704"/>
      <c r="M162" s="1704"/>
      <c r="N162" s="1704"/>
      <c r="O162" s="1704"/>
      <c r="P162" s="1722"/>
      <c r="Q162" s="37"/>
      <c r="R162" s="2007"/>
      <c r="S162" s="2007"/>
    </row>
    <row r="163" spans="1:19" s="1991" customFormat="1" ht="13.5" customHeight="1">
      <c r="B163" s="1722"/>
      <c r="C163" s="1721"/>
      <c r="D163" s="1721"/>
      <c r="E163" s="1722"/>
      <c r="F163" s="1097"/>
      <c r="G163" s="1097"/>
      <c r="H163" s="1794"/>
      <c r="I163" s="1794"/>
      <c r="J163" s="1794"/>
      <c r="K163" s="1794"/>
      <c r="L163" s="1794"/>
      <c r="M163" s="1794"/>
      <c r="N163" s="1794"/>
      <c r="O163" s="1987" t="str">
        <f>Preferences.moneyunits&amp;" per thousand vehicle units"</f>
        <v>£m per thousand vehicle units</v>
      </c>
      <c r="P163" s="1722"/>
      <c r="Q163" s="37"/>
      <c r="R163" s="2007"/>
      <c r="S163" s="2007"/>
    </row>
    <row r="164" spans="1:19" s="1991" customFormat="1" ht="13.5" customHeight="1">
      <c r="B164" s="1722"/>
      <c r="C164" s="1962" t="s">
        <v>1802</v>
      </c>
      <c r="D164" s="1950"/>
      <c r="E164" s="1961" t="s">
        <v>1413</v>
      </c>
      <c r="F164" s="1963">
        <v>2007</v>
      </c>
      <c r="G164" s="1963">
        <v>2010</v>
      </c>
      <c r="H164" s="1963">
        <v>2015</v>
      </c>
      <c r="I164" s="1963">
        <v>2020</v>
      </c>
      <c r="J164" s="1963">
        <v>2025</v>
      </c>
      <c r="K164" s="1963">
        <v>2030</v>
      </c>
      <c r="L164" s="1963">
        <v>2035</v>
      </c>
      <c r="M164" s="1963">
        <v>2040</v>
      </c>
      <c r="N164" s="1969">
        <v>2045</v>
      </c>
      <c r="O164" s="1969">
        <v>2050</v>
      </c>
      <c r="P164" s="1722"/>
      <c r="Q164" s="37"/>
      <c r="R164" s="2007"/>
      <c r="S164" s="2007"/>
    </row>
    <row r="165" spans="1:19" s="1991" customFormat="1" ht="13.5" customHeight="1">
      <c r="B165" s="1722"/>
      <c r="C165" s="1945" t="s">
        <v>942</v>
      </c>
      <c r="D165" s="1477" t="s">
        <v>1582</v>
      </c>
      <c r="E165" s="1945">
        <f>(O165-G165)/(O$164-G$164)</f>
        <v>-5.0803171249999988</v>
      </c>
      <c r="F165" s="1971">
        <f>((F158-F172)*0.35)+F172</f>
        <v>2545.7428999999997</v>
      </c>
      <c r="G165" s="1971">
        <f t="shared" ref="G165:O165" si="33">((G158-G172)*0.35)+G172</f>
        <v>2545.7428999999997</v>
      </c>
      <c r="H165" s="1971">
        <f t="shared" si="33"/>
        <v>2520.3413143749995</v>
      </c>
      <c r="I165" s="1971">
        <f t="shared" si="33"/>
        <v>2494.9397287499996</v>
      </c>
      <c r="J165" s="1971">
        <f t="shared" si="33"/>
        <v>2469.5381431249994</v>
      </c>
      <c r="K165" s="1971">
        <f t="shared" si="33"/>
        <v>2444.1365574999995</v>
      </c>
      <c r="L165" s="1971">
        <f t="shared" si="33"/>
        <v>2418.7349718749992</v>
      </c>
      <c r="M165" s="1971">
        <f t="shared" si="33"/>
        <v>2393.3333862499994</v>
      </c>
      <c r="N165" s="1971">
        <f t="shared" si="33"/>
        <v>2367.9318006249991</v>
      </c>
      <c r="O165" s="1971">
        <f t="shared" si="33"/>
        <v>2342.5302149999998</v>
      </c>
      <c r="P165" s="1722"/>
      <c r="R165" s="2007"/>
      <c r="S165" s="2007"/>
    </row>
    <row r="166" spans="1:19" s="1991" customFormat="1" ht="13.5" customHeight="1">
      <c r="B166" s="1722"/>
      <c r="C166" s="1722" t="s">
        <v>942</v>
      </c>
      <c r="D166" s="1721" t="s">
        <v>741</v>
      </c>
      <c r="E166" s="1722">
        <f t="shared" ref="E166:E168" si="34">(O166-G166)/(O$164-G$164)</f>
        <v>5.0000000101135814E-6</v>
      </c>
      <c r="F166" s="1794">
        <f>2233107.8*Price2010*GBP*1000</f>
        <v>2233.1077999999993</v>
      </c>
      <c r="G166" s="1794">
        <f>2233107.8*Price2010*GBP*1000</f>
        <v>2233.1077999999993</v>
      </c>
      <c r="H166" s="1794">
        <f t="shared" ref="H166:N166" si="35">G166+$E166*(H$157-G$157)</f>
        <v>2233.1078249999991</v>
      </c>
      <c r="I166" s="1794">
        <f t="shared" si="35"/>
        <v>2233.1078499999994</v>
      </c>
      <c r="J166" s="1794">
        <f t="shared" si="35"/>
        <v>2233.1078749999997</v>
      </c>
      <c r="K166" s="1794">
        <f t="shared" si="35"/>
        <v>2233.1079</v>
      </c>
      <c r="L166" s="1794">
        <f t="shared" si="35"/>
        <v>2233.1079250000003</v>
      </c>
      <c r="M166" s="1794">
        <f t="shared" si="35"/>
        <v>2233.1079500000005</v>
      </c>
      <c r="N166" s="1794">
        <f t="shared" si="35"/>
        <v>2233.1079750000008</v>
      </c>
      <c r="O166" s="1794">
        <f>2233108*Price2010*1000*GBP</f>
        <v>2233.1079999999997</v>
      </c>
      <c r="P166" s="1722"/>
      <c r="R166" s="2007"/>
      <c r="S166" s="2007"/>
    </row>
    <row r="167" spans="1:19" s="1991" customFormat="1" ht="13.5" customHeight="1">
      <c r="B167" s="1722"/>
      <c r="C167" s="1722" t="s">
        <v>938</v>
      </c>
      <c r="D167" s="1721" t="s">
        <v>1583</v>
      </c>
      <c r="E167" s="1722">
        <f>(O167-G167)/(O$164-G$164)</f>
        <v>-0.18568499999999996</v>
      </c>
      <c r="F167" s="1794">
        <f>70790*Price2010*GBP*1000</f>
        <v>70.789999999999992</v>
      </c>
      <c r="G167" s="1794">
        <f>70790*Price2010*GBP*1000</f>
        <v>70.789999999999992</v>
      </c>
      <c r="H167" s="1794">
        <f>G167+$E167*(H$157-G$157)</f>
        <v>69.861574999999988</v>
      </c>
      <c r="I167" s="1794">
        <f t="shared" ref="I167:N167" si="36">H167+$E167*(I$157-H$157)</f>
        <v>68.933149999999983</v>
      </c>
      <c r="J167" s="1794">
        <f t="shared" si="36"/>
        <v>68.004724999999979</v>
      </c>
      <c r="K167" s="1794">
        <f t="shared" si="36"/>
        <v>67.076299999999975</v>
      </c>
      <c r="L167" s="1794">
        <f t="shared" si="36"/>
        <v>66.147874999999971</v>
      </c>
      <c r="M167" s="1794">
        <f t="shared" si="36"/>
        <v>65.219449999999966</v>
      </c>
      <c r="N167" s="1794">
        <f t="shared" si="36"/>
        <v>64.291024999999962</v>
      </c>
      <c r="O167" s="1794">
        <f>63362.6*Price2010*GBP*1000</f>
        <v>63.362599999999993</v>
      </c>
      <c r="P167" s="1722"/>
      <c r="R167" s="2007"/>
      <c r="S167" s="2007"/>
    </row>
    <row r="168" spans="1:19" s="1991" customFormat="1" ht="13.5" customHeight="1">
      <c r="B168" s="1722"/>
      <c r="C168" s="864" t="s">
        <v>938</v>
      </c>
      <c r="D168" s="599" t="s">
        <v>1584</v>
      </c>
      <c r="E168" s="864">
        <f t="shared" si="34"/>
        <v>-25.363162500000001</v>
      </c>
      <c r="F168" s="2054">
        <f>(F175+((F161-F175)*0.35))</f>
        <v>1727.2729999999999</v>
      </c>
      <c r="G168" s="2054">
        <f>(G175+((G161-G175)*0.35))</f>
        <v>1727.2729999999999</v>
      </c>
      <c r="H168" s="1970">
        <f>G168+$E168*(H$157-G$157)</f>
        <v>1600.4571874999999</v>
      </c>
      <c r="I168" s="1970">
        <f t="shared" ref="I168:N168" si="37">H168+$E168*(I$157-H$157)</f>
        <v>1473.6413749999999</v>
      </c>
      <c r="J168" s="1970">
        <f t="shared" si="37"/>
        <v>1346.8255624999999</v>
      </c>
      <c r="K168" s="1970">
        <f t="shared" si="37"/>
        <v>1220.0097499999999</v>
      </c>
      <c r="L168" s="1970">
        <f t="shared" si="37"/>
        <v>1093.1939374999999</v>
      </c>
      <c r="M168" s="1970">
        <f t="shared" si="37"/>
        <v>966.37812499999995</v>
      </c>
      <c r="N168" s="1970">
        <f t="shared" si="37"/>
        <v>839.56231249999996</v>
      </c>
      <c r="O168" s="2054">
        <f>(O175+((O161-O175)*0.35))</f>
        <v>712.74649999999986</v>
      </c>
      <c r="P168" s="1722"/>
      <c r="R168" s="2007"/>
      <c r="S168" s="2007"/>
    </row>
    <row r="169" spans="1:19" s="1991" customFormat="1" ht="13.5" customHeight="1">
      <c r="B169" s="1722"/>
      <c r="C169" s="1704"/>
      <c r="D169" s="1704"/>
      <c r="E169" s="1704"/>
      <c r="F169" s="1704"/>
      <c r="G169" s="1704"/>
      <c r="H169" s="1704"/>
      <c r="I169" s="1704"/>
      <c r="J169" s="1704"/>
      <c r="K169" s="1704"/>
      <c r="L169" s="1704"/>
      <c r="M169" s="1704"/>
      <c r="N169" s="1704"/>
      <c r="O169" s="1704"/>
      <c r="P169" s="1722"/>
      <c r="R169" s="2007"/>
      <c r="S169" s="2007"/>
    </row>
    <row r="170" spans="1:19" s="1804" customFormat="1" ht="14">
      <c r="A170" s="1977"/>
      <c r="B170" s="1722"/>
      <c r="C170" s="599"/>
      <c r="D170" s="599"/>
      <c r="E170" s="864"/>
      <c r="F170" s="1783"/>
      <c r="G170" s="1783"/>
      <c r="H170" s="1970"/>
      <c r="I170" s="1970"/>
      <c r="J170" s="1970"/>
      <c r="K170" s="1970"/>
      <c r="L170" s="1970"/>
      <c r="M170" s="1970"/>
      <c r="N170" s="1970"/>
      <c r="O170" s="1987" t="str">
        <f>Preferences.moneyunits&amp;" per thousand vehicle units"</f>
        <v>£m per thousand vehicle units</v>
      </c>
      <c r="P170" s="1722"/>
      <c r="Q170" s="37"/>
      <c r="R170" s="2007"/>
      <c r="S170" s="2007"/>
    </row>
    <row r="171" spans="1:19" s="1816" customFormat="1" ht="14">
      <c r="A171" s="1977"/>
      <c r="B171" s="1704"/>
      <c r="C171" s="1784" t="s">
        <v>1815</v>
      </c>
      <c r="D171" s="1785"/>
      <c r="E171" s="1988" t="s">
        <v>1413</v>
      </c>
      <c r="F171" s="1786">
        <v>2007</v>
      </c>
      <c r="G171" s="1786">
        <v>2010</v>
      </c>
      <c r="H171" s="1786">
        <v>2015</v>
      </c>
      <c r="I171" s="1786">
        <v>2020</v>
      </c>
      <c r="J171" s="1786">
        <v>2025</v>
      </c>
      <c r="K171" s="1786">
        <v>2030</v>
      </c>
      <c r="L171" s="1786">
        <v>2035</v>
      </c>
      <c r="M171" s="1786">
        <v>2040</v>
      </c>
      <c r="N171" s="1786">
        <v>2045</v>
      </c>
      <c r="O171" s="1969">
        <v>2050</v>
      </c>
      <c r="P171" s="1722"/>
      <c r="Q171" s="37"/>
      <c r="R171" s="2007"/>
      <c r="S171" s="2007"/>
    </row>
    <row r="172" spans="1:19" s="1804" customFormat="1" ht="14">
      <c r="A172" s="1977"/>
      <c r="B172" s="1129"/>
      <c r="C172" s="1945" t="s">
        <v>942</v>
      </c>
      <c r="D172" s="1477" t="s">
        <v>1582</v>
      </c>
      <c r="E172" s="1945">
        <f>(O172-G172)/(O$171-G$171)</f>
        <v>-7.8158725000000002</v>
      </c>
      <c r="F172" s="1971">
        <f>2545742.9*GBP*Price2010*1000</f>
        <v>2545.7428999999997</v>
      </c>
      <c r="G172" s="1971">
        <f>2545742.9*Price2010*GBP*1000</f>
        <v>2545.7428999999997</v>
      </c>
      <c r="H172" s="1971">
        <f>G172+$E172*(H$171-G$171)</f>
        <v>2506.6635374999996</v>
      </c>
      <c r="I172" s="1971">
        <f t="shared" ref="I172:N172" si="38">H172+$E172*(I$171-H$171)</f>
        <v>2467.5841749999995</v>
      </c>
      <c r="J172" s="1971">
        <f t="shared" si="38"/>
        <v>2428.5048124999994</v>
      </c>
      <c r="K172" s="1971">
        <f t="shared" si="38"/>
        <v>2389.4254499999993</v>
      </c>
      <c r="L172" s="1971">
        <f t="shared" si="38"/>
        <v>2350.3460874999992</v>
      </c>
      <c r="M172" s="1971">
        <f t="shared" si="38"/>
        <v>2311.266724999999</v>
      </c>
      <c r="N172" s="1971">
        <f t="shared" si="38"/>
        <v>2272.1873624999989</v>
      </c>
      <c r="O172" s="1794">
        <f>2233108*1000*Price2010*GBP</f>
        <v>2233.1079999999997</v>
      </c>
      <c r="P172" s="1722"/>
      <c r="Q172" s="37"/>
      <c r="R172" s="2007"/>
      <c r="S172" s="2007"/>
    </row>
    <row r="173" spans="1:19" s="1977" customFormat="1" ht="14">
      <c r="B173" s="1129"/>
      <c r="C173" s="1722" t="s">
        <v>942</v>
      </c>
      <c r="D173" s="1721" t="s">
        <v>741</v>
      </c>
      <c r="E173" s="1722">
        <f t="shared" ref="E173:E174" si="39">(O173-G173)/(O$171-G$171)</f>
        <v>5.0000000101135814E-6</v>
      </c>
      <c r="F173" s="1794">
        <f>2233107.8*Price2010*GBP*1000</f>
        <v>2233.1077999999993</v>
      </c>
      <c r="G173" s="1794">
        <f>2233107.8*Price2010*GBP*1000</f>
        <v>2233.1077999999993</v>
      </c>
      <c r="H173" s="1794">
        <f t="shared" ref="H173:N173" si="40">G173+$E173*(H$171-G$171)</f>
        <v>2233.1078249999991</v>
      </c>
      <c r="I173" s="1794">
        <f t="shared" si="40"/>
        <v>2233.1078499999994</v>
      </c>
      <c r="J173" s="1794">
        <f t="shared" si="40"/>
        <v>2233.1078749999997</v>
      </c>
      <c r="K173" s="1794">
        <f t="shared" si="40"/>
        <v>2233.1079</v>
      </c>
      <c r="L173" s="1794">
        <f t="shared" si="40"/>
        <v>2233.1079250000003</v>
      </c>
      <c r="M173" s="1794">
        <f t="shared" si="40"/>
        <v>2233.1079500000005</v>
      </c>
      <c r="N173" s="1794">
        <f t="shared" si="40"/>
        <v>2233.1079750000008</v>
      </c>
      <c r="O173" s="1794">
        <f>2233108*1000*Price2010*GBP</f>
        <v>2233.1079999999997</v>
      </c>
      <c r="P173" s="1722"/>
      <c r="Q173" s="37"/>
      <c r="R173" s="2007"/>
      <c r="S173" s="2007"/>
    </row>
    <row r="174" spans="1:19" s="1044" customFormat="1" ht="14">
      <c r="A174" s="1977"/>
      <c r="B174" s="1129"/>
      <c r="C174" s="1722" t="s">
        <v>938</v>
      </c>
      <c r="D174" s="1721" t="s">
        <v>1583</v>
      </c>
      <c r="E174" s="1722">
        <f t="shared" si="39"/>
        <v>-0.64474999999999982</v>
      </c>
      <c r="F174" s="1794">
        <f>70790*GBP*Price2010*1000</f>
        <v>70.789999999999992</v>
      </c>
      <c r="G174" s="1794">
        <f>70790*Price2010*GBP*1000</f>
        <v>70.789999999999992</v>
      </c>
      <c r="H174" s="1794">
        <f t="shared" ref="H174:N174" si="41">G174+$E174*(H$171-G$171)</f>
        <v>67.566249999999997</v>
      </c>
      <c r="I174" s="1794">
        <f t="shared" si="41"/>
        <v>64.342500000000001</v>
      </c>
      <c r="J174" s="1794">
        <f t="shared" si="41"/>
        <v>61.118750000000006</v>
      </c>
      <c r="K174" s="1794">
        <f t="shared" si="41"/>
        <v>57.89500000000001</v>
      </c>
      <c r="L174" s="1794">
        <f t="shared" si="41"/>
        <v>54.671250000000015</v>
      </c>
      <c r="M174" s="1794">
        <f t="shared" si="41"/>
        <v>51.447500000000019</v>
      </c>
      <c r="N174" s="1794">
        <f t="shared" si="41"/>
        <v>48.223750000000024</v>
      </c>
      <c r="O174" s="1794">
        <f>45000*1000*Price2010*GBP</f>
        <v>45</v>
      </c>
      <c r="P174" s="1722"/>
      <c r="Q174" s="37"/>
      <c r="R174" s="2007"/>
      <c r="S174" s="2007"/>
    </row>
    <row r="175" spans="1:19" s="1044" customFormat="1" ht="14">
      <c r="A175" s="1977"/>
      <c r="B175" s="1129"/>
      <c r="C175" s="864" t="s">
        <v>938</v>
      </c>
      <c r="D175" s="599" t="s">
        <v>1584</v>
      </c>
      <c r="E175" s="864">
        <f>(O175-G175)/(O$171-G$171)</f>
        <v>-39.020249999999997</v>
      </c>
      <c r="F175" s="1970">
        <f>1727273*GBP*Price2010*1000</f>
        <v>1727.2729999999999</v>
      </c>
      <c r="G175" s="1970">
        <f>1727273*Price2010*GBP*1000</f>
        <v>1727.2729999999999</v>
      </c>
      <c r="H175" s="1970">
        <f t="shared" ref="H175:N175" si="42">G175+$E175*(H$171-G$171)</f>
        <v>1532.17175</v>
      </c>
      <c r="I175" s="1970">
        <f t="shared" si="42"/>
        <v>1337.0705</v>
      </c>
      <c r="J175" s="1970">
        <f t="shared" si="42"/>
        <v>1141.9692500000001</v>
      </c>
      <c r="K175" s="1970">
        <f t="shared" si="42"/>
        <v>946.86800000000017</v>
      </c>
      <c r="L175" s="1970">
        <f t="shared" si="42"/>
        <v>751.76675000000023</v>
      </c>
      <c r="M175" s="1970">
        <f t="shared" si="42"/>
        <v>556.66550000000029</v>
      </c>
      <c r="N175" s="1970">
        <f t="shared" si="42"/>
        <v>361.5642500000003</v>
      </c>
      <c r="O175" s="1970">
        <f>166463*1000*Price2010*GBP</f>
        <v>166.46299999999999</v>
      </c>
      <c r="P175" s="1722"/>
      <c r="Q175" s="37"/>
      <c r="R175" s="2007"/>
      <c r="S175" s="2007"/>
    </row>
    <row r="176" spans="1:19" s="1044" customFormat="1" ht="14">
      <c r="A176" s="1977"/>
      <c r="B176" s="1129"/>
      <c r="C176" s="1721"/>
      <c r="D176" s="1721"/>
      <c r="E176" s="1722"/>
      <c r="F176" s="1097"/>
      <c r="G176" s="1097"/>
      <c r="H176" s="1794"/>
      <c r="I176" s="1794"/>
      <c r="J176" s="1794"/>
      <c r="K176" s="1794"/>
      <c r="L176" s="1794"/>
      <c r="M176" s="1794"/>
      <c r="N176" s="1794"/>
      <c r="O176" s="1097"/>
      <c r="P176" s="1722"/>
      <c r="Q176" s="37"/>
      <c r="R176" s="2007"/>
      <c r="S176" s="2007"/>
    </row>
    <row r="177" spans="1:19" s="1044" customFormat="1">
      <c r="A177" s="1977"/>
      <c r="B177" s="1129"/>
      <c r="C177" s="1724" t="s">
        <v>1567</v>
      </c>
      <c r="D177" s="1704"/>
      <c r="E177" s="1704"/>
      <c r="F177" s="1704"/>
      <c r="G177" s="1704"/>
      <c r="H177" s="1704"/>
      <c r="I177" s="1704"/>
      <c r="J177" s="1704"/>
      <c r="K177" s="1704"/>
      <c r="L177" s="1704"/>
      <c r="M177" s="1704"/>
      <c r="N177" s="1704"/>
      <c r="O177" s="1704"/>
      <c r="P177" s="1722"/>
      <c r="Q177" s="37"/>
      <c r="R177" s="2007"/>
      <c r="S177" s="2007"/>
    </row>
    <row r="178" spans="1:19" s="1044" customFormat="1" ht="7.5" customHeight="1">
      <c r="A178" s="1977"/>
      <c r="B178" s="1129"/>
      <c r="C178" s="1704"/>
      <c r="D178" s="1721"/>
      <c r="E178" s="1722"/>
      <c r="F178" s="1097"/>
      <c r="G178" s="1097"/>
      <c r="H178" s="1794"/>
      <c r="I178" s="1794"/>
      <c r="J178" s="1794"/>
      <c r="K178" s="1794"/>
      <c r="L178" s="1794"/>
      <c r="M178" s="1794"/>
      <c r="N178" s="1794"/>
      <c r="O178" s="1987" t="str">
        <f>Preferences.moneyunits&amp;" per thousand vehicle units"</f>
        <v>£m per thousand vehicle units</v>
      </c>
      <c r="P178" s="1722"/>
      <c r="Q178" s="37"/>
      <c r="R178" s="2007"/>
      <c r="S178" s="2007"/>
    </row>
    <row r="179" spans="1:19" s="1044" customFormat="1" ht="14">
      <c r="A179" s="1977"/>
      <c r="B179" s="1129"/>
      <c r="C179" s="1962" t="s">
        <v>1812</v>
      </c>
      <c r="D179" s="1967"/>
      <c r="E179" s="1968" t="s">
        <v>1413</v>
      </c>
      <c r="F179" s="1969">
        <v>2007</v>
      </c>
      <c r="G179" s="1963">
        <v>2010</v>
      </c>
      <c r="H179" s="1786">
        <v>2015</v>
      </c>
      <c r="I179" s="1786">
        <v>2020</v>
      </c>
      <c r="J179" s="1786">
        <v>2025</v>
      </c>
      <c r="K179" s="1786">
        <v>2030</v>
      </c>
      <c r="L179" s="1786">
        <v>2035</v>
      </c>
      <c r="M179" s="1786">
        <v>2040</v>
      </c>
      <c r="N179" s="1786">
        <v>2045</v>
      </c>
      <c r="O179" s="1786">
        <v>2050</v>
      </c>
      <c r="P179" s="1722"/>
      <c r="Q179" s="37"/>
      <c r="R179" s="2007"/>
      <c r="S179" s="2007"/>
    </row>
    <row r="180" spans="1:19" s="1044" customFormat="1" ht="14">
      <c r="A180" s="1977"/>
      <c r="B180" s="1129"/>
      <c r="C180" s="1945" t="s">
        <v>942</v>
      </c>
      <c r="D180" s="1477" t="s">
        <v>1582</v>
      </c>
      <c r="E180" s="1945">
        <f>(O180-G180)/(O$179-G$179)</f>
        <v>0</v>
      </c>
      <c r="F180" s="1971">
        <f>31264*GBP*1000</f>
        <v>31.263999999999999</v>
      </c>
      <c r="G180" s="1971">
        <f>31264*GBP*1000</f>
        <v>31.263999999999999</v>
      </c>
      <c r="H180" s="1971">
        <f t="shared" ref="H180:N183" si="43">G180+$E180*(H$179-G$179)</f>
        <v>31.263999999999999</v>
      </c>
      <c r="I180" s="1971">
        <f t="shared" si="43"/>
        <v>31.263999999999999</v>
      </c>
      <c r="J180" s="1971">
        <f t="shared" si="43"/>
        <v>31.263999999999999</v>
      </c>
      <c r="K180" s="1971">
        <f t="shared" si="43"/>
        <v>31.263999999999999</v>
      </c>
      <c r="L180" s="1971">
        <f t="shared" si="43"/>
        <v>31.263999999999999</v>
      </c>
      <c r="M180" s="1971">
        <f t="shared" si="43"/>
        <v>31.263999999999999</v>
      </c>
      <c r="N180" s="1971">
        <f t="shared" si="43"/>
        <v>31.263999999999999</v>
      </c>
      <c r="O180" s="1971">
        <f>31264*GBP*1000</f>
        <v>31.263999999999999</v>
      </c>
      <c r="P180" s="1722"/>
      <c r="Q180" s="37"/>
      <c r="R180" s="2007"/>
      <c r="S180" s="2007"/>
    </row>
    <row r="181" spans="1:19" s="1044" customFormat="1" ht="14">
      <c r="A181" s="1977"/>
      <c r="B181" s="1129"/>
      <c r="C181" s="1722" t="s">
        <v>942</v>
      </c>
      <c r="D181" s="1721" t="s">
        <v>741</v>
      </c>
      <c r="E181" s="1722">
        <f>(O181-G181)/(O$179-G$179)</f>
        <v>0</v>
      </c>
      <c r="F181" s="1794">
        <f>22045*GBP*1000</f>
        <v>22.044999999999998</v>
      </c>
      <c r="G181" s="1794">
        <f>22045*GBP*1000</f>
        <v>22.044999999999998</v>
      </c>
      <c r="H181" s="1794">
        <f t="shared" si="43"/>
        <v>22.044999999999998</v>
      </c>
      <c r="I181" s="1794">
        <f t="shared" si="43"/>
        <v>22.044999999999998</v>
      </c>
      <c r="J181" s="1794">
        <f t="shared" si="43"/>
        <v>22.044999999999998</v>
      </c>
      <c r="K181" s="1794">
        <f t="shared" si="43"/>
        <v>22.044999999999998</v>
      </c>
      <c r="L181" s="1794">
        <f t="shared" si="43"/>
        <v>22.044999999999998</v>
      </c>
      <c r="M181" s="1794">
        <f t="shared" si="43"/>
        <v>22.044999999999998</v>
      </c>
      <c r="N181" s="1794">
        <f t="shared" si="43"/>
        <v>22.044999999999998</v>
      </c>
      <c r="O181" s="1794">
        <f>22045*GBP*1000</f>
        <v>22.044999999999998</v>
      </c>
      <c r="P181" s="1722"/>
      <c r="Q181" s="37"/>
      <c r="R181" s="2007"/>
      <c r="S181" s="2007"/>
    </row>
    <row r="182" spans="1:19" s="1044" customFormat="1" ht="14">
      <c r="A182" s="1977"/>
      <c r="B182" s="1129"/>
      <c r="C182" s="1722" t="s">
        <v>938</v>
      </c>
      <c r="D182" s="1721" t="s">
        <v>1583</v>
      </c>
      <c r="E182" s="1722">
        <f>(O182-G182)/(O$179-G$179)</f>
        <v>0</v>
      </c>
      <c r="F182" s="1794">
        <f>15000*GBP*1000</f>
        <v>15</v>
      </c>
      <c r="G182" s="1794">
        <f>15000*GBP*1000</f>
        <v>15</v>
      </c>
      <c r="H182" s="1794">
        <f t="shared" si="43"/>
        <v>15</v>
      </c>
      <c r="I182" s="1794">
        <f t="shared" si="43"/>
        <v>15</v>
      </c>
      <c r="J182" s="1794">
        <f t="shared" si="43"/>
        <v>15</v>
      </c>
      <c r="K182" s="1794">
        <f t="shared" si="43"/>
        <v>15</v>
      </c>
      <c r="L182" s="1794">
        <f t="shared" si="43"/>
        <v>15</v>
      </c>
      <c r="M182" s="1794">
        <f t="shared" si="43"/>
        <v>15</v>
      </c>
      <c r="N182" s="1794">
        <f t="shared" si="43"/>
        <v>15</v>
      </c>
      <c r="O182" s="1794">
        <f>15000*GBP*1000</f>
        <v>15</v>
      </c>
      <c r="P182" s="1722"/>
      <c r="Q182" s="37"/>
      <c r="R182" s="2007"/>
      <c r="S182" s="2007"/>
    </row>
    <row r="183" spans="1:19" s="1044" customFormat="1" ht="14">
      <c r="A183" s="1977"/>
      <c r="B183" s="1129"/>
      <c r="C183" s="864" t="s">
        <v>938</v>
      </c>
      <c r="D183" s="599" t="s">
        <v>1584</v>
      </c>
      <c r="E183" s="864">
        <f>(O183-G183)/(O$179-G$179)</f>
        <v>0</v>
      </c>
      <c r="F183" s="1970">
        <f>30519*GBP*1000</f>
        <v>30.518999999999998</v>
      </c>
      <c r="G183" s="1970">
        <f>30519*GBP*1000</f>
        <v>30.518999999999998</v>
      </c>
      <c r="H183" s="1970">
        <f t="shared" si="43"/>
        <v>30.518999999999998</v>
      </c>
      <c r="I183" s="1970">
        <f t="shared" si="43"/>
        <v>30.518999999999998</v>
      </c>
      <c r="J183" s="1970">
        <f t="shared" si="43"/>
        <v>30.518999999999998</v>
      </c>
      <c r="K183" s="1970">
        <f t="shared" si="43"/>
        <v>30.518999999999998</v>
      </c>
      <c r="L183" s="1970">
        <f t="shared" si="43"/>
        <v>30.518999999999998</v>
      </c>
      <c r="M183" s="1970">
        <f t="shared" si="43"/>
        <v>30.518999999999998</v>
      </c>
      <c r="N183" s="1970">
        <f t="shared" si="43"/>
        <v>30.518999999999998</v>
      </c>
      <c r="O183" s="1970">
        <f>30519*GBP*1000</f>
        <v>30.518999999999998</v>
      </c>
      <c r="P183" s="1722"/>
      <c r="Q183" s="37"/>
      <c r="R183" s="2007"/>
      <c r="S183" s="2007"/>
    </row>
    <row r="184" spans="1:19" s="1044" customFormat="1" ht="14">
      <c r="A184" s="1977"/>
      <c r="B184" s="1129"/>
      <c r="C184" s="1722"/>
      <c r="D184" s="1721"/>
      <c r="E184" s="1722"/>
      <c r="F184" s="1097"/>
      <c r="G184" s="1097"/>
      <c r="H184" s="1794"/>
      <c r="I184" s="1794"/>
      <c r="J184" s="1794"/>
      <c r="K184" s="1794"/>
      <c r="L184" s="1794"/>
      <c r="M184" s="1794"/>
      <c r="N184" s="1794"/>
      <c r="O184" s="1097"/>
      <c r="P184" s="1722"/>
      <c r="Q184" s="37"/>
      <c r="R184" s="2007"/>
      <c r="S184" s="2007"/>
    </row>
    <row r="185" spans="1:19" s="1044" customFormat="1" ht="14">
      <c r="A185" s="1977"/>
      <c r="B185" s="1129"/>
      <c r="C185" s="1721"/>
      <c r="D185" s="1721"/>
      <c r="E185" s="1722"/>
      <c r="F185" s="1097"/>
      <c r="G185" s="1097"/>
      <c r="H185" s="1794"/>
      <c r="I185" s="1794"/>
      <c r="J185" s="1794"/>
      <c r="K185" s="1794"/>
      <c r="L185" s="1794"/>
      <c r="M185" s="1794"/>
      <c r="N185" s="1794"/>
      <c r="O185" s="1987" t="str">
        <f>Preferences.moneyunits&amp;" per thousand vehicle units"</f>
        <v>£m per thousand vehicle units</v>
      </c>
      <c r="P185" s="1722"/>
      <c r="Q185" s="37"/>
      <c r="R185" s="2007"/>
      <c r="S185" s="2007"/>
    </row>
    <row r="186" spans="1:19" s="1044" customFormat="1" ht="14">
      <c r="A186" s="1977"/>
      <c r="B186" s="1129"/>
      <c r="C186" s="1962" t="s">
        <v>1813</v>
      </c>
      <c r="D186" s="1950"/>
      <c r="E186" s="1961" t="s">
        <v>1413</v>
      </c>
      <c r="F186" s="1963">
        <v>2007</v>
      </c>
      <c r="G186" s="1963">
        <v>2010</v>
      </c>
      <c r="H186" s="1963">
        <v>2015</v>
      </c>
      <c r="I186" s="1963">
        <v>2020</v>
      </c>
      <c r="J186" s="1963">
        <v>2025</v>
      </c>
      <c r="K186" s="1963">
        <v>2030</v>
      </c>
      <c r="L186" s="1963">
        <v>2035</v>
      </c>
      <c r="M186" s="1963">
        <v>2040</v>
      </c>
      <c r="N186" s="1963">
        <v>2045</v>
      </c>
      <c r="O186" s="1963">
        <v>2050</v>
      </c>
      <c r="P186" s="1722"/>
      <c r="Q186" s="37"/>
      <c r="R186" s="2007"/>
      <c r="S186" s="2007"/>
    </row>
    <row r="187" spans="1:19" s="1044" customFormat="1" ht="14">
      <c r="A187" s="1977"/>
      <c r="B187" s="1129"/>
      <c r="C187" s="1945" t="s">
        <v>942</v>
      </c>
      <c r="D187" s="1477" t="s">
        <v>1582</v>
      </c>
      <c r="E187" s="1945">
        <f>(O187-G187)/(O$186-G$186)</f>
        <v>0</v>
      </c>
      <c r="F187" s="1971">
        <f>31264*GBP*1000</f>
        <v>31.263999999999999</v>
      </c>
      <c r="G187" s="1971">
        <f>31264*GBP*1000</f>
        <v>31.263999999999999</v>
      </c>
      <c r="H187" s="1971">
        <f t="shared" ref="H187:N190" si="44">G187+$E187*(H$186-G$186)</f>
        <v>31.263999999999999</v>
      </c>
      <c r="I187" s="1971">
        <f t="shared" si="44"/>
        <v>31.263999999999999</v>
      </c>
      <c r="J187" s="1971">
        <f t="shared" si="44"/>
        <v>31.263999999999999</v>
      </c>
      <c r="K187" s="1971">
        <f t="shared" si="44"/>
        <v>31.263999999999999</v>
      </c>
      <c r="L187" s="1971">
        <f t="shared" si="44"/>
        <v>31.263999999999999</v>
      </c>
      <c r="M187" s="1971">
        <f t="shared" si="44"/>
        <v>31.263999999999999</v>
      </c>
      <c r="N187" s="1971">
        <f t="shared" si="44"/>
        <v>31.263999999999999</v>
      </c>
      <c r="O187" s="1971">
        <f>31264*GBP*1000</f>
        <v>31.263999999999999</v>
      </c>
      <c r="P187" s="1722"/>
      <c r="Q187" s="37"/>
      <c r="R187" s="2007"/>
      <c r="S187" s="2007"/>
    </row>
    <row r="188" spans="1:19" s="1044" customFormat="1" ht="14">
      <c r="A188" s="1977"/>
      <c r="B188" s="1129"/>
      <c r="C188" s="1722" t="s">
        <v>942</v>
      </c>
      <c r="D188" s="1721" t="s">
        <v>741</v>
      </c>
      <c r="E188" s="1722">
        <f>(O188-G188)/(O$186-G$186)</f>
        <v>0</v>
      </c>
      <c r="F188" s="1794">
        <f>22045*GBP*1000</f>
        <v>22.044999999999998</v>
      </c>
      <c r="G188" s="1794">
        <f>22045*GBP*1000</f>
        <v>22.044999999999998</v>
      </c>
      <c r="H188" s="1794">
        <f t="shared" si="44"/>
        <v>22.044999999999998</v>
      </c>
      <c r="I188" s="1794">
        <f t="shared" si="44"/>
        <v>22.044999999999998</v>
      </c>
      <c r="J188" s="1794">
        <f t="shared" si="44"/>
        <v>22.044999999999998</v>
      </c>
      <c r="K188" s="1794">
        <f t="shared" si="44"/>
        <v>22.044999999999998</v>
      </c>
      <c r="L188" s="1794">
        <f t="shared" si="44"/>
        <v>22.044999999999998</v>
      </c>
      <c r="M188" s="1794">
        <f t="shared" si="44"/>
        <v>22.044999999999998</v>
      </c>
      <c r="N188" s="1794">
        <f t="shared" si="44"/>
        <v>22.044999999999998</v>
      </c>
      <c r="O188" s="1794">
        <f>22045*GBP*1000</f>
        <v>22.044999999999998</v>
      </c>
      <c r="P188" s="1722"/>
      <c r="Q188" s="37"/>
      <c r="R188" s="2007"/>
      <c r="S188" s="2007"/>
    </row>
    <row r="189" spans="1:19" s="1044" customFormat="1" ht="14">
      <c r="A189" s="1977"/>
      <c r="B189" s="1129"/>
      <c r="C189" s="1722" t="s">
        <v>938</v>
      </c>
      <c r="D189" s="1721" t="s">
        <v>1583</v>
      </c>
      <c r="E189" s="1722">
        <f>(O189-G189)/(O$186-G$186)</f>
        <v>0</v>
      </c>
      <c r="F189" s="1794">
        <f>15000*GBP*1000</f>
        <v>15</v>
      </c>
      <c r="G189" s="1794">
        <f>15000*GBP*1000</f>
        <v>15</v>
      </c>
      <c r="H189" s="1794">
        <f t="shared" ref="H189" si="45">G189+$E189*(H$179-G$179)</f>
        <v>15</v>
      </c>
      <c r="I189" s="1794">
        <f t="shared" ref="I189" si="46">H189+$E189*(I$179-H$179)</f>
        <v>15</v>
      </c>
      <c r="J189" s="1794">
        <f t="shared" ref="J189" si="47">I189+$E189*(J$179-I$179)</f>
        <v>15</v>
      </c>
      <c r="K189" s="1794">
        <f t="shared" ref="K189" si="48">J189+$E189*(K$179-J$179)</f>
        <v>15</v>
      </c>
      <c r="L189" s="1794">
        <f t="shared" ref="L189" si="49">K189+$E189*(L$179-K$179)</f>
        <v>15</v>
      </c>
      <c r="M189" s="1794">
        <f t="shared" ref="M189" si="50">L189+$E189*(M$179-L$179)</f>
        <v>15</v>
      </c>
      <c r="N189" s="1794">
        <f t="shared" ref="N189" si="51">M189+$E189*(N$179-M$179)</f>
        <v>15</v>
      </c>
      <c r="O189" s="1794">
        <f>15000*GBP*1000</f>
        <v>15</v>
      </c>
      <c r="P189" s="1722"/>
      <c r="Q189" s="37"/>
      <c r="R189" s="2007"/>
      <c r="S189" s="2007"/>
    </row>
    <row r="190" spans="1:19" s="1044" customFormat="1" ht="14">
      <c r="A190" s="1977"/>
      <c r="B190" s="1129"/>
      <c r="C190" s="864" t="s">
        <v>938</v>
      </c>
      <c r="D190" s="599" t="s">
        <v>1584</v>
      </c>
      <c r="E190" s="864">
        <f>(O190-G190)/(O$186-G$186)</f>
        <v>-0.46735999999999994</v>
      </c>
      <c r="F190" s="1970">
        <f>30519*GBP*1000</f>
        <v>30.518999999999998</v>
      </c>
      <c r="G190" s="1970">
        <f>30519*GBP*1000</f>
        <v>30.518999999999998</v>
      </c>
      <c r="H190" s="1970">
        <f t="shared" si="44"/>
        <v>28.182199999999998</v>
      </c>
      <c r="I190" s="1970">
        <f t="shared" si="44"/>
        <v>25.845399999999998</v>
      </c>
      <c r="J190" s="1970">
        <f t="shared" si="44"/>
        <v>23.508599999999998</v>
      </c>
      <c r="K190" s="1970">
        <f t="shared" si="44"/>
        <v>21.171799999999998</v>
      </c>
      <c r="L190" s="1970">
        <f t="shared" si="44"/>
        <v>18.834999999999997</v>
      </c>
      <c r="M190" s="1970">
        <f t="shared" si="44"/>
        <v>16.498199999999997</v>
      </c>
      <c r="N190" s="1970">
        <f t="shared" si="44"/>
        <v>14.161399999999997</v>
      </c>
      <c r="O190" s="1970">
        <f>11824.6*GBP*1000</f>
        <v>11.8246</v>
      </c>
      <c r="P190" s="1722"/>
      <c r="Q190" s="37"/>
      <c r="R190" s="2007"/>
      <c r="S190" s="2007"/>
    </row>
    <row r="191" spans="1:19" s="1044" customFormat="1" ht="14">
      <c r="A191" s="1977"/>
      <c r="B191" s="1129"/>
      <c r="C191" s="1722"/>
      <c r="D191" s="1721"/>
      <c r="E191" s="1722"/>
      <c r="F191" s="1097"/>
      <c r="G191" s="1097"/>
      <c r="H191" s="1794"/>
      <c r="I191" s="1794"/>
      <c r="J191" s="1794"/>
      <c r="K191" s="1794"/>
      <c r="L191" s="1794"/>
      <c r="M191" s="1794"/>
      <c r="N191" s="1794"/>
      <c r="O191" s="1097"/>
      <c r="P191" s="1722"/>
      <c r="Q191" s="34"/>
      <c r="R191" s="2007"/>
      <c r="S191" s="2007"/>
    </row>
    <row r="192" spans="1:19" s="1044" customFormat="1" ht="14">
      <c r="A192" s="1977"/>
      <c r="B192" s="1129"/>
      <c r="C192" s="1721"/>
      <c r="D192" s="1721"/>
      <c r="E192" s="1722"/>
      <c r="F192" s="1097"/>
      <c r="G192" s="1097"/>
      <c r="H192" s="1794"/>
      <c r="I192" s="1794"/>
      <c r="J192" s="1794"/>
      <c r="K192" s="1794"/>
      <c r="L192" s="1794"/>
      <c r="M192" s="1794"/>
      <c r="N192" s="1794"/>
      <c r="O192" s="1987" t="str">
        <f>Preferences.moneyunits&amp;" per thousand vehicle units"</f>
        <v>£m per thousand vehicle units</v>
      </c>
      <c r="P192" s="1722"/>
      <c r="Q192" s="34"/>
      <c r="R192" s="2007"/>
      <c r="S192" s="2007"/>
    </row>
    <row r="193" spans="1:21" s="1044" customFormat="1" ht="14">
      <c r="A193" s="1977"/>
      <c r="B193" s="1129"/>
      <c r="C193" s="1966" t="s">
        <v>1814</v>
      </c>
      <c r="D193" s="1967"/>
      <c r="E193" s="1968" t="s">
        <v>1413</v>
      </c>
      <c r="F193" s="1969">
        <v>2007</v>
      </c>
      <c r="G193" s="1969">
        <v>2010</v>
      </c>
      <c r="H193" s="1969">
        <v>2015</v>
      </c>
      <c r="I193" s="1969">
        <v>2020</v>
      </c>
      <c r="J193" s="1969">
        <v>2025</v>
      </c>
      <c r="K193" s="1969">
        <v>2030</v>
      </c>
      <c r="L193" s="1969">
        <v>2035</v>
      </c>
      <c r="M193" s="1969">
        <v>2040</v>
      </c>
      <c r="N193" s="1969">
        <v>2045</v>
      </c>
      <c r="O193" s="1969">
        <v>2050</v>
      </c>
      <c r="P193" s="1722"/>
      <c r="Q193" s="34"/>
      <c r="R193" s="2007"/>
      <c r="S193" s="2007"/>
    </row>
    <row r="194" spans="1:21" s="1044" customFormat="1" ht="14">
      <c r="A194" s="1977"/>
      <c r="B194" s="1129"/>
      <c r="C194" s="1945" t="s">
        <v>942</v>
      </c>
      <c r="D194" s="1477" t="s">
        <v>1582</v>
      </c>
      <c r="E194" s="1945">
        <f>(O194-G194)/(O$193-G$193)</f>
        <v>0</v>
      </c>
      <c r="F194" s="1971">
        <f>31264*GBP*1000</f>
        <v>31.263999999999999</v>
      </c>
      <c r="G194" s="1971">
        <f>31264*GBP*1000</f>
        <v>31.263999999999999</v>
      </c>
      <c r="H194" s="1971">
        <f t="shared" ref="H194:N197" si="52">G194+$E194*(H$193-G$193)</f>
        <v>31.263999999999999</v>
      </c>
      <c r="I194" s="1971">
        <f t="shared" si="52"/>
        <v>31.263999999999999</v>
      </c>
      <c r="J194" s="1971">
        <f t="shared" si="52"/>
        <v>31.263999999999999</v>
      </c>
      <c r="K194" s="1971">
        <f t="shared" si="52"/>
        <v>31.263999999999999</v>
      </c>
      <c r="L194" s="1971">
        <f t="shared" si="52"/>
        <v>31.263999999999999</v>
      </c>
      <c r="M194" s="1971">
        <f t="shared" si="52"/>
        <v>31.263999999999999</v>
      </c>
      <c r="N194" s="1971">
        <f t="shared" si="52"/>
        <v>31.263999999999999</v>
      </c>
      <c r="O194" s="1971">
        <f>31264*GBP*1000</f>
        <v>31.263999999999999</v>
      </c>
      <c r="P194" s="1722"/>
      <c r="Q194" s="34"/>
      <c r="R194" s="2007"/>
      <c r="S194" s="2007"/>
    </row>
    <row r="195" spans="1:21" s="1044" customFormat="1" ht="14">
      <c r="A195" s="1977"/>
      <c r="B195" s="1129"/>
      <c r="C195" s="1722" t="s">
        <v>942</v>
      </c>
      <c r="D195" s="1721" t="s">
        <v>741</v>
      </c>
      <c r="E195" s="1722">
        <f>(O195-G195)/(O$193-G$193)</f>
        <v>0</v>
      </c>
      <c r="F195" s="1794">
        <f>22045*GBP*1000</f>
        <v>22.044999999999998</v>
      </c>
      <c r="G195" s="1794">
        <f>22045*GBP*1000</f>
        <v>22.044999999999998</v>
      </c>
      <c r="H195" s="1794">
        <f t="shared" si="52"/>
        <v>22.044999999999998</v>
      </c>
      <c r="I195" s="1794">
        <f t="shared" si="52"/>
        <v>22.044999999999998</v>
      </c>
      <c r="J195" s="1794">
        <f t="shared" si="52"/>
        <v>22.044999999999998</v>
      </c>
      <c r="K195" s="1794">
        <f t="shared" si="52"/>
        <v>22.044999999999998</v>
      </c>
      <c r="L195" s="1794">
        <f t="shared" si="52"/>
        <v>22.044999999999998</v>
      </c>
      <c r="M195" s="1794">
        <f t="shared" si="52"/>
        <v>22.044999999999998</v>
      </c>
      <c r="N195" s="1794">
        <f t="shared" si="52"/>
        <v>22.044999999999998</v>
      </c>
      <c r="O195" s="1794">
        <f>22045*GBP*1000</f>
        <v>22.044999999999998</v>
      </c>
      <c r="P195" s="1722"/>
      <c r="Q195" s="34"/>
      <c r="R195" s="2007"/>
      <c r="S195" s="2007"/>
    </row>
    <row r="196" spans="1:21" s="1044" customFormat="1" ht="14">
      <c r="A196" s="1977"/>
      <c r="B196" s="1129"/>
      <c r="C196" s="1722" t="s">
        <v>938</v>
      </c>
      <c r="D196" s="1721" t="s">
        <v>1583</v>
      </c>
      <c r="E196" s="1722">
        <f>(O196-G196)/(O$193-G$193)</f>
        <v>0</v>
      </c>
      <c r="F196" s="1794">
        <f t="shared" ref="F196:O196" si="53">15000*GBP*1000</f>
        <v>15</v>
      </c>
      <c r="G196" s="1794">
        <f t="shared" si="53"/>
        <v>15</v>
      </c>
      <c r="H196" s="1794">
        <f t="shared" si="53"/>
        <v>15</v>
      </c>
      <c r="I196" s="1794">
        <f t="shared" si="53"/>
        <v>15</v>
      </c>
      <c r="J196" s="1794">
        <f t="shared" si="53"/>
        <v>15</v>
      </c>
      <c r="K196" s="1794">
        <f t="shared" si="53"/>
        <v>15</v>
      </c>
      <c r="L196" s="1794">
        <f t="shared" si="53"/>
        <v>15</v>
      </c>
      <c r="M196" s="1794">
        <f t="shared" si="53"/>
        <v>15</v>
      </c>
      <c r="N196" s="1794">
        <f t="shared" si="53"/>
        <v>15</v>
      </c>
      <c r="O196" s="1794">
        <f t="shared" si="53"/>
        <v>15</v>
      </c>
      <c r="P196" s="1722"/>
      <c r="Q196" s="34"/>
      <c r="R196" s="2007"/>
      <c r="S196" s="2007"/>
    </row>
    <row r="197" spans="1:21" s="1044" customFormat="1" ht="14">
      <c r="A197" s="1977"/>
      <c r="B197" s="1129"/>
      <c r="C197" s="864" t="s">
        <v>938</v>
      </c>
      <c r="D197" s="599" t="s">
        <v>1584</v>
      </c>
      <c r="E197" s="864">
        <f>(O197-G197)/(O$193-G$193)</f>
        <v>-0.70272499999999993</v>
      </c>
      <c r="F197" s="1970">
        <f>30519*GBP*1000</f>
        <v>30.518999999999998</v>
      </c>
      <c r="G197" s="1970">
        <f>30519*GBP*1000</f>
        <v>30.518999999999998</v>
      </c>
      <c r="H197" s="1970">
        <f t="shared" si="52"/>
        <v>27.005374999999997</v>
      </c>
      <c r="I197" s="1970">
        <f t="shared" si="52"/>
        <v>23.491749999999996</v>
      </c>
      <c r="J197" s="1970">
        <f t="shared" si="52"/>
        <v>19.978124999999995</v>
      </c>
      <c r="K197" s="1970">
        <f t="shared" si="52"/>
        <v>16.464499999999994</v>
      </c>
      <c r="L197" s="1970">
        <f t="shared" si="52"/>
        <v>12.950874999999995</v>
      </c>
      <c r="M197" s="1970">
        <f t="shared" si="52"/>
        <v>9.4372499999999953</v>
      </c>
      <c r="N197" s="1970">
        <f t="shared" si="52"/>
        <v>5.9236249999999959</v>
      </c>
      <c r="O197" s="1970">
        <f>2410*GBP*1000</f>
        <v>2.4099999999999997</v>
      </c>
      <c r="P197" s="1722"/>
      <c r="Q197" s="34"/>
      <c r="R197" s="2007"/>
      <c r="S197" s="2007"/>
    </row>
    <row r="198" spans="1:21" s="1044" customFormat="1" ht="14">
      <c r="A198" s="1977"/>
      <c r="B198" s="1129"/>
      <c r="C198" s="1721"/>
      <c r="D198" s="1721"/>
      <c r="E198" s="1974"/>
      <c r="F198" s="1097"/>
      <c r="G198" s="1097"/>
      <c r="H198" s="1794"/>
      <c r="I198" s="1794"/>
      <c r="J198" s="1794"/>
      <c r="K198" s="1794"/>
      <c r="L198" s="1794"/>
      <c r="M198" s="1794"/>
      <c r="N198" s="1794"/>
      <c r="O198" s="1097"/>
      <c r="P198" s="1722"/>
      <c r="Q198" s="34"/>
      <c r="R198" s="2007"/>
      <c r="S198" s="2007"/>
    </row>
    <row r="199" spans="1:21" s="1044" customFormat="1">
      <c r="A199" s="1977"/>
      <c r="B199" s="1129"/>
      <c r="C199" s="1722" t="s">
        <v>422</v>
      </c>
      <c r="D199" s="1722"/>
      <c r="E199" s="1722"/>
      <c r="F199" s="1722"/>
      <c r="G199" s="1722"/>
      <c r="H199" s="1722"/>
      <c r="I199" s="1722"/>
      <c r="J199" s="1722"/>
      <c r="K199" s="1722"/>
      <c r="L199" s="1722"/>
      <c r="M199" s="1722"/>
      <c r="N199" s="1722"/>
      <c r="O199" s="1722"/>
      <c r="P199" s="1722"/>
      <c r="Q199" s="37"/>
      <c r="R199" s="2007"/>
      <c r="S199" s="2007"/>
    </row>
    <row r="200" spans="1:21" s="1044" customFormat="1">
      <c r="A200" s="1977"/>
      <c r="B200" s="1129"/>
      <c r="C200" s="847" t="s">
        <v>102</v>
      </c>
      <c r="D200" s="1707" t="s">
        <v>1597</v>
      </c>
      <c r="E200" s="1722"/>
      <c r="F200" s="1722"/>
      <c r="G200" s="1722"/>
      <c r="H200" s="1722"/>
      <c r="I200" s="1722"/>
      <c r="J200" s="1722"/>
      <c r="K200" s="1722"/>
      <c r="L200" s="1722"/>
      <c r="M200" s="1722"/>
      <c r="N200" s="1722"/>
      <c r="O200" s="1722"/>
      <c r="P200" s="1722"/>
      <c r="Q200" s="37"/>
      <c r="R200" s="2007"/>
      <c r="S200" s="2007"/>
    </row>
    <row r="201" spans="1:21" s="1044" customFormat="1">
      <c r="A201" s="1977"/>
      <c r="B201" s="1129"/>
      <c r="C201" s="591" t="s">
        <v>108</v>
      </c>
      <c r="D201" s="1722" t="s">
        <v>1601</v>
      </c>
      <c r="E201" s="1722"/>
      <c r="F201" s="1722"/>
      <c r="G201" s="1722"/>
      <c r="H201" s="1722"/>
      <c r="I201" s="1722"/>
      <c r="J201" s="1722"/>
      <c r="K201" s="1722"/>
      <c r="L201" s="1722"/>
      <c r="M201" s="1722"/>
      <c r="N201" s="1722"/>
      <c r="O201" s="1722"/>
      <c r="P201" s="1722"/>
      <c r="Q201" s="37"/>
      <c r="R201" s="2007"/>
      <c r="S201" s="2007"/>
    </row>
    <row r="202" spans="1:21" s="1044" customFormat="1">
      <c r="A202" s="1977"/>
      <c r="B202" s="1129"/>
      <c r="C202" s="591" t="s">
        <v>109</v>
      </c>
      <c r="D202" s="1722" t="s">
        <v>1698</v>
      </c>
      <c r="E202" s="1722"/>
      <c r="F202" s="1722"/>
      <c r="G202" s="1722"/>
      <c r="H202" s="1722"/>
      <c r="I202" s="1722"/>
      <c r="J202" s="1722"/>
      <c r="K202" s="1722"/>
      <c r="L202" s="1722"/>
      <c r="M202" s="1722"/>
      <c r="N202" s="1722"/>
      <c r="O202" s="1722"/>
      <c r="P202" s="1722"/>
      <c r="Q202" s="37"/>
      <c r="R202" s="2007"/>
      <c r="S202" s="2007"/>
    </row>
    <row r="203" spans="1:21" s="1044" customFormat="1">
      <c r="A203" s="1977"/>
      <c r="B203" s="1129"/>
      <c r="C203" s="591" t="s">
        <v>421</v>
      </c>
      <c r="D203" s="1722" t="s">
        <v>1699</v>
      </c>
      <c r="E203" s="1722"/>
      <c r="F203" s="1722"/>
      <c r="G203" s="1722"/>
      <c r="H203" s="1722"/>
      <c r="I203" s="1722"/>
      <c r="J203" s="1722"/>
      <c r="K203" s="1722"/>
      <c r="L203" s="1722"/>
      <c r="M203" s="1722"/>
      <c r="N203" s="1722"/>
      <c r="O203" s="1722"/>
      <c r="P203" s="1722"/>
      <c r="Q203" s="37"/>
      <c r="R203" s="2007"/>
      <c r="S203" s="2007"/>
    </row>
    <row r="204" spans="1:21" s="1044" customFormat="1">
      <c r="A204" s="1977"/>
      <c r="B204" s="1129"/>
      <c r="C204" s="1708"/>
      <c r="D204" s="1129"/>
      <c r="E204" s="1129"/>
      <c r="F204" s="1129"/>
      <c r="G204" s="1129"/>
      <c r="H204" s="1129"/>
      <c r="I204" s="1129"/>
      <c r="J204" s="1129"/>
      <c r="K204" s="1129"/>
      <c r="L204" s="1129"/>
      <c r="M204" s="1129"/>
      <c r="N204" s="1129"/>
      <c r="O204" s="1129"/>
      <c r="P204" s="1722"/>
      <c r="Q204" s="37"/>
    </row>
    <row r="205" spans="1:21" s="1044" customFormat="1" ht="14">
      <c r="B205" s="1983"/>
      <c r="Q205" s="37"/>
      <c r="R205" s="1985"/>
      <c r="S205" s="37"/>
      <c r="T205" s="37"/>
      <c r="U205" s="37"/>
    </row>
    <row r="206" spans="1:21" ht="17" collapsed="1">
      <c r="A206" s="543"/>
      <c r="B206" s="561" t="s">
        <v>614</v>
      </c>
      <c r="Q206" s="37"/>
      <c r="R206" s="1986"/>
      <c r="S206" s="37"/>
      <c r="T206" s="37"/>
      <c r="U206" s="37"/>
    </row>
    <row r="207" spans="1:21" s="20" customFormat="1">
      <c r="B207" s="526">
        <v>1</v>
      </c>
      <c r="C207" s="117" t="s">
        <v>939</v>
      </c>
      <c r="Q207" s="1677"/>
      <c r="R207" s="1986"/>
      <c r="S207" s="37"/>
      <c r="T207" s="1677"/>
      <c r="U207" s="1677"/>
    </row>
    <row r="208" spans="1:21" s="20" customFormat="1">
      <c r="B208" s="526">
        <v>2</v>
      </c>
      <c r="C208" s="117" t="s">
        <v>940</v>
      </c>
      <c r="Q208" s="1677"/>
      <c r="R208" s="1986"/>
      <c r="S208" s="37"/>
      <c r="T208" s="1677"/>
      <c r="U208" s="1677"/>
    </row>
    <row r="209" spans="2:21" s="20" customFormat="1">
      <c r="B209" s="526">
        <v>3</v>
      </c>
      <c r="C209" s="117" t="s">
        <v>941</v>
      </c>
      <c r="Q209" s="1677"/>
      <c r="R209" s="1986"/>
      <c r="S209" s="37"/>
      <c r="T209" s="1677"/>
      <c r="U209" s="1677"/>
    </row>
    <row r="210" spans="2:21" s="20" customFormat="1">
      <c r="B210" s="526">
        <v>4</v>
      </c>
      <c r="C210" s="117" t="s">
        <v>944</v>
      </c>
      <c r="Q210" s="1677"/>
      <c r="R210" s="1938"/>
      <c r="S210" s="37"/>
      <c r="T210" s="1677"/>
      <c r="U210" s="1677"/>
    </row>
    <row r="211" spans="2:21" s="20" customFormat="1">
      <c r="B211" s="526">
        <v>5</v>
      </c>
      <c r="C211" s="117" t="s">
        <v>857</v>
      </c>
      <c r="Q211" s="1677"/>
      <c r="R211" s="1936"/>
      <c r="S211" s="37"/>
      <c r="T211" s="1677"/>
      <c r="U211" s="1677"/>
    </row>
    <row r="212" spans="2:21" ht="14">
      <c r="Q212" s="37"/>
      <c r="R212" s="1984"/>
      <c r="S212" s="37"/>
      <c r="T212" s="37"/>
      <c r="U212" s="37"/>
    </row>
    <row r="213" spans="2:21" ht="14">
      <c r="B213" s="526">
        <v>1</v>
      </c>
      <c r="C213" s="526" t="s">
        <v>986</v>
      </c>
      <c r="F213" s="586">
        <v>2007</v>
      </c>
      <c r="G213" s="586">
        <v>2010</v>
      </c>
      <c r="H213" s="586">
        <v>2015</v>
      </c>
      <c r="I213" s="586">
        <v>2020</v>
      </c>
      <c r="J213" s="586">
        <v>2025</v>
      </c>
      <c r="K213" s="586">
        <v>2030</v>
      </c>
      <c r="L213" s="586">
        <v>2035</v>
      </c>
      <c r="M213" s="586">
        <v>2040</v>
      </c>
      <c r="N213" s="586">
        <v>2045</v>
      </c>
      <c r="O213" s="586">
        <v>2050</v>
      </c>
      <c r="Q213" s="37"/>
      <c r="R213" s="1985"/>
      <c r="S213" s="37"/>
      <c r="T213" s="37"/>
      <c r="U213" s="37"/>
    </row>
    <row r="214" spans="2:21" ht="14">
      <c r="C214" s="117" t="s">
        <v>942</v>
      </c>
      <c r="E214" s="16" t="s">
        <v>685</v>
      </c>
      <c r="F214" s="621">
        <f>INDEX(F$16:F$19, MATCH($E$8, $C$16:$C$19, 0))</f>
        <v>218700000</v>
      </c>
      <c r="G214" s="621">
        <f t="shared" ref="G214:O214" si="54">INDEX(G$16:G$19, MATCH($E$8, $C$16:$C$19, 0))</f>
        <v>237215142.22998253</v>
      </c>
      <c r="H214" s="621">
        <f t="shared" si="54"/>
        <v>274361990.26149905</v>
      </c>
      <c r="I214" s="621">
        <f t="shared" si="54"/>
        <v>306350143.01480329</v>
      </c>
      <c r="J214" s="621">
        <f t="shared" si="54"/>
        <v>277649667.07491285</v>
      </c>
      <c r="K214" s="621">
        <f t="shared" si="54"/>
        <v>236566908.45785016</v>
      </c>
      <c r="L214" s="621">
        <f t="shared" si="54"/>
        <v>185681214.80272144</v>
      </c>
      <c r="M214" s="621">
        <f t="shared" si="54"/>
        <v>127571933.74863276</v>
      </c>
      <c r="N214" s="621">
        <f t="shared" si="54"/>
        <v>64818412.934690274</v>
      </c>
      <c r="O214" s="621">
        <f t="shared" si="54"/>
        <v>0</v>
      </c>
      <c r="Q214" s="37"/>
      <c r="R214" s="1986"/>
      <c r="S214" s="37"/>
      <c r="T214" s="37"/>
      <c r="U214" s="37"/>
    </row>
    <row r="215" spans="2:21" s="242" customFormat="1" ht="14">
      <c r="B215" s="242" t="s">
        <v>660</v>
      </c>
      <c r="C215" s="242" t="s">
        <v>754</v>
      </c>
      <c r="E215" s="1042" t="str">
        <f>Preferences.EnergyUnits &amp;" / litre"</f>
        <v>TWh / litre</v>
      </c>
      <c r="F215" s="1467">
        <f>Constants.GCV.Diesel * Constants.Density.Diesel</f>
        <v>1.0560827412175749E-8</v>
      </c>
      <c r="G215" s="1131"/>
      <c r="H215" s="1131"/>
      <c r="I215" s="1131"/>
      <c r="J215" s="1131"/>
      <c r="K215" s="1131"/>
      <c r="L215" s="1131"/>
      <c r="M215" s="1131"/>
      <c r="N215" s="1131"/>
      <c r="O215" s="1131"/>
      <c r="Q215" s="1939"/>
      <c r="R215" s="1986"/>
      <c r="S215" s="37"/>
      <c r="T215" s="1939"/>
      <c r="U215" s="1939"/>
    </row>
    <row r="216" spans="2:21" ht="14">
      <c r="B216" s="558" t="s">
        <v>661</v>
      </c>
      <c r="C216" s="526" t="s">
        <v>683</v>
      </c>
      <c r="D216" s="526"/>
      <c r="E216" s="587" t="str">
        <f>Preferences.EnergyUnits</f>
        <v>TWh</v>
      </c>
      <c r="F216" s="624">
        <f>F214*$F$215</f>
        <v>2.3096529550428362</v>
      </c>
      <c r="G216" s="624">
        <f t="shared" ref="G216:O216" si="55">G214*$F$215</f>
        <v>2.5051881766455684</v>
      </c>
      <c r="H216" s="624">
        <f t="shared" si="55"/>
        <v>2.8974896276127349</v>
      </c>
      <c r="I216" s="624">
        <f t="shared" si="55"/>
        <v>3.2353109880746955</v>
      </c>
      <c r="J216" s="624">
        <f t="shared" si="55"/>
        <v>2.9322102150262102</v>
      </c>
      <c r="K216" s="624">
        <f t="shared" si="55"/>
        <v>2.4983422916553351</v>
      </c>
      <c r="L216" s="624">
        <f t="shared" si="55"/>
        <v>1.9609472632146741</v>
      </c>
      <c r="M216" s="624">
        <f t="shared" si="55"/>
        <v>1.3472651749568294</v>
      </c>
      <c r="N216" s="624">
        <f t="shared" si="55"/>
        <v>0.68453607213440415</v>
      </c>
      <c r="O216" s="624">
        <f t="shared" si="55"/>
        <v>0</v>
      </c>
      <c r="Q216" s="37"/>
      <c r="R216" s="1986"/>
      <c r="S216" s="37"/>
      <c r="T216" s="37"/>
      <c r="U216" s="37"/>
    </row>
    <row r="217" spans="2:21" ht="14">
      <c r="E217" s="16"/>
      <c r="F217" s="625"/>
      <c r="G217" s="625"/>
      <c r="H217" s="625"/>
      <c r="I217" s="625"/>
      <c r="J217" s="625"/>
      <c r="K217" s="625"/>
      <c r="L217" s="625"/>
      <c r="M217" s="625"/>
      <c r="N217" s="625"/>
      <c r="O217" s="625"/>
      <c r="Q217" s="37"/>
      <c r="R217" s="1986"/>
      <c r="S217" s="37"/>
      <c r="T217" s="37"/>
      <c r="U217" s="37"/>
    </row>
    <row r="218" spans="2:21" s="528" customFormat="1" ht="14">
      <c r="B218" s="526">
        <v>2</v>
      </c>
      <c r="C218" s="526" t="s">
        <v>987</v>
      </c>
      <c r="E218" s="587" t="str">
        <f>Preferences.EnergyUnits</f>
        <v>TWh</v>
      </c>
      <c r="F218" s="624">
        <f>INDEX(F$24:F$27, MATCH($E$8, $C$24:$C$27, 0))</f>
        <v>0.10120000000000001</v>
      </c>
      <c r="G218" s="624">
        <f t="shared" ref="G218:N218" si="56">INDEX(G$24:G$27, MATCH($E$8, $C$24:$C$27, 0))</f>
        <v>0.10980070711868301</v>
      </c>
      <c r="H218" s="624">
        <f t="shared" si="56"/>
        <v>0.12866600200307601</v>
      </c>
      <c r="I218" s="624">
        <f t="shared" si="56"/>
        <v>0.145740427687365</v>
      </c>
      <c r="J218" s="624">
        <f t="shared" si="56"/>
        <v>0.35986670869882903</v>
      </c>
      <c r="K218" s="624">
        <f t="shared" si="56"/>
        <v>0.60552538865020211</v>
      </c>
      <c r="L218" s="624">
        <f t="shared" si="56"/>
        <v>0.87608202771838106</v>
      </c>
      <c r="M218" s="624">
        <f t="shared" si="56"/>
        <v>1.1649021860802602</v>
      </c>
      <c r="N218" s="624">
        <f t="shared" si="56"/>
        <v>1.4653514239127401</v>
      </c>
      <c r="O218" s="624">
        <f>INDEX(O$24:O$27, MATCH($E$8, $C$24:$C$27, 0))</f>
        <v>1.77079530139271</v>
      </c>
      <c r="Q218" s="34"/>
      <c r="R218" s="1986"/>
      <c r="S218" s="37"/>
      <c r="T218" s="34"/>
      <c r="U218" s="34"/>
    </row>
    <row r="219" spans="2:21" s="528" customFormat="1" ht="14">
      <c r="B219" s="526"/>
      <c r="C219" s="117"/>
      <c r="E219" s="526"/>
      <c r="F219" s="624"/>
      <c r="G219" s="624"/>
      <c r="H219" s="624"/>
      <c r="I219" s="624"/>
      <c r="J219" s="624"/>
      <c r="K219" s="624"/>
      <c r="L219" s="624"/>
      <c r="M219" s="624"/>
      <c r="N219" s="624"/>
      <c r="O219" s="624"/>
      <c r="Q219" s="34"/>
      <c r="R219" s="1986"/>
      <c r="S219" s="37"/>
      <c r="T219" s="34"/>
      <c r="U219" s="34"/>
    </row>
    <row r="220" spans="2:21" s="528" customFormat="1" ht="14">
      <c r="B220" s="526">
        <v>3</v>
      </c>
      <c r="C220" s="526" t="s">
        <v>1143</v>
      </c>
      <c r="E220" s="526"/>
      <c r="F220" s="624"/>
      <c r="G220" s="624"/>
      <c r="H220" s="624"/>
      <c r="I220" s="624"/>
      <c r="J220" s="624"/>
      <c r="K220" s="624"/>
      <c r="L220" s="624"/>
      <c r="M220" s="624"/>
      <c r="N220" s="624"/>
      <c r="O220" s="624"/>
      <c r="Q220" s="34"/>
      <c r="R220" s="1986"/>
      <c r="S220" s="37"/>
      <c r="T220" s="34"/>
      <c r="U220" s="34"/>
    </row>
    <row r="221" spans="2:21" s="528" customFormat="1" ht="14">
      <c r="B221" s="526"/>
      <c r="C221" s="117" t="s">
        <v>938</v>
      </c>
      <c r="D221" s="117"/>
      <c r="E221" s="16" t="s">
        <v>934</v>
      </c>
      <c r="F221" s="621">
        <f t="shared" ref="F221:O221" si="57">INDEX(F$48:F$51, MATCH($E$8, $C$48:$C$51, 0))</f>
        <v>29.4</v>
      </c>
      <c r="G221" s="621">
        <f t="shared" si="57"/>
        <v>25.8</v>
      </c>
      <c r="H221" s="621">
        <f t="shared" si="57"/>
        <v>30.083165030062446</v>
      </c>
      <c r="I221" s="621">
        <f t="shared" si="57"/>
        <v>29.041077605218561</v>
      </c>
      <c r="J221" s="621">
        <f t="shared" si="57"/>
        <v>27.998990180374676</v>
      </c>
      <c r="K221" s="621">
        <f t="shared" si="57"/>
        <v>26.956902755530791</v>
      </c>
      <c r="L221" s="621">
        <f t="shared" si="57"/>
        <v>25.914815330686906</v>
      </c>
      <c r="M221" s="621">
        <f t="shared" si="57"/>
        <v>24.748364266313786</v>
      </c>
      <c r="N221" s="621">
        <f t="shared" si="57"/>
        <v>23.175297867771626</v>
      </c>
      <c r="O221" s="621">
        <f t="shared" si="57"/>
        <v>21.649125403347536</v>
      </c>
      <c r="Q221" s="34"/>
      <c r="R221" s="1986"/>
      <c r="S221" s="37"/>
      <c r="T221" s="34"/>
      <c r="U221" s="34"/>
    </row>
    <row r="222" spans="2:21" s="601" customFormat="1" ht="14">
      <c r="B222" s="242" t="s">
        <v>660</v>
      </c>
      <c r="C222" s="242" t="s">
        <v>891</v>
      </c>
      <c r="E222" s="242" t="str">
        <f>Preferences.EnergyUnits &amp; " / bn vehicle-km"</f>
        <v>TWh / bn vehicle-km</v>
      </c>
      <c r="F222" s="1466">
        <f t="shared" ref="F222:O222" si="58">INDEX(F$64:F$67, MATCH($E$8, $C$64:$C$67, 0))</f>
        <v>2.9814580789475755</v>
      </c>
      <c r="G222" s="1466">
        <f t="shared" si="58"/>
        <v>3.2394444444444446</v>
      </c>
      <c r="H222" s="1466">
        <f t="shared" si="58"/>
        <v>2.8176388888888892</v>
      </c>
      <c r="I222" s="1466">
        <f t="shared" si="58"/>
        <v>2.3958333333333335</v>
      </c>
      <c r="J222" s="1466">
        <f t="shared" si="58"/>
        <v>1.9740277777777777</v>
      </c>
      <c r="K222" s="1466">
        <f t="shared" si="58"/>
        <v>1.5522222222222222</v>
      </c>
      <c r="L222" s="1466">
        <f t="shared" si="58"/>
        <v>1.4984722222222222</v>
      </c>
      <c r="M222" s="1466">
        <f t="shared" si="58"/>
        <v>1.4447222222222222</v>
      </c>
      <c r="N222" s="1466">
        <f t="shared" si="58"/>
        <v>1.391111111111111</v>
      </c>
      <c r="O222" s="1466">
        <f t="shared" si="58"/>
        <v>1.3374999999999999</v>
      </c>
      <c r="Q222" s="566"/>
      <c r="R222" s="1986"/>
      <c r="S222" s="37"/>
      <c r="T222" s="566"/>
      <c r="U222" s="566"/>
    </row>
    <row r="223" spans="2:21" s="528" customFormat="1" ht="14">
      <c r="B223" s="558" t="s">
        <v>661</v>
      </c>
      <c r="C223" s="526" t="s">
        <v>683</v>
      </c>
      <c r="E223" s="587" t="str">
        <f>Preferences.EnergyUnits</f>
        <v>TWh</v>
      </c>
      <c r="F223" s="623">
        <f>F221*F222</f>
        <v>87.654867521058719</v>
      </c>
      <c r="G223" s="623">
        <f t="shared" ref="G223:O223" si="59">G221*G222</f>
        <v>83.577666666666673</v>
      </c>
      <c r="H223" s="623">
        <f t="shared" si="59"/>
        <v>84.763495689566241</v>
      </c>
      <c r="I223" s="623">
        <f t="shared" si="59"/>
        <v>69.577581762502803</v>
      </c>
      <c r="J223" s="623">
        <f t="shared" si="59"/>
        <v>55.270784365786838</v>
      </c>
      <c r="K223" s="623">
        <f t="shared" si="59"/>
        <v>41.843103499418348</v>
      </c>
      <c r="L223" s="623">
        <f t="shared" si="59"/>
        <v>38.832630917052917</v>
      </c>
      <c r="M223" s="623">
        <f t="shared" si="59"/>
        <v>35.754511819193887</v>
      </c>
      <c r="N223" s="623">
        <f t="shared" si="59"/>
        <v>32.239414367166745</v>
      </c>
      <c r="O223" s="623">
        <f t="shared" si="59"/>
        <v>28.955705226977329</v>
      </c>
      <c r="Q223" s="34"/>
      <c r="R223" s="1986"/>
      <c r="S223" s="37"/>
      <c r="T223" s="34"/>
      <c r="U223" s="34"/>
    </row>
    <row r="224" spans="2:21" s="528" customFormat="1" ht="14">
      <c r="B224" s="526"/>
      <c r="C224" s="117"/>
      <c r="E224" s="526"/>
      <c r="F224" s="623"/>
      <c r="G224" s="623"/>
      <c r="H224" s="623"/>
      <c r="I224" s="623"/>
      <c r="J224" s="623"/>
      <c r="K224" s="623"/>
      <c r="L224" s="623"/>
      <c r="M224" s="623"/>
      <c r="N224" s="623"/>
      <c r="O224" s="623"/>
      <c r="Q224" s="34"/>
      <c r="R224" s="1986"/>
      <c r="S224" s="37"/>
      <c r="T224" s="34"/>
      <c r="U224" s="34"/>
    </row>
    <row r="225" spans="2:21" s="528" customFormat="1" ht="14">
      <c r="B225" s="526"/>
      <c r="C225" s="526" t="s">
        <v>1144</v>
      </c>
      <c r="E225" s="526"/>
      <c r="F225" s="623"/>
      <c r="G225" s="623"/>
      <c r="H225" s="623"/>
      <c r="I225" s="623"/>
      <c r="J225" s="623"/>
      <c r="K225" s="623"/>
      <c r="L225" s="623"/>
      <c r="M225" s="623"/>
      <c r="N225" s="623"/>
      <c r="O225" s="623"/>
      <c r="Q225" s="34"/>
      <c r="R225" s="37"/>
      <c r="S225" s="37"/>
      <c r="T225" s="34"/>
      <c r="U225" s="34"/>
    </row>
    <row r="226" spans="2:21" s="528" customFormat="1" ht="14">
      <c r="B226" s="526"/>
      <c r="C226" s="117" t="s">
        <v>938</v>
      </c>
      <c r="D226" s="117"/>
      <c r="E226" s="16" t="s">
        <v>934</v>
      </c>
      <c r="F226" s="621">
        <f t="shared" ref="F226:O226" si="60">INDEX(F$56:F$59, MATCH($E$8, $C$56:$C$59, 0))</f>
        <v>0</v>
      </c>
      <c r="G226" s="621">
        <f t="shared" si="60"/>
        <v>0</v>
      </c>
      <c r="H226" s="621">
        <f t="shared" si="60"/>
        <v>0</v>
      </c>
      <c r="I226" s="621">
        <f t="shared" si="60"/>
        <v>0</v>
      </c>
      <c r="J226" s="621">
        <f t="shared" si="60"/>
        <v>0</v>
      </c>
      <c r="K226" s="621">
        <f t="shared" si="60"/>
        <v>0</v>
      </c>
      <c r="L226" s="621">
        <f t="shared" si="60"/>
        <v>0</v>
      </c>
      <c r="M226" s="621">
        <f t="shared" si="60"/>
        <v>0.124363639529215</v>
      </c>
      <c r="N226" s="621">
        <f t="shared" si="60"/>
        <v>0.65534261322747522</v>
      </c>
      <c r="O226" s="621">
        <f t="shared" si="60"/>
        <v>1.1394276528077651</v>
      </c>
      <c r="Q226" s="34"/>
      <c r="R226" s="1936"/>
      <c r="S226" s="37"/>
      <c r="T226" s="34"/>
      <c r="U226" s="34"/>
    </row>
    <row r="227" spans="2:21" s="601" customFormat="1" ht="14">
      <c r="B227" s="242" t="s">
        <v>660</v>
      </c>
      <c r="C227" s="242" t="s">
        <v>891</v>
      </c>
      <c r="E227" s="242" t="str">
        <f>Preferences.EnergyUnits &amp; " / bn vehicle-km"</f>
        <v>TWh / bn vehicle-km</v>
      </c>
      <c r="F227" s="1466">
        <f t="shared" ref="F227:O227" si="61">INDEX(F$72:F$75, MATCH($E$8, $C$72:$C$75, 0))</f>
        <v>0</v>
      </c>
      <c r="G227" s="1466">
        <f t="shared" si="61"/>
        <v>0.77089353060632437</v>
      </c>
      <c r="H227" s="1466">
        <f t="shared" si="61"/>
        <v>0.67051608023540143</v>
      </c>
      <c r="I227" s="1466">
        <f t="shared" si="61"/>
        <v>0.5701386298644785</v>
      </c>
      <c r="J227" s="1466">
        <f t="shared" si="61"/>
        <v>0.46976117949355545</v>
      </c>
      <c r="K227" s="1466">
        <f t="shared" si="61"/>
        <v>0.36938372912263251</v>
      </c>
      <c r="L227" s="1466">
        <f t="shared" si="61"/>
        <v>0.35659279290480334</v>
      </c>
      <c r="M227" s="1466">
        <f t="shared" si="61"/>
        <v>0.34380185668697416</v>
      </c>
      <c r="N227" s="1466">
        <f t="shared" si="61"/>
        <v>0.33104397198391972</v>
      </c>
      <c r="O227" s="1466">
        <f t="shared" si="61"/>
        <v>0.31828608728086533</v>
      </c>
      <c r="Q227" s="566"/>
      <c r="R227" s="1984"/>
      <c r="S227" s="37"/>
      <c r="T227" s="566"/>
      <c r="U227" s="566"/>
    </row>
    <row r="228" spans="2:21" s="528" customFormat="1" ht="14">
      <c r="B228" s="558" t="s">
        <v>661</v>
      </c>
      <c r="C228" s="526" t="s">
        <v>683</v>
      </c>
      <c r="E228" s="587" t="str">
        <f>Preferences.EnergyUnits</f>
        <v>TWh</v>
      </c>
      <c r="F228" s="623">
        <f>F226*F227</f>
        <v>0</v>
      </c>
      <c r="G228" s="623">
        <f t="shared" ref="G228:O228" si="62">G226*G227</f>
        <v>0</v>
      </c>
      <c r="H228" s="623">
        <f t="shared" si="62"/>
        <v>0</v>
      </c>
      <c r="I228" s="623">
        <f t="shared" si="62"/>
        <v>0</v>
      </c>
      <c r="J228" s="623">
        <f t="shared" si="62"/>
        <v>0</v>
      </c>
      <c r="K228" s="623">
        <f t="shared" si="62"/>
        <v>0</v>
      </c>
      <c r="L228" s="623">
        <f t="shared" si="62"/>
        <v>0</v>
      </c>
      <c r="M228" s="623">
        <f t="shared" si="62"/>
        <v>4.2756450174493692E-2</v>
      </c>
      <c r="N228" s="623">
        <f t="shared" si="62"/>
        <v>0.21694722169314504</v>
      </c>
      <c r="O228" s="623">
        <f t="shared" si="62"/>
        <v>0.36266396935180384</v>
      </c>
      <c r="Q228" s="34"/>
      <c r="R228" s="1985"/>
      <c r="S228" s="37"/>
      <c r="T228" s="34"/>
      <c r="U228" s="34"/>
    </row>
    <row r="229" spans="2:21" s="528" customFormat="1" ht="14">
      <c r="B229" s="558"/>
      <c r="C229" s="526"/>
      <c r="E229" s="587"/>
      <c r="F229" s="623"/>
      <c r="G229" s="623"/>
      <c r="H229" s="623"/>
      <c r="I229" s="623"/>
      <c r="J229" s="623"/>
      <c r="K229" s="623"/>
      <c r="L229" s="623"/>
      <c r="M229" s="623"/>
      <c r="N229" s="623"/>
      <c r="O229" s="623"/>
      <c r="Q229" s="34"/>
      <c r="R229" s="1986"/>
      <c r="S229" s="37"/>
      <c r="T229" s="34"/>
      <c r="U229" s="34"/>
    </row>
    <row r="230" spans="2:21" s="528" customFormat="1" ht="14">
      <c r="B230" s="526"/>
      <c r="C230" s="117"/>
      <c r="E230" s="526"/>
      <c r="F230" s="623"/>
      <c r="G230" s="623"/>
      <c r="H230" s="623"/>
      <c r="I230" s="623"/>
      <c r="J230" s="623"/>
      <c r="K230" s="623"/>
      <c r="L230" s="623"/>
      <c r="M230" s="623"/>
      <c r="N230" s="623"/>
      <c r="O230" s="623"/>
      <c r="Q230" s="34"/>
      <c r="R230" s="1986"/>
      <c r="S230" s="37"/>
      <c r="T230" s="34"/>
      <c r="U230" s="34"/>
    </row>
    <row r="231" spans="2:21" s="528" customFormat="1" ht="14">
      <c r="B231" s="526">
        <v>4</v>
      </c>
      <c r="C231" s="526" t="s">
        <v>1170</v>
      </c>
      <c r="E231" s="587" t="str">
        <f>Preferences.EnergyUnits</f>
        <v>TWh</v>
      </c>
      <c r="F231" s="623">
        <f t="shared" ref="F231:O231" si="63">INDEX(F$80:F$83, MATCH($E$8, $C$80:$C$83, 0))</f>
        <v>18.817339999999998</v>
      </c>
      <c r="G231" s="623">
        <f t="shared" si="63"/>
        <v>27.144937170003814</v>
      </c>
      <c r="H231" s="623">
        <f t="shared" si="63"/>
        <v>27.32305556984198</v>
      </c>
      <c r="I231" s="623">
        <f t="shared" si="63"/>
        <v>27.858606532706467</v>
      </c>
      <c r="J231" s="623">
        <f t="shared" si="63"/>
        <v>28.582641909901167</v>
      </c>
      <c r="K231" s="623">
        <f t="shared" si="63"/>
        <v>29.635401755478146</v>
      </c>
      <c r="L231" s="623">
        <f t="shared" si="63"/>
        <v>30.699187307229483</v>
      </c>
      <c r="M231" s="623">
        <f t="shared" si="63"/>
        <v>31.774954722510824</v>
      </c>
      <c r="N231" s="623">
        <f t="shared" si="63"/>
        <v>32.863712345161993</v>
      </c>
      <c r="O231" s="623">
        <f t="shared" si="63"/>
        <v>33.966525009255932</v>
      </c>
      <c r="Q231" s="34"/>
      <c r="R231" s="1986"/>
      <c r="S231" s="37"/>
      <c r="T231" s="34"/>
      <c r="U231" s="34"/>
    </row>
    <row r="232" spans="2:21" s="528" customFormat="1" ht="14">
      <c r="B232" s="526"/>
      <c r="C232" s="117"/>
      <c r="E232" s="526"/>
      <c r="F232" s="624"/>
      <c r="G232" s="624"/>
      <c r="H232" s="624"/>
      <c r="I232" s="624"/>
      <c r="J232" s="624"/>
      <c r="K232" s="624"/>
      <c r="L232" s="624"/>
      <c r="M232" s="624"/>
      <c r="N232" s="624"/>
      <c r="O232" s="624"/>
      <c r="Q232" s="34"/>
      <c r="R232" s="1986"/>
      <c r="S232" s="37"/>
      <c r="T232" s="34"/>
      <c r="U232" s="34"/>
    </row>
    <row r="233" spans="2:21" s="528" customFormat="1">
      <c r="B233" s="570">
        <v>5</v>
      </c>
      <c r="C233" s="526" t="s">
        <v>988</v>
      </c>
      <c r="F233" s="550"/>
      <c r="G233" s="550"/>
      <c r="H233" s="550"/>
      <c r="I233" s="550"/>
      <c r="J233" s="550"/>
      <c r="K233" s="550"/>
      <c r="L233" s="550"/>
      <c r="M233" s="550"/>
      <c r="N233" s="550"/>
      <c r="O233" s="550"/>
      <c r="Q233" s="34"/>
      <c r="R233" s="1986"/>
      <c r="S233" s="37"/>
      <c r="T233" s="34"/>
      <c r="U233" s="34"/>
    </row>
    <row r="234" spans="2:21" s="528" customFormat="1">
      <c r="B234" s="526"/>
      <c r="C234" s="1568"/>
      <c r="F234" s="563"/>
      <c r="G234" s="563"/>
      <c r="H234" s="563"/>
      <c r="I234" s="563"/>
      <c r="J234" s="563"/>
      <c r="K234" s="563"/>
      <c r="L234" s="563"/>
      <c r="M234" s="563"/>
      <c r="N234" s="563"/>
      <c r="O234" s="563"/>
      <c r="Q234" s="34"/>
      <c r="R234" s="1986"/>
      <c r="S234" s="37"/>
      <c r="T234" s="34"/>
      <c r="U234" s="34"/>
    </row>
    <row r="235" spans="2:21" s="528" customFormat="1">
      <c r="B235" s="526"/>
      <c r="C235" s="1568" t="s">
        <v>1320</v>
      </c>
      <c r="F235" s="563"/>
      <c r="G235" s="563"/>
      <c r="H235" s="563"/>
      <c r="I235" s="563"/>
      <c r="J235" s="563"/>
      <c r="K235" s="563"/>
      <c r="L235" s="563"/>
      <c r="M235" s="563"/>
      <c r="N235" s="563"/>
      <c r="O235" s="563"/>
      <c r="Q235" s="34"/>
      <c r="R235" s="1986"/>
      <c r="S235" s="37"/>
      <c r="T235" s="34"/>
      <c r="U235" s="34"/>
    </row>
    <row r="236" spans="2:21" s="528" customFormat="1" ht="17">
      <c r="B236" s="526"/>
      <c r="C236" s="1568" t="s">
        <v>769</v>
      </c>
      <c r="E236" s="528" t="s">
        <v>788</v>
      </c>
      <c r="F236" s="563">
        <f>(F$216+F$223+F$231)*INDEX(EF[CO2],MATCH("V.04",EF[Vector],0))</f>
        <v>27.195465119025389</v>
      </c>
      <c r="G236" s="563">
        <f>(G$216+G$223+G$231)*INDEX(EF[CO2],MATCH("V.04",EF[Vector],0))</f>
        <v>28.306948003329016</v>
      </c>
      <c r="H236" s="563">
        <f>(H$216+H$223+H$231)*INDEX(EF[CO2],MATCH("V.04",EF[Vector],0))</f>
        <v>28.746010221755238</v>
      </c>
      <c r="I236" s="563">
        <f>(I$216+I$223+I$231)*INDEX(EF[CO2],MATCH("V.04",EF[Vector],0))</f>
        <v>25.167874820820991</v>
      </c>
      <c r="J236" s="563">
        <f>(J$216+J$223+J$231)*INDEX(EF[CO2],MATCH("V.04",EF[Vector],0))</f>
        <v>21.696409122678553</v>
      </c>
      <c r="K236" s="563">
        <f>(K$216+K$223+K$231)*INDEX(EF[CO2],MATCH("V.04",EF[Vector],0))</f>
        <v>18.494211886637956</v>
      </c>
      <c r="L236" s="563">
        <f>(L$216+L$223+L$231)*INDEX(EF[CO2],MATCH("V.04",EF[Vector],0))</f>
        <v>17.873191371874267</v>
      </c>
      <c r="M236" s="563">
        <f>(M$216+M$223+M$231)*INDEX(EF[CO2],MATCH("V.04",EF[Vector],0))</f>
        <v>17.219182929165385</v>
      </c>
      <c r="N236" s="563">
        <f>(N$216+N$223+N$231)*INDEX(EF[CO2],MATCH("V.04",EF[Vector],0))</f>
        <v>16.446915696115788</v>
      </c>
      <c r="O236" s="563">
        <f>(O$216+O$223+O$231)*INDEX(EF[CO2],MATCH("V.04",EF[Vector],0))</f>
        <v>15.730557559058315</v>
      </c>
      <c r="Q236" s="34"/>
      <c r="R236" s="1986"/>
      <c r="S236" s="37"/>
      <c r="T236" s="34"/>
      <c r="U236" s="34"/>
    </row>
    <row r="237" spans="2:21" s="528" customFormat="1" ht="17">
      <c r="B237" s="526"/>
      <c r="C237" s="1568" t="s">
        <v>770</v>
      </c>
      <c r="E237" s="528" t="s">
        <v>788</v>
      </c>
      <c r="F237" s="563">
        <f>(F$216+F$223+F$231)*INDEX(EF[CH4],MATCH("V.04",EF[Vector],0))</f>
        <v>3.3858246712257449E-2</v>
      </c>
      <c r="G237" s="563">
        <f>(G$216+G$223+G$231)*INDEX(EF[CH4],MATCH("V.04",EF[Vector],0))</f>
        <v>3.5242038515357614E-2</v>
      </c>
      <c r="H237" s="563">
        <f>(H$216+H$223+H$231)*INDEX(EF[CH4],MATCH("V.04",EF[Vector],0))</f>
        <v>3.5788669243989872E-2</v>
      </c>
      <c r="I237" s="563">
        <f>(I$216+I$223+I$231)*INDEX(EF[CH4],MATCH("V.04",EF[Vector],0))</f>
        <v>3.1333904795414938E-2</v>
      </c>
      <c r="J237" s="563">
        <f>(J$216+J$223+J$231)*INDEX(EF[CH4],MATCH("V.04",EF[Vector],0))</f>
        <v>2.7011943705710365E-2</v>
      </c>
      <c r="K237" s="563">
        <f>(K$216+K$223+K$231)*INDEX(EF[CH4],MATCH("V.04",EF[Vector],0))</f>
        <v>2.3025220788317698E-2</v>
      </c>
      <c r="L237" s="563">
        <f>(L$216+L$223+L$231)*INDEX(EF[CH4],MATCH("V.04",EF[Vector],0))</f>
        <v>2.2252052699071365E-2</v>
      </c>
      <c r="M237" s="563">
        <f>(M$216+M$223+M$231)*INDEX(EF[CH4],MATCH("V.04",EF[Vector],0))</f>
        <v>2.14378147697614E-2</v>
      </c>
      <c r="N237" s="563">
        <f>(N$216+N$223+N$231)*INDEX(EF[CH4],MATCH("V.04",EF[Vector],0))</f>
        <v>2.0476345113333523E-2</v>
      </c>
      <c r="O237" s="563">
        <f>(O$216+O$223+O$231)*INDEX(EF[CH4],MATCH("V.04",EF[Vector],0))</f>
        <v>1.9584482060700643E-2</v>
      </c>
      <c r="Q237" s="34"/>
      <c r="R237" s="1986"/>
      <c r="S237" s="37"/>
      <c r="T237" s="34"/>
      <c r="U237" s="34"/>
    </row>
    <row r="238" spans="2:21" s="528" customFormat="1" ht="17">
      <c r="B238" s="526"/>
      <c r="C238" s="1568" t="s">
        <v>771</v>
      </c>
      <c r="E238" s="528" t="s">
        <v>788</v>
      </c>
      <c r="F238" s="563">
        <f>(F$216+F$223+F$231)*INDEX(EF[N2O],MATCH("V.04",EF[Vector],0))</f>
        <v>0.48930214346407658</v>
      </c>
      <c r="G238" s="563">
        <f>(G$216+G$223+G$231)*INDEX(EF[N2O],MATCH("V.04",EF[Vector],0))</f>
        <v>0.50929999808186477</v>
      </c>
      <c r="H238" s="563">
        <f>(H$216+H$223+H$231)*INDEX(EF[N2O],MATCH("V.04",EF[Vector],0))</f>
        <v>0.51719962706963118</v>
      </c>
      <c r="I238" s="563">
        <f>(I$216+I$223+I$231)*INDEX(EF[N2O],MATCH("V.04",EF[Vector],0))</f>
        <v>0.45282163928309377</v>
      </c>
      <c r="J238" s="563">
        <f>(J$216+J$223+J$231)*INDEX(EF[N2O],MATCH("V.04",EF[Vector],0))</f>
        <v>0.39036285802566972</v>
      </c>
      <c r="K238" s="563">
        <f>(K$216+K$223+K$231)*INDEX(EF[N2O],MATCH("V.04",EF[Vector],0))</f>
        <v>0.33274876815694099</v>
      </c>
      <c r="L238" s="563">
        <f>(L$216+L$223+L$231)*INDEX(EF[N2O],MATCH("V.04",EF[Vector],0))</f>
        <v>0.32157533656902315</v>
      </c>
      <c r="M238" s="563">
        <f>(M$216+M$223+M$231)*INDEX(EF[N2O],MATCH("V.04",EF[Vector],0))</f>
        <v>0.30980838456211712</v>
      </c>
      <c r="N238" s="563">
        <f>(N$216+N$223+N$231)*INDEX(EF[N2O],MATCH("V.04",EF[Vector],0))</f>
        <v>0.29591371459400218</v>
      </c>
      <c r="O238" s="563">
        <f>(O$216+O$223+O$231)*INDEX(EF[N2O],MATCH("V.04",EF[Vector],0))</f>
        <v>0.28302496382559039</v>
      </c>
      <c r="Q238" s="34"/>
      <c r="R238" s="1986"/>
      <c r="S238" s="37"/>
      <c r="T238" s="34"/>
      <c r="U238" s="34"/>
    </row>
    <row r="239" spans="2:21" s="528" customFormat="1">
      <c r="B239" s="526"/>
      <c r="C239" s="1715"/>
      <c r="F239" s="563"/>
      <c r="G239" s="563"/>
      <c r="H239" s="563"/>
      <c r="I239" s="563"/>
      <c r="J239" s="563"/>
      <c r="K239" s="563"/>
      <c r="L239" s="563"/>
      <c r="M239" s="563"/>
      <c r="N239" s="563"/>
      <c r="O239" s="563"/>
      <c r="Q239" s="34"/>
      <c r="R239" s="1986"/>
      <c r="S239" s="37"/>
      <c r="T239" s="34"/>
      <c r="U239" s="34"/>
    </row>
    <row r="240" spans="2:21" s="528" customFormat="1" ht="14">
      <c r="B240" s="526">
        <v>6</v>
      </c>
      <c r="C240" s="526" t="s">
        <v>1590</v>
      </c>
      <c r="D240" s="526"/>
      <c r="E240" s="526"/>
      <c r="F240" s="623"/>
      <c r="G240" s="623"/>
      <c r="H240" s="623"/>
      <c r="I240" s="623"/>
      <c r="J240" s="623"/>
      <c r="K240" s="623"/>
      <c r="L240" s="623"/>
      <c r="M240" s="623"/>
      <c r="N240" s="623"/>
      <c r="O240" s="623"/>
      <c r="Q240" s="34"/>
      <c r="R240" s="1938"/>
      <c r="S240" s="37"/>
      <c r="T240" s="34"/>
      <c r="U240" s="34"/>
    </row>
    <row r="241" spans="1:21" s="528" customFormat="1" ht="14">
      <c r="B241" s="526"/>
      <c r="C241" s="526"/>
      <c r="D241" s="526"/>
      <c r="E241" s="526"/>
      <c r="F241" s="623"/>
      <c r="G241" s="623"/>
      <c r="H241" s="623"/>
      <c r="I241" s="623"/>
      <c r="J241" s="623"/>
      <c r="K241" s="623"/>
      <c r="L241" s="623"/>
      <c r="M241" s="623"/>
      <c r="N241" s="623"/>
      <c r="O241" s="623"/>
      <c r="Q241" s="34"/>
      <c r="R241" s="37"/>
      <c r="S241" s="37"/>
      <c r="T241" s="34"/>
      <c r="U241" s="34"/>
    </row>
    <row r="242" spans="1:21" s="528" customFormat="1" ht="14">
      <c r="B242" s="526"/>
      <c r="C242" s="17" t="s">
        <v>970</v>
      </c>
      <c r="D242" s="20"/>
      <c r="E242" s="526"/>
      <c r="F242" s="623"/>
      <c r="G242" s="623"/>
      <c r="H242" s="623"/>
      <c r="I242" s="623"/>
      <c r="J242" s="623"/>
      <c r="K242" s="623"/>
      <c r="L242" s="623"/>
      <c r="M242" s="623"/>
      <c r="N242" s="623"/>
      <c r="O242" s="1732" t="s">
        <v>934</v>
      </c>
      <c r="Q242" s="34"/>
      <c r="R242" s="37"/>
      <c r="S242" s="37"/>
      <c r="T242" s="34"/>
      <c r="U242" s="34"/>
    </row>
    <row r="243" spans="1:21" s="528" customFormat="1" ht="14">
      <c r="B243" s="526"/>
      <c r="C243" s="1043" t="s">
        <v>906</v>
      </c>
      <c r="D243" s="1716" t="s">
        <v>657</v>
      </c>
      <c r="E243" s="526"/>
      <c r="F243" s="623"/>
      <c r="G243" s="623"/>
      <c r="H243" s="623"/>
      <c r="I243" s="623"/>
      <c r="J243" s="623"/>
      <c r="K243" s="623"/>
      <c r="L243" s="623"/>
      <c r="M243" s="623"/>
      <c r="N243" s="623"/>
      <c r="O243" s="623"/>
      <c r="Q243" s="34"/>
      <c r="R243" s="37"/>
      <c r="S243" s="37"/>
      <c r="T243" s="34"/>
      <c r="U243" s="34"/>
    </row>
    <row r="244" spans="1:21" s="528" customFormat="1" ht="14">
      <c r="B244" s="526"/>
      <c r="C244" s="37" t="s">
        <v>942</v>
      </c>
      <c r="D244" s="515" t="s">
        <v>1582</v>
      </c>
      <c r="E244" s="526"/>
      <c r="F244" s="619">
        <f>IF($E$8=1,F32,IF($E$8=2,F33,IF($E$8=3,F34,IF($E$8=4,F35))))</f>
        <v>4.2823635043548469E-2</v>
      </c>
      <c r="G244" s="619">
        <f>IF($E$8=1,G32,IF($E$8=2,G33,IF($E$8=3,G34,IF($E$8=4,G35))))</f>
        <v>4.6449084031368146E-2</v>
      </c>
      <c r="H244" s="619">
        <f t="shared" ref="H244:O244" si="64">IF($E$8=1,H32,IF($E$8=2,H33,IF($E$8=3,H34,IF($E$8=4,H35))))</f>
        <v>5.3722806313580403E-2</v>
      </c>
      <c r="I244" s="619">
        <f t="shared" si="64"/>
        <v>5.9986404755394677E-2</v>
      </c>
      <c r="J244" s="619">
        <f t="shared" si="64"/>
        <v>5.4366566130675829E-2</v>
      </c>
      <c r="K244" s="619">
        <f t="shared" si="64"/>
        <v>4.6322153411886217E-2</v>
      </c>
      <c r="L244" s="619">
        <f t="shared" si="64"/>
        <v>3.635822851922485E-2</v>
      </c>
      <c r="M244" s="619">
        <f t="shared" si="64"/>
        <v>2.4979853372890694E-2</v>
      </c>
      <c r="N244" s="619">
        <f t="shared" si="64"/>
        <v>1.2692089893082755E-2</v>
      </c>
      <c r="O244" s="619">
        <f t="shared" si="64"/>
        <v>0</v>
      </c>
      <c r="Q244" s="34"/>
      <c r="R244" s="37"/>
      <c r="S244" s="37"/>
      <c r="T244" s="34"/>
      <c r="U244" s="34"/>
    </row>
    <row r="245" spans="1:21" s="528" customFormat="1" ht="14">
      <c r="B245" s="526"/>
      <c r="C245" s="37" t="s">
        <v>942</v>
      </c>
      <c r="D245" s="34" t="s">
        <v>741</v>
      </c>
      <c r="E245" s="526"/>
      <c r="F245" s="619">
        <f>IF($E$8=1,F40,IF($E$8=2,F41,IF($E$8=3,F42,IF($E$8=4,F43))))</f>
        <v>1.8763649564515329E-3</v>
      </c>
      <c r="G245" s="619">
        <f>IF($E$8=1,G40,IF($E$8=2,G41,IF($E$8=3,G42,IF($E$8=4,G43))))</f>
        <v>2.035832006236118E-3</v>
      </c>
      <c r="H245" s="619">
        <f t="shared" ref="H245:O245" si="65">IF($E$8=1,H40,IF($E$8=2,H41,IF($E$8=3,H42,IF($E$8=4,H43))))</f>
        <v>2.385616375941646E-3</v>
      </c>
      <c r="I245" s="619">
        <f t="shared" si="65"/>
        <v>2.7021959609765849E-3</v>
      </c>
      <c r="J245" s="619">
        <f t="shared" si="65"/>
        <v>6.672344675850146E-3</v>
      </c>
      <c r="K245" s="619">
        <f t="shared" si="65"/>
        <v>1.1227140508942034E-2</v>
      </c>
      <c r="L245" s="619">
        <f t="shared" si="65"/>
        <v>1.6243573278535282E-2</v>
      </c>
      <c r="M245" s="619">
        <f t="shared" si="65"/>
        <v>2.1598632802912871E-2</v>
      </c>
      <c r="N245" s="619">
        <f t="shared" si="65"/>
        <v>2.7169308900357902E-2</v>
      </c>
      <c r="O245" s="619">
        <f t="shared" si="65"/>
        <v>3.2832591389153266E-2</v>
      </c>
      <c r="Q245" s="34"/>
      <c r="R245" s="37"/>
      <c r="S245" s="37"/>
      <c r="T245" s="34"/>
      <c r="U245" s="34"/>
    </row>
    <row r="246" spans="1:21" s="528" customFormat="1" ht="14">
      <c r="B246" s="526"/>
      <c r="C246" s="37" t="s">
        <v>938</v>
      </c>
      <c r="D246" s="34" t="s">
        <v>1583</v>
      </c>
      <c r="E246" s="526"/>
      <c r="F246" s="619">
        <f>IF($E$8=1,F48,IF($E$8=2,F49,IF($E$8=3,F50,IF($E$8=4,F51))))</f>
        <v>29.4</v>
      </c>
      <c r="G246" s="619">
        <f>IF($E$8=1,G48,IF($E$8=2,G49,IF($E$8=3,G50,IF($E$8=4,G51))))</f>
        <v>25.8</v>
      </c>
      <c r="H246" s="619">
        <f t="shared" ref="H246:O246" si="66">IF($E$8=1,H48,IF($E$8=2,H49,IF($E$8=3,H50,IF($E$8=4,H51))))</f>
        <v>30.083165030062446</v>
      </c>
      <c r="I246" s="619">
        <f t="shared" si="66"/>
        <v>29.041077605218561</v>
      </c>
      <c r="J246" s="619">
        <f t="shared" si="66"/>
        <v>27.998990180374676</v>
      </c>
      <c r="K246" s="619">
        <f t="shared" si="66"/>
        <v>26.956902755530791</v>
      </c>
      <c r="L246" s="619">
        <f t="shared" si="66"/>
        <v>25.914815330686906</v>
      </c>
      <c r="M246" s="619">
        <f t="shared" si="66"/>
        <v>24.748364266313786</v>
      </c>
      <c r="N246" s="619">
        <f t="shared" si="66"/>
        <v>23.175297867771626</v>
      </c>
      <c r="O246" s="619">
        <f t="shared" si="66"/>
        <v>21.649125403347536</v>
      </c>
      <c r="Q246" s="34"/>
      <c r="R246" s="37"/>
      <c r="S246" s="37"/>
      <c r="T246" s="34"/>
      <c r="U246" s="34"/>
    </row>
    <row r="247" spans="1:21" s="528" customFormat="1" ht="14">
      <c r="B247" s="526"/>
      <c r="C247" s="37" t="s">
        <v>938</v>
      </c>
      <c r="D247" s="2093" t="s">
        <v>1584</v>
      </c>
      <c r="E247" s="526"/>
      <c r="F247" s="619">
        <f>IF($E$8=1,F56,IF($E$8=2,F57,IF($E$8=3,F58,IF($E$8=4,F59))))</f>
        <v>0</v>
      </c>
      <c r="G247" s="619">
        <f>IF($E$8=1,G56,IF($E$8=2,G57,IF($E$8=3,G58,IF($E$8=4,G59))))</f>
        <v>0</v>
      </c>
      <c r="H247" s="619">
        <f t="shared" ref="H247:O247" si="67">IF($E$8=1,H56,IF($E$8=2,H57,IF($E$8=3,H58,IF($E$8=4,H59))))</f>
        <v>0</v>
      </c>
      <c r="I247" s="619">
        <f t="shared" si="67"/>
        <v>0</v>
      </c>
      <c r="J247" s="619">
        <f t="shared" si="67"/>
        <v>0</v>
      </c>
      <c r="K247" s="619">
        <f t="shared" si="67"/>
        <v>0</v>
      </c>
      <c r="L247" s="619">
        <f t="shared" si="67"/>
        <v>0</v>
      </c>
      <c r="M247" s="619">
        <f t="shared" si="67"/>
        <v>0.124363639529215</v>
      </c>
      <c r="N247" s="619">
        <f t="shared" si="67"/>
        <v>0.65534261322747522</v>
      </c>
      <c r="O247" s="619">
        <f t="shared" si="67"/>
        <v>1.1394276528077651</v>
      </c>
      <c r="Q247" s="34"/>
      <c r="R247" s="37"/>
      <c r="S247" s="37"/>
      <c r="T247" s="34"/>
      <c r="U247" s="34"/>
    </row>
    <row r="248" spans="1:21" s="528" customFormat="1">
      <c r="B248" s="526"/>
      <c r="C248" s="1716"/>
      <c r="F248" s="563"/>
      <c r="G248" s="563"/>
      <c r="H248" s="563"/>
      <c r="I248" s="563"/>
      <c r="J248" s="563"/>
      <c r="K248" s="563"/>
      <c r="L248" s="563"/>
      <c r="M248" s="563"/>
      <c r="N248" s="563"/>
      <c r="O248" s="563"/>
      <c r="Q248" s="34"/>
      <c r="R248" s="37"/>
      <c r="S248" s="37"/>
      <c r="T248" s="34"/>
      <c r="U248" s="34"/>
    </row>
    <row r="249" spans="1:21" s="528" customFormat="1" ht="14">
      <c r="A249" s="526"/>
      <c r="B249" s="1733" t="s">
        <v>1685</v>
      </c>
      <c r="C249" s="1733" t="s">
        <v>1684</v>
      </c>
      <c r="D249" s="526"/>
      <c r="E249" s="526"/>
      <c r="F249" s="623"/>
      <c r="G249" s="623"/>
      <c r="H249" s="623"/>
      <c r="I249" s="623"/>
      <c r="J249" s="623"/>
      <c r="K249" s="623"/>
      <c r="L249" s="623"/>
      <c r="M249" s="623"/>
      <c r="N249" s="623"/>
      <c r="O249" s="623"/>
      <c r="Q249" s="34"/>
      <c r="R249" s="37"/>
      <c r="S249" s="37"/>
      <c r="T249" s="34"/>
      <c r="U249" s="34"/>
    </row>
    <row r="250" spans="1:21" s="528" customFormat="1" ht="14">
      <c r="A250" s="526"/>
      <c r="B250" s="559"/>
      <c r="C250" s="526"/>
      <c r="D250" s="526"/>
      <c r="E250" s="526"/>
      <c r="F250" s="623"/>
      <c r="G250" s="623"/>
      <c r="H250" s="623"/>
      <c r="I250" s="623"/>
      <c r="J250" s="623"/>
      <c r="K250" s="623"/>
      <c r="L250" s="623"/>
      <c r="M250" s="623"/>
      <c r="N250" s="623"/>
      <c r="O250" s="623"/>
      <c r="Q250" s="34"/>
      <c r="R250" s="37"/>
      <c r="S250" s="37"/>
      <c r="T250" s="34"/>
      <c r="U250" s="34"/>
    </row>
    <row r="251" spans="1:21" s="528" customFormat="1" ht="14">
      <c r="A251" s="526"/>
      <c r="B251" s="1043"/>
      <c r="C251" s="17" t="s">
        <v>970</v>
      </c>
      <c r="D251" s="20"/>
      <c r="E251" s="526"/>
      <c r="F251" s="623"/>
      <c r="G251" s="623"/>
      <c r="H251" s="623"/>
      <c r="I251" s="623"/>
      <c r="J251" s="623"/>
      <c r="K251" s="623"/>
      <c r="L251" s="623"/>
      <c r="M251" s="623"/>
      <c r="N251" s="623"/>
      <c r="O251" s="1732" t="s">
        <v>1683</v>
      </c>
      <c r="Q251" s="34"/>
      <c r="R251" s="37"/>
      <c r="S251" s="37"/>
      <c r="T251" s="34"/>
      <c r="U251" s="34"/>
    </row>
    <row r="252" spans="1:21" s="528" customFormat="1" ht="14">
      <c r="A252" s="526"/>
      <c r="B252" s="559"/>
      <c r="C252" s="1043" t="s">
        <v>906</v>
      </c>
      <c r="D252" s="1715" t="s">
        <v>657</v>
      </c>
      <c r="E252" s="526"/>
      <c r="F252" s="1798">
        <v>2007</v>
      </c>
      <c r="G252" s="1798">
        <v>2010</v>
      </c>
      <c r="H252" s="1798">
        <v>2015</v>
      </c>
      <c r="I252" s="1798">
        <v>2020</v>
      </c>
      <c r="J252" s="1798">
        <v>2025</v>
      </c>
      <c r="K252" s="1798">
        <v>2030</v>
      </c>
      <c r="L252" s="1798">
        <v>2035</v>
      </c>
      <c r="M252" s="1798">
        <v>2040</v>
      </c>
      <c r="N252" s="1798">
        <v>2045</v>
      </c>
      <c r="O252" s="1798">
        <v>2050</v>
      </c>
      <c r="Q252" s="34"/>
      <c r="R252" s="34"/>
      <c r="S252" s="34"/>
      <c r="T252" s="34"/>
      <c r="U252" s="34"/>
    </row>
    <row r="253" spans="1:21" s="528" customFormat="1" ht="14">
      <c r="A253" s="526"/>
      <c r="B253" s="559"/>
      <c r="C253" s="37" t="s">
        <v>942</v>
      </c>
      <c r="D253" s="515" t="s">
        <v>1582</v>
      </c>
      <c r="E253" s="526"/>
      <c r="F253" s="619">
        <f>F244*1000000000/F$96</f>
        <v>230.23459700832512</v>
      </c>
      <c r="G253" s="619">
        <f>G244*1000000000/G$96</f>
        <v>249.72625823316207</v>
      </c>
      <c r="H253" s="619">
        <f t="shared" ref="H253:O253" si="68">H244*1000000000/H$96</f>
        <v>288.83229200849678</v>
      </c>
      <c r="I253" s="619">
        <f t="shared" si="68"/>
        <v>322.50755244835847</v>
      </c>
      <c r="J253" s="619">
        <f t="shared" si="68"/>
        <v>292.29336629395607</v>
      </c>
      <c r="K253" s="619">
        <f t="shared" si="68"/>
        <v>249.04383554777536</v>
      </c>
      <c r="L253" s="619">
        <f t="shared" si="68"/>
        <v>195.47434687755296</v>
      </c>
      <c r="M253" s="619">
        <f t="shared" si="68"/>
        <v>134.30028695102521</v>
      </c>
      <c r="N253" s="619">
        <f t="shared" si="68"/>
        <v>68.237042435928785</v>
      </c>
      <c r="O253" s="619">
        <f t="shared" si="68"/>
        <v>0</v>
      </c>
      <c r="Q253" s="34"/>
      <c r="R253" s="34"/>
      <c r="S253" s="34"/>
      <c r="T253" s="34"/>
      <c r="U253" s="34"/>
    </row>
    <row r="254" spans="1:21" s="528" customFormat="1" ht="14">
      <c r="A254" s="526"/>
      <c r="B254" s="559"/>
      <c r="C254" s="37" t="s">
        <v>942</v>
      </c>
      <c r="D254" s="34" t="s">
        <v>741</v>
      </c>
      <c r="E254" s="526"/>
      <c r="F254" s="619">
        <f>F245*1000000000/F$96</f>
        <v>10.087983636836199</v>
      </c>
      <c r="G254" s="619">
        <f t="shared" ref="G254:O254" si="69">G245*1000000000/G$96</f>
        <v>10.945333366860849</v>
      </c>
      <c r="H254" s="619">
        <f t="shared" si="69"/>
        <v>12.825894494309924</v>
      </c>
      <c r="I254" s="619">
        <f t="shared" si="69"/>
        <v>14.52793527406766</v>
      </c>
      <c r="J254" s="619">
        <f t="shared" si="69"/>
        <v>35.872820837904015</v>
      </c>
      <c r="K254" s="619">
        <f t="shared" si="69"/>
        <v>60.360970478182978</v>
      </c>
      <c r="L254" s="619">
        <f t="shared" si="69"/>
        <v>87.331039131910117</v>
      </c>
      <c r="M254" s="619">
        <f t="shared" si="69"/>
        <v>116.12168173609071</v>
      </c>
      <c r="N254" s="619">
        <f t="shared" si="69"/>
        <v>146.07155322773065</v>
      </c>
      <c r="O254" s="619">
        <f t="shared" si="69"/>
        <v>176.51930854383477</v>
      </c>
      <c r="Q254" s="34"/>
      <c r="R254" s="34"/>
      <c r="S254" s="34"/>
      <c r="T254" s="34"/>
      <c r="U254" s="34"/>
    </row>
    <row r="255" spans="1:21" s="528" customFormat="1" ht="14">
      <c r="A255" s="526"/>
      <c r="B255" s="559"/>
      <c r="C255" s="37" t="s">
        <v>938</v>
      </c>
      <c r="D255" s="34" t="s">
        <v>1583</v>
      </c>
      <c r="E255" s="526"/>
      <c r="F255" s="619">
        <f>F246*1000000000/F$95*0.82</f>
        <v>446444.44444444444</v>
      </c>
      <c r="G255" s="619">
        <f t="shared" ref="G255:O255" si="70">G246*1000000000/G$95*0.82</f>
        <v>391777.77777777775</v>
      </c>
      <c r="H255" s="619">
        <f t="shared" si="70"/>
        <v>456818.4319379853</v>
      </c>
      <c r="I255" s="619">
        <f t="shared" si="70"/>
        <v>440994.14141257812</v>
      </c>
      <c r="J255" s="619">
        <f t="shared" si="70"/>
        <v>425169.85088717099</v>
      </c>
      <c r="K255" s="619">
        <f t="shared" si="70"/>
        <v>409345.56036176387</v>
      </c>
      <c r="L255" s="619">
        <f t="shared" si="70"/>
        <v>393521.26983635669</v>
      </c>
      <c r="M255" s="619">
        <f t="shared" si="70"/>
        <v>375808.49441439449</v>
      </c>
      <c r="N255" s="619">
        <f t="shared" si="70"/>
        <v>351921.18984393944</v>
      </c>
      <c r="O255" s="619">
        <f t="shared" si="70"/>
        <v>328745.97834712925</v>
      </c>
      <c r="Q255" s="34"/>
      <c r="R255" s="34"/>
      <c r="S255" s="34"/>
      <c r="T255" s="34"/>
      <c r="U255" s="34"/>
    </row>
    <row r="256" spans="1:21" s="528" customFormat="1" ht="14">
      <c r="A256" s="526"/>
      <c r="B256" s="559"/>
      <c r="C256" s="37" t="s">
        <v>938</v>
      </c>
      <c r="D256" s="2093" t="s">
        <v>1584</v>
      </c>
      <c r="E256" s="526"/>
      <c r="F256" s="619">
        <f t="shared" ref="F256:O256" si="71">F247*1000000000/F$95*0.82</f>
        <v>0</v>
      </c>
      <c r="G256" s="619">
        <f t="shared" si="71"/>
        <v>0</v>
      </c>
      <c r="H256" s="619">
        <f t="shared" si="71"/>
        <v>0</v>
      </c>
      <c r="I256" s="619">
        <f t="shared" si="71"/>
        <v>0</v>
      </c>
      <c r="J256" s="619">
        <f t="shared" si="71"/>
        <v>0</v>
      </c>
      <c r="K256" s="619">
        <f t="shared" si="71"/>
        <v>0</v>
      </c>
      <c r="L256" s="619">
        <f t="shared" si="71"/>
        <v>0</v>
      </c>
      <c r="M256" s="619">
        <f t="shared" si="71"/>
        <v>1888.4848965547462</v>
      </c>
      <c r="N256" s="619">
        <f t="shared" si="71"/>
        <v>9951.4989416024</v>
      </c>
      <c r="O256" s="619">
        <f t="shared" si="71"/>
        <v>17302.419913006805</v>
      </c>
      <c r="Q256" s="34"/>
      <c r="R256" s="34"/>
      <c r="S256" s="34"/>
      <c r="T256" s="34"/>
      <c r="U256" s="34"/>
    </row>
    <row r="257" spans="1:21" s="528" customFormat="1" ht="14">
      <c r="A257" s="526"/>
      <c r="B257" s="559"/>
      <c r="C257" s="16"/>
      <c r="D257" s="1063"/>
      <c r="E257" s="526"/>
      <c r="F257" s="619"/>
      <c r="G257" s="619"/>
      <c r="H257" s="619"/>
      <c r="I257" s="619"/>
      <c r="J257" s="619"/>
      <c r="K257" s="619"/>
      <c r="L257" s="619"/>
      <c r="M257" s="619"/>
      <c r="N257" s="619"/>
      <c r="O257" s="619"/>
      <c r="Q257" s="34"/>
      <c r="R257" s="34"/>
      <c r="S257" s="34"/>
      <c r="T257" s="34"/>
      <c r="U257" s="34"/>
    </row>
    <row r="258" spans="1:21" s="528" customFormat="1">
      <c r="A258" s="1795"/>
      <c r="B258" s="1795" t="s">
        <v>1686</v>
      </c>
      <c r="C258" s="1795" t="s">
        <v>1664</v>
      </c>
      <c r="D258" s="1795"/>
      <c r="E258" s="1795"/>
      <c r="F258" s="1795"/>
      <c r="G258" s="1795"/>
      <c r="H258" s="1795"/>
      <c r="I258" s="1795"/>
      <c r="J258" s="1795"/>
      <c r="K258" s="1795"/>
      <c r="L258" s="1795"/>
      <c r="M258" s="1795"/>
      <c r="N258" s="1795"/>
      <c r="O258" s="1795"/>
      <c r="Q258" s="34"/>
      <c r="R258" s="34"/>
      <c r="S258" s="34"/>
      <c r="T258" s="34"/>
      <c r="U258" s="34"/>
    </row>
    <row r="259" spans="1:21" s="528" customFormat="1">
      <c r="A259" s="1795"/>
      <c r="B259" s="1797"/>
      <c r="C259" s="1795"/>
      <c r="D259" s="1795"/>
      <c r="E259" s="1795"/>
      <c r="F259" s="1795"/>
      <c r="G259" s="1795"/>
      <c r="H259" s="1795"/>
      <c r="I259" s="1795"/>
      <c r="J259" s="1795"/>
      <c r="K259" s="1795"/>
      <c r="L259" s="1795"/>
      <c r="M259" s="1795"/>
      <c r="N259" s="1795"/>
      <c r="O259" s="1518" t="s">
        <v>1688</v>
      </c>
      <c r="Q259" s="34"/>
      <c r="R259" s="34"/>
      <c r="S259" s="34"/>
      <c r="T259" s="34"/>
      <c r="U259" s="34"/>
    </row>
    <row r="260" spans="1:21" s="528" customFormat="1" ht="14">
      <c r="A260" s="1795"/>
      <c r="B260" s="1799"/>
      <c r="C260" s="1800" t="s">
        <v>970</v>
      </c>
      <c r="D260" s="1206"/>
      <c r="E260" s="1795"/>
      <c r="F260" s="1798">
        <v>2007</v>
      </c>
      <c r="G260" s="1798">
        <v>2010</v>
      </c>
      <c r="H260" s="1798">
        <v>2015</v>
      </c>
      <c r="I260" s="1798">
        <v>2020</v>
      </c>
      <c r="J260" s="1798">
        <v>2025</v>
      </c>
      <c r="K260" s="1798">
        <v>2030</v>
      </c>
      <c r="L260" s="1798">
        <v>2035</v>
      </c>
      <c r="M260" s="1798">
        <v>2040</v>
      </c>
      <c r="N260" s="1798">
        <v>2045</v>
      </c>
      <c r="O260" s="1798">
        <v>2050</v>
      </c>
      <c r="Q260" s="34"/>
      <c r="R260" s="34"/>
      <c r="S260" s="34"/>
      <c r="T260" s="34"/>
      <c r="U260" s="34"/>
    </row>
    <row r="261" spans="1:21" s="528" customFormat="1" ht="14">
      <c r="A261" s="1795"/>
      <c r="B261" s="559"/>
      <c r="C261" s="37" t="s">
        <v>942</v>
      </c>
      <c r="D261" s="515" t="s">
        <v>1582</v>
      </c>
      <c r="E261" s="1795"/>
      <c r="F261" s="1805"/>
      <c r="G261" s="1805">
        <f t="shared" ref="G261:O261" si="72">F253/$C$142</f>
        <v>7.6744865669441706</v>
      </c>
      <c r="H261" s="1805">
        <f t="shared" si="72"/>
        <v>8.3242086077720696</v>
      </c>
      <c r="I261" s="1805">
        <f t="shared" si="72"/>
        <v>9.6277430669498933</v>
      </c>
      <c r="J261" s="1805">
        <f t="shared" si="72"/>
        <v>10.750251748278616</v>
      </c>
      <c r="K261" s="1805">
        <f t="shared" si="72"/>
        <v>9.7431122097985359</v>
      </c>
      <c r="L261" s="1805">
        <f t="shared" si="72"/>
        <v>8.3014611849258451</v>
      </c>
      <c r="M261" s="1805">
        <f t="shared" si="72"/>
        <v>6.5158115625850987</v>
      </c>
      <c r="N261" s="1805">
        <f t="shared" si="72"/>
        <v>4.4766762317008402</v>
      </c>
      <c r="O261" s="1805">
        <f t="shared" si="72"/>
        <v>2.2745680811976263</v>
      </c>
      <c r="Q261" s="34"/>
      <c r="R261" s="34"/>
      <c r="S261" s="34"/>
      <c r="T261" s="34"/>
      <c r="U261" s="34"/>
    </row>
    <row r="262" spans="1:21" s="528" customFormat="1" ht="14">
      <c r="A262" s="1733"/>
      <c r="B262" s="559"/>
      <c r="C262" s="37" t="s">
        <v>942</v>
      </c>
      <c r="D262" s="34" t="s">
        <v>741</v>
      </c>
      <c r="E262" s="1733"/>
      <c r="F262" s="1806"/>
      <c r="G262" s="1805">
        <f t="shared" ref="G262:O262" si="73">F254/$C$142</f>
        <v>0.3362661212278733</v>
      </c>
      <c r="H262" s="1805">
        <f t="shared" si="73"/>
        <v>0.36484444556202827</v>
      </c>
      <c r="I262" s="1805">
        <f t="shared" si="73"/>
        <v>0.4275298164769975</v>
      </c>
      <c r="J262" s="1805">
        <f t="shared" si="73"/>
        <v>0.48426450913558866</v>
      </c>
      <c r="K262" s="1805">
        <f t="shared" si="73"/>
        <v>1.1957606945968005</v>
      </c>
      <c r="L262" s="1805">
        <f t="shared" si="73"/>
        <v>2.0120323492727659</v>
      </c>
      <c r="M262" s="1805">
        <f t="shared" si="73"/>
        <v>2.9110346377303373</v>
      </c>
      <c r="N262" s="1805">
        <f t="shared" si="73"/>
        <v>3.8707227245363569</v>
      </c>
      <c r="O262" s="1805">
        <f t="shared" si="73"/>
        <v>4.869051774257688</v>
      </c>
      <c r="Q262" s="34"/>
    </row>
    <row r="263" spans="1:21" s="528" customFormat="1" ht="14">
      <c r="A263" s="1795"/>
      <c r="B263" s="559"/>
      <c r="C263" s="37" t="s">
        <v>938</v>
      </c>
      <c r="D263" s="34" t="s">
        <v>1583</v>
      </c>
      <c r="E263" s="1795"/>
      <c r="F263" s="1806"/>
      <c r="G263" s="1807">
        <f t="shared" ref="G263:O263" si="74">F255/$C$144</f>
        <v>63777.777777777774</v>
      </c>
      <c r="H263" s="1807">
        <f t="shared" si="74"/>
        <v>55968.253968253965</v>
      </c>
      <c r="I263" s="1807">
        <f t="shared" si="74"/>
        <v>65259.775991140756</v>
      </c>
      <c r="J263" s="1807">
        <f t="shared" si="74"/>
        <v>62999.163058939732</v>
      </c>
      <c r="K263" s="1807">
        <f t="shared" si="74"/>
        <v>60738.550126738715</v>
      </c>
      <c r="L263" s="1807">
        <f t="shared" si="74"/>
        <v>58477.937194537699</v>
      </c>
      <c r="M263" s="1807">
        <f t="shared" si="74"/>
        <v>56217.324262336668</v>
      </c>
      <c r="N263" s="1807">
        <f t="shared" si="74"/>
        <v>53686.927773484924</v>
      </c>
      <c r="O263" s="1807">
        <f t="shared" si="74"/>
        <v>50274.455691991352</v>
      </c>
      <c r="Q263" s="34"/>
    </row>
    <row r="264" spans="1:21" s="528" customFormat="1" ht="14">
      <c r="A264" s="1795"/>
      <c r="B264" s="559"/>
      <c r="C264" s="37" t="s">
        <v>938</v>
      </c>
      <c r="D264" s="2093" t="s">
        <v>1584</v>
      </c>
      <c r="E264" s="1795"/>
      <c r="F264" s="1806"/>
      <c r="G264" s="1807">
        <f t="shared" ref="G264:O264" si="75">F256/$C$144</f>
        <v>0</v>
      </c>
      <c r="H264" s="1807">
        <f t="shared" si="75"/>
        <v>0</v>
      </c>
      <c r="I264" s="1807">
        <f t="shared" si="75"/>
        <v>0</v>
      </c>
      <c r="J264" s="1807">
        <f t="shared" si="75"/>
        <v>0</v>
      </c>
      <c r="K264" s="1807">
        <f t="shared" si="75"/>
        <v>0</v>
      </c>
      <c r="L264" s="1807">
        <f t="shared" si="75"/>
        <v>0</v>
      </c>
      <c r="M264" s="1807">
        <f t="shared" si="75"/>
        <v>0</v>
      </c>
      <c r="N264" s="1807">
        <f t="shared" si="75"/>
        <v>269.78355665067801</v>
      </c>
      <c r="O264" s="1807">
        <f t="shared" si="75"/>
        <v>1421.6427059432001</v>
      </c>
      <c r="Q264" s="34"/>
    </row>
    <row r="265" spans="1:21" s="528" customFormat="1" ht="14">
      <c r="A265" s="1795"/>
      <c r="B265" s="1797"/>
      <c r="C265" s="1518"/>
      <c r="D265" s="1801"/>
      <c r="E265" s="1795"/>
      <c r="F265" s="1803"/>
      <c r="G265" s="1803"/>
      <c r="H265" s="1803"/>
      <c r="I265" s="1803"/>
      <c r="J265" s="1803"/>
      <c r="K265" s="1803"/>
      <c r="L265" s="1803"/>
      <c r="M265" s="1803"/>
      <c r="N265" s="1803"/>
      <c r="O265" s="1803"/>
      <c r="Q265" s="34"/>
    </row>
    <row r="266" spans="1:21" s="528" customFormat="1" ht="14">
      <c r="A266" s="1795"/>
      <c r="B266" s="1795" t="s">
        <v>1687</v>
      </c>
      <c r="C266" s="1795" t="s">
        <v>1665</v>
      </c>
      <c r="D266" s="1795"/>
      <c r="E266" s="1795"/>
      <c r="F266" s="1796"/>
      <c r="G266" s="1796"/>
      <c r="H266" s="1796"/>
      <c r="I266" s="1796"/>
      <c r="J266" s="1796"/>
      <c r="K266" s="1796"/>
      <c r="L266" s="1796"/>
      <c r="M266" s="1796"/>
      <c r="N266" s="1796"/>
      <c r="O266" s="1518" t="s">
        <v>1689</v>
      </c>
      <c r="Q266" s="34"/>
    </row>
    <row r="267" spans="1:21" s="528" customFormat="1" ht="14">
      <c r="A267" s="1795"/>
      <c r="B267" s="1797"/>
      <c r="C267" s="1795"/>
      <c r="D267" s="1795"/>
      <c r="E267" s="1795"/>
      <c r="F267" s="1798">
        <v>2007</v>
      </c>
      <c r="G267" s="1798">
        <v>2010</v>
      </c>
      <c r="H267" s="1798">
        <v>2015</v>
      </c>
      <c r="I267" s="1798">
        <v>2020</v>
      </c>
      <c r="J267" s="1798">
        <v>2025</v>
      </c>
      <c r="K267" s="1798">
        <v>2030</v>
      </c>
      <c r="L267" s="1798">
        <v>2035</v>
      </c>
      <c r="M267" s="1798">
        <v>2040</v>
      </c>
      <c r="N267" s="1798">
        <v>2045</v>
      </c>
      <c r="O267" s="1798">
        <v>2050</v>
      </c>
      <c r="Q267" s="34"/>
    </row>
    <row r="268" spans="1:21" s="528" customFormat="1" ht="14">
      <c r="A268" s="1795"/>
      <c r="B268" s="559"/>
      <c r="C268" s="37" t="s">
        <v>942</v>
      </c>
      <c r="D268" s="515" t="s">
        <v>1582</v>
      </c>
      <c r="E268" s="1795"/>
      <c r="F268" s="1796"/>
      <c r="G268" s="1808">
        <f>MAX(((G253-F253)/(G$252-F$252))+G261,0)</f>
        <v>14.171706975223152</v>
      </c>
      <c r="H268" s="1808">
        <f t="shared" ref="H268:O268" si="76">MAX(((H253-G253)/(H$252-G$252))+H261,0)</f>
        <v>16.14541536283901</v>
      </c>
      <c r="I268" s="1808">
        <f t="shared" si="76"/>
        <v>16.362795154922232</v>
      </c>
      <c r="J268" s="1808">
        <f t="shared" si="76"/>
        <v>4.7074145173981368</v>
      </c>
      <c r="K268" s="1808">
        <f t="shared" si="76"/>
        <v>1.0932060605623946</v>
      </c>
      <c r="L268" s="1808">
        <f t="shared" si="76"/>
        <v>0</v>
      </c>
      <c r="M268" s="1808">
        <f t="shared" si="76"/>
        <v>0</v>
      </c>
      <c r="N268" s="1808">
        <f t="shared" si="76"/>
        <v>0</v>
      </c>
      <c r="O268" s="1808">
        <f t="shared" si="76"/>
        <v>0</v>
      </c>
      <c r="Q268" s="34"/>
    </row>
    <row r="269" spans="1:21" s="528" customFormat="1" ht="14">
      <c r="A269" s="1795"/>
      <c r="B269" s="559"/>
      <c r="C269" s="37" t="s">
        <v>942</v>
      </c>
      <c r="D269" s="34" t="s">
        <v>741</v>
      </c>
      <c r="E269" s="1795"/>
      <c r="F269" s="1798"/>
      <c r="G269" s="1808">
        <f>MAX(((G254-F254)/(G$252-F$252))+G262,0)</f>
        <v>0.62204936456942317</v>
      </c>
      <c r="H269" s="1808">
        <f t="shared" ref="H269:O269" si="77">MAX(((H254-G254)/(H$252-G$252))+H262,0)</f>
        <v>0.74095667105184337</v>
      </c>
      <c r="I269" s="1808">
        <f t="shared" si="77"/>
        <v>0.76793797242854467</v>
      </c>
      <c r="J269" s="1808">
        <f t="shared" si="77"/>
        <v>4.7532416219028599</v>
      </c>
      <c r="K269" s="1808">
        <f t="shared" si="77"/>
        <v>6.0933906226525929</v>
      </c>
      <c r="L269" s="1808">
        <f t="shared" si="77"/>
        <v>7.4060460800181938</v>
      </c>
      <c r="M269" s="1808">
        <f t="shared" si="77"/>
        <v>8.6691631585664553</v>
      </c>
      <c r="N269" s="1808">
        <f t="shared" si="77"/>
        <v>9.8606970228643451</v>
      </c>
      <c r="O269" s="1808">
        <f t="shared" si="77"/>
        <v>10.958602837478512</v>
      </c>
      <c r="Q269" s="34"/>
    </row>
    <row r="270" spans="1:21" s="528" customFormat="1" ht="14">
      <c r="A270" s="1733"/>
      <c r="B270" s="559"/>
      <c r="C270" s="37" t="s">
        <v>938</v>
      </c>
      <c r="D270" s="34" t="s">
        <v>1583</v>
      </c>
      <c r="E270" s="1733"/>
      <c r="F270" s="619"/>
      <c r="G270" s="1809">
        <f t="shared" ref="G270:O270" si="78">MAX(((G255-F255)/(G$252-F$252))+G263,0)</f>
        <v>45555.555555555547</v>
      </c>
      <c r="H270" s="1809">
        <f t="shared" si="78"/>
        <v>68976.384800295476</v>
      </c>
      <c r="I270" s="1809">
        <f t="shared" si="78"/>
        <v>62094.917886059317</v>
      </c>
      <c r="J270" s="1809">
        <f t="shared" si="78"/>
        <v>59834.304953858307</v>
      </c>
      <c r="K270" s="1809">
        <f t="shared" si="78"/>
        <v>57573.692021657291</v>
      </c>
      <c r="L270" s="1809">
        <f t="shared" si="78"/>
        <v>55313.07908945626</v>
      </c>
      <c r="M270" s="1809">
        <f t="shared" si="78"/>
        <v>52674.769177944225</v>
      </c>
      <c r="N270" s="1809">
        <f t="shared" si="78"/>
        <v>48909.466859393913</v>
      </c>
      <c r="O270" s="1809">
        <f t="shared" si="78"/>
        <v>45639.413392629314</v>
      </c>
      <c r="Q270" s="34"/>
    </row>
    <row r="271" spans="1:21" s="528" customFormat="1" ht="14">
      <c r="A271" s="1795"/>
      <c r="B271" s="559"/>
      <c r="C271" s="37" t="s">
        <v>938</v>
      </c>
      <c r="D271" s="2093" t="s">
        <v>1584</v>
      </c>
      <c r="E271" s="1795"/>
      <c r="F271" s="1802"/>
      <c r="G271" s="1809">
        <f t="shared" ref="G271:O271" si="79">MAX(((G256-F256)/(G$252-F$252))+G264,0)</f>
        <v>0</v>
      </c>
      <c r="H271" s="1809">
        <f t="shared" si="79"/>
        <v>0</v>
      </c>
      <c r="I271" s="1809">
        <f t="shared" si="79"/>
        <v>0</v>
      </c>
      <c r="J271" s="1809">
        <f t="shared" si="79"/>
        <v>0</v>
      </c>
      <c r="K271" s="1809">
        <f t="shared" si="79"/>
        <v>0</v>
      </c>
      <c r="L271" s="1809">
        <f t="shared" si="79"/>
        <v>0</v>
      </c>
      <c r="M271" s="1809">
        <f t="shared" si="79"/>
        <v>377.69697931094925</v>
      </c>
      <c r="N271" s="1809">
        <f t="shared" si="79"/>
        <v>1882.3863656602089</v>
      </c>
      <c r="O271" s="1809">
        <f t="shared" si="79"/>
        <v>2891.8269002240813</v>
      </c>
      <c r="Q271" s="34"/>
    </row>
    <row r="272" spans="1:21" s="528" customFormat="1" ht="14">
      <c r="A272" s="1733"/>
      <c r="B272" s="559"/>
      <c r="C272" s="1732"/>
      <c r="D272" s="1063"/>
      <c r="E272" s="1733"/>
      <c r="F272" s="619"/>
      <c r="G272" s="619"/>
      <c r="H272" s="619"/>
      <c r="I272" s="619"/>
      <c r="J272" s="619"/>
      <c r="K272" s="619"/>
      <c r="L272" s="619"/>
      <c r="M272" s="619"/>
      <c r="N272" s="619"/>
      <c r="O272" s="619"/>
      <c r="Q272" s="34"/>
    </row>
    <row r="273" spans="1:17" s="528" customFormat="1" ht="14">
      <c r="A273" s="1733"/>
      <c r="B273" s="1733">
        <v>8</v>
      </c>
      <c r="C273" s="1733" t="s">
        <v>1661</v>
      </c>
      <c r="D273" s="1733"/>
      <c r="E273" s="1733"/>
      <c r="F273" s="623"/>
      <c r="G273" s="623"/>
      <c r="H273" s="623"/>
      <c r="I273" s="623"/>
      <c r="J273" s="623"/>
      <c r="K273" s="623"/>
      <c r="L273" s="623"/>
      <c r="M273" s="623"/>
      <c r="N273" s="623"/>
      <c r="O273" s="623"/>
      <c r="Q273" s="34"/>
    </row>
    <row r="274" spans="1:17" s="528" customFormat="1" ht="14">
      <c r="A274" s="1733"/>
      <c r="B274" s="559"/>
      <c r="C274" s="17" t="s">
        <v>970</v>
      </c>
      <c r="D274" s="20"/>
      <c r="E274" s="1733"/>
      <c r="F274" s="623"/>
      <c r="G274" s="623"/>
      <c r="H274" s="623"/>
      <c r="I274" s="623"/>
      <c r="J274" s="623"/>
      <c r="K274" s="623"/>
      <c r="L274" s="623"/>
      <c r="M274" s="623"/>
      <c r="N274" s="623"/>
      <c r="O274" s="623"/>
      <c r="Q274" s="34"/>
    </row>
    <row r="275" spans="1:17" s="528" customFormat="1" ht="14">
      <c r="A275" s="1733"/>
      <c r="B275" s="1043"/>
      <c r="C275" s="1043" t="s">
        <v>906</v>
      </c>
      <c r="D275" s="1982" t="s">
        <v>657</v>
      </c>
      <c r="E275" s="1733"/>
      <c r="F275" s="623"/>
      <c r="G275" s="623"/>
      <c r="H275" s="623"/>
      <c r="I275" s="623"/>
      <c r="J275" s="623"/>
      <c r="K275" s="623"/>
      <c r="L275" s="623"/>
      <c r="M275" s="623"/>
      <c r="N275" s="623"/>
      <c r="O275" s="1732" t="str">
        <f>Preferences.moneyunits&amp;"/yr, preceeding 5 years"</f>
        <v>£m/yr, preceeding 5 years</v>
      </c>
      <c r="Q275" s="34"/>
    </row>
    <row r="276" spans="1:17" s="528" customFormat="1" ht="14">
      <c r="A276" s="1733"/>
      <c r="B276" s="559"/>
      <c r="E276" s="1733"/>
      <c r="F276" s="623"/>
      <c r="G276" s="623"/>
      <c r="H276" s="623"/>
      <c r="I276" s="623"/>
      <c r="J276" s="623"/>
      <c r="K276" s="623"/>
      <c r="L276" s="623"/>
      <c r="M276" s="623"/>
      <c r="N276" s="623"/>
      <c r="O276" s="623"/>
      <c r="Q276" s="34"/>
    </row>
    <row r="277" spans="1:17" s="528" customFormat="1" ht="14">
      <c r="A277" s="1733"/>
      <c r="B277" s="559"/>
      <c r="C277" s="37" t="s">
        <v>942</v>
      </c>
      <c r="D277" s="515" t="s">
        <v>1582</v>
      </c>
      <c r="E277" s="1733"/>
      <c r="F277" s="619"/>
      <c r="G277" s="619">
        <f>G268*G158/1000</f>
        <v>36.077522413054815</v>
      </c>
      <c r="H277" s="619">
        <f t="shared" ref="H277:O277" si="80">H268*H158/1000</f>
        <v>41.102076527498326</v>
      </c>
      <c r="I277" s="619">
        <f t="shared" si="80"/>
        <v>41.655469589797661</v>
      </c>
      <c r="J277" s="619">
        <f t="shared" si="80"/>
        <v>11.983867085023231</v>
      </c>
      <c r="K277" s="619">
        <f t="shared" si="80"/>
        <v>2.7830215669136855</v>
      </c>
      <c r="L277" s="619">
        <f t="shared" si="80"/>
        <v>0</v>
      </c>
      <c r="M277" s="619">
        <f>M268*M158/1000</f>
        <v>0</v>
      </c>
      <c r="N277" s="619">
        <f t="shared" si="80"/>
        <v>0</v>
      </c>
      <c r="O277" s="619">
        <f t="shared" si="80"/>
        <v>0</v>
      </c>
      <c r="Q277" s="34"/>
    </row>
    <row r="278" spans="1:17" s="528" customFormat="1" ht="14">
      <c r="A278" s="1733"/>
      <c r="B278" s="559"/>
      <c r="C278" s="37" t="s">
        <v>942</v>
      </c>
      <c r="D278" s="34" t="s">
        <v>741</v>
      </c>
      <c r="E278" s="1733"/>
      <c r="F278" s="619"/>
      <c r="G278" s="619">
        <f t="shared" ref="G278:O278" si="81">G269*G159/1000</f>
        <v>1.389103288005022</v>
      </c>
      <c r="H278" s="619">
        <f t="shared" si="81"/>
        <v>1.6546361401118217</v>
      </c>
      <c r="I278" s="619">
        <f t="shared" si="81"/>
        <v>1.7148883145432663</v>
      </c>
      <c r="J278" s="619">
        <f t="shared" si="81"/>
        <v>10.614501297649047</v>
      </c>
      <c r="K278" s="619">
        <f t="shared" si="81"/>
        <v>13.607198737231423</v>
      </c>
      <c r="L278" s="619">
        <f t="shared" si="81"/>
        <v>16.538500194203813</v>
      </c>
      <c r="M278" s="619">
        <f t="shared" si="81"/>
        <v>19.359177169241867</v>
      </c>
      <c r="N278" s="619">
        <f t="shared" si="81"/>
        <v>22.020001160817134</v>
      </c>
      <c r="O278" s="619">
        <f t="shared" si="81"/>
        <v>24.471743665195962</v>
      </c>
      <c r="Q278" s="34"/>
    </row>
    <row r="279" spans="1:17" s="528" customFormat="1" ht="14">
      <c r="A279" s="1733"/>
      <c r="B279" s="559"/>
      <c r="C279" s="37" t="s">
        <v>938</v>
      </c>
      <c r="D279" s="34" t="s">
        <v>1583</v>
      </c>
      <c r="E279" s="1733"/>
      <c r="F279" s="619"/>
      <c r="G279" s="619">
        <f t="shared" ref="G279:N279" si="82">G270*G160/1000</f>
        <v>3224.8777777777768</v>
      </c>
      <c r="H279" s="619">
        <f t="shared" si="82"/>
        <v>4882.8382800129157</v>
      </c>
      <c r="I279" s="619">
        <f t="shared" si="82"/>
        <v>4395.6992371541382</v>
      </c>
      <c r="J279" s="619">
        <f t="shared" si="82"/>
        <v>4235.6704476836285</v>
      </c>
      <c r="K279" s="619">
        <f t="shared" si="82"/>
        <v>4075.6416582131192</v>
      </c>
      <c r="L279" s="619">
        <f t="shared" si="82"/>
        <v>3915.612868742608</v>
      </c>
      <c r="M279" s="619">
        <f t="shared" si="82"/>
        <v>3728.8469101066712</v>
      </c>
      <c r="N279" s="619">
        <f t="shared" si="82"/>
        <v>3462.3011589764947</v>
      </c>
      <c r="O279" s="619">
        <f>O270*O160/1000</f>
        <v>3230.8140740642289</v>
      </c>
      <c r="Q279" s="34"/>
    </row>
    <row r="280" spans="1:17" s="528" customFormat="1" ht="14">
      <c r="A280" s="1733"/>
      <c r="B280" s="559"/>
      <c r="C280" s="37" t="s">
        <v>938</v>
      </c>
      <c r="D280" s="2093" t="s">
        <v>1584</v>
      </c>
      <c r="E280" s="1733"/>
      <c r="F280" s="619"/>
      <c r="G280" s="619">
        <f t="shared" ref="G280:O280" si="83">G271*G161/1000</f>
        <v>0</v>
      </c>
      <c r="H280" s="619">
        <f t="shared" si="83"/>
        <v>0</v>
      </c>
      <c r="I280" s="619">
        <f t="shared" si="83"/>
        <v>0</v>
      </c>
      <c r="J280" s="619">
        <f t="shared" si="83"/>
        <v>0</v>
      </c>
      <c r="K280" s="619">
        <f>K271*K161/1000</f>
        <v>0</v>
      </c>
      <c r="L280" s="619">
        <f t="shared" si="83"/>
        <v>0</v>
      </c>
      <c r="M280" s="619">
        <f t="shared" si="83"/>
        <v>652.38579454536114</v>
      </c>
      <c r="N280" s="619">
        <f t="shared" si="83"/>
        <v>3251.3951449730057</v>
      </c>
      <c r="O280" s="619">
        <f t="shared" si="83"/>
        <v>4994.9745254307491</v>
      </c>
      <c r="Q280" s="34"/>
    </row>
    <row r="281" spans="1:17" s="528" customFormat="1" ht="14">
      <c r="A281" s="1733"/>
      <c r="B281" s="559"/>
      <c r="C281" s="37"/>
      <c r="D281" s="34"/>
      <c r="E281" s="1733"/>
      <c r="F281" s="619"/>
      <c r="G281" s="619"/>
      <c r="H281" s="619"/>
      <c r="I281" s="619"/>
      <c r="J281" s="619"/>
      <c r="K281" s="619"/>
      <c r="L281" s="619"/>
      <c r="M281" s="619"/>
      <c r="N281" s="619"/>
      <c r="O281" s="619"/>
      <c r="Q281" s="34"/>
    </row>
    <row r="282" spans="1:17" s="1355" customFormat="1" ht="14">
      <c r="A282" s="1795"/>
      <c r="B282" s="1797"/>
      <c r="E282" s="1795"/>
      <c r="F282" s="1803"/>
      <c r="G282" s="1803"/>
      <c r="H282" s="1803"/>
      <c r="I282" s="1803"/>
      <c r="J282" s="1803"/>
      <c r="K282" s="1803"/>
      <c r="L282" s="1803"/>
      <c r="M282" s="1803"/>
      <c r="N282" s="1803"/>
      <c r="O282" s="1803"/>
      <c r="Q282" s="34"/>
    </row>
    <row r="283" spans="1:17" s="1355" customFormat="1" ht="14">
      <c r="A283" s="1795"/>
      <c r="B283" s="1797">
        <v>9</v>
      </c>
      <c r="C283" s="1935" t="s">
        <v>1817</v>
      </c>
      <c r="D283" s="34"/>
      <c r="E283" s="1795"/>
      <c r="F283" s="1803"/>
      <c r="G283" s="1803"/>
      <c r="H283" s="1803"/>
      <c r="I283" s="1803"/>
      <c r="J283" s="1803"/>
      <c r="K283" s="1803"/>
      <c r="L283" s="1803"/>
      <c r="M283" s="1803"/>
      <c r="N283" s="1803"/>
      <c r="O283" s="1803"/>
      <c r="Q283" s="34"/>
    </row>
    <row r="284" spans="1:17" s="1355" customFormat="1" ht="14">
      <c r="A284" s="1795"/>
      <c r="B284" s="1797"/>
      <c r="C284" s="17" t="s">
        <v>970</v>
      </c>
      <c r="D284" s="20"/>
      <c r="E284" s="1795"/>
      <c r="F284" s="1803"/>
      <c r="G284" s="1803"/>
      <c r="H284" s="1803"/>
      <c r="I284" s="1803"/>
      <c r="J284" s="1803"/>
      <c r="K284" s="1803"/>
      <c r="L284" s="1803"/>
      <c r="M284" s="1803"/>
      <c r="N284" s="1803"/>
      <c r="O284" s="1732" t="str">
        <f>Preferences.moneyunits&amp;"/yr, preceeding 5 years"</f>
        <v>£m/yr, preceeding 5 years</v>
      </c>
      <c r="Q284" s="34"/>
    </row>
    <row r="285" spans="1:17" s="1355" customFormat="1" ht="14">
      <c r="A285" s="1795"/>
      <c r="B285" s="1797"/>
      <c r="C285" s="1043" t="s">
        <v>906</v>
      </c>
      <c r="D285" s="1778" t="s">
        <v>657</v>
      </c>
      <c r="E285" s="1795"/>
      <c r="F285" s="1803"/>
      <c r="G285" s="1803"/>
      <c r="H285" s="1803"/>
      <c r="I285" s="1803"/>
      <c r="J285" s="1803"/>
      <c r="K285" s="1803"/>
      <c r="L285" s="1803"/>
      <c r="M285" s="1803"/>
      <c r="N285" s="1803"/>
      <c r="O285" s="1803"/>
      <c r="Q285" s="34"/>
    </row>
    <row r="286" spans="1:17" s="1355" customFormat="1" ht="14">
      <c r="A286" s="1795"/>
      <c r="B286" s="1797"/>
      <c r="E286" s="1795"/>
      <c r="F286" s="1803"/>
      <c r="G286" s="1803"/>
      <c r="H286" s="1803"/>
      <c r="I286" s="1803"/>
      <c r="J286" s="1803"/>
      <c r="K286" s="1803"/>
      <c r="L286" s="1803"/>
      <c r="M286" s="1803"/>
      <c r="N286" s="1803"/>
      <c r="O286" s="1803"/>
      <c r="Q286" s="34"/>
    </row>
    <row r="287" spans="1:17" s="1355" customFormat="1" ht="14">
      <c r="A287" s="1795"/>
      <c r="B287" s="1797"/>
      <c r="C287" s="37" t="s">
        <v>942</v>
      </c>
      <c r="D287" s="515" t="s">
        <v>1582</v>
      </c>
      <c r="E287" s="1795"/>
      <c r="F287" s="1803"/>
      <c r="G287" s="619">
        <f>G268*G165/1000</f>
        <v>36.077522413054815</v>
      </c>
      <c r="H287" s="619">
        <f t="shared" ref="H287:O287" si="84">H268*H165/1000</f>
        <v>40.691957376707975</v>
      </c>
      <c r="I287" s="619">
        <f t="shared" si="84"/>
        <v>40.824187705413479</v>
      </c>
      <c r="J287" s="619">
        <f t="shared" si="84"/>
        <v>11.625139706215059</v>
      </c>
      <c r="K287" s="619">
        <f t="shared" si="84"/>
        <v>2.6719448975011071</v>
      </c>
      <c r="L287" s="619">
        <f t="shared" si="84"/>
        <v>0</v>
      </c>
      <c r="M287" s="619">
        <f t="shared" si="84"/>
        <v>0</v>
      </c>
      <c r="N287" s="619">
        <f t="shared" si="84"/>
        <v>0</v>
      </c>
      <c r="O287" s="619">
        <f t="shared" si="84"/>
        <v>0</v>
      </c>
      <c r="Q287" s="34"/>
    </row>
    <row r="288" spans="1:17" s="1355" customFormat="1" ht="14">
      <c r="A288" s="1795"/>
      <c r="B288" s="1797"/>
      <c r="C288" s="37" t="s">
        <v>942</v>
      </c>
      <c r="D288" s="34" t="s">
        <v>741</v>
      </c>
      <c r="E288" s="1795"/>
      <c r="F288" s="1803"/>
      <c r="G288" s="619">
        <f t="shared" ref="G288:O290" si="85">G269*G166/1000</f>
        <v>1.389103288005022</v>
      </c>
      <c r="H288" s="619">
        <f t="shared" si="85"/>
        <v>1.6546361401118217</v>
      </c>
      <c r="I288" s="619">
        <f t="shared" si="85"/>
        <v>1.7148883145432663</v>
      </c>
      <c r="J288" s="619">
        <f t="shared" si="85"/>
        <v>10.614501297649047</v>
      </c>
      <c r="K288" s="619">
        <f t="shared" si="85"/>
        <v>13.607198737231423</v>
      </c>
      <c r="L288" s="619">
        <f t="shared" si="85"/>
        <v>16.538500194203813</v>
      </c>
      <c r="M288" s="619">
        <f t="shared" si="85"/>
        <v>19.359177169241867</v>
      </c>
      <c r="N288" s="619">
        <f t="shared" si="85"/>
        <v>22.020001160817134</v>
      </c>
      <c r="O288" s="619">
        <f t="shared" si="85"/>
        <v>24.471743665195962</v>
      </c>
      <c r="Q288" s="34"/>
    </row>
    <row r="289" spans="1:15" ht="14">
      <c r="C289" s="37" t="s">
        <v>938</v>
      </c>
      <c r="D289" s="34" t="s">
        <v>1583</v>
      </c>
      <c r="G289" s="619">
        <f t="shared" si="85"/>
        <v>3224.8777777777768</v>
      </c>
      <c r="H289" s="619">
        <f t="shared" si="85"/>
        <v>4818.7988799547011</v>
      </c>
      <c r="I289" s="619">
        <f t="shared" si="85"/>
        <v>4280.398288877409</v>
      </c>
      <c r="J289" s="619">
        <f t="shared" si="85"/>
        <v>4069.0154539532709</v>
      </c>
      <c r="K289" s="619">
        <f t="shared" si="85"/>
        <v>3861.8302381522894</v>
      </c>
      <c r="L289" s="619">
        <f t="shared" si="85"/>
        <v>3658.8426414744649</v>
      </c>
      <c r="M289" s="619">
        <f t="shared" si="85"/>
        <v>3435.4194746624726</v>
      </c>
      <c r="N289" s="619">
        <f t="shared" si="85"/>
        <v>3144.4397565939635</v>
      </c>
      <c r="O289" s="619">
        <f t="shared" si="85"/>
        <v>2891.8318950318139</v>
      </c>
    </row>
    <row r="290" spans="1:15" s="528" customFormat="1" ht="14">
      <c r="A290" s="1733"/>
      <c r="B290" s="559"/>
      <c r="C290" s="37" t="s">
        <v>938</v>
      </c>
      <c r="D290" s="2093" t="s">
        <v>1584</v>
      </c>
      <c r="E290" s="1733"/>
      <c r="F290" s="619"/>
      <c r="G290" s="619">
        <f t="shared" si="85"/>
        <v>0</v>
      </c>
      <c r="H290" s="619">
        <f t="shared" si="85"/>
        <v>0</v>
      </c>
      <c r="I290" s="619">
        <f t="shared" si="85"/>
        <v>0</v>
      </c>
      <c r="J290" s="619">
        <f t="shared" si="85"/>
        <v>0</v>
      </c>
      <c r="K290" s="619">
        <f t="shared" si="85"/>
        <v>0</v>
      </c>
      <c r="L290" s="619">
        <f t="shared" si="85"/>
        <v>0</v>
      </c>
      <c r="M290" s="619">
        <f>M271*M168/1000</f>
        <v>364.99809868467889</v>
      </c>
      <c r="N290" s="619">
        <f t="shared" si="85"/>
        <v>1580.3806501721556</v>
      </c>
      <c r="O290" s="619">
        <f t="shared" si="85"/>
        <v>2061.1395017405625</v>
      </c>
    </row>
    <row r="291" spans="1:15" s="528" customFormat="1" ht="14">
      <c r="A291" s="1733"/>
      <c r="B291" s="559"/>
      <c r="C291" s="1732"/>
      <c r="D291" s="1063"/>
      <c r="E291" s="1733"/>
      <c r="F291" s="619"/>
      <c r="G291" s="619"/>
      <c r="H291" s="619"/>
      <c r="I291" s="619"/>
      <c r="J291" s="619"/>
      <c r="K291" s="619"/>
      <c r="L291" s="619"/>
      <c r="M291" s="619"/>
      <c r="N291" s="619"/>
      <c r="O291" s="619"/>
    </row>
    <row r="292" spans="1:15" s="528" customFormat="1" ht="14">
      <c r="A292" s="1733"/>
      <c r="B292" s="1733">
        <v>9</v>
      </c>
      <c r="C292" s="1733" t="s">
        <v>1660</v>
      </c>
      <c r="D292" s="1733"/>
      <c r="E292" s="1733"/>
      <c r="F292" s="623"/>
      <c r="G292" s="623"/>
      <c r="H292" s="623"/>
      <c r="I292" s="623"/>
      <c r="J292" s="623"/>
      <c r="K292" s="623"/>
      <c r="L292" s="623"/>
      <c r="M292" s="623"/>
      <c r="N292" s="623"/>
      <c r="O292" s="623"/>
    </row>
    <row r="293" spans="1:15" s="528" customFormat="1" ht="14">
      <c r="A293" s="1733"/>
      <c r="B293" s="559"/>
      <c r="C293" s="1733"/>
      <c r="D293" s="1733"/>
      <c r="E293" s="1733"/>
      <c r="F293" s="623"/>
      <c r="G293" s="623"/>
      <c r="H293" s="623"/>
      <c r="I293" s="623"/>
      <c r="J293" s="623"/>
      <c r="K293" s="623"/>
      <c r="L293" s="623"/>
      <c r="M293" s="623"/>
      <c r="N293" s="623"/>
      <c r="O293" s="623"/>
    </row>
    <row r="294" spans="1:15" s="528" customFormat="1" ht="14">
      <c r="A294" s="1733"/>
      <c r="B294" s="1043"/>
      <c r="C294" s="17" t="s">
        <v>970</v>
      </c>
      <c r="D294" s="20"/>
      <c r="E294" s="1733"/>
      <c r="F294" s="623"/>
      <c r="G294" s="623"/>
      <c r="H294" s="623"/>
      <c r="I294" s="623"/>
      <c r="J294" s="623"/>
      <c r="K294" s="623"/>
      <c r="L294" s="623"/>
      <c r="M294" s="623"/>
      <c r="N294" s="623"/>
      <c r="O294" s="1732" t="str">
        <f>Preferences.moneyunits&amp;"/yr, preceeding 5 years"</f>
        <v>£m/yr, preceeding 5 years</v>
      </c>
    </row>
    <row r="295" spans="1:15" s="528" customFormat="1" ht="14">
      <c r="A295" s="1733"/>
      <c r="B295" s="559"/>
      <c r="C295" s="1043" t="s">
        <v>906</v>
      </c>
      <c r="D295" s="1778" t="s">
        <v>657</v>
      </c>
      <c r="E295" s="1733"/>
      <c r="F295" s="623"/>
      <c r="G295" s="623"/>
      <c r="H295" s="623"/>
      <c r="I295" s="623"/>
      <c r="J295" s="623"/>
      <c r="K295" s="623"/>
      <c r="L295" s="623"/>
      <c r="M295" s="623"/>
      <c r="N295" s="623"/>
      <c r="O295" s="623"/>
    </row>
    <row r="296" spans="1:15" s="528" customFormat="1" ht="14">
      <c r="A296" s="1733"/>
      <c r="B296" s="559"/>
      <c r="C296" s="37" t="s">
        <v>942</v>
      </c>
      <c r="D296" s="515" t="s">
        <v>1582</v>
      </c>
      <c r="E296" s="1733"/>
      <c r="F296" s="619"/>
      <c r="G296" s="619">
        <f>G268*G172/1000</f>
        <v>36.077522413054815</v>
      </c>
      <c r="H296" s="619">
        <f t="shared" ref="H296:O296" si="86">H268*H172/1000</f>
        <v>40.471123987820874</v>
      </c>
      <c r="I296" s="619">
        <f t="shared" si="86"/>
        <v>40.376574383052763</v>
      </c>
      <c r="J296" s="619">
        <f t="shared" si="86"/>
        <v>11.431978809933737</v>
      </c>
      <c r="K296" s="619">
        <f t="shared" si="86"/>
        <v>2.6121343832020263</v>
      </c>
      <c r="L296" s="619">
        <f t="shared" si="86"/>
        <v>0</v>
      </c>
      <c r="M296" s="619">
        <f t="shared" si="86"/>
        <v>0</v>
      </c>
      <c r="N296" s="619">
        <f t="shared" si="86"/>
        <v>0</v>
      </c>
      <c r="O296" s="619">
        <f t="shared" si="86"/>
        <v>0</v>
      </c>
    </row>
    <row r="297" spans="1:15" s="528" customFormat="1" ht="14">
      <c r="A297" s="1733"/>
      <c r="B297" s="559"/>
      <c r="C297" s="37" t="s">
        <v>942</v>
      </c>
      <c r="D297" s="34" t="s">
        <v>741</v>
      </c>
      <c r="E297" s="1733"/>
      <c r="F297" s="619"/>
      <c r="G297" s="619">
        <f t="shared" ref="G297:O297" si="87">G269*G173/1000</f>
        <v>1.389103288005022</v>
      </c>
      <c r="H297" s="619">
        <f t="shared" si="87"/>
        <v>1.6546361401118217</v>
      </c>
      <c r="I297" s="619">
        <f t="shared" si="87"/>
        <v>1.7148883145432663</v>
      </c>
      <c r="J297" s="619">
        <f t="shared" si="87"/>
        <v>10.614501297649047</v>
      </c>
      <c r="K297" s="619">
        <f t="shared" si="87"/>
        <v>13.607198737231423</v>
      </c>
      <c r="L297" s="619">
        <f t="shared" si="87"/>
        <v>16.538500194203813</v>
      </c>
      <c r="M297" s="619">
        <f t="shared" si="87"/>
        <v>19.359177169241867</v>
      </c>
      <c r="N297" s="619">
        <f t="shared" si="87"/>
        <v>22.020001160817134</v>
      </c>
      <c r="O297" s="619">
        <f t="shared" si="87"/>
        <v>24.471743665195962</v>
      </c>
    </row>
    <row r="298" spans="1:15" s="528" customFormat="1" ht="14">
      <c r="A298" s="1733"/>
      <c r="B298" s="559"/>
      <c r="C298" s="37" t="s">
        <v>938</v>
      </c>
      <c r="D298" s="34" t="s">
        <v>1583</v>
      </c>
      <c r="E298" s="1733"/>
      <c r="F298" s="619"/>
      <c r="G298" s="619">
        <f t="shared" ref="G298:O298" si="88">G270*G174/1000</f>
        <v>3224.8777777777768</v>
      </c>
      <c r="H298" s="619">
        <f t="shared" si="88"/>
        <v>4660.4756595129638</v>
      </c>
      <c r="I298" s="619">
        <f t="shared" si="88"/>
        <v>3995.3422540837719</v>
      </c>
      <c r="J298" s="619">
        <f t="shared" si="88"/>
        <v>3656.9979258986277</v>
      </c>
      <c r="K298" s="619">
        <f t="shared" si="88"/>
        <v>3333.2288995938497</v>
      </c>
      <c r="L298" s="619">
        <f t="shared" si="88"/>
        <v>3024.0351751694361</v>
      </c>
      <c r="M298" s="619">
        <f t="shared" si="88"/>
        <v>2709.9851872822865</v>
      </c>
      <c r="N298" s="619">
        <f t="shared" si="88"/>
        <v>2358.5979024606986</v>
      </c>
      <c r="O298" s="619">
        <f t="shared" si="88"/>
        <v>2053.7736026683192</v>
      </c>
    </row>
    <row r="299" spans="1:15" s="528" customFormat="1" ht="14">
      <c r="A299" s="1733"/>
      <c r="B299" s="559"/>
      <c r="C299" s="37" t="s">
        <v>938</v>
      </c>
      <c r="D299" s="2093" t="s">
        <v>1584</v>
      </c>
      <c r="E299" s="1733"/>
      <c r="F299" s="619"/>
      <c r="G299" s="619">
        <f t="shared" ref="G299:O299" si="89">G271*G175/1000</f>
        <v>0</v>
      </c>
      <c r="H299" s="619">
        <f t="shared" si="89"/>
        <v>0</v>
      </c>
      <c r="I299" s="619">
        <f t="shared" si="89"/>
        <v>0</v>
      </c>
      <c r="J299" s="619">
        <f t="shared" si="89"/>
        <v>0</v>
      </c>
      <c r="K299" s="619">
        <f t="shared" si="89"/>
        <v>0</v>
      </c>
      <c r="L299" s="619">
        <f t="shared" si="89"/>
        <v>0</v>
      </c>
      <c r="M299" s="619">
        <f t="shared" si="89"/>
        <v>210.25087783661934</v>
      </c>
      <c r="N299" s="619">
        <f t="shared" si="89"/>
        <v>680.60361451015967</v>
      </c>
      <c r="O299" s="619">
        <f t="shared" si="89"/>
        <v>481.38218129200123</v>
      </c>
    </row>
    <row r="300" spans="1:15" s="528" customFormat="1" ht="14">
      <c r="A300" s="1733"/>
      <c r="B300" s="559"/>
      <c r="C300" s="1732"/>
      <c r="D300" s="1063"/>
      <c r="E300" s="1733"/>
      <c r="F300" s="619"/>
      <c r="G300" s="619"/>
      <c r="H300" s="619"/>
      <c r="I300" s="619"/>
      <c r="J300" s="619"/>
      <c r="K300" s="619"/>
      <c r="L300" s="619"/>
      <c r="M300" s="619"/>
      <c r="N300" s="619"/>
      <c r="O300" s="619"/>
    </row>
    <row r="301" spans="1:15" s="528" customFormat="1" ht="14">
      <c r="A301" s="526"/>
      <c r="B301" s="526">
        <v>10</v>
      </c>
      <c r="C301" s="526" t="s">
        <v>1594</v>
      </c>
      <c r="D301" s="526"/>
      <c r="E301" s="526"/>
      <c r="F301" s="623"/>
      <c r="G301" s="623"/>
      <c r="H301" s="623"/>
      <c r="I301" s="623"/>
      <c r="J301" s="623"/>
      <c r="K301" s="623"/>
      <c r="L301" s="623"/>
      <c r="M301" s="623"/>
      <c r="N301" s="623"/>
      <c r="O301" s="623"/>
    </row>
    <row r="302" spans="1:15" s="528" customFormat="1" ht="14">
      <c r="A302" s="526"/>
      <c r="B302" s="559"/>
      <c r="C302" s="526"/>
      <c r="D302" s="526"/>
      <c r="E302" s="526"/>
      <c r="F302" s="623"/>
      <c r="G302" s="623"/>
      <c r="H302" s="623"/>
      <c r="I302" s="623"/>
      <c r="J302" s="623"/>
      <c r="K302" s="623"/>
      <c r="L302" s="623"/>
      <c r="M302" s="623"/>
      <c r="N302" s="623"/>
      <c r="O302" s="623"/>
    </row>
    <row r="303" spans="1:15" s="528" customFormat="1" ht="14">
      <c r="A303" s="526"/>
      <c r="B303" s="1043"/>
      <c r="C303" s="17" t="s">
        <v>970</v>
      </c>
      <c r="D303" s="20"/>
      <c r="E303" s="526"/>
      <c r="F303" s="623"/>
      <c r="G303" s="623"/>
      <c r="H303" s="623"/>
      <c r="I303" s="623"/>
      <c r="J303" s="623"/>
      <c r="K303" s="623"/>
      <c r="L303" s="623"/>
      <c r="M303" s="623"/>
      <c r="N303" s="623"/>
      <c r="O303" s="16" t="str">
        <f>Preferences.moneyunits&amp;"/yr, preceeding 5 years"</f>
        <v>£m/yr, preceeding 5 years</v>
      </c>
    </row>
    <row r="304" spans="1:15" s="528" customFormat="1" ht="14">
      <c r="A304" s="526"/>
      <c r="B304" s="559"/>
      <c r="C304" s="1043" t="s">
        <v>906</v>
      </c>
      <c r="D304" s="1715" t="s">
        <v>657</v>
      </c>
      <c r="E304" s="526"/>
      <c r="F304" s="623"/>
      <c r="G304" s="623"/>
      <c r="H304" s="623"/>
      <c r="I304" s="623"/>
      <c r="J304" s="623"/>
      <c r="K304" s="623"/>
      <c r="L304" s="623"/>
      <c r="M304" s="623"/>
      <c r="N304" s="623"/>
      <c r="O304" s="623"/>
    </row>
    <row r="305" spans="1:15" s="528" customFormat="1" ht="14">
      <c r="A305" s="526"/>
      <c r="B305" s="559"/>
      <c r="C305" s="37" t="s">
        <v>942</v>
      </c>
      <c r="D305" s="515" t="s">
        <v>1582</v>
      </c>
      <c r="E305" s="526"/>
      <c r="F305" s="619">
        <f t="shared" ref="F305:O305" si="90">F253*F180/1000</f>
        <v>7.1980544408682761</v>
      </c>
      <c r="G305" s="619">
        <f t="shared" si="90"/>
        <v>7.8074417374015788</v>
      </c>
      <c r="H305" s="619">
        <f t="shared" si="90"/>
        <v>9.0300527773536441</v>
      </c>
      <c r="I305" s="619">
        <f t="shared" si="90"/>
        <v>10.082876119745478</v>
      </c>
      <c r="J305" s="619">
        <f t="shared" si="90"/>
        <v>9.1382598038142415</v>
      </c>
      <c r="K305" s="619">
        <f t="shared" si="90"/>
        <v>7.7861064745656483</v>
      </c>
      <c r="L305" s="619">
        <f t="shared" si="90"/>
        <v>6.111309980779815</v>
      </c>
      <c r="M305" s="619">
        <f t="shared" si="90"/>
        <v>4.198764171236852</v>
      </c>
      <c r="N305" s="619">
        <f t="shared" si="90"/>
        <v>2.1333628947168779</v>
      </c>
      <c r="O305" s="619">
        <f t="shared" si="90"/>
        <v>0</v>
      </c>
    </row>
    <row r="306" spans="1:15" s="528" customFormat="1" ht="14">
      <c r="A306" s="526"/>
      <c r="B306" s="559"/>
      <c r="C306" s="37" t="s">
        <v>942</v>
      </c>
      <c r="D306" s="34" t="s">
        <v>741</v>
      </c>
      <c r="E306" s="526"/>
      <c r="F306" s="619">
        <f t="shared" ref="F306:O306" si="91">F254*F181/1000</f>
        <v>0.222389599274054</v>
      </c>
      <c r="G306" s="619">
        <f t="shared" si="91"/>
        <v>0.2412898740724474</v>
      </c>
      <c r="H306" s="619">
        <f t="shared" si="91"/>
        <v>0.2827468441270623</v>
      </c>
      <c r="I306" s="619">
        <f t="shared" si="91"/>
        <v>0.32026833311682157</v>
      </c>
      <c r="J306" s="619">
        <f t="shared" si="91"/>
        <v>0.7908163353715939</v>
      </c>
      <c r="K306" s="619">
        <f t="shared" si="91"/>
        <v>1.3306575941915437</v>
      </c>
      <c r="L306" s="619">
        <f t="shared" si="91"/>
        <v>1.9252127576629585</v>
      </c>
      <c r="M306" s="619">
        <f t="shared" si="91"/>
        <v>2.5599024738721194</v>
      </c>
      <c r="N306" s="619">
        <f t="shared" si="91"/>
        <v>3.2201473909053222</v>
      </c>
      <c r="O306" s="619">
        <f t="shared" si="91"/>
        <v>3.8913681568488374</v>
      </c>
    </row>
    <row r="307" spans="1:15" s="528" customFormat="1" ht="14">
      <c r="A307" s="526"/>
      <c r="B307" s="559"/>
      <c r="C307" s="37" t="s">
        <v>938</v>
      </c>
      <c r="D307" s="34" t="s">
        <v>1583</v>
      </c>
      <c r="E307" s="526"/>
      <c r="F307" s="619">
        <f t="shared" ref="F307:O307" si="92">F255*F182/1000</f>
        <v>6696.666666666667</v>
      </c>
      <c r="G307" s="619">
        <f t="shared" si="92"/>
        <v>5876.6666666666661</v>
      </c>
      <c r="H307" s="619">
        <f t="shared" si="92"/>
        <v>6852.2764790697793</v>
      </c>
      <c r="I307" s="619">
        <f t="shared" si="92"/>
        <v>6614.9121211886713</v>
      </c>
      <c r="J307" s="619">
        <f t="shared" si="92"/>
        <v>6377.5477633075652</v>
      </c>
      <c r="K307" s="619">
        <f t="shared" si="92"/>
        <v>6140.1834054264582</v>
      </c>
      <c r="L307" s="619">
        <f t="shared" si="92"/>
        <v>5902.8190475453503</v>
      </c>
      <c r="M307" s="619">
        <f t="shared" si="92"/>
        <v>5637.127416215917</v>
      </c>
      <c r="N307" s="619">
        <f t="shared" si="92"/>
        <v>5278.8178476590911</v>
      </c>
      <c r="O307" s="619">
        <f t="shared" si="92"/>
        <v>4931.1896752069388</v>
      </c>
    </row>
    <row r="308" spans="1:15" s="528" customFormat="1" ht="14">
      <c r="A308" s="526"/>
      <c r="B308" s="559"/>
      <c r="C308" s="37" t="s">
        <v>938</v>
      </c>
      <c r="D308" s="2093" t="s">
        <v>1584</v>
      </c>
      <c r="E308" s="526"/>
      <c r="F308" s="619">
        <f t="shared" ref="F308:O308" si="93">F256*F183/1000</f>
        <v>0</v>
      </c>
      <c r="G308" s="619">
        <f t="shared" si="93"/>
        <v>0</v>
      </c>
      <c r="H308" s="619">
        <f t="shared" si="93"/>
        <v>0</v>
      </c>
      <c r="I308" s="619">
        <f t="shared" si="93"/>
        <v>0</v>
      </c>
      <c r="J308" s="619">
        <f t="shared" si="93"/>
        <v>0</v>
      </c>
      <c r="K308" s="619">
        <f t="shared" si="93"/>
        <v>0</v>
      </c>
      <c r="L308" s="619">
        <f t="shared" si="93"/>
        <v>0</v>
      </c>
      <c r="M308" s="619">
        <f t="shared" si="93"/>
        <v>57.634670557954294</v>
      </c>
      <c r="N308" s="619">
        <f t="shared" si="93"/>
        <v>303.70979619876363</v>
      </c>
      <c r="O308" s="619">
        <f t="shared" si="93"/>
        <v>528.05255332505453</v>
      </c>
    </row>
    <row r="309" spans="1:15" s="528" customFormat="1" ht="14">
      <c r="A309" s="526"/>
      <c r="B309" s="559"/>
      <c r="C309" s="16"/>
      <c r="D309" s="1063"/>
      <c r="E309" s="526"/>
      <c r="F309" s="619"/>
      <c r="G309" s="619"/>
      <c r="H309" s="619"/>
      <c r="I309" s="619"/>
      <c r="J309" s="619"/>
      <c r="K309" s="619"/>
      <c r="L309" s="619"/>
      <c r="M309" s="619"/>
      <c r="N309" s="619"/>
      <c r="O309" s="619"/>
    </row>
    <row r="310" spans="1:15" s="528" customFormat="1" ht="14">
      <c r="A310" s="1733"/>
      <c r="B310" s="559">
        <v>11</v>
      </c>
      <c r="C310" s="1733" t="s">
        <v>1822</v>
      </c>
      <c r="D310" s="1063"/>
      <c r="E310" s="1733"/>
      <c r="F310" s="619"/>
      <c r="G310" s="619"/>
      <c r="H310" s="619"/>
      <c r="I310" s="619"/>
      <c r="J310" s="619"/>
      <c r="K310" s="619"/>
      <c r="L310" s="619"/>
      <c r="M310" s="619"/>
      <c r="N310" s="619"/>
      <c r="O310" s="619"/>
    </row>
    <row r="311" spans="1:15" s="528" customFormat="1" ht="14">
      <c r="A311" s="1733"/>
      <c r="B311" s="559"/>
      <c r="C311" s="1732"/>
      <c r="D311" s="1063"/>
      <c r="E311" s="1733"/>
      <c r="F311" s="619"/>
      <c r="G311" s="619"/>
      <c r="H311" s="619"/>
      <c r="I311" s="619"/>
      <c r="J311" s="619"/>
      <c r="K311" s="619"/>
      <c r="L311" s="619"/>
      <c r="M311" s="619"/>
      <c r="N311" s="619"/>
      <c r="O311" s="619"/>
    </row>
    <row r="312" spans="1:15" s="528" customFormat="1" ht="14">
      <c r="A312" s="1733"/>
      <c r="B312" s="559"/>
      <c r="C312" s="17" t="s">
        <v>970</v>
      </c>
      <c r="D312" s="20"/>
      <c r="E312" s="1733"/>
      <c r="F312" s="623"/>
      <c r="G312" s="623"/>
      <c r="H312" s="623"/>
      <c r="I312" s="623"/>
      <c r="J312" s="623"/>
      <c r="K312" s="623"/>
      <c r="L312" s="623"/>
      <c r="M312" s="623"/>
      <c r="N312" s="623"/>
      <c r="O312" s="1732" t="str">
        <f>Preferences.moneyunits&amp;"/yr, preceeding 5 years"</f>
        <v>£m/yr, preceeding 5 years</v>
      </c>
    </row>
    <row r="313" spans="1:15" s="528" customFormat="1" ht="14">
      <c r="A313" s="1733"/>
      <c r="B313" s="559"/>
      <c r="C313" s="1043" t="s">
        <v>906</v>
      </c>
      <c r="D313" s="1991" t="s">
        <v>657</v>
      </c>
      <c r="E313" s="1733"/>
      <c r="F313" s="623"/>
      <c r="G313" s="623"/>
      <c r="H313" s="623"/>
      <c r="I313" s="623"/>
      <c r="J313" s="623"/>
      <c r="K313" s="623"/>
      <c r="L313" s="623"/>
      <c r="M313" s="623"/>
      <c r="N313" s="623"/>
      <c r="O313" s="623"/>
    </row>
    <row r="314" spans="1:15" s="528" customFormat="1" ht="14">
      <c r="A314" s="1733"/>
      <c r="B314" s="559"/>
      <c r="C314" s="37" t="s">
        <v>942</v>
      </c>
      <c r="D314" s="515" t="s">
        <v>1582</v>
      </c>
      <c r="E314" s="1733"/>
      <c r="F314" s="619">
        <f t="shared" ref="F314:O314" si="94">F253*F187/1000</f>
        <v>7.1980544408682761</v>
      </c>
      <c r="G314" s="619">
        <f t="shared" si="94"/>
        <v>7.8074417374015788</v>
      </c>
      <c r="H314" s="619">
        <f t="shared" si="94"/>
        <v>9.0300527773536441</v>
      </c>
      <c r="I314" s="619">
        <f t="shared" si="94"/>
        <v>10.082876119745478</v>
      </c>
      <c r="J314" s="619">
        <f t="shared" si="94"/>
        <v>9.1382598038142415</v>
      </c>
      <c r="K314" s="619">
        <f t="shared" si="94"/>
        <v>7.7861064745656483</v>
      </c>
      <c r="L314" s="619">
        <f t="shared" si="94"/>
        <v>6.111309980779815</v>
      </c>
      <c r="M314" s="619">
        <f t="shared" si="94"/>
        <v>4.198764171236852</v>
      </c>
      <c r="N314" s="619">
        <f t="shared" si="94"/>
        <v>2.1333628947168779</v>
      </c>
      <c r="O314" s="619">
        <f t="shared" si="94"/>
        <v>0</v>
      </c>
    </row>
    <row r="315" spans="1:15" s="528" customFormat="1" ht="14">
      <c r="A315" s="1733"/>
      <c r="B315" s="559"/>
      <c r="C315" s="37" t="s">
        <v>942</v>
      </c>
      <c r="D315" s="34" t="s">
        <v>741</v>
      </c>
      <c r="E315" s="1733"/>
      <c r="F315" s="619">
        <f t="shared" ref="F315:O315" si="95">F254*F188/1000</f>
        <v>0.222389599274054</v>
      </c>
      <c r="G315" s="619">
        <f t="shared" si="95"/>
        <v>0.2412898740724474</v>
      </c>
      <c r="H315" s="619">
        <f t="shared" si="95"/>
        <v>0.2827468441270623</v>
      </c>
      <c r="I315" s="619">
        <f t="shared" si="95"/>
        <v>0.32026833311682157</v>
      </c>
      <c r="J315" s="619">
        <f t="shared" si="95"/>
        <v>0.7908163353715939</v>
      </c>
      <c r="K315" s="619">
        <f t="shared" si="95"/>
        <v>1.3306575941915437</v>
      </c>
      <c r="L315" s="619">
        <f t="shared" si="95"/>
        <v>1.9252127576629585</v>
      </c>
      <c r="M315" s="619">
        <f t="shared" si="95"/>
        <v>2.5599024738721194</v>
      </c>
      <c r="N315" s="619">
        <f t="shared" si="95"/>
        <v>3.2201473909053222</v>
      </c>
      <c r="O315" s="619">
        <f t="shared" si="95"/>
        <v>3.8913681568488374</v>
      </c>
    </row>
    <row r="316" spans="1:15" s="528" customFormat="1" ht="14">
      <c r="A316" s="1733"/>
      <c r="B316" s="559"/>
      <c r="C316" s="37" t="s">
        <v>938</v>
      </c>
      <c r="D316" s="34" t="s">
        <v>1583</v>
      </c>
      <c r="E316" s="1733"/>
      <c r="F316" s="619">
        <f t="shared" ref="F316:O316" si="96">F255*F189/1000</f>
        <v>6696.666666666667</v>
      </c>
      <c r="G316" s="619">
        <f t="shared" si="96"/>
        <v>5876.6666666666661</v>
      </c>
      <c r="H316" s="619">
        <f t="shared" si="96"/>
        <v>6852.2764790697793</v>
      </c>
      <c r="I316" s="619">
        <f t="shared" si="96"/>
        <v>6614.9121211886713</v>
      </c>
      <c r="J316" s="619">
        <f t="shared" si="96"/>
        <v>6377.5477633075652</v>
      </c>
      <c r="K316" s="619">
        <f t="shared" si="96"/>
        <v>6140.1834054264582</v>
      </c>
      <c r="L316" s="619">
        <f t="shared" si="96"/>
        <v>5902.8190475453503</v>
      </c>
      <c r="M316" s="619">
        <f t="shared" si="96"/>
        <v>5637.127416215917</v>
      </c>
      <c r="N316" s="619">
        <f t="shared" si="96"/>
        <v>5278.8178476590911</v>
      </c>
      <c r="O316" s="619">
        <f t="shared" si="96"/>
        <v>4931.1896752069388</v>
      </c>
    </row>
    <row r="317" spans="1:15" s="528" customFormat="1" ht="14">
      <c r="A317" s="1733"/>
      <c r="B317" s="559"/>
      <c r="C317" s="37" t="s">
        <v>938</v>
      </c>
      <c r="D317" s="2093" t="s">
        <v>1584</v>
      </c>
      <c r="E317" s="1733"/>
      <c r="F317" s="619">
        <f t="shared" ref="F317:O317" si="97">F256*F190/1000</f>
        <v>0</v>
      </c>
      <c r="G317" s="619">
        <f t="shared" si="97"/>
        <v>0</v>
      </c>
      <c r="H317" s="619">
        <f t="shared" si="97"/>
        <v>0</v>
      </c>
      <c r="I317" s="619">
        <f t="shared" si="97"/>
        <v>0</v>
      </c>
      <c r="J317" s="619">
        <f t="shared" si="97"/>
        <v>0</v>
      </c>
      <c r="K317" s="619">
        <f t="shared" si="97"/>
        <v>0</v>
      </c>
      <c r="L317" s="619">
        <f t="shared" si="97"/>
        <v>0</v>
      </c>
      <c r="M317" s="619">
        <f t="shared" si="97"/>
        <v>31.156601520339507</v>
      </c>
      <c r="N317" s="619">
        <f t="shared" si="97"/>
        <v>140.92715711160818</v>
      </c>
      <c r="O317" s="619">
        <f t="shared" si="97"/>
        <v>204.59419450334025</v>
      </c>
    </row>
    <row r="318" spans="1:15" s="528" customFormat="1" ht="14">
      <c r="A318" s="1733"/>
      <c r="B318" s="559"/>
      <c r="C318" s="1732"/>
      <c r="D318" s="1063"/>
      <c r="E318" s="1733"/>
      <c r="F318" s="619"/>
      <c r="G318" s="619"/>
      <c r="H318" s="619"/>
      <c r="I318" s="619"/>
      <c r="J318" s="619"/>
      <c r="K318" s="619"/>
      <c r="L318" s="619"/>
      <c r="M318" s="619"/>
      <c r="N318" s="619"/>
      <c r="O318" s="619"/>
    </row>
    <row r="319" spans="1:15" s="528" customFormat="1" ht="14">
      <c r="A319" s="526"/>
      <c r="B319" s="526">
        <v>12</v>
      </c>
      <c r="C319" s="526" t="s">
        <v>1595</v>
      </c>
      <c r="D319" s="526"/>
      <c r="E319" s="526"/>
      <c r="F319" s="623"/>
      <c r="G319" s="623"/>
      <c r="H319" s="623"/>
      <c r="I319" s="623"/>
      <c r="J319" s="623"/>
      <c r="K319" s="623"/>
      <c r="L319" s="623"/>
      <c r="M319" s="623"/>
      <c r="N319" s="623"/>
      <c r="O319" s="623"/>
    </row>
    <row r="320" spans="1:15" s="528" customFormat="1" ht="14">
      <c r="A320" s="526"/>
      <c r="B320" s="559"/>
      <c r="C320" s="526"/>
      <c r="D320" s="526"/>
      <c r="E320" s="526"/>
      <c r="F320" s="623"/>
      <c r="G320" s="623"/>
      <c r="H320" s="623"/>
      <c r="I320" s="623"/>
      <c r="J320" s="623"/>
      <c r="K320" s="623"/>
      <c r="L320" s="623"/>
      <c r="M320" s="623"/>
      <c r="N320" s="623"/>
      <c r="O320" s="623"/>
    </row>
    <row r="321" spans="1:15" s="528" customFormat="1" ht="14">
      <c r="A321" s="526"/>
      <c r="B321" s="1043"/>
      <c r="C321" s="17" t="s">
        <v>970</v>
      </c>
      <c r="D321" s="20"/>
      <c r="E321" s="526"/>
      <c r="F321" s="623"/>
      <c r="G321" s="623"/>
      <c r="H321" s="623"/>
      <c r="I321" s="623"/>
      <c r="J321" s="623"/>
      <c r="K321" s="623"/>
      <c r="L321" s="623"/>
      <c r="M321" s="623"/>
      <c r="N321" s="623"/>
      <c r="O321" s="16" t="str">
        <f>Preferences.moneyunits&amp;"/yr, preceeding 5 years"</f>
        <v>£m/yr, preceeding 5 years</v>
      </c>
    </row>
    <row r="322" spans="1:15" s="528" customFormat="1" ht="14">
      <c r="A322" s="526"/>
      <c r="B322" s="559"/>
      <c r="C322" s="1043" t="s">
        <v>906</v>
      </c>
      <c r="D322" s="1715" t="s">
        <v>657</v>
      </c>
      <c r="E322" s="526"/>
      <c r="F322" s="623"/>
      <c r="G322" s="623"/>
      <c r="H322" s="623"/>
      <c r="I322" s="623"/>
      <c r="J322" s="623"/>
      <c r="K322" s="623"/>
      <c r="L322" s="623"/>
      <c r="M322" s="623"/>
      <c r="N322" s="623"/>
      <c r="O322" s="623"/>
    </row>
    <row r="323" spans="1:15" s="528" customFormat="1" ht="14">
      <c r="A323" s="526"/>
      <c r="B323" s="559"/>
      <c r="C323" s="37" t="s">
        <v>942</v>
      </c>
      <c r="D323" s="515" t="s">
        <v>1582</v>
      </c>
      <c r="E323" s="526"/>
      <c r="F323" s="619">
        <f>F253*F194/1000</f>
        <v>7.1980544408682761</v>
      </c>
      <c r="G323" s="619">
        <f t="shared" ref="G323:O323" si="98">G253*F194/1000</f>
        <v>7.8074417374015788</v>
      </c>
      <c r="H323" s="619">
        <f t="shared" si="98"/>
        <v>9.0300527773536441</v>
      </c>
      <c r="I323" s="619">
        <f t="shared" si="98"/>
        <v>10.082876119745478</v>
      </c>
      <c r="J323" s="619">
        <f t="shared" si="98"/>
        <v>9.1382598038142415</v>
      </c>
      <c r="K323" s="619">
        <f t="shared" si="98"/>
        <v>7.7861064745656483</v>
      </c>
      <c r="L323" s="619">
        <f t="shared" si="98"/>
        <v>6.111309980779815</v>
      </c>
      <c r="M323" s="619">
        <f t="shared" si="98"/>
        <v>4.198764171236852</v>
      </c>
      <c r="N323" s="619">
        <f t="shared" si="98"/>
        <v>2.1333628947168779</v>
      </c>
      <c r="O323" s="619">
        <f t="shared" si="98"/>
        <v>0</v>
      </c>
    </row>
    <row r="324" spans="1:15" s="528" customFormat="1" ht="14">
      <c r="A324" s="1795"/>
      <c r="B324" s="1797"/>
      <c r="C324" s="37" t="s">
        <v>942</v>
      </c>
      <c r="D324" s="34" t="s">
        <v>741</v>
      </c>
      <c r="E324" s="526"/>
      <c r="F324" s="619">
        <f t="shared" ref="F324:F326" si="99">F254*F195/1000</f>
        <v>0.222389599274054</v>
      </c>
      <c r="G324" s="619">
        <f t="shared" ref="G324:O324" si="100">G254*F195/1000</f>
        <v>0.2412898740724474</v>
      </c>
      <c r="H324" s="619">
        <f t="shared" si="100"/>
        <v>0.2827468441270623</v>
      </c>
      <c r="I324" s="619">
        <f t="shared" si="100"/>
        <v>0.32026833311682157</v>
      </c>
      <c r="J324" s="619">
        <f t="shared" si="100"/>
        <v>0.7908163353715939</v>
      </c>
      <c r="K324" s="619">
        <f t="shared" si="100"/>
        <v>1.3306575941915437</v>
      </c>
      <c r="L324" s="619">
        <f t="shared" si="100"/>
        <v>1.9252127576629585</v>
      </c>
      <c r="M324" s="619">
        <f t="shared" si="100"/>
        <v>2.5599024738721194</v>
      </c>
      <c r="N324" s="619">
        <f t="shared" si="100"/>
        <v>3.2201473909053222</v>
      </c>
      <c r="O324" s="619">
        <f t="shared" si="100"/>
        <v>3.8913681568488374</v>
      </c>
    </row>
    <row r="325" spans="1:15" s="528" customFormat="1" ht="14">
      <c r="A325" s="1935"/>
      <c r="B325" s="1797"/>
      <c r="C325" s="37" t="s">
        <v>938</v>
      </c>
      <c r="D325" s="34" t="s">
        <v>1583</v>
      </c>
      <c r="E325" s="526"/>
      <c r="F325" s="619">
        <f t="shared" si="99"/>
        <v>6696.666666666667</v>
      </c>
      <c r="G325" s="619">
        <f t="shared" ref="G325:O325" si="101">G255*F196/1000</f>
        <v>5876.6666666666661</v>
      </c>
      <c r="H325" s="619">
        <f t="shared" si="101"/>
        <v>6852.2764790697793</v>
      </c>
      <c r="I325" s="619">
        <f t="shared" si="101"/>
        <v>6614.9121211886713</v>
      </c>
      <c r="J325" s="619">
        <f t="shared" si="101"/>
        <v>6377.5477633075652</v>
      </c>
      <c r="K325" s="619">
        <f t="shared" si="101"/>
        <v>6140.1834054264582</v>
      </c>
      <c r="L325" s="619">
        <f t="shared" si="101"/>
        <v>5902.8190475453503</v>
      </c>
      <c r="M325" s="619">
        <f t="shared" si="101"/>
        <v>5637.127416215917</v>
      </c>
      <c r="N325" s="619">
        <f t="shared" si="101"/>
        <v>5278.8178476590911</v>
      </c>
      <c r="O325" s="619">
        <f t="shared" si="101"/>
        <v>4931.1896752069388</v>
      </c>
    </row>
    <row r="326" spans="1:15" s="528" customFormat="1" ht="14">
      <c r="A326" s="1935"/>
      <c r="B326" s="1797"/>
      <c r="C326" s="37" t="s">
        <v>938</v>
      </c>
      <c r="D326" s="2093" t="s">
        <v>1584</v>
      </c>
      <c r="E326" s="526"/>
      <c r="F326" s="619">
        <f t="shared" si="99"/>
        <v>0</v>
      </c>
      <c r="G326" s="619">
        <f t="shared" ref="G326:O326" si="102">G256*F197/1000</f>
        <v>0</v>
      </c>
      <c r="H326" s="619">
        <f t="shared" si="102"/>
        <v>0</v>
      </c>
      <c r="I326" s="619">
        <f t="shared" si="102"/>
        <v>0</v>
      </c>
      <c r="J326" s="619">
        <f t="shared" si="102"/>
        <v>0</v>
      </c>
      <c r="K326" s="619">
        <f t="shared" si="102"/>
        <v>0</v>
      </c>
      <c r="L326" s="619">
        <f t="shared" si="102"/>
        <v>0</v>
      </c>
      <c r="M326" s="619">
        <f t="shared" si="102"/>
        <v>24.45753183466844</v>
      </c>
      <c r="N326" s="619">
        <f t="shared" si="102"/>
        <v>93.914783386637211</v>
      </c>
      <c r="O326" s="619">
        <f t="shared" si="102"/>
        <v>102.49304715718486</v>
      </c>
    </row>
    <row r="327" spans="1:15" s="528" customFormat="1">
      <c r="A327" s="34"/>
      <c r="B327" s="1795"/>
      <c r="C327" s="1715"/>
      <c r="F327" s="563"/>
      <c r="G327" s="563"/>
      <c r="H327" s="563"/>
      <c r="I327" s="563"/>
      <c r="J327" s="563"/>
      <c r="K327" s="563"/>
      <c r="L327" s="563"/>
      <c r="M327" s="563"/>
      <c r="N327" s="563"/>
      <c r="O327" s="563"/>
    </row>
    <row r="328" spans="1:15" s="528" customFormat="1">
      <c r="A328" s="37"/>
      <c r="B328" s="1768" t="s">
        <v>1570</v>
      </c>
      <c r="C328" s="1768"/>
      <c r="D328" s="1768"/>
      <c r="E328" s="1768"/>
      <c r="F328" s="2059"/>
      <c r="G328" s="2059"/>
      <c r="H328" s="2059"/>
      <c r="I328" s="2059"/>
      <c r="J328" s="2059"/>
      <c r="K328" s="2059"/>
      <c r="L328" s="2059"/>
      <c r="M328" s="1589"/>
      <c r="N328" s="1589"/>
      <c r="O328" s="1589"/>
    </row>
    <row r="329" spans="1:15" s="528" customFormat="1">
      <c r="A329" s="34"/>
      <c r="B329" s="1768"/>
      <c r="C329" s="1768" t="s">
        <v>1566</v>
      </c>
      <c r="D329" s="1768"/>
      <c r="E329" s="1732" t="str">
        <f>Preferences.moneyunits&amp;"/yr, preceeding 5 years"</f>
        <v>£m/yr, preceeding 5 years</v>
      </c>
      <c r="F329" s="2059">
        <f t="shared" ref="F329:O329" si="103">SUM(F277:F280)</f>
        <v>0</v>
      </c>
      <c r="G329" s="2059">
        <f t="shared" si="103"/>
        <v>3262.3444034788367</v>
      </c>
      <c r="H329" s="2059">
        <f t="shared" si="103"/>
        <v>4925.594992680526</v>
      </c>
      <c r="I329" s="2059">
        <f t="shared" si="103"/>
        <v>4439.0695950584795</v>
      </c>
      <c r="J329" s="2059">
        <f t="shared" si="103"/>
        <v>4258.268816066301</v>
      </c>
      <c r="K329" s="2059">
        <f t="shared" si="103"/>
        <v>4092.0318785172644</v>
      </c>
      <c r="L329" s="2059">
        <f t="shared" si="103"/>
        <v>3932.1513689368117</v>
      </c>
      <c r="M329" s="1589">
        <f t="shared" si="103"/>
        <v>4400.591881821274</v>
      </c>
      <c r="N329" s="1589">
        <f t="shared" si="103"/>
        <v>6735.716305110318</v>
      </c>
      <c r="O329" s="1589">
        <f t="shared" si="103"/>
        <v>8250.2603431601747</v>
      </c>
    </row>
    <row r="330" spans="1:15" s="528" customFormat="1">
      <c r="A330" s="26"/>
      <c r="B330" s="1768"/>
      <c r="C330" s="1768" t="s">
        <v>1567</v>
      </c>
      <c r="D330" s="1768"/>
      <c r="E330" s="1732" t="str">
        <f>Preferences.moneyunits&amp;"/yr, preceeding 5 years"</f>
        <v>£m/yr, preceeding 5 years</v>
      </c>
      <c r="F330" s="2059">
        <f t="shared" ref="F330:O330" si="104">SUM(F305:F308)</f>
        <v>6704.0871107068097</v>
      </c>
      <c r="G330" s="2059">
        <f t="shared" si="104"/>
        <v>5884.7153982781401</v>
      </c>
      <c r="H330" s="2059">
        <f t="shared" si="104"/>
        <v>6861.58927869126</v>
      </c>
      <c r="I330" s="2059">
        <f t="shared" si="104"/>
        <v>6625.3152656415332</v>
      </c>
      <c r="J330" s="2059">
        <f t="shared" si="104"/>
        <v>6387.476839446751</v>
      </c>
      <c r="K330" s="2059">
        <f>SUM(K305:K308)</f>
        <v>6149.3001694952154</v>
      </c>
      <c r="L330" s="2059">
        <f t="shared" si="104"/>
        <v>5910.855570283793</v>
      </c>
      <c r="M330" s="1589">
        <f t="shared" si="104"/>
        <v>5701.5207534189803</v>
      </c>
      <c r="N330" s="1589">
        <f t="shared" si="104"/>
        <v>5587.881154143477</v>
      </c>
      <c r="O330" s="1589">
        <f t="shared" si="104"/>
        <v>5463.1335966888428</v>
      </c>
    </row>
    <row r="331" spans="1:15" s="528" customFormat="1">
      <c r="B331" s="1768"/>
      <c r="C331" s="1768" t="s">
        <v>1569</v>
      </c>
      <c r="D331" s="1768"/>
      <c r="E331" s="1732" t="str">
        <f>Preferences.moneyunits&amp;"/yr, preceeding 5 years"</f>
        <v>£m/yr, preceeding 5 years</v>
      </c>
      <c r="F331" s="2059">
        <f>SUM(F329:F330)</f>
        <v>6704.0871107068097</v>
      </c>
      <c r="G331" s="2059">
        <f>SUM(G329:G330)</f>
        <v>9147.0598017569773</v>
      </c>
      <c r="H331" s="2059">
        <f t="shared" ref="H331:O331" si="105">SUM(H329:H330)</f>
        <v>11787.184271371785</v>
      </c>
      <c r="I331" s="2059">
        <f t="shared" si="105"/>
        <v>11064.384860700013</v>
      </c>
      <c r="J331" s="2059">
        <f t="shared" si="105"/>
        <v>10645.745655513052</v>
      </c>
      <c r="K331" s="2059">
        <f t="shared" si="105"/>
        <v>10241.33204801248</v>
      </c>
      <c r="L331" s="2059">
        <f t="shared" si="105"/>
        <v>9843.0069392206042</v>
      </c>
      <c r="M331" s="1589">
        <f t="shared" si="105"/>
        <v>10102.112635240253</v>
      </c>
      <c r="N331" s="1589">
        <f t="shared" si="105"/>
        <v>12323.597459253795</v>
      </c>
      <c r="O331" s="1589">
        <f t="shared" si="105"/>
        <v>13713.393939849018</v>
      </c>
    </row>
    <row r="332" spans="1:15" s="528" customFormat="1">
      <c r="F332" s="2060"/>
      <c r="G332" s="2060"/>
      <c r="H332" s="2060"/>
      <c r="I332" s="2060"/>
      <c r="J332" s="2060"/>
      <c r="K332" s="2060"/>
      <c r="L332" s="2060"/>
    </row>
    <row r="333" spans="1:15" s="528" customFormat="1">
      <c r="B333" s="1991" t="s">
        <v>1799</v>
      </c>
      <c r="C333" s="1991"/>
      <c r="D333" s="1991"/>
      <c r="E333" s="1991"/>
      <c r="F333" s="2059"/>
      <c r="G333" s="2059"/>
      <c r="H333" s="2059"/>
      <c r="I333" s="2059"/>
      <c r="J333" s="2059"/>
      <c r="K333" s="2059"/>
      <c r="L333" s="2059"/>
      <c r="M333" s="1589"/>
      <c r="N333" s="1589"/>
      <c r="O333" s="1589"/>
    </row>
    <row r="334" spans="1:15" s="528" customFormat="1">
      <c r="B334" s="1991"/>
      <c r="C334" s="1991" t="s">
        <v>1566</v>
      </c>
      <c r="D334" s="1991"/>
      <c r="E334" s="1732" t="str">
        <f>Preferences.moneyunits&amp;"/yr, preceeding 5 years"</f>
        <v>£m/yr, preceeding 5 years</v>
      </c>
      <c r="F334" s="2059">
        <f>SUM(F282:F285)</f>
        <v>0</v>
      </c>
      <c r="G334" s="2059">
        <f>SUM(G287:G290)</f>
        <v>3262.3444034788367</v>
      </c>
      <c r="H334" s="2059">
        <f t="shared" ref="H334:O334" si="106">SUM(H287:H290)</f>
        <v>4861.1454734715207</v>
      </c>
      <c r="I334" s="2059">
        <f t="shared" si="106"/>
        <v>4322.937364897366</v>
      </c>
      <c r="J334" s="2059">
        <f t="shared" si="106"/>
        <v>4091.255094957135</v>
      </c>
      <c r="K334" s="2059">
        <f t="shared" si="106"/>
        <v>3878.1093817870219</v>
      </c>
      <c r="L334" s="2059">
        <f t="shared" si="106"/>
        <v>3675.3811416686685</v>
      </c>
      <c r="M334" s="1589">
        <f t="shared" si="106"/>
        <v>3819.7767505163933</v>
      </c>
      <c r="N334" s="1589">
        <f t="shared" si="106"/>
        <v>4746.8404079269367</v>
      </c>
      <c r="O334" s="1589">
        <f t="shared" si="106"/>
        <v>4977.4431404375719</v>
      </c>
    </row>
    <row r="335" spans="1:15" s="528" customFormat="1">
      <c r="B335" s="1991"/>
      <c r="C335" s="1991" t="s">
        <v>1567</v>
      </c>
      <c r="D335" s="1991"/>
      <c r="E335" s="1732" t="str">
        <f>Preferences.moneyunits&amp;"/yr, preceeding 5 years"</f>
        <v>£m/yr, preceeding 5 years</v>
      </c>
      <c r="F335" s="2059">
        <f>SUM(F314:F317)</f>
        <v>6704.0871107068097</v>
      </c>
      <c r="G335" s="2059">
        <f t="shared" ref="G335:O335" si="107">SUM(G314:G317)</f>
        <v>5884.7153982781401</v>
      </c>
      <c r="H335" s="2059">
        <f t="shared" si="107"/>
        <v>6861.58927869126</v>
      </c>
      <c r="I335" s="2059">
        <f t="shared" si="107"/>
        <v>6625.3152656415332</v>
      </c>
      <c r="J335" s="2059">
        <f t="shared" si="107"/>
        <v>6387.476839446751</v>
      </c>
      <c r="K335" s="2059">
        <f t="shared" si="107"/>
        <v>6149.3001694952154</v>
      </c>
      <c r="L335" s="2059">
        <f t="shared" si="107"/>
        <v>5910.855570283793</v>
      </c>
      <c r="M335" s="1589">
        <f t="shared" si="107"/>
        <v>5675.0426843813657</v>
      </c>
      <c r="N335" s="1589">
        <f t="shared" si="107"/>
        <v>5425.098515056321</v>
      </c>
      <c r="O335" s="1589">
        <f t="shared" si="107"/>
        <v>5139.6752378671281</v>
      </c>
    </row>
    <row r="336" spans="1:15" s="528" customFormat="1">
      <c r="B336" s="1991"/>
      <c r="C336" s="1991" t="s">
        <v>1569</v>
      </c>
      <c r="D336" s="1991"/>
      <c r="E336" s="1732" t="str">
        <f>Preferences.moneyunits&amp;"/yr, preceeding 5 years"</f>
        <v>£m/yr, preceeding 5 years</v>
      </c>
      <c r="F336" s="2059">
        <f>SUM(F334:F335)</f>
        <v>6704.0871107068097</v>
      </c>
      <c r="G336" s="2059">
        <f t="shared" ref="G336:O336" si="108">SUM(G334:G335)</f>
        <v>9147.0598017569773</v>
      </c>
      <c r="H336" s="2059">
        <f t="shared" si="108"/>
        <v>11722.734752162782</v>
      </c>
      <c r="I336" s="2059">
        <f t="shared" si="108"/>
        <v>10948.2526305389</v>
      </c>
      <c r="J336" s="2059">
        <f t="shared" si="108"/>
        <v>10478.731934403886</v>
      </c>
      <c r="K336" s="2059">
        <f t="shared" si="108"/>
        <v>10027.409551282237</v>
      </c>
      <c r="L336" s="2059">
        <f t="shared" si="108"/>
        <v>9586.2367119524606</v>
      </c>
      <c r="M336" s="1589">
        <f t="shared" si="108"/>
        <v>9494.8194348977595</v>
      </c>
      <c r="N336" s="1589">
        <f t="shared" si="108"/>
        <v>10171.938922983258</v>
      </c>
      <c r="O336" s="1589">
        <f t="shared" si="108"/>
        <v>10117.1183783047</v>
      </c>
    </row>
    <row r="337" spans="1:16" s="528" customFormat="1">
      <c r="B337" s="1768"/>
      <c r="C337" s="1768"/>
      <c r="D337" s="1768"/>
      <c r="E337" s="1732"/>
      <c r="F337" s="2059"/>
      <c r="G337" s="2059"/>
      <c r="H337" s="2059"/>
      <c r="I337" s="2059"/>
      <c r="J337" s="2059"/>
      <c r="K337" s="2059"/>
      <c r="L337" s="2059"/>
      <c r="M337" s="1589"/>
      <c r="N337" s="1589"/>
      <c r="O337" s="1589"/>
    </row>
    <row r="338" spans="1:16" s="528" customFormat="1">
      <c r="B338" s="1044" t="s">
        <v>1568</v>
      </c>
      <c r="C338" s="1768"/>
      <c r="D338" s="1768"/>
      <c r="E338" s="1768"/>
      <c r="F338" s="2059"/>
      <c r="G338" s="2059"/>
      <c r="H338" s="2059"/>
      <c r="I338" s="2059"/>
      <c r="J338" s="2059"/>
      <c r="K338" s="2059"/>
      <c r="L338" s="2059"/>
      <c r="M338" s="1589"/>
      <c r="N338" s="1589"/>
      <c r="O338" s="1589"/>
    </row>
    <row r="339" spans="1:16" s="528" customFormat="1">
      <c r="B339" s="1768"/>
      <c r="C339" s="1768" t="s">
        <v>1566</v>
      </c>
      <c r="D339" s="1768"/>
      <c r="E339" s="1732" t="str">
        <f>Preferences.moneyunits&amp;"/yr, preceeding 5 years"</f>
        <v>£m/yr, preceeding 5 years</v>
      </c>
      <c r="F339" s="2059">
        <f t="shared" ref="F339:O339" si="109">SUM(F296:F299)</f>
        <v>0</v>
      </c>
      <c r="G339" s="2059">
        <f t="shared" si="109"/>
        <v>3262.3444034788367</v>
      </c>
      <c r="H339" s="2059">
        <f t="shared" si="109"/>
        <v>4702.6014196408969</v>
      </c>
      <c r="I339" s="2059">
        <f t="shared" si="109"/>
        <v>4037.4337167813678</v>
      </c>
      <c r="J339" s="2059">
        <f t="shared" si="109"/>
        <v>3679.0444060062105</v>
      </c>
      <c r="K339" s="2059">
        <f t="shared" si="109"/>
        <v>3349.4482327142832</v>
      </c>
      <c r="L339" s="2059">
        <f t="shared" si="109"/>
        <v>3040.5736753636397</v>
      </c>
      <c r="M339" s="1589">
        <f t="shared" si="109"/>
        <v>2939.5952422881473</v>
      </c>
      <c r="N339" s="1589">
        <f t="shared" si="109"/>
        <v>3061.2215181316756</v>
      </c>
      <c r="O339" s="1589">
        <f t="shared" si="109"/>
        <v>2559.6275276255164</v>
      </c>
    </row>
    <row r="340" spans="1:16" s="528" customFormat="1">
      <c r="B340" s="1768"/>
      <c r="C340" s="1768" t="s">
        <v>1567</v>
      </c>
      <c r="D340" s="1768"/>
      <c r="E340" s="1732" t="str">
        <f>Preferences.moneyunits&amp;"/yr, preceeding 5 years"</f>
        <v>£m/yr, preceeding 5 years</v>
      </c>
      <c r="F340" s="2059">
        <f t="shared" ref="F340:O340" si="110">SUM(F323:F326)</f>
        <v>6704.0871107068097</v>
      </c>
      <c r="G340" s="2059">
        <f t="shared" si="110"/>
        <v>5884.7153982781401</v>
      </c>
      <c r="H340" s="2059">
        <f t="shared" si="110"/>
        <v>6861.58927869126</v>
      </c>
      <c r="I340" s="2059">
        <f t="shared" si="110"/>
        <v>6625.3152656415332</v>
      </c>
      <c r="J340" s="2059">
        <f t="shared" si="110"/>
        <v>6387.476839446751</v>
      </c>
      <c r="K340" s="2059">
        <f t="shared" si="110"/>
        <v>6149.3001694952154</v>
      </c>
      <c r="L340" s="2059">
        <f t="shared" si="110"/>
        <v>5910.855570283793</v>
      </c>
      <c r="M340" s="1589">
        <f t="shared" si="110"/>
        <v>5668.3436146956947</v>
      </c>
      <c r="N340" s="1589">
        <f t="shared" si="110"/>
        <v>5378.0861413313505</v>
      </c>
      <c r="O340" s="1589">
        <f t="shared" si="110"/>
        <v>5037.5740905209732</v>
      </c>
    </row>
    <row r="341" spans="1:16" s="528" customFormat="1">
      <c r="B341" s="1768"/>
      <c r="C341" s="1768" t="s">
        <v>1569</v>
      </c>
      <c r="D341" s="1768"/>
      <c r="E341" s="1732" t="str">
        <f>Preferences.moneyunits&amp;"/yr, preceeding 5 years"</f>
        <v>£m/yr, preceeding 5 years</v>
      </c>
      <c r="F341" s="2059">
        <f>SUM(F339:F340)</f>
        <v>6704.0871107068097</v>
      </c>
      <c r="G341" s="2059">
        <f>SUM(G339:G340)</f>
        <v>9147.0598017569773</v>
      </c>
      <c r="H341" s="2059">
        <f t="shared" ref="H341:O341" si="111">SUM(H339:H340)</f>
        <v>11564.190698332157</v>
      </c>
      <c r="I341" s="2059">
        <f t="shared" si="111"/>
        <v>10662.748982422901</v>
      </c>
      <c r="J341" s="2059">
        <f t="shared" si="111"/>
        <v>10066.521245452961</v>
      </c>
      <c r="K341" s="2059">
        <f t="shared" si="111"/>
        <v>9498.7484022094977</v>
      </c>
      <c r="L341" s="2059">
        <f t="shared" si="111"/>
        <v>8951.4292456474323</v>
      </c>
      <c r="M341" s="1589">
        <f t="shared" si="111"/>
        <v>8607.9388569838411</v>
      </c>
      <c r="N341" s="1589">
        <f t="shared" si="111"/>
        <v>8439.3076594630256</v>
      </c>
      <c r="O341" s="1589">
        <f t="shared" si="111"/>
        <v>7597.2016181464896</v>
      </c>
    </row>
    <row r="342" spans="1:16" s="528" customFormat="1">
      <c r="B342" s="526"/>
      <c r="C342" s="1715"/>
      <c r="F342" s="563"/>
      <c r="G342" s="563"/>
      <c r="H342" s="563"/>
      <c r="I342" s="563"/>
      <c r="J342" s="563"/>
      <c r="K342" s="563"/>
      <c r="L342" s="563"/>
      <c r="M342" s="563"/>
      <c r="N342" s="563"/>
      <c r="O342" s="563"/>
    </row>
    <row r="343" spans="1:16" ht="22" collapsed="1">
      <c r="A343" s="799"/>
      <c r="B343" s="843" t="s">
        <v>575</v>
      </c>
      <c r="C343" s="810"/>
      <c r="D343" s="810"/>
      <c r="E343" s="810"/>
      <c r="F343" s="810"/>
      <c r="G343" s="810"/>
      <c r="H343" s="810"/>
      <c r="I343" s="810"/>
      <c r="J343" s="810"/>
      <c r="K343" s="810"/>
      <c r="L343" s="810"/>
      <c r="M343" s="810"/>
      <c r="N343" s="810"/>
      <c r="O343" s="810"/>
      <c r="P343" s="811"/>
    </row>
    <row r="344" spans="1:16">
      <c r="B344" s="800"/>
      <c r="C344" s="802"/>
      <c r="D344" s="802"/>
      <c r="E344" s="802"/>
      <c r="F344" s="802"/>
      <c r="G344" s="802"/>
      <c r="H344" s="802"/>
      <c r="I344" s="802"/>
      <c r="J344" s="802"/>
      <c r="K344" s="802"/>
      <c r="L344" s="802"/>
      <c r="M344" s="802"/>
      <c r="N344" s="802"/>
      <c r="O344" s="802"/>
      <c r="P344" s="804"/>
    </row>
    <row r="345" spans="1:16">
      <c r="B345" s="800"/>
      <c r="C345" s="812" t="s">
        <v>1315</v>
      </c>
      <c r="D345" s="802"/>
      <c r="E345" s="803"/>
      <c r="F345" s="802"/>
      <c r="G345" s="803"/>
      <c r="H345" s="802"/>
      <c r="I345" s="802"/>
      <c r="J345" s="802"/>
      <c r="K345" s="802"/>
      <c r="L345" s="802"/>
      <c r="M345" s="802"/>
      <c r="N345" s="802"/>
      <c r="O345" s="803" t="str">
        <f>Preferences.EnergyUnits</f>
        <v>TWh</v>
      </c>
      <c r="P345" s="804"/>
    </row>
    <row r="346" spans="1:16" ht="6" customHeight="1">
      <c r="B346" s="800"/>
      <c r="C346" s="802"/>
      <c r="D346" s="802"/>
      <c r="E346" s="802"/>
      <c r="F346" s="802"/>
      <c r="G346" s="802"/>
      <c r="H346" s="802"/>
      <c r="I346" s="802"/>
      <c r="J346" s="802"/>
      <c r="K346" s="802"/>
      <c r="L346" s="802"/>
      <c r="M346" s="802"/>
      <c r="N346" s="802"/>
      <c r="O346" s="802"/>
      <c r="P346" s="804"/>
    </row>
    <row r="347" spans="1:16" ht="15">
      <c r="A347" s="3"/>
      <c r="B347" s="805"/>
      <c r="C347" s="813" t="s">
        <v>72</v>
      </c>
      <c r="D347" s="813" t="s">
        <v>399</v>
      </c>
      <c r="E347" s="813" t="s">
        <v>422</v>
      </c>
      <c r="F347" s="813" t="s">
        <v>579</v>
      </c>
      <c r="G347" s="813" t="s">
        <v>580</v>
      </c>
      <c r="H347" s="814" t="s">
        <v>605</v>
      </c>
      <c r="I347" s="814" t="s">
        <v>606</v>
      </c>
      <c r="J347" s="814" t="s">
        <v>607</v>
      </c>
      <c r="K347" s="814" t="s">
        <v>608</v>
      </c>
      <c r="L347" s="814" t="s">
        <v>609</v>
      </c>
      <c r="M347" s="814" t="s">
        <v>610</v>
      </c>
      <c r="N347" s="814" t="s">
        <v>611</v>
      </c>
      <c r="O347" s="814" t="s">
        <v>612</v>
      </c>
      <c r="P347" s="804"/>
    </row>
    <row r="348" spans="1:16" ht="15">
      <c r="A348" s="3"/>
      <c r="B348" s="805"/>
      <c r="C348" s="541" t="s">
        <v>33</v>
      </c>
      <c r="D348" s="541" t="str">
        <f>INDEX(Vectors[Description], MATCH(XII.b.Outputs[Vector], Vectors[Code], 0))</f>
        <v>Road transport</v>
      </c>
      <c r="E348" s="541"/>
      <c r="F348" s="629">
        <f t="shared" ref="F348:N348" si="112">F$223+F$228</f>
        <v>87.654867521058719</v>
      </c>
      <c r="G348" s="629">
        <f t="shared" si="112"/>
        <v>83.577666666666673</v>
      </c>
      <c r="H348" s="629">
        <f t="shared" si="112"/>
        <v>84.763495689566241</v>
      </c>
      <c r="I348" s="629">
        <f t="shared" si="112"/>
        <v>69.577581762502803</v>
      </c>
      <c r="J348" s="629">
        <f t="shared" si="112"/>
        <v>55.270784365786838</v>
      </c>
      <c r="K348" s="629">
        <f t="shared" si="112"/>
        <v>41.843103499418348</v>
      </c>
      <c r="L348" s="629">
        <f t="shared" si="112"/>
        <v>38.832630917052917</v>
      </c>
      <c r="M348" s="629">
        <f t="shared" si="112"/>
        <v>35.797268269368381</v>
      </c>
      <c r="N348" s="629">
        <f t="shared" si="112"/>
        <v>32.456361588859892</v>
      </c>
      <c r="O348" s="629">
        <f>O$223+O$228</f>
        <v>29.318369196329133</v>
      </c>
      <c r="P348" s="804"/>
    </row>
    <row r="349" spans="1:16" ht="15">
      <c r="A349" s="3"/>
      <c r="B349" s="805"/>
      <c r="C349" s="541" t="s">
        <v>34</v>
      </c>
      <c r="D349" s="541" t="str">
        <f>INDEX(Vectors[Description], MATCH(XII.b.Outputs[Vector], Vectors[Code], 0))</f>
        <v>Rail transport</v>
      </c>
      <c r="E349" s="541"/>
      <c r="F349" s="629">
        <f>F$218+F$216</f>
        <v>2.4108529550428361</v>
      </c>
      <c r="G349" s="629">
        <f t="shared" ref="G349:O349" si="113">G$218+G$216</f>
        <v>2.6149888837642514</v>
      </c>
      <c r="H349" s="629">
        <f t="shared" si="113"/>
        <v>3.0261556296158107</v>
      </c>
      <c r="I349" s="629">
        <f t="shared" si="113"/>
        <v>3.3810514157620606</v>
      </c>
      <c r="J349" s="629">
        <f t="shared" si="113"/>
        <v>3.2920769237250394</v>
      </c>
      <c r="K349" s="629">
        <f t="shared" si="113"/>
        <v>3.1038676803055374</v>
      </c>
      <c r="L349" s="629">
        <f t="shared" si="113"/>
        <v>2.8370292909330552</v>
      </c>
      <c r="M349" s="629">
        <f t="shared" si="113"/>
        <v>2.5121673610370898</v>
      </c>
      <c r="N349" s="629">
        <f t="shared" si="113"/>
        <v>2.1498874960471444</v>
      </c>
      <c r="O349" s="629">
        <f t="shared" si="113"/>
        <v>1.77079530139271</v>
      </c>
      <c r="P349" s="804"/>
    </row>
    <row r="350" spans="1:16" ht="15">
      <c r="A350" s="3"/>
      <c r="B350" s="805"/>
      <c r="C350" s="541" t="s">
        <v>36</v>
      </c>
      <c r="D350" s="541" t="str">
        <f>INDEX(Vectors[Description], MATCH(XII.b.Outputs[Vector], Vectors[Code], 0))</f>
        <v>National navigation</v>
      </c>
      <c r="E350" s="541"/>
      <c r="F350" s="629">
        <f>F$231</f>
        <v>18.817339999999998</v>
      </c>
      <c r="G350" s="629">
        <f t="shared" ref="G350:O350" si="114">G$231</f>
        <v>27.144937170003814</v>
      </c>
      <c r="H350" s="629">
        <f t="shared" si="114"/>
        <v>27.32305556984198</v>
      </c>
      <c r="I350" s="629">
        <f t="shared" si="114"/>
        <v>27.858606532706467</v>
      </c>
      <c r="J350" s="629">
        <f t="shared" si="114"/>
        <v>28.582641909901167</v>
      </c>
      <c r="K350" s="629">
        <f t="shared" si="114"/>
        <v>29.635401755478146</v>
      </c>
      <c r="L350" s="629">
        <f t="shared" si="114"/>
        <v>30.699187307229483</v>
      </c>
      <c r="M350" s="629">
        <f t="shared" si="114"/>
        <v>31.774954722510824</v>
      </c>
      <c r="N350" s="629">
        <f t="shared" si="114"/>
        <v>32.863712345161993</v>
      </c>
      <c r="O350" s="629">
        <f t="shared" si="114"/>
        <v>33.966525009255932</v>
      </c>
      <c r="P350" s="804"/>
    </row>
    <row r="351" spans="1:16" ht="15">
      <c r="A351" s="3"/>
      <c r="B351" s="805"/>
      <c r="C351" s="541" t="s">
        <v>40</v>
      </c>
      <c r="D351" s="541" t="str">
        <f>INDEX(Vectors[Description], MATCH(XII.b.Outputs[Vector], Vectors[Code], 0))</f>
        <v>Electricity (delivered to end user)</v>
      </c>
      <c r="E351" s="541"/>
      <c r="F351" s="629">
        <f>-F$218-F$228</f>
        <v>-0.10120000000000001</v>
      </c>
      <c r="G351" s="629">
        <f t="shared" ref="G351:O351" si="115">-G$218-G$228</f>
        <v>-0.10980070711868301</v>
      </c>
      <c r="H351" s="629">
        <f t="shared" si="115"/>
        <v>-0.12866600200307601</v>
      </c>
      <c r="I351" s="629">
        <f t="shared" si="115"/>
        <v>-0.145740427687365</v>
      </c>
      <c r="J351" s="629">
        <f t="shared" si="115"/>
        <v>-0.35986670869882903</v>
      </c>
      <c r="K351" s="629">
        <f t="shared" si="115"/>
        <v>-0.60552538865020211</v>
      </c>
      <c r="L351" s="629">
        <f t="shared" si="115"/>
        <v>-0.87608202771838106</v>
      </c>
      <c r="M351" s="629">
        <f t="shared" si="115"/>
        <v>-1.2076586362547539</v>
      </c>
      <c r="N351" s="629">
        <f t="shared" si="115"/>
        <v>-1.682298645605885</v>
      </c>
      <c r="O351" s="629">
        <f t="shared" si="115"/>
        <v>-2.1334592707445137</v>
      </c>
      <c r="P351" s="804"/>
    </row>
    <row r="352" spans="1:16" ht="15">
      <c r="A352" s="3"/>
      <c r="B352" s="805"/>
      <c r="C352" s="541" t="s">
        <v>44</v>
      </c>
      <c r="D352" s="541" t="str">
        <f>INDEX(Vectors[Description], MATCH(XII.b.Outputs[Vector], Vectors[Code], 0))</f>
        <v>Liquid hydrocarbons</v>
      </c>
      <c r="E352" s="541"/>
      <c r="F352" s="629">
        <f t="shared" ref="F352:O352" si="116">-(F$216+F$223+F$231)</f>
        <v>-108.78186047610156</v>
      </c>
      <c r="G352" s="629">
        <f t="shared" si="116"/>
        <v>-113.22779201331606</v>
      </c>
      <c r="H352" s="629">
        <f t="shared" si="116"/>
        <v>-114.98404088702095</v>
      </c>
      <c r="I352" s="629">
        <f t="shared" si="116"/>
        <v>-100.67149928328396</v>
      </c>
      <c r="J352" s="629">
        <f t="shared" si="116"/>
        <v>-86.785636490714211</v>
      </c>
      <c r="K352" s="629">
        <f t="shared" si="116"/>
        <v>-73.976847546551824</v>
      </c>
      <c r="L352" s="629">
        <f t="shared" si="116"/>
        <v>-71.492765487497067</v>
      </c>
      <c r="M352" s="629">
        <f t="shared" si="116"/>
        <v>-68.876731716661538</v>
      </c>
      <c r="N352" s="629">
        <f t="shared" si="116"/>
        <v>-65.787662784463151</v>
      </c>
      <c r="O352" s="629">
        <f t="shared" si="116"/>
        <v>-62.922230236233261</v>
      </c>
      <c r="P352" s="804"/>
    </row>
    <row r="353" spans="1:16" ht="15">
      <c r="A353" s="3"/>
      <c r="B353" s="805"/>
      <c r="C353" s="541" t="s">
        <v>132</v>
      </c>
      <c r="D353" s="541"/>
      <c r="E353" s="541"/>
      <c r="F353" s="1010">
        <f>SUBTOTAL(109,XII.b.Outputs[2007])</f>
        <v>0</v>
      </c>
      <c r="G353" s="1010">
        <f>SUBTOTAL(109,XII.b.Outputs[2010])</f>
        <v>0</v>
      </c>
      <c r="H353" s="1010">
        <f>SUBTOTAL(109,XII.b.Outputs[2015])</f>
        <v>0</v>
      </c>
      <c r="I353" s="1010">
        <f>SUBTOTAL(109,XII.b.Outputs[2020])</f>
        <v>0</v>
      </c>
      <c r="J353" s="1010">
        <f>SUBTOTAL(109,XII.b.Outputs[2025])</f>
        <v>0</v>
      </c>
      <c r="K353" s="1010">
        <f>SUBTOTAL(109,XII.b.Outputs[2030])</f>
        <v>0</v>
      </c>
      <c r="L353" s="1010">
        <f>SUBTOTAL(109,XII.b.Outputs[2035])</f>
        <v>0</v>
      </c>
      <c r="M353" s="1010">
        <f>SUBTOTAL(109,XII.b.Outputs[2040])</f>
        <v>0</v>
      </c>
      <c r="N353" s="1010">
        <f>SUBTOTAL(109,XII.b.Outputs[2045])</f>
        <v>0</v>
      </c>
      <c r="O353" s="1010">
        <f>SUBTOTAL(109,XII.b.Outputs[2050])</f>
        <v>0</v>
      </c>
      <c r="P353" s="804"/>
    </row>
    <row r="354" spans="1:16" s="1568" customFormat="1" ht="15">
      <c r="A354" s="3"/>
      <c r="B354" s="805"/>
      <c r="C354" s="541"/>
      <c r="D354" s="541"/>
      <c r="E354" s="541"/>
      <c r="F354" s="1010"/>
      <c r="G354" s="1010"/>
      <c r="H354" s="1010"/>
      <c r="I354" s="1010"/>
      <c r="J354" s="1010"/>
      <c r="K354" s="1010"/>
      <c r="L354" s="1010"/>
      <c r="M354" s="1010"/>
      <c r="N354" s="1010"/>
      <c r="O354" s="1010"/>
      <c r="P354" s="804"/>
    </row>
    <row r="355" spans="1:16" s="1568" customFormat="1" ht="15">
      <c r="A355" s="3"/>
      <c r="B355" s="805"/>
      <c r="C355" s="812" t="s">
        <v>1316</v>
      </c>
      <c r="D355" s="802"/>
      <c r="E355" s="803"/>
      <c r="F355" s="802"/>
      <c r="G355" s="803"/>
      <c r="H355" s="802"/>
      <c r="I355" s="802"/>
      <c r="J355" s="802"/>
      <c r="K355" s="802"/>
      <c r="L355" s="802"/>
      <c r="M355" s="802"/>
      <c r="N355" s="802"/>
      <c r="O355" s="803" t="str">
        <f>Preferences.EnergyUnits</f>
        <v>TWh</v>
      </c>
      <c r="P355" s="804"/>
    </row>
    <row r="356" spans="1:16" s="1568" customFormat="1" ht="7.5" customHeight="1">
      <c r="A356" s="3"/>
      <c r="B356" s="805"/>
      <c r="C356" s="802"/>
      <c r="D356" s="802"/>
      <c r="E356" s="802"/>
      <c r="F356" s="802"/>
      <c r="G356" s="802"/>
      <c r="H356" s="802"/>
      <c r="I356" s="802"/>
      <c r="J356" s="802"/>
      <c r="K356" s="802"/>
      <c r="L356" s="802"/>
      <c r="M356" s="802"/>
      <c r="N356" s="802"/>
      <c r="O356" s="802"/>
      <c r="P356" s="804"/>
    </row>
    <row r="357" spans="1:16" s="1568" customFormat="1" ht="15">
      <c r="A357" s="3"/>
      <c r="B357" s="805"/>
      <c r="C357" s="813" t="s">
        <v>72</v>
      </c>
      <c r="D357" s="813" t="s">
        <v>399</v>
      </c>
      <c r="E357" s="813" t="s">
        <v>422</v>
      </c>
      <c r="F357" s="813" t="s">
        <v>579</v>
      </c>
      <c r="G357" s="813" t="s">
        <v>580</v>
      </c>
      <c r="H357" s="814" t="s">
        <v>605</v>
      </c>
      <c r="I357" s="814" t="s">
        <v>606</v>
      </c>
      <c r="J357" s="814" t="s">
        <v>607</v>
      </c>
      <c r="K357" s="814" t="s">
        <v>608</v>
      </c>
      <c r="L357" s="814" t="s">
        <v>609</v>
      </c>
      <c r="M357" s="814" t="s">
        <v>610</v>
      </c>
      <c r="N357" s="814" t="s">
        <v>611</v>
      </c>
      <c r="O357" s="814" t="s">
        <v>612</v>
      </c>
      <c r="P357" s="804"/>
    </row>
    <row r="358" spans="1:16" s="1568" customFormat="1" ht="15">
      <c r="A358" s="3"/>
      <c r="B358" s="805"/>
      <c r="C358" s="541" t="s">
        <v>33</v>
      </c>
      <c r="D358" s="1435" t="str">
        <f>INDEX(Vectors[Description], MATCH(XII.b.road.Outputs[Vector], Vectors[Code], 0))</f>
        <v>Road transport</v>
      </c>
      <c r="E358" s="541"/>
      <c r="F358" s="629">
        <f>F348</f>
        <v>87.654867521058719</v>
      </c>
      <c r="G358" s="629">
        <f t="shared" ref="G358:O358" si="117">G348</f>
        <v>83.577666666666673</v>
      </c>
      <c r="H358" s="629">
        <f t="shared" si="117"/>
        <v>84.763495689566241</v>
      </c>
      <c r="I358" s="629">
        <f t="shared" si="117"/>
        <v>69.577581762502803</v>
      </c>
      <c r="J358" s="629">
        <f t="shared" si="117"/>
        <v>55.270784365786838</v>
      </c>
      <c r="K358" s="629">
        <f t="shared" si="117"/>
        <v>41.843103499418348</v>
      </c>
      <c r="L358" s="629">
        <f t="shared" si="117"/>
        <v>38.832630917052917</v>
      </c>
      <c r="M358" s="629">
        <f t="shared" si="117"/>
        <v>35.797268269368381</v>
      </c>
      <c r="N358" s="629">
        <f t="shared" si="117"/>
        <v>32.456361588859892</v>
      </c>
      <c r="O358" s="629">
        <f t="shared" si="117"/>
        <v>29.318369196329133</v>
      </c>
      <c r="P358" s="804"/>
    </row>
    <row r="359" spans="1:16" s="1568" customFormat="1" ht="15">
      <c r="A359" s="3"/>
      <c r="B359" s="805"/>
      <c r="C359" s="541" t="s">
        <v>40</v>
      </c>
      <c r="D359" s="1435" t="str">
        <f>INDEX(Vectors[Description], MATCH(XII.b.road.Outputs[Vector], Vectors[Code], 0))</f>
        <v>Electricity (delivered to end user)</v>
      </c>
      <c r="E359" s="541"/>
      <c r="F359" s="629">
        <f>-F$228</f>
        <v>0</v>
      </c>
      <c r="G359" s="629">
        <f t="shared" ref="G359:O359" si="118">-G$228</f>
        <v>0</v>
      </c>
      <c r="H359" s="629">
        <f t="shared" si="118"/>
        <v>0</v>
      </c>
      <c r="I359" s="629">
        <f t="shared" si="118"/>
        <v>0</v>
      </c>
      <c r="J359" s="629">
        <f t="shared" si="118"/>
        <v>0</v>
      </c>
      <c r="K359" s="629">
        <f t="shared" si="118"/>
        <v>0</v>
      </c>
      <c r="L359" s="629">
        <f t="shared" si="118"/>
        <v>0</v>
      </c>
      <c r="M359" s="629">
        <f t="shared" si="118"/>
        <v>-4.2756450174493692E-2</v>
      </c>
      <c r="N359" s="629">
        <f t="shared" si="118"/>
        <v>-0.21694722169314504</v>
      </c>
      <c r="O359" s="629">
        <f t="shared" si="118"/>
        <v>-0.36266396935180384</v>
      </c>
      <c r="P359" s="804"/>
    </row>
    <row r="360" spans="1:16" s="1568" customFormat="1" ht="15">
      <c r="A360" s="3"/>
      <c r="B360" s="805"/>
      <c r="C360" s="541" t="s">
        <v>44</v>
      </c>
      <c r="D360" s="1435" t="str">
        <f>INDEX(Vectors[Description], MATCH(XII.b.road.Outputs[Vector], Vectors[Code], 0))</f>
        <v>Liquid hydrocarbons</v>
      </c>
      <c r="E360" s="541"/>
      <c r="F360" s="629">
        <f>-F223</f>
        <v>-87.654867521058719</v>
      </c>
      <c r="G360" s="629">
        <f t="shared" ref="G360:O360" si="119">-G223</f>
        <v>-83.577666666666673</v>
      </c>
      <c r="H360" s="629">
        <f t="shared" si="119"/>
        <v>-84.763495689566241</v>
      </c>
      <c r="I360" s="629">
        <f t="shared" si="119"/>
        <v>-69.577581762502803</v>
      </c>
      <c r="J360" s="629">
        <f t="shared" si="119"/>
        <v>-55.270784365786838</v>
      </c>
      <c r="K360" s="629">
        <f t="shared" si="119"/>
        <v>-41.843103499418348</v>
      </c>
      <c r="L360" s="629">
        <f t="shared" si="119"/>
        <v>-38.832630917052917</v>
      </c>
      <c r="M360" s="629">
        <f t="shared" si="119"/>
        <v>-35.754511819193887</v>
      </c>
      <c r="N360" s="629">
        <f t="shared" si="119"/>
        <v>-32.239414367166745</v>
      </c>
      <c r="O360" s="629">
        <f t="shared" si="119"/>
        <v>-28.955705226977329</v>
      </c>
      <c r="P360" s="804"/>
    </row>
    <row r="361" spans="1:16" s="1568" customFormat="1" ht="15">
      <c r="A361" s="3"/>
      <c r="B361" s="805"/>
      <c r="C361" s="541" t="s">
        <v>132</v>
      </c>
      <c r="D361" s="541"/>
      <c r="E361" s="541"/>
      <c r="F361" s="1010">
        <f>SUBTOTAL(109,XII.b.road.Outputs[2007])</f>
        <v>0</v>
      </c>
      <c r="G361" s="1010">
        <f>SUBTOTAL(109,XII.b.road.Outputs[2010])</f>
        <v>0</v>
      </c>
      <c r="H361" s="1010">
        <f>SUBTOTAL(109,XII.b.road.Outputs[2015])</f>
        <v>0</v>
      </c>
      <c r="I361" s="1010">
        <f>SUBTOTAL(109,XII.b.road.Outputs[2020])</f>
        <v>0</v>
      </c>
      <c r="J361" s="1010">
        <f>SUBTOTAL(109,XII.b.road.Outputs[2025])</f>
        <v>0</v>
      </c>
      <c r="K361" s="1010">
        <f>SUBTOTAL(109,XII.b.road.Outputs[2030])</f>
        <v>0</v>
      </c>
      <c r="L361" s="1010">
        <f>SUBTOTAL(109,XII.b.road.Outputs[2035])</f>
        <v>0</v>
      </c>
      <c r="M361" s="1010">
        <f>SUBTOTAL(109,XII.b.road.Outputs[2040])</f>
        <v>0</v>
      </c>
      <c r="N361" s="1010">
        <f>SUBTOTAL(109,XII.b.road.Outputs[2045])</f>
        <v>0</v>
      </c>
      <c r="O361" s="1010">
        <f>SUBTOTAL(109,XII.b.road.Outputs[2050])</f>
        <v>0</v>
      </c>
      <c r="P361" s="804"/>
    </row>
    <row r="362" spans="1:16" s="1568" customFormat="1" ht="15">
      <c r="A362" s="3"/>
      <c r="B362" s="805"/>
      <c r="C362" s="541"/>
      <c r="D362" s="541"/>
      <c r="E362" s="541"/>
      <c r="F362" s="1010"/>
      <c r="G362" s="1010"/>
      <c r="H362" s="1010"/>
      <c r="I362" s="1010"/>
      <c r="J362" s="1010"/>
      <c r="K362" s="1010"/>
      <c r="L362" s="1010"/>
      <c r="M362" s="1010"/>
      <c r="N362" s="1010"/>
      <c r="O362" s="1010"/>
      <c r="P362" s="804"/>
    </row>
    <row r="363" spans="1:16" s="1568" customFormat="1" ht="15">
      <c r="A363" s="3"/>
      <c r="B363" s="805"/>
      <c r="C363" s="812" t="s">
        <v>1317</v>
      </c>
      <c r="D363" s="802"/>
      <c r="E363" s="803"/>
      <c r="F363" s="802"/>
      <c r="G363" s="803"/>
      <c r="H363" s="802"/>
      <c r="I363" s="802"/>
      <c r="J363" s="802"/>
      <c r="K363" s="802"/>
      <c r="L363" s="802"/>
      <c r="M363" s="802"/>
      <c r="N363" s="802"/>
      <c r="O363" s="803" t="str">
        <f>Preferences.EnergyUnits</f>
        <v>TWh</v>
      </c>
      <c r="P363" s="804"/>
    </row>
    <row r="364" spans="1:16" s="1568" customFormat="1" ht="7.5" customHeight="1">
      <c r="A364" s="3"/>
      <c r="B364" s="805"/>
      <c r="C364" s="802"/>
      <c r="D364" s="802"/>
      <c r="E364" s="802"/>
      <c r="F364" s="802"/>
      <c r="G364" s="802"/>
      <c r="H364" s="802"/>
      <c r="I364" s="802"/>
      <c r="J364" s="802"/>
      <c r="K364" s="802"/>
      <c r="L364" s="802"/>
      <c r="M364" s="802"/>
      <c r="N364" s="802"/>
      <c r="O364" s="802"/>
      <c r="P364" s="804"/>
    </row>
    <row r="365" spans="1:16" s="1568" customFormat="1" ht="15">
      <c r="A365" s="3"/>
      <c r="B365" s="805"/>
      <c r="C365" s="813" t="s">
        <v>72</v>
      </c>
      <c r="D365" s="813" t="s">
        <v>399</v>
      </c>
      <c r="E365" s="813" t="s">
        <v>422</v>
      </c>
      <c r="F365" s="813" t="s">
        <v>579</v>
      </c>
      <c r="G365" s="813" t="s">
        <v>580</v>
      </c>
      <c r="H365" s="814" t="s">
        <v>605</v>
      </c>
      <c r="I365" s="814" t="s">
        <v>606</v>
      </c>
      <c r="J365" s="814" t="s">
        <v>607</v>
      </c>
      <c r="K365" s="814" t="s">
        <v>608</v>
      </c>
      <c r="L365" s="814" t="s">
        <v>609</v>
      </c>
      <c r="M365" s="814" t="s">
        <v>610</v>
      </c>
      <c r="N365" s="814" t="s">
        <v>611</v>
      </c>
      <c r="O365" s="814" t="s">
        <v>612</v>
      </c>
      <c r="P365" s="804"/>
    </row>
    <row r="366" spans="1:16" s="1568" customFormat="1" ht="15">
      <c r="A366" s="3"/>
      <c r="B366" s="805"/>
      <c r="C366" s="541" t="s">
        <v>34</v>
      </c>
      <c r="D366" s="541" t="str">
        <f>INDEX(Vectors[Description], MATCH(XII.b.Rail.Outputs[Vector], Vectors[Code], 0))</f>
        <v>Rail transport</v>
      </c>
      <c r="E366" s="541"/>
      <c r="F366" s="629">
        <f>F349</f>
        <v>2.4108529550428361</v>
      </c>
      <c r="G366" s="629">
        <f t="shared" ref="G366:O366" si="120">G349</f>
        <v>2.6149888837642514</v>
      </c>
      <c r="H366" s="629">
        <f t="shared" si="120"/>
        <v>3.0261556296158107</v>
      </c>
      <c r="I366" s="629">
        <f t="shared" si="120"/>
        <v>3.3810514157620606</v>
      </c>
      <c r="J366" s="629">
        <f t="shared" si="120"/>
        <v>3.2920769237250394</v>
      </c>
      <c r="K366" s="629">
        <f t="shared" si="120"/>
        <v>3.1038676803055374</v>
      </c>
      <c r="L366" s="629">
        <f t="shared" si="120"/>
        <v>2.8370292909330552</v>
      </c>
      <c r="M366" s="629">
        <f t="shared" si="120"/>
        <v>2.5121673610370898</v>
      </c>
      <c r="N366" s="629">
        <f t="shared" si="120"/>
        <v>2.1498874960471444</v>
      </c>
      <c r="O366" s="629">
        <f t="shared" si="120"/>
        <v>1.77079530139271</v>
      </c>
      <c r="P366" s="804"/>
    </row>
    <row r="367" spans="1:16" s="1568" customFormat="1" ht="15">
      <c r="A367" s="3"/>
      <c r="B367" s="805"/>
      <c r="C367" s="541" t="s">
        <v>40</v>
      </c>
      <c r="D367" s="541" t="str">
        <f>INDEX(Vectors[Description], MATCH(XII.b.Rail.Outputs[Vector], Vectors[Code], 0))</f>
        <v>Electricity (delivered to end user)</v>
      </c>
      <c r="E367" s="541"/>
      <c r="F367" s="629">
        <f>-F$218</f>
        <v>-0.10120000000000001</v>
      </c>
      <c r="G367" s="629">
        <f t="shared" ref="G367:O367" si="121">-G$218</f>
        <v>-0.10980070711868301</v>
      </c>
      <c r="H367" s="629">
        <f t="shared" si="121"/>
        <v>-0.12866600200307601</v>
      </c>
      <c r="I367" s="629">
        <f t="shared" si="121"/>
        <v>-0.145740427687365</v>
      </c>
      <c r="J367" s="629">
        <f t="shared" si="121"/>
        <v>-0.35986670869882903</v>
      </c>
      <c r="K367" s="629">
        <f t="shared" si="121"/>
        <v>-0.60552538865020211</v>
      </c>
      <c r="L367" s="629">
        <f t="shared" si="121"/>
        <v>-0.87608202771838106</v>
      </c>
      <c r="M367" s="629">
        <f t="shared" si="121"/>
        <v>-1.1649021860802602</v>
      </c>
      <c r="N367" s="629">
        <f t="shared" si="121"/>
        <v>-1.4653514239127401</v>
      </c>
      <c r="O367" s="629">
        <f t="shared" si="121"/>
        <v>-1.77079530139271</v>
      </c>
      <c r="P367" s="804"/>
    </row>
    <row r="368" spans="1:16" s="1568" customFormat="1" ht="15">
      <c r="A368" s="3"/>
      <c r="B368" s="805"/>
      <c r="C368" s="541" t="s">
        <v>44</v>
      </c>
      <c r="D368" s="541" t="str">
        <f>INDEX(Vectors[Description], MATCH(XII.b.Rail.Outputs[Vector], Vectors[Code], 0))</f>
        <v>Liquid hydrocarbons</v>
      </c>
      <c r="E368" s="541"/>
      <c r="F368" s="629">
        <f>-F216</f>
        <v>-2.3096529550428362</v>
      </c>
      <c r="G368" s="629">
        <f t="shared" ref="G368:O368" si="122">-G216</f>
        <v>-2.5051881766455684</v>
      </c>
      <c r="H368" s="629">
        <f t="shared" si="122"/>
        <v>-2.8974896276127349</v>
      </c>
      <c r="I368" s="629">
        <f t="shared" si="122"/>
        <v>-3.2353109880746955</v>
      </c>
      <c r="J368" s="629">
        <f t="shared" si="122"/>
        <v>-2.9322102150262102</v>
      </c>
      <c r="K368" s="629">
        <f t="shared" si="122"/>
        <v>-2.4983422916553351</v>
      </c>
      <c r="L368" s="629">
        <f t="shared" si="122"/>
        <v>-1.9609472632146741</v>
      </c>
      <c r="M368" s="629">
        <f t="shared" si="122"/>
        <v>-1.3472651749568294</v>
      </c>
      <c r="N368" s="629">
        <f t="shared" si="122"/>
        <v>-0.68453607213440415</v>
      </c>
      <c r="O368" s="629">
        <f t="shared" si="122"/>
        <v>0</v>
      </c>
      <c r="P368" s="804"/>
    </row>
    <row r="369" spans="1:16" s="1568" customFormat="1" ht="15">
      <c r="A369" s="3"/>
      <c r="B369" s="805"/>
      <c r="C369" s="541" t="s">
        <v>132</v>
      </c>
      <c r="D369" s="541"/>
      <c r="E369" s="541"/>
      <c r="F369" s="1010">
        <f>SUBTOTAL(109,XII.b.Rail.Outputs[2007])</f>
        <v>0</v>
      </c>
      <c r="G369" s="1010">
        <f>SUBTOTAL(109,XII.b.Rail.Outputs[2010])</f>
        <v>0</v>
      </c>
      <c r="H369" s="1010">
        <f>SUBTOTAL(109,XII.b.Rail.Outputs[2015])</f>
        <v>0</v>
      </c>
      <c r="I369" s="1010">
        <f>SUBTOTAL(109,XII.b.Rail.Outputs[2020])</f>
        <v>0</v>
      </c>
      <c r="J369" s="1010">
        <f>SUBTOTAL(109,XII.b.Rail.Outputs[2025])</f>
        <v>0</v>
      </c>
      <c r="K369" s="1010">
        <f>SUBTOTAL(109,XII.b.Rail.Outputs[2030])</f>
        <v>0</v>
      </c>
      <c r="L369" s="1010">
        <f>SUBTOTAL(109,XII.b.Rail.Outputs[2035])</f>
        <v>0</v>
      </c>
      <c r="M369" s="1010">
        <f>SUBTOTAL(109,XII.b.Rail.Outputs[2040])</f>
        <v>0</v>
      </c>
      <c r="N369" s="1010">
        <f>SUBTOTAL(109,XII.b.Rail.Outputs[2045])</f>
        <v>0</v>
      </c>
      <c r="O369" s="1010">
        <f>SUBTOTAL(109,XII.b.Rail.Outputs[2050])</f>
        <v>0</v>
      </c>
      <c r="P369" s="804"/>
    </row>
    <row r="370" spans="1:16" s="1568" customFormat="1" ht="15">
      <c r="A370" s="3"/>
      <c r="B370" s="805"/>
      <c r="C370" s="541"/>
      <c r="D370" s="541"/>
      <c r="E370" s="541"/>
      <c r="F370" s="1010"/>
      <c r="G370" s="1010"/>
      <c r="H370" s="1010"/>
      <c r="I370" s="1010"/>
      <c r="J370" s="1010"/>
      <c r="K370" s="1010"/>
      <c r="L370" s="1010"/>
      <c r="M370" s="1010"/>
      <c r="N370" s="1010"/>
      <c r="O370" s="1010"/>
      <c r="P370" s="804"/>
    </row>
    <row r="371" spans="1:16" s="1568" customFormat="1" ht="15">
      <c r="A371" s="3"/>
      <c r="B371" s="805"/>
      <c r="C371" s="812" t="s">
        <v>1318</v>
      </c>
      <c r="D371" s="802"/>
      <c r="E371" s="803"/>
      <c r="F371" s="802"/>
      <c r="G371" s="803"/>
      <c r="H371" s="802"/>
      <c r="I371" s="802"/>
      <c r="J371" s="802"/>
      <c r="K371" s="802"/>
      <c r="L371" s="802"/>
      <c r="M371" s="802"/>
      <c r="N371" s="802"/>
      <c r="O371" s="803" t="str">
        <f>Preferences.EnergyUnits</f>
        <v>TWh</v>
      </c>
      <c r="P371" s="804"/>
    </row>
    <row r="372" spans="1:16" s="1568" customFormat="1" ht="7.5" customHeight="1">
      <c r="A372" s="3"/>
      <c r="B372" s="805"/>
      <c r="C372" s="802"/>
      <c r="D372" s="802"/>
      <c r="E372" s="802"/>
      <c r="F372" s="802"/>
      <c r="G372" s="802"/>
      <c r="H372" s="802"/>
      <c r="I372" s="802"/>
      <c r="J372" s="802"/>
      <c r="K372" s="802"/>
      <c r="L372" s="802"/>
      <c r="M372" s="802"/>
      <c r="N372" s="802"/>
      <c r="O372" s="802"/>
      <c r="P372" s="804"/>
    </row>
    <row r="373" spans="1:16" s="1568" customFormat="1" ht="15">
      <c r="A373" s="3"/>
      <c r="B373" s="805"/>
      <c r="C373" s="813" t="s">
        <v>72</v>
      </c>
      <c r="D373" s="813" t="s">
        <v>399</v>
      </c>
      <c r="E373" s="813" t="s">
        <v>422</v>
      </c>
      <c r="F373" s="813" t="s">
        <v>579</v>
      </c>
      <c r="G373" s="813" t="s">
        <v>580</v>
      </c>
      <c r="H373" s="814" t="s">
        <v>605</v>
      </c>
      <c r="I373" s="814" t="s">
        <v>606</v>
      </c>
      <c r="J373" s="814" t="s">
        <v>607</v>
      </c>
      <c r="K373" s="814" t="s">
        <v>608</v>
      </c>
      <c r="L373" s="814" t="s">
        <v>609</v>
      </c>
      <c r="M373" s="814" t="s">
        <v>610</v>
      </c>
      <c r="N373" s="814" t="s">
        <v>611</v>
      </c>
      <c r="O373" s="814" t="s">
        <v>612</v>
      </c>
      <c r="P373" s="804"/>
    </row>
    <row r="374" spans="1:16" s="1568" customFormat="1" ht="15">
      <c r="A374" s="3"/>
      <c r="B374" s="805"/>
      <c r="C374" s="541" t="s">
        <v>36</v>
      </c>
      <c r="D374" s="541" t="str">
        <f>INDEX(Vectors[Description], MATCH(XII.b.nationalnavigation.Outputs[Vector], Vectors[Code], 0))</f>
        <v>National navigation</v>
      </c>
      <c r="E374" s="541"/>
      <c r="F374" s="629">
        <f>F$231</f>
        <v>18.817339999999998</v>
      </c>
      <c r="G374" s="629">
        <f t="shared" ref="G374:O374" si="123">G$231</f>
        <v>27.144937170003814</v>
      </c>
      <c r="H374" s="629">
        <f t="shared" si="123"/>
        <v>27.32305556984198</v>
      </c>
      <c r="I374" s="629">
        <f t="shared" si="123"/>
        <v>27.858606532706467</v>
      </c>
      <c r="J374" s="629">
        <f t="shared" si="123"/>
        <v>28.582641909901167</v>
      </c>
      <c r="K374" s="629">
        <f t="shared" si="123"/>
        <v>29.635401755478146</v>
      </c>
      <c r="L374" s="629">
        <f t="shared" si="123"/>
        <v>30.699187307229483</v>
      </c>
      <c r="M374" s="629">
        <f t="shared" si="123"/>
        <v>31.774954722510824</v>
      </c>
      <c r="N374" s="629">
        <f t="shared" si="123"/>
        <v>32.863712345161993</v>
      </c>
      <c r="O374" s="629">
        <f t="shared" si="123"/>
        <v>33.966525009255932</v>
      </c>
      <c r="P374" s="804"/>
    </row>
    <row r="375" spans="1:16" s="1568" customFormat="1" ht="15">
      <c r="A375" s="3"/>
      <c r="B375" s="805"/>
      <c r="C375" s="541" t="s">
        <v>44</v>
      </c>
      <c r="D375" s="541" t="str">
        <f>INDEX(Vectors[Description], MATCH(XII.b.nationalnavigation.Outputs[Vector], Vectors[Code], 0))</f>
        <v>Liquid hydrocarbons</v>
      </c>
      <c r="E375" s="541"/>
      <c r="F375" s="629">
        <f>-F231</f>
        <v>-18.817339999999998</v>
      </c>
      <c r="G375" s="629">
        <f t="shared" ref="G375:O375" si="124">-G231</f>
        <v>-27.144937170003814</v>
      </c>
      <c r="H375" s="629">
        <f t="shared" si="124"/>
        <v>-27.32305556984198</v>
      </c>
      <c r="I375" s="629">
        <f t="shared" si="124"/>
        <v>-27.858606532706467</v>
      </c>
      <c r="J375" s="629">
        <f t="shared" si="124"/>
        <v>-28.582641909901167</v>
      </c>
      <c r="K375" s="629">
        <f t="shared" si="124"/>
        <v>-29.635401755478146</v>
      </c>
      <c r="L375" s="629">
        <f t="shared" si="124"/>
        <v>-30.699187307229483</v>
      </c>
      <c r="M375" s="629">
        <f t="shared" si="124"/>
        <v>-31.774954722510824</v>
      </c>
      <c r="N375" s="629">
        <f t="shared" si="124"/>
        <v>-32.863712345161993</v>
      </c>
      <c r="O375" s="629">
        <f t="shared" si="124"/>
        <v>-33.966525009255932</v>
      </c>
      <c r="P375" s="804"/>
    </row>
    <row r="376" spans="1:16" s="1568" customFormat="1" ht="15">
      <c r="A376" s="3"/>
      <c r="B376" s="805"/>
      <c r="C376" s="541" t="s">
        <v>132</v>
      </c>
      <c r="D376" s="541"/>
      <c r="E376" s="541"/>
      <c r="F376" s="1010">
        <f>SUBTOTAL(109,XII.b.nationalnavigation.Outputs[2007])</f>
        <v>0</v>
      </c>
      <c r="G376" s="1010">
        <f>SUBTOTAL(109,XII.b.nationalnavigation.Outputs[2010])</f>
        <v>0</v>
      </c>
      <c r="H376" s="1010">
        <f>SUBTOTAL(109,XII.b.nationalnavigation.Outputs[2015])</f>
        <v>0</v>
      </c>
      <c r="I376" s="1010">
        <f>SUBTOTAL(109,XII.b.nationalnavigation.Outputs[2020])</f>
        <v>0</v>
      </c>
      <c r="J376" s="1010">
        <f>SUBTOTAL(109,XII.b.nationalnavigation.Outputs[2025])</f>
        <v>0</v>
      </c>
      <c r="K376" s="1010">
        <f>SUBTOTAL(109,XII.b.nationalnavigation.Outputs[2030])</f>
        <v>0</v>
      </c>
      <c r="L376" s="1010">
        <f>SUBTOTAL(109,XII.b.nationalnavigation.Outputs[2035])</f>
        <v>0</v>
      </c>
      <c r="M376" s="1010">
        <f>SUBTOTAL(109,XII.b.nationalnavigation.Outputs[2040])</f>
        <v>0</v>
      </c>
      <c r="N376" s="1010">
        <f>SUBTOTAL(109,XII.b.nationalnavigation.Outputs[2045])</f>
        <v>0</v>
      </c>
      <c r="O376" s="1010">
        <f>SUBTOTAL(109,XII.b.nationalnavigation.Outputs[2050])</f>
        <v>0</v>
      </c>
      <c r="P376" s="804"/>
    </row>
    <row r="377" spans="1:16" s="1568" customFormat="1" ht="15">
      <c r="A377" s="3"/>
      <c r="B377" s="805"/>
      <c r="C377" s="541"/>
      <c r="D377" s="541"/>
      <c r="E377" s="541"/>
      <c r="F377" s="1010"/>
      <c r="G377" s="1010"/>
      <c r="H377" s="1010"/>
      <c r="I377" s="1010"/>
      <c r="J377" s="1010"/>
      <c r="K377" s="1010"/>
      <c r="L377" s="1010"/>
      <c r="M377" s="1010"/>
      <c r="N377" s="1010"/>
      <c r="O377" s="1010"/>
      <c r="P377" s="804"/>
    </row>
    <row r="378" spans="1:16" ht="15">
      <c r="A378" s="3"/>
      <c r="B378" s="806"/>
      <c r="C378" s="807"/>
      <c r="D378" s="807"/>
      <c r="E378" s="807"/>
      <c r="F378" s="807"/>
      <c r="G378" s="807"/>
      <c r="H378" s="807"/>
      <c r="I378" s="807"/>
      <c r="J378" s="807"/>
      <c r="K378" s="807"/>
      <c r="L378" s="807"/>
      <c r="M378" s="807"/>
      <c r="N378" s="807"/>
      <c r="O378" s="807"/>
      <c r="P378" s="809"/>
    </row>
    <row r="380" spans="1:16" ht="22">
      <c r="A380" s="799"/>
      <c r="B380" s="846" t="s">
        <v>670</v>
      </c>
      <c r="C380" s="822"/>
      <c r="D380" s="823"/>
      <c r="E380" s="823"/>
      <c r="F380" s="823"/>
      <c r="G380" s="823"/>
      <c r="H380" s="823"/>
      <c r="I380" s="823"/>
      <c r="J380" s="823"/>
      <c r="K380" s="823"/>
      <c r="L380" s="823"/>
      <c r="M380" s="823"/>
      <c r="N380" s="823"/>
      <c r="O380" s="823"/>
      <c r="P380" s="824"/>
    </row>
    <row r="381" spans="1:16">
      <c r="B381" s="829"/>
      <c r="C381" s="830"/>
      <c r="D381" s="830"/>
      <c r="E381" s="830"/>
      <c r="F381" s="830"/>
      <c r="G381" s="830"/>
      <c r="H381" s="830"/>
      <c r="I381" s="830"/>
      <c r="J381" s="830"/>
      <c r="K381" s="830"/>
      <c r="L381" s="830"/>
      <c r="M381" s="830"/>
      <c r="N381" s="830"/>
      <c r="O381" s="830"/>
      <c r="P381" s="831"/>
    </row>
    <row r="382" spans="1:16" ht="17">
      <c r="B382" s="832"/>
      <c r="C382" s="825" t="s">
        <v>1319</v>
      </c>
      <c r="D382" s="826"/>
      <c r="E382" s="827"/>
      <c r="F382" s="826"/>
      <c r="G382" s="827"/>
      <c r="H382" s="826"/>
      <c r="I382" s="826"/>
      <c r="J382" s="826"/>
      <c r="K382" s="826"/>
      <c r="L382" s="826"/>
      <c r="M382" s="826"/>
      <c r="N382" s="826"/>
      <c r="O382" s="827" t="s">
        <v>788</v>
      </c>
      <c r="P382" s="833"/>
    </row>
    <row r="383" spans="1:16" ht="5.25" customHeight="1">
      <c r="B383" s="832"/>
      <c r="C383" s="826"/>
      <c r="D383" s="826"/>
      <c r="E383" s="826"/>
      <c r="F383" s="826"/>
      <c r="G383" s="826"/>
      <c r="H383" s="826"/>
      <c r="I383" s="826"/>
      <c r="J383" s="826"/>
      <c r="K383" s="826"/>
      <c r="L383" s="826"/>
      <c r="M383" s="826"/>
      <c r="N383" s="826"/>
      <c r="O383" s="826"/>
      <c r="P383" s="833"/>
    </row>
    <row r="384" spans="1:16" ht="15">
      <c r="B384" s="834"/>
      <c r="C384" s="856" t="s">
        <v>786</v>
      </c>
      <c r="D384" s="856" t="s">
        <v>757</v>
      </c>
      <c r="E384" s="856" t="s">
        <v>422</v>
      </c>
      <c r="F384" s="856" t="s">
        <v>579</v>
      </c>
      <c r="G384" s="856" t="s">
        <v>580</v>
      </c>
      <c r="H384" s="856" t="s">
        <v>605</v>
      </c>
      <c r="I384" s="856" t="s">
        <v>606</v>
      </c>
      <c r="J384" s="856" t="s">
        <v>607</v>
      </c>
      <c r="K384" s="856" t="s">
        <v>608</v>
      </c>
      <c r="L384" s="856" t="s">
        <v>609</v>
      </c>
      <c r="M384" s="856" t="s">
        <v>610</v>
      </c>
      <c r="N384" s="856" t="s">
        <v>611</v>
      </c>
      <c r="O384" s="856" t="s">
        <v>612</v>
      </c>
      <c r="P384" s="833"/>
    </row>
    <row r="385" spans="2:16" ht="15">
      <c r="B385" s="834"/>
      <c r="C385" s="828" t="s">
        <v>769</v>
      </c>
      <c r="D385" s="835" t="s">
        <v>779</v>
      </c>
      <c r="E385" s="828" t="str">
        <f>INDEX(IPCC[Sector_description], MATCH(XII.b.Emissions[IPCC Sector], IPCC[Sector_code], 0))</f>
        <v>Fuel Combustion</v>
      </c>
      <c r="F385" s="836">
        <f t="shared" ref="F385:N385" si="125">F236</f>
        <v>27.195465119025389</v>
      </c>
      <c r="G385" s="836">
        <f t="shared" si="125"/>
        <v>28.306948003329016</v>
      </c>
      <c r="H385" s="836">
        <f t="shared" si="125"/>
        <v>28.746010221755238</v>
      </c>
      <c r="I385" s="836">
        <f t="shared" si="125"/>
        <v>25.167874820820991</v>
      </c>
      <c r="J385" s="836">
        <f t="shared" si="125"/>
        <v>21.696409122678553</v>
      </c>
      <c r="K385" s="836">
        <f t="shared" si="125"/>
        <v>18.494211886637956</v>
      </c>
      <c r="L385" s="836">
        <f t="shared" si="125"/>
        <v>17.873191371874267</v>
      </c>
      <c r="M385" s="836">
        <f t="shared" si="125"/>
        <v>17.219182929165385</v>
      </c>
      <c r="N385" s="836">
        <f t="shared" si="125"/>
        <v>16.446915696115788</v>
      </c>
      <c r="O385" s="836">
        <f>O236</f>
        <v>15.730557559058315</v>
      </c>
      <c r="P385" s="833"/>
    </row>
    <row r="386" spans="2:16" ht="15">
      <c r="B386" s="834"/>
      <c r="C386" s="828" t="s">
        <v>770</v>
      </c>
      <c r="D386" s="835" t="s">
        <v>779</v>
      </c>
      <c r="E386" s="828" t="str">
        <f>INDEX(IPCC[Sector_description], MATCH(XII.b.Emissions[IPCC Sector], IPCC[Sector_code], 0))</f>
        <v>Fuel Combustion</v>
      </c>
      <c r="F386" s="836">
        <f t="shared" ref="F386:O386" si="126">F237</f>
        <v>3.3858246712257449E-2</v>
      </c>
      <c r="G386" s="836">
        <f t="shared" si="126"/>
        <v>3.5242038515357614E-2</v>
      </c>
      <c r="H386" s="836">
        <f t="shared" si="126"/>
        <v>3.5788669243989872E-2</v>
      </c>
      <c r="I386" s="836">
        <f t="shared" si="126"/>
        <v>3.1333904795414938E-2</v>
      </c>
      <c r="J386" s="836">
        <f t="shared" si="126"/>
        <v>2.7011943705710365E-2</v>
      </c>
      <c r="K386" s="836">
        <f t="shared" si="126"/>
        <v>2.3025220788317698E-2</v>
      </c>
      <c r="L386" s="836">
        <f t="shared" si="126"/>
        <v>2.2252052699071365E-2</v>
      </c>
      <c r="M386" s="836">
        <f t="shared" si="126"/>
        <v>2.14378147697614E-2</v>
      </c>
      <c r="N386" s="836">
        <f t="shared" si="126"/>
        <v>2.0476345113333523E-2</v>
      </c>
      <c r="O386" s="836">
        <f t="shared" si="126"/>
        <v>1.9584482060700643E-2</v>
      </c>
      <c r="P386" s="833"/>
    </row>
    <row r="387" spans="2:16" ht="15">
      <c r="B387" s="834"/>
      <c r="C387" s="828" t="s">
        <v>771</v>
      </c>
      <c r="D387" s="835" t="s">
        <v>779</v>
      </c>
      <c r="E387" s="828" t="str">
        <f>INDEX(IPCC[Sector_description], MATCH(XII.b.Emissions[IPCC Sector], IPCC[Sector_code], 0))</f>
        <v>Fuel Combustion</v>
      </c>
      <c r="F387" s="836">
        <f t="shared" ref="F387:O387" si="127">F238</f>
        <v>0.48930214346407658</v>
      </c>
      <c r="G387" s="836">
        <f t="shared" si="127"/>
        <v>0.50929999808186477</v>
      </c>
      <c r="H387" s="836">
        <f t="shared" si="127"/>
        <v>0.51719962706963118</v>
      </c>
      <c r="I387" s="836">
        <f t="shared" si="127"/>
        <v>0.45282163928309377</v>
      </c>
      <c r="J387" s="836">
        <f t="shared" si="127"/>
        <v>0.39036285802566972</v>
      </c>
      <c r="K387" s="836">
        <f t="shared" si="127"/>
        <v>0.33274876815694099</v>
      </c>
      <c r="L387" s="836">
        <f t="shared" si="127"/>
        <v>0.32157533656902315</v>
      </c>
      <c r="M387" s="836">
        <f t="shared" si="127"/>
        <v>0.30980838456211712</v>
      </c>
      <c r="N387" s="836">
        <f t="shared" si="127"/>
        <v>0.29591371459400218</v>
      </c>
      <c r="O387" s="836">
        <f t="shared" si="127"/>
        <v>0.28302496382559039</v>
      </c>
      <c r="P387" s="833"/>
    </row>
    <row r="388" spans="2:16" ht="15">
      <c r="B388" s="834"/>
      <c r="C388" s="828" t="s">
        <v>132</v>
      </c>
      <c r="D388" s="828"/>
      <c r="E388" s="828"/>
      <c r="F388" s="858">
        <f>SUBTOTAL(109,XII.b.Emissions[2007])</f>
        <v>27.718625509201722</v>
      </c>
      <c r="G388" s="858">
        <f>SUBTOTAL(109,XII.b.Emissions[2010])</f>
        <v>28.851490039926237</v>
      </c>
      <c r="H388" s="858">
        <f>SUBTOTAL(109,XII.b.Emissions[2015])</f>
        <v>29.298998518068856</v>
      </c>
      <c r="I388" s="858">
        <f>SUBTOTAL(109,XII.b.Emissions[2020])</f>
        <v>25.652030364899499</v>
      </c>
      <c r="J388" s="858">
        <f>SUBTOTAL(109,XII.b.Emissions[2025])</f>
        <v>22.11378392440993</v>
      </c>
      <c r="K388" s="858">
        <f>SUBTOTAL(109,XII.b.Emissions[2030])</f>
        <v>18.849985875583211</v>
      </c>
      <c r="L388" s="858">
        <f>SUBTOTAL(109,XII.b.Emissions[2035])</f>
        <v>18.217018761142359</v>
      </c>
      <c r="M388" s="858">
        <f>SUBTOTAL(109,XII.b.Emissions[2040])</f>
        <v>17.550429128497264</v>
      </c>
      <c r="N388" s="858">
        <f>SUBTOTAL(109,XII.b.Emissions[2045])</f>
        <v>16.763305755823122</v>
      </c>
      <c r="O388" s="858">
        <f>SUBTOTAL(109,XII.b.Emissions[2050])</f>
        <v>16.033167004944605</v>
      </c>
      <c r="P388" s="833"/>
    </row>
    <row r="389" spans="2:16" s="1568" customFormat="1" ht="15">
      <c r="B389" s="834"/>
      <c r="C389" s="828"/>
      <c r="D389" s="828"/>
      <c r="E389" s="828"/>
      <c r="F389" s="858"/>
      <c r="G389" s="858"/>
      <c r="H389" s="858"/>
      <c r="I389" s="858"/>
      <c r="J389" s="858"/>
      <c r="K389" s="858"/>
      <c r="L389" s="858"/>
      <c r="M389" s="858"/>
      <c r="N389" s="858"/>
      <c r="O389" s="858"/>
      <c r="P389" s="833"/>
    </row>
    <row r="390" spans="2:16" s="1568" customFormat="1" ht="17">
      <c r="B390" s="834"/>
      <c r="C390" s="825" t="s">
        <v>1313</v>
      </c>
      <c r="D390" s="826"/>
      <c r="E390" s="827"/>
      <c r="F390" s="826"/>
      <c r="G390" s="827"/>
      <c r="H390" s="826"/>
      <c r="I390" s="826"/>
      <c r="J390" s="826"/>
      <c r="K390" s="826"/>
      <c r="L390" s="826"/>
      <c r="M390" s="826"/>
      <c r="N390" s="826"/>
      <c r="O390" s="827" t="s">
        <v>788</v>
      </c>
      <c r="P390" s="833"/>
    </row>
    <row r="391" spans="2:16" s="1568" customFormat="1" ht="15">
      <c r="B391" s="834"/>
      <c r="C391" s="826"/>
      <c r="D391" s="826"/>
      <c r="E391" s="826"/>
      <c r="F391" s="826"/>
      <c r="G391" s="826"/>
      <c r="H391" s="826"/>
      <c r="I391" s="826"/>
      <c r="J391" s="826"/>
      <c r="K391" s="826"/>
      <c r="L391" s="826"/>
      <c r="M391" s="826"/>
      <c r="N391" s="826"/>
      <c r="O391" s="826"/>
      <c r="P391" s="833"/>
    </row>
    <row r="392" spans="2:16" s="1568" customFormat="1" ht="15">
      <c r="B392" s="834"/>
      <c r="C392" s="856" t="s">
        <v>786</v>
      </c>
      <c r="D392" s="856" t="s">
        <v>757</v>
      </c>
      <c r="E392" s="856" t="s">
        <v>422</v>
      </c>
      <c r="F392" s="856" t="s">
        <v>579</v>
      </c>
      <c r="G392" s="856" t="s">
        <v>580</v>
      </c>
      <c r="H392" s="856" t="s">
        <v>605</v>
      </c>
      <c r="I392" s="856" t="s">
        <v>606</v>
      </c>
      <c r="J392" s="856" t="s">
        <v>607</v>
      </c>
      <c r="K392" s="856" t="s">
        <v>608</v>
      </c>
      <c r="L392" s="856" t="s">
        <v>609</v>
      </c>
      <c r="M392" s="856" t="s">
        <v>610</v>
      </c>
      <c r="N392" s="856" t="s">
        <v>611</v>
      </c>
      <c r="O392" s="856" t="s">
        <v>612</v>
      </c>
      <c r="P392" s="833"/>
    </row>
    <row r="393" spans="2:16" s="1568" customFormat="1" ht="15">
      <c r="B393" s="834"/>
      <c r="C393" s="828" t="s">
        <v>769</v>
      </c>
      <c r="D393" s="835" t="s">
        <v>779</v>
      </c>
      <c r="E393" s="828" t="str">
        <f>INDEX(IPCC[Sector_description], MATCH(XII.b.Road.Emissions[IPCC Sector], IPCC[Sector_code], 0))</f>
        <v>Fuel Combustion</v>
      </c>
      <c r="F393" s="836">
        <f>(F236*(F$223/(F$216+F$223+F$231)))</f>
        <v>21.91371688026468</v>
      </c>
      <c r="G393" s="836">
        <f t="shared" ref="G393:O393" si="128">(G236*(G$223/(G$216+G$223+G$231)))</f>
        <v>20.894416666666668</v>
      </c>
      <c r="H393" s="836">
        <f t="shared" si="128"/>
        <v>21.19087392239156</v>
      </c>
      <c r="I393" s="836">
        <f t="shared" si="128"/>
        <v>17.394395440625701</v>
      </c>
      <c r="J393" s="836">
        <f t="shared" si="128"/>
        <v>13.817696091446708</v>
      </c>
      <c r="K393" s="836">
        <f t="shared" si="128"/>
        <v>10.460775874854587</v>
      </c>
      <c r="L393" s="836">
        <f t="shared" si="128"/>
        <v>9.7081577292632293</v>
      </c>
      <c r="M393" s="836">
        <f t="shared" si="128"/>
        <v>8.9386279547984717</v>
      </c>
      <c r="N393" s="836">
        <f t="shared" si="128"/>
        <v>8.0598535917916863</v>
      </c>
      <c r="O393" s="836">
        <f t="shared" si="128"/>
        <v>7.2389263067443324</v>
      </c>
      <c r="P393" s="833"/>
    </row>
    <row r="394" spans="2:16" s="1568" customFormat="1" ht="15">
      <c r="B394" s="834"/>
      <c r="C394" s="828" t="s">
        <v>770</v>
      </c>
      <c r="D394" s="835" t="s">
        <v>779</v>
      </c>
      <c r="E394" s="828" t="str">
        <f>INDEX(IPCC[Sector_description], MATCH(XII.b.Road.Emissions[IPCC Sector], IPCC[Sector_code], 0))</f>
        <v>Fuel Combustion</v>
      </c>
      <c r="F394" s="836">
        <f>(F237*(F$223/(F$216+F$223+F$231)))</f>
        <v>2.7282491006028139E-2</v>
      </c>
      <c r="G394" s="836">
        <f t="shared" ref="G394:O394" si="129">(G237*(G$223/(G$216+G$223+G$231)))</f>
        <v>2.6013466264042225E-2</v>
      </c>
      <c r="H394" s="836">
        <f t="shared" si="129"/>
        <v>2.6382554377080234E-2</v>
      </c>
      <c r="I394" s="836">
        <f t="shared" si="129"/>
        <v>2.1655953654834095E-2</v>
      </c>
      <c r="J394" s="836">
        <f t="shared" si="129"/>
        <v>1.7202977085025283E-2</v>
      </c>
      <c r="K394" s="836">
        <f t="shared" si="129"/>
        <v>1.3023624667653794E-2</v>
      </c>
      <c r="L394" s="836">
        <f t="shared" si="129"/>
        <v>1.2086618047541716E-2</v>
      </c>
      <c r="M394" s="836">
        <f t="shared" si="129"/>
        <v>1.1128556516245157E-2</v>
      </c>
      <c r="N394" s="836">
        <f t="shared" si="129"/>
        <v>1.0034485903484226E-2</v>
      </c>
      <c r="O394" s="836">
        <f t="shared" si="129"/>
        <v>9.0124346744169196E-3</v>
      </c>
      <c r="P394" s="833"/>
    </row>
    <row r="395" spans="2:16" s="1568" customFormat="1" ht="15">
      <c r="B395" s="834"/>
      <c r="C395" s="828" t="s">
        <v>771</v>
      </c>
      <c r="D395" s="835" t="s">
        <v>779</v>
      </c>
      <c r="E395" s="828" t="str">
        <f>INDEX(IPCC[Sector_description], MATCH(XII.b.Road.Emissions[IPCC Sector], IPCC[Sector_code], 0))</f>
        <v>Fuel Combustion</v>
      </c>
      <c r="F395" s="836">
        <f>(F238*(F$223/(F$216+F$223+F$231)))</f>
        <v>0.39427266986793447</v>
      </c>
      <c r="G395" s="836">
        <f t="shared" ref="G395:O395" si="130">(G238*(G$223/(G$216+G$223+G$231)))</f>
        <v>0.37593337038678737</v>
      </c>
      <c r="H395" s="836">
        <f t="shared" si="130"/>
        <v>0.38126724388506367</v>
      </c>
      <c r="I395" s="836">
        <f t="shared" si="130"/>
        <v>0.31296081666960401</v>
      </c>
      <c r="J395" s="836">
        <f t="shared" si="130"/>
        <v>0.24860866639674387</v>
      </c>
      <c r="K395" s="836">
        <f t="shared" si="130"/>
        <v>0.18821079306648322</v>
      </c>
      <c r="L395" s="836">
        <f t="shared" si="130"/>
        <v>0.17466965044450308</v>
      </c>
      <c r="M395" s="836">
        <f t="shared" si="130"/>
        <v>0.16082423296563014</v>
      </c>
      <c r="N395" s="836">
        <f t="shared" si="130"/>
        <v>0.14501328148682313</v>
      </c>
      <c r="O395" s="836">
        <f t="shared" si="130"/>
        <v>0.13024311747441183</v>
      </c>
      <c r="P395" s="833"/>
    </row>
    <row r="396" spans="2:16" s="1568" customFormat="1" ht="15">
      <c r="B396" s="834"/>
      <c r="C396" s="828" t="s">
        <v>132</v>
      </c>
      <c r="D396" s="828"/>
      <c r="E396" s="828"/>
      <c r="F396" s="858">
        <f>SUBTOTAL(109,XII.b.Road.Emissions[2007])</f>
        <v>22.335272041138641</v>
      </c>
      <c r="G396" s="858">
        <f>SUBTOTAL(109,XII.b.Road.Emissions[2010])</f>
        <v>21.296363503317497</v>
      </c>
      <c r="H396" s="858">
        <f>SUBTOTAL(109,XII.b.Road.Emissions[2015])</f>
        <v>21.598523720653702</v>
      </c>
      <c r="I396" s="858">
        <f>SUBTOTAL(109,XII.b.Road.Emissions[2020])</f>
        <v>17.729012210950138</v>
      </c>
      <c r="J396" s="858">
        <f>SUBTOTAL(109,XII.b.Road.Emissions[2025])</f>
        <v>14.083507734928476</v>
      </c>
      <c r="K396" s="858">
        <f>SUBTOTAL(109,XII.b.Road.Emissions[2030])</f>
        <v>10.662010292588723</v>
      </c>
      <c r="L396" s="858">
        <f>SUBTOTAL(109,XII.b.Road.Emissions[2035])</f>
        <v>9.8949139977552747</v>
      </c>
      <c r="M396" s="858">
        <f>SUBTOTAL(109,XII.b.Road.Emissions[2040])</f>
        <v>9.1105807442803481</v>
      </c>
      <c r="N396" s="858">
        <f>SUBTOTAL(109,XII.b.Road.Emissions[2045])</f>
        <v>8.2149013591819937</v>
      </c>
      <c r="O396" s="858">
        <f>SUBTOTAL(109,XII.b.Road.Emissions[2050])</f>
        <v>7.3781818588931607</v>
      </c>
      <c r="P396" s="833"/>
    </row>
    <row r="397" spans="2:16" s="1568" customFormat="1" ht="15">
      <c r="B397" s="834"/>
      <c r="C397" s="828"/>
      <c r="D397" s="828"/>
      <c r="E397" s="828"/>
      <c r="F397" s="858"/>
      <c r="G397" s="858"/>
      <c r="H397" s="858"/>
      <c r="I397" s="858"/>
      <c r="J397" s="858"/>
      <c r="K397" s="858"/>
      <c r="L397" s="858"/>
      <c r="M397" s="858"/>
      <c r="N397" s="858"/>
      <c r="O397" s="858"/>
      <c r="P397" s="833"/>
    </row>
    <row r="398" spans="2:16" s="1568" customFormat="1" ht="17">
      <c r="B398" s="834"/>
      <c r="C398" s="825" t="s">
        <v>1312</v>
      </c>
      <c r="D398" s="826"/>
      <c r="E398" s="827"/>
      <c r="F398" s="826"/>
      <c r="G398" s="827"/>
      <c r="H398" s="826"/>
      <c r="I398" s="826"/>
      <c r="J398" s="826"/>
      <c r="K398" s="826"/>
      <c r="L398" s="826"/>
      <c r="M398" s="826"/>
      <c r="N398" s="826"/>
      <c r="O398" s="827" t="s">
        <v>788</v>
      </c>
      <c r="P398" s="833"/>
    </row>
    <row r="399" spans="2:16" s="1568" customFormat="1" ht="15">
      <c r="B399" s="834"/>
      <c r="C399" s="826"/>
      <c r="D399" s="826"/>
      <c r="E399" s="826"/>
      <c r="F399" s="826"/>
      <c r="G399" s="826"/>
      <c r="H399" s="826"/>
      <c r="I399" s="826"/>
      <c r="J399" s="826"/>
      <c r="K399" s="826"/>
      <c r="L399" s="826"/>
      <c r="M399" s="826"/>
      <c r="N399" s="826"/>
      <c r="O399" s="826"/>
      <c r="P399" s="833"/>
    </row>
    <row r="400" spans="2:16" s="1568" customFormat="1" ht="15">
      <c r="B400" s="834"/>
      <c r="C400" s="856" t="s">
        <v>786</v>
      </c>
      <c r="D400" s="856" t="s">
        <v>757</v>
      </c>
      <c r="E400" s="856" t="s">
        <v>422</v>
      </c>
      <c r="F400" s="856" t="s">
        <v>579</v>
      </c>
      <c r="G400" s="856" t="s">
        <v>580</v>
      </c>
      <c r="H400" s="856" t="s">
        <v>605</v>
      </c>
      <c r="I400" s="856" t="s">
        <v>606</v>
      </c>
      <c r="J400" s="856" t="s">
        <v>607</v>
      </c>
      <c r="K400" s="856" t="s">
        <v>608</v>
      </c>
      <c r="L400" s="856" t="s">
        <v>609</v>
      </c>
      <c r="M400" s="856" t="s">
        <v>610</v>
      </c>
      <c r="N400" s="856" t="s">
        <v>611</v>
      </c>
      <c r="O400" s="856" t="s">
        <v>612</v>
      </c>
      <c r="P400" s="833"/>
    </row>
    <row r="401" spans="2:16" s="1568" customFormat="1" ht="15">
      <c r="B401" s="834"/>
      <c r="C401" s="828" t="s">
        <v>769</v>
      </c>
      <c r="D401" s="835" t="s">
        <v>779</v>
      </c>
      <c r="E401" s="828" t="str">
        <f>INDEX(IPCC[Sector_description], MATCH(XII.b.Rail.Emissions[IPCC Sector], IPCC[Sector_code], 0))</f>
        <v>Fuel Combustion</v>
      </c>
      <c r="F401" s="836">
        <f t="shared" ref="F401:O401" si="131">(F236*(F$216/(F$216+F$223+F$231)))</f>
        <v>0.57741323876070905</v>
      </c>
      <c r="G401" s="836">
        <f t="shared" si="131"/>
        <v>0.62629704416139209</v>
      </c>
      <c r="H401" s="836">
        <f t="shared" si="131"/>
        <v>0.72437240690318372</v>
      </c>
      <c r="I401" s="836">
        <f t="shared" si="131"/>
        <v>0.80882774701867388</v>
      </c>
      <c r="J401" s="836">
        <f t="shared" si="131"/>
        <v>0.73305255375655254</v>
      </c>
      <c r="K401" s="836">
        <f t="shared" si="131"/>
        <v>0.62458557291383376</v>
      </c>
      <c r="L401" s="836">
        <f t="shared" si="131"/>
        <v>0.49023681580366851</v>
      </c>
      <c r="M401" s="836">
        <f t="shared" si="131"/>
        <v>0.33681629373920735</v>
      </c>
      <c r="N401" s="836">
        <f t="shared" si="131"/>
        <v>0.17113401803360104</v>
      </c>
      <c r="O401" s="836">
        <f t="shared" si="131"/>
        <v>0</v>
      </c>
      <c r="P401" s="833"/>
    </row>
    <row r="402" spans="2:16" s="1568" customFormat="1" ht="15">
      <c r="B402" s="834"/>
      <c r="C402" s="828" t="s">
        <v>770</v>
      </c>
      <c r="D402" s="835" t="s">
        <v>779</v>
      </c>
      <c r="E402" s="828" t="str">
        <f>INDEX(IPCC[Sector_description], MATCH(XII.b.Rail.Emissions[IPCC Sector], IPCC[Sector_code], 0))</f>
        <v>Fuel Combustion</v>
      </c>
      <c r="F402" s="836">
        <f t="shared" ref="F402:O402" si="132">(F237*(F$216/(F$216+F$223+F$231)))</f>
        <v>7.1887720277329559E-4</v>
      </c>
      <c r="G402" s="836">
        <f t="shared" si="132"/>
        <v>7.7973734751604629E-4</v>
      </c>
      <c r="H402" s="836">
        <f t="shared" si="132"/>
        <v>9.0184078695244906E-4</v>
      </c>
      <c r="I402" s="836">
        <f t="shared" si="132"/>
        <v>1.0069873519875667E-3</v>
      </c>
      <c r="J402" s="836">
        <f t="shared" si="132"/>
        <v>9.1264753551783336E-4</v>
      </c>
      <c r="K402" s="836">
        <f t="shared" si="132"/>
        <v>7.7760657256929874E-4</v>
      </c>
      <c r="L402" s="836">
        <f t="shared" si="132"/>
        <v>6.1034290034260564E-4</v>
      </c>
      <c r="M402" s="836">
        <f t="shared" si="132"/>
        <v>4.1933495603839645E-4</v>
      </c>
      <c r="N402" s="836">
        <f t="shared" si="132"/>
        <v>2.1306117685731388E-4</v>
      </c>
      <c r="O402" s="836">
        <f t="shared" si="132"/>
        <v>0</v>
      </c>
      <c r="P402" s="833"/>
    </row>
    <row r="403" spans="2:16" s="1568" customFormat="1" ht="15">
      <c r="B403" s="834"/>
      <c r="C403" s="828" t="s">
        <v>771</v>
      </c>
      <c r="D403" s="835" t="s">
        <v>779</v>
      </c>
      <c r="E403" s="828" t="str">
        <f>INDEX(IPCC[Sector_description], MATCH(XII.b.Rail.Emissions[IPCC Sector], IPCC[Sector_code], 0))</f>
        <v>Fuel Combustion</v>
      </c>
      <c r="F403" s="836">
        <f t="shared" ref="F403:O403" si="133">(F238*(F$216/(F$216+F$223+F$231)))</f>
        <v>1.0388847337363526E-2</v>
      </c>
      <c r="G403" s="836">
        <f t="shared" si="133"/>
        <v>1.1268367163869522E-2</v>
      </c>
      <c r="H403" s="836">
        <f t="shared" si="133"/>
        <v>1.3032943904901381E-2</v>
      </c>
      <c r="I403" s="836">
        <f t="shared" si="133"/>
        <v>1.4552468530225307E-2</v>
      </c>
      <c r="J403" s="836">
        <f t="shared" si="133"/>
        <v>1.3189117533201089E-2</v>
      </c>
      <c r="K403" s="836">
        <f t="shared" si="133"/>
        <v>1.1237574289166245E-2</v>
      </c>
      <c r="L403" s="836">
        <f t="shared" si="133"/>
        <v>8.8203648559747501E-3</v>
      </c>
      <c r="M403" s="836">
        <f t="shared" si="133"/>
        <v>6.0600152914805656E-3</v>
      </c>
      <c r="N403" s="836">
        <f t="shared" si="133"/>
        <v>3.0790516535376617E-3</v>
      </c>
      <c r="O403" s="836">
        <f t="shared" si="133"/>
        <v>0</v>
      </c>
      <c r="P403" s="833"/>
    </row>
    <row r="404" spans="2:16" s="1568" customFormat="1" ht="15">
      <c r="B404" s="834"/>
      <c r="C404" s="828" t="s">
        <v>132</v>
      </c>
      <c r="D404" s="828"/>
      <c r="E404" s="828"/>
      <c r="F404" s="858">
        <f>SUBTOTAL(109,XII.b.Rail.Emissions[2007])</f>
        <v>0.58852096330084591</v>
      </c>
      <c r="G404" s="858">
        <f>SUBTOTAL(109,XII.b.Rail.Emissions[2010])</f>
        <v>0.63834514867277758</v>
      </c>
      <c r="H404" s="858">
        <f>SUBTOTAL(109,XII.b.Rail.Emissions[2015])</f>
        <v>0.73830719159503755</v>
      </c>
      <c r="I404" s="858">
        <f>SUBTOTAL(109,XII.b.Rail.Emissions[2020])</f>
        <v>0.82438720290088674</v>
      </c>
      <c r="J404" s="858">
        <f>SUBTOTAL(109,XII.b.Rail.Emissions[2025])</f>
        <v>0.74715431882527139</v>
      </c>
      <c r="K404" s="858">
        <f>SUBTOTAL(109,XII.b.Rail.Emissions[2030])</f>
        <v>0.63660075377556935</v>
      </c>
      <c r="L404" s="858">
        <f>SUBTOTAL(109,XII.b.Rail.Emissions[2035])</f>
        <v>0.49966752355998589</v>
      </c>
      <c r="M404" s="858">
        <f>SUBTOTAL(109,XII.b.Rail.Emissions[2040])</f>
        <v>0.34329564398672635</v>
      </c>
      <c r="N404" s="858">
        <f>SUBTOTAL(109,XII.b.Rail.Emissions[2045])</f>
        <v>0.17442613086399603</v>
      </c>
      <c r="O404" s="858">
        <f>SUBTOTAL(109,XII.b.Rail.Emissions[2050])</f>
        <v>0</v>
      </c>
      <c r="P404" s="833"/>
    </row>
    <row r="405" spans="2:16" s="1568" customFormat="1" ht="15">
      <c r="B405" s="834"/>
      <c r="C405" s="828"/>
      <c r="D405" s="828"/>
      <c r="E405" s="828"/>
      <c r="F405" s="858"/>
      <c r="G405" s="858"/>
      <c r="H405" s="858"/>
      <c r="I405" s="858"/>
      <c r="J405" s="858"/>
      <c r="K405" s="858"/>
      <c r="L405" s="858"/>
      <c r="M405" s="858"/>
      <c r="N405" s="858"/>
      <c r="O405" s="858"/>
      <c r="P405" s="833"/>
    </row>
    <row r="406" spans="2:16" s="1568" customFormat="1" ht="17">
      <c r="B406" s="834"/>
      <c r="C406" s="825" t="s">
        <v>1321</v>
      </c>
      <c r="D406" s="826"/>
      <c r="E406" s="827"/>
      <c r="F406" s="826"/>
      <c r="G406" s="827"/>
      <c r="H406" s="826"/>
      <c r="I406" s="826"/>
      <c r="J406" s="826"/>
      <c r="K406" s="826"/>
      <c r="L406" s="826"/>
      <c r="M406" s="826"/>
      <c r="N406" s="826"/>
      <c r="O406" s="827" t="s">
        <v>788</v>
      </c>
      <c r="P406" s="833"/>
    </row>
    <row r="407" spans="2:16" s="1568" customFormat="1" ht="15">
      <c r="B407" s="834"/>
      <c r="C407" s="826"/>
      <c r="D407" s="826"/>
      <c r="E407" s="826"/>
      <c r="F407" s="826"/>
      <c r="G407" s="826"/>
      <c r="H407" s="826"/>
      <c r="I407" s="826"/>
      <c r="J407" s="826"/>
      <c r="K407" s="826"/>
      <c r="L407" s="826"/>
      <c r="M407" s="826"/>
      <c r="N407" s="826"/>
      <c r="O407" s="826"/>
      <c r="P407" s="833"/>
    </row>
    <row r="408" spans="2:16" s="1568" customFormat="1" ht="15">
      <c r="B408" s="834"/>
      <c r="C408" s="856" t="s">
        <v>786</v>
      </c>
      <c r="D408" s="856" t="s">
        <v>757</v>
      </c>
      <c r="E408" s="856" t="s">
        <v>422</v>
      </c>
      <c r="F408" s="856" t="s">
        <v>579</v>
      </c>
      <c r="G408" s="856" t="s">
        <v>580</v>
      </c>
      <c r="H408" s="856" t="s">
        <v>605</v>
      </c>
      <c r="I408" s="856" t="s">
        <v>606</v>
      </c>
      <c r="J408" s="856" t="s">
        <v>607</v>
      </c>
      <c r="K408" s="856" t="s">
        <v>608</v>
      </c>
      <c r="L408" s="856" t="s">
        <v>609</v>
      </c>
      <c r="M408" s="856" t="s">
        <v>610</v>
      </c>
      <c r="N408" s="856" t="s">
        <v>611</v>
      </c>
      <c r="O408" s="856" t="s">
        <v>612</v>
      </c>
      <c r="P408" s="833"/>
    </row>
    <row r="409" spans="2:16" s="1568" customFormat="1" ht="15">
      <c r="B409" s="834"/>
      <c r="C409" s="828" t="s">
        <v>769</v>
      </c>
      <c r="D409" s="835" t="s">
        <v>779</v>
      </c>
      <c r="E409" s="828" t="str">
        <f>INDEX(IPCC[Sector_description], MATCH(XII.b.NationalNavigation.Emissions[IPCC Sector], IPCC[Sector_code], 0))</f>
        <v>Fuel Combustion</v>
      </c>
      <c r="F409" s="836">
        <f t="shared" ref="F409:O409" si="134">(F236*(F$231/(F$216+F$223+F$231)))</f>
        <v>4.7043349999999995</v>
      </c>
      <c r="G409" s="836">
        <f t="shared" si="134"/>
        <v>6.7862342925009536</v>
      </c>
      <c r="H409" s="836">
        <f t="shared" si="134"/>
        <v>6.830763892460495</v>
      </c>
      <c r="I409" s="836">
        <f t="shared" si="134"/>
        <v>6.9646516331766177</v>
      </c>
      <c r="J409" s="836">
        <f t="shared" si="134"/>
        <v>7.1456604774752925</v>
      </c>
      <c r="K409" s="836">
        <f t="shared" si="134"/>
        <v>7.4088504388695364</v>
      </c>
      <c r="L409" s="836">
        <f t="shared" si="134"/>
        <v>7.6747968268073707</v>
      </c>
      <c r="M409" s="836">
        <f t="shared" si="134"/>
        <v>7.9437386806277059</v>
      </c>
      <c r="N409" s="836">
        <f t="shared" si="134"/>
        <v>8.2159280862904982</v>
      </c>
      <c r="O409" s="836">
        <f t="shared" si="134"/>
        <v>8.491631252313983</v>
      </c>
      <c r="P409" s="833"/>
    </row>
    <row r="410" spans="2:16" s="1568" customFormat="1" ht="15">
      <c r="B410" s="834"/>
      <c r="C410" s="828" t="s">
        <v>770</v>
      </c>
      <c r="D410" s="835" t="s">
        <v>779</v>
      </c>
      <c r="E410" s="828" t="str">
        <f>INDEX(IPCC[Sector_description], MATCH(XII.b.NationalNavigation.Emissions[IPCC Sector], IPCC[Sector_code], 0))</f>
        <v>Fuel Combustion</v>
      </c>
      <c r="F410" s="836">
        <f t="shared" ref="F410:O410" si="135">(F237*(F$231/(F$216+F$223+F$231)))</f>
        <v>5.8568785034560132E-3</v>
      </c>
      <c r="G410" s="836">
        <f t="shared" si="135"/>
        <v>8.4488349037993397E-3</v>
      </c>
      <c r="H410" s="836">
        <f t="shared" si="135"/>
        <v>8.5042740799571876E-3</v>
      </c>
      <c r="I410" s="836">
        <f t="shared" si="135"/>
        <v>8.670963788593276E-3</v>
      </c>
      <c r="J410" s="836">
        <f t="shared" si="135"/>
        <v>8.8963190851672497E-3</v>
      </c>
      <c r="K410" s="836">
        <f t="shared" si="135"/>
        <v>9.2239895480946063E-3</v>
      </c>
      <c r="L410" s="836">
        <f t="shared" si="135"/>
        <v>9.5550917511870465E-3</v>
      </c>
      <c r="M410" s="836">
        <f t="shared" si="135"/>
        <v>9.8899232974778463E-3</v>
      </c>
      <c r="N410" s="836">
        <f t="shared" si="135"/>
        <v>1.022879803299198E-2</v>
      </c>
      <c r="O410" s="836">
        <f t="shared" si="135"/>
        <v>1.0572047386283723E-2</v>
      </c>
      <c r="P410" s="833"/>
    </row>
    <row r="411" spans="2:16" s="1568" customFormat="1" ht="15">
      <c r="B411" s="834"/>
      <c r="C411" s="828" t="s">
        <v>771</v>
      </c>
      <c r="D411" s="835" t="s">
        <v>779</v>
      </c>
      <c r="E411" s="828" t="str">
        <f>INDEX(IPCC[Sector_description], MATCH(XII.b.NationalNavigation.Emissions[IPCC Sector], IPCC[Sector_code], 0))</f>
        <v>Fuel Combustion</v>
      </c>
      <c r="F411" s="836">
        <f t="shared" ref="F411:O411" si="136">(F238*(F$231/(F$216+F$223+F$231)))</f>
        <v>8.4640626258778551E-2</v>
      </c>
      <c r="G411" s="836">
        <f t="shared" si="136"/>
        <v>0.12209826053120787</v>
      </c>
      <c r="H411" s="836">
        <f t="shared" si="136"/>
        <v>0.12289943927966615</v>
      </c>
      <c r="I411" s="836">
        <f t="shared" si="136"/>
        <v>0.12530835408326443</v>
      </c>
      <c r="J411" s="836">
        <f t="shared" si="136"/>
        <v>0.12856507409572476</v>
      </c>
      <c r="K411" s="836">
        <f t="shared" si="136"/>
        <v>0.13330040080129155</v>
      </c>
      <c r="L411" s="836">
        <f t="shared" si="136"/>
        <v>0.13808532126854536</v>
      </c>
      <c r="M411" s="836">
        <f t="shared" si="136"/>
        <v>0.14292413630500642</v>
      </c>
      <c r="N411" s="836">
        <f t="shared" si="136"/>
        <v>0.14782138145364135</v>
      </c>
      <c r="O411" s="836">
        <f t="shared" si="136"/>
        <v>0.15278184635117856</v>
      </c>
      <c r="P411" s="833"/>
    </row>
    <row r="412" spans="2:16" s="1568" customFormat="1" ht="15">
      <c r="B412" s="834"/>
      <c r="C412" s="828" t="s">
        <v>132</v>
      </c>
      <c r="D412" s="828"/>
      <c r="E412" s="828"/>
      <c r="F412" s="858">
        <f>SUBTOTAL(109,XII.b.NationalNavigation.Emissions[2007])</f>
        <v>4.7948325047622342</v>
      </c>
      <c r="G412" s="858">
        <f>SUBTOTAL(109,XII.b.NationalNavigation.Emissions[2010])</f>
        <v>6.9167813879359601</v>
      </c>
      <c r="H412" s="858">
        <f>SUBTOTAL(109,XII.b.NationalNavigation.Emissions[2015])</f>
        <v>6.9621676058201185</v>
      </c>
      <c r="I412" s="858">
        <f>SUBTOTAL(109,XII.b.NationalNavigation.Emissions[2020])</f>
        <v>7.0986309510484755</v>
      </c>
      <c r="J412" s="858">
        <f>SUBTOTAL(109,XII.b.NationalNavigation.Emissions[2025])</f>
        <v>7.2831218706561849</v>
      </c>
      <c r="K412" s="858">
        <f>SUBTOTAL(109,XII.b.NationalNavigation.Emissions[2030])</f>
        <v>7.5513748292189229</v>
      </c>
      <c r="L412" s="858">
        <f>SUBTOTAL(109,XII.b.NationalNavigation.Emissions[2035])</f>
        <v>7.8224372398271029</v>
      </c>
      <c r="M412" s="858">
        <f>SUBTOTAL(109,XII.b.NationalNavigation.Emissions[2040])</f>
        <v>8.0965527402301909</v>
      </c>
      <c r="N412" s="858">
        <f>SUBTOTAL(109,XII.b.NationalNavigation.Emissions[2045])</f>
        <v>8.3739782657771311</v>
      </c>
      <c r="O412" s="858">
        <f>SUBTOTAL(109,XII.b.NationalNavigation.Emissions[2050])</f>
        <v>8.6549851460514446</v>
      </c>
      <c r="P412" s="833"/>
    </row>
    <row r="413" spans="2:16" ht="15">
      <c r="B413" s="834"/>
      <c r="C413" s="826"/>
      <c r="D413" s="826"/>
      <c r="E413" s="826"/>
      <c r="F413" s="826"/>
      <c r="G413" s="826"/>
      <c r="H413" s="826"/>
      <c r="I413" s="826"/>
      <c r="J413" s="826"/>
      <c r="K413" s="826"/>
      <c r="L413" s="826"/>
      <c r="M413" s="826"/>
      <c r="N413" s="826"/>
      <c r="O413" s="826"/>
      <c r="P413" s="833"/>
    </row>
    <row r="416" spans="2:16" s="1562" customFormat="1" ht="21.75" customHeight="1" collapsed="1">
      <c r="B416" s="1519" t="s">
        <v>1297</v>
      </c>
      <c r="C416" s="1555"/>
      <c r="D416" s="1520"/>
      <c r="E416" s="1520"/>
      <c r="F416" s="1520"/>
      <c r="G416" s="1520"/>
      <c r="H416" s="1520"/>
      <c r="I416" s="1520"/>
      <c r="J416" s="1520"/>
      <c r="K416" s="1520"/>
      <c r="L416" s="1520"/>
      <c r="M416" s="1520"/>
      <c r="N416" s="1520"/>
      <c r="O416" s="1520"/>
      <c r="P416" s="1521"/>
    </row>
    <row r="417" spans="2:16" s="1562" customFormat="1">
      <c r="B417" s="1556"/>
      <c r="C417" s="1557"/>
      <c r="D417" s="1557"/>
      <c r="E417" s="1557"/>
      <c r="F417" s="1557"/>
      <c r="G417" s="1557"/>
      <c r="H417" s="1557"/>
      <c r="I417" s="1557"/>
      <c r="J417" s="1557"/>
      <c r="K417" s="1557"/>
      <c r="L417" s="1557"/>
      <c r="M417" s="1557"/>
      <c r="N417" s="1557"/>
      <c r="O417" s="1557"/>
      <c r="P417" s="1558"/>
    </row>
    <row r="418" spans="2:16" s="1562" customFormat="1">
      <c r="B418" s="1522"/>
      <c r="C418" s="1559" t="s">
        <v>1302</v>
      </c>
      <c r="D418" s="1523"/>
      <c r="E418" s="1560"/>
      <c r="F418" s="1523"/>
      <c r="G418" s="1560"/>
      <c r="H418" s="1523"/>
      <c r="I418" s="1523"/>
      <c r="J418" s="1523"/>
      <c r="K418" s="1523"/>
      <c r="L418" s="1523"/>
      <c r="M418" s="1523"/>
      <c r="N418" s="1523"/>
      <c r="O418" s="1560"/>
      <c r="P418" s="1524"/>
    </row>
    <row r="419" spans="2:16" s="1562" customFormat="1">
      <c r="B419" s="1522"/>
      <c r="C419" s="1523"/>
      <c r="D419" s="1523"/>
      <c r="E419" s="1523"/>
      <c r="F419" s="1523"/>
      <c r="G419" s="1523"/>
      <c r="H419" s="1523"/>
      <c r="I419" s="1523"/>
      <c r="J419" s="1523"/>
      <c r="K419" s="1523"/>
      <c r="L419" s="1523"/>
      <c r="M419" s="1523"/>
      <c r="N419" s="1523"/>
      <c r="O419" s="1523"/>
      <c r="P419" s="1524"/>
    </row>
    <row r="420" spans="2:16" s="1562" customFormat="1" ht="15">
      <c r="B420" s="1525"/>
      <c r="C420" s="1526" t="s">
        <v>72</v>
      </c>
      <c r="D420" s="1526" t="s">
        <v>1298</v>
      </c>
      <c r="E420" s="1526" t="s">
        <v>422</v>
      </c>
      <c r="F420" s="1526" t="s">
        <v>579</v>
      </c>
      <c r="G420" s="1526" t="s">
        <v>580</v>
      </c>
      <c r="H420" s="1526" t="s">
        <v>605</v>
      </c>
      <c r="I420" s="1526" t="s">
        <v>606</v>
      </c>
      <c r="J420" s="1526" t="s">
        <v>607</v>
      </c>
      <c r="K420" s="1526" t="s">
        <v>608</v>
      </c>
      <c r="L420" s="1526" t="s">
        <v>609</v>
      </c>
      <c r="M420" s="1526" t="s">
        <v>610</v>
      </c>
      <c r="N420" s="1526" t="s">
        <v>611</v>
      </c>
      <c r="O420" s="1526" t="s">
        <v>612</v>
      </c>
      <c r="P420" s="1524"/>
    </row>
    <row r="421" spans="2:16" s="1562" customFormat="1" ht="15">
      <c r="B421" s="1525"/>
      <c r="C421" s="1527" t="s">
        <v>1299</v>
      </c>
      <c r="D421" s="1528" t="str">
        <f>INDEX(Vectors[Description], MATCH(II.b.info[Vector], Vectors[Code], 0))</f>
        <v>UK Land area</v>
      </c>
      <c r="E421" s="1528">
        <f>INDEX(Vectors[Comment], MATCH(II.b.info[Information type], Vectors[Description], 0))</f>
        <v>0</v>
      </c>
      <c r="F421" s="1563">
        <f>F228</f>
        <v>0</v>
      </c>
      <c r="G421" s="1563"/>
      <c r="H421" s="1563"/>
      <c r="I421" s="1563"/>
      <c r="J421" s="1563"/>
      <c r="K421" s="1563"/>
      <c r="L421" s="1563"/>
      <c r="M421" s="1563"/>
      <c r="N421" s="1563"/>
      <c r="O421" s="1563"/>
      <c r="P421" s="1524"/>
    </row>
    <row r="422" spans="2:16" s="1562" customFormat="1" ht="15">
      <c r="B422" s="1525"/>
      <c r="C422" s="1527" t="s">
        <v>1304</v>
      </c>
      <c r="D422" s="1528" t="str">
        <f>INDEX(Vectors[Description], MATCH(II.b.info[Vector], Vectors[Code], 0))</f>
        <v xml:space="preserve">Installed Capacity </v>
      </c>
      <c r="E422" s="1528">
        <f>INDEX(Vectors[Comment], MATCH(II.b.info[Information type], Vectors[Description], 0))</f>
        <v>0</v>
      </c>
      <c r="F422" s="1563">
        <f t="shared" ref="F422:O422" si="137">F230</f>
        <v>0</v>
      </c>
      <c r="G422" s="1563">
        <f t="shared" si="137"/>
        <v>0</v>
      </c>
      <c r="H422" s="1563">
        <f t="shared" si="137"/>
        <v>0</v>
      </c>
      <c r="I422" s="1563">
        <f t="shared" si="137"/>
        <v>0</v>
      </c>
      <c r="J422" s="1563">
        <f t="shared" si="137"/>
        <v>0</v>
      </c>
      <c r="K422" s="1563">
        <f t="shared" si="137"/>
        <v>0</v>
      </c>
      <c r="L422" s="1563">
        <f t="shared" si="137"/>
        <v>0</v>
      </c>
      <c r="M422" s="1563">
        <f t="shared" si="137"/>
        <v>0</v>
      </c>
      <c r="N422" s="1563">
        <f t="shared" si="137"/>
        <v>0</v>
      </c>
      <c r="O422" s="1563">
        <f t="shared" si="137"/>
        <v>0</v>
      </c>
      <c r="P422" s="1524"/>
    </row>
    <row r="423" spans="2:16" s="1562" customFormat="1" ht="15">
      <c r="B423" s="1525"/>
      <c r="C423" s="1527" t="s">
        <v>1305</v>
      </c>
      <c r="D423" s="1528" t="str">
        <f>INDEX(Vectors[Description], MATCH(II.b.info[Vector], Vectors[Code], 0))</f>
        <v>Number of units</v>
      </c>
      <c r="E423" s="1528"/>
      <c r="F423" s="1563"/>
      <c r="G423" s="1563"/>
      <c r="H423" s="1563"/>
      <c r="I423" s="1563"/>
      <c r="J423" s="1563"/>
      <c r="K423" s="1563"/>
      <c r="L423" s="1563"/>
      <c r="M423" s="1563"/>
      <c r="N423" s="1563"/>
      <c r="O423" s="1563"/>
      <c r="P423" s="1524"/>
    </row>
    <row r="424" spans="2:16" s="1562" customFormat="1" ht="15">
      <c r="B424" s="1564"/>
      <c r="C424" s="1530"/>
      <c r="D424" s="1530"/>
      <c r="E424" s="1530"/>
      <c r="F424" s="1530"/>
      <c r="G424" s="1530"/>
      <c r="H424" s="1530"/>
      <c r="I424" s="1530"/>
      <c r="J424" s="1530"/>
      <c r="K424" s="1530"/>
      <c r="L424" s="1530"/>
      <c r="M424" s="1530"/>
      <c r="N424" s="1530"/>
      <c r="O424" s="1530"/>
      <c r="P424" s="1561"/>
    </row>
    <row r="426" spans="2:16" s="1703" customFormat="1"/>
    <row r="427" spans="2:16" s="1703" customFormat="1" ht="22.5" customHeight="1">
      <c r="B427" s="1519" t="s">
        <v>1572</v>
      </c>
      <c r="C427" s="1520"/>
      <c r="D427" s="1520"/>
      <c r="E427" s="1520"/>
      <c r="F427" s="1520"/>
      <c r="G427" s="1520"/>
      <c r="H427" s="1520"/>
      <c r="I427" s="1520"/>
      <c r="J427" s="1520"/>
      <c r="K427" s="1520"/>
      <c r="L427" s="1520"/>
      <c r="M427" s="1520"/>
      <c r="N427" s="1520"/>
      <c r="O427" s="1520"/>
      <c r="P427" s="1521"/>
    </row>
    <row r="428" spans="2:16" s="1703" customFormat="1">
      <c r="B428" s="1522"/>
      <c r="C428" s="1523"/>
      <c r="D428" s="1523"/>
      <c r="E428" s="1523"/>
      <c r="F428" s="1523"/>
      <c r="G428" s="1523"/>
      <c r="H428" s="1523"/>
      <c r="I428" s="1523"/>
      <c r="J428" s="1523"/>
      <c r="K428" s="1523"/>
      <c r="L428" s="1523"/>
      <c r="M428" s="1523"/>
      <c r="N428" s="1523"/>
      <c r="O428" s="1523"/>
      <c r="P428" s="1524"/>
    </row>
    <row r="429" spans="2:16" s="1703" customFormat="1" ht="15.75" customHeight="1">
      <c r="B429" s="1522"/>
      <c r="C429" s="1695" t="s">
        <v>1573</v>
      </c>
      <c r="D429" s="1696"/>
      <c r="E429" s="1696"/>
      <c r="F429" s="1696"/>
      <c r="G429" s="1696"/>
      <c r="H429" s="1696"/>
      <c r="I429" s="1696"/>
      <c r="J429" s="1696"/>
      <c r="K429" s="1696"/>
      <c r="L429" s="1696"/>
      <c r="M429" s="1696"/>
      <c r="N429" s="1696"/>
      <c r="O429" s="1696"/>
      <c r="P429" s="1524"/>
    </row>
    <row r="430" spans="2:16" s="1703" customFormat="1" ht="5.25" customHeight="1">
      <c r="B430" s="1522"/>
      <c r="C430" s="1523"/>
      <c r="D430" s="1523"/>
      <c r="E430" s="1523"/>
      <c r="F430" s="1523"/>
      <c r="G430" s="1523"/>
      <c r="H430" s="1523"/>
      <c r="I430" s="1523"/>
      <c r="J430" s="1523"/>
      <c r="K430" s="1523"/>
      <c r="L430" s="1523"/>
      <c r="M430" s="1523"/>
      <c r="N430" s="1523"/>
      <c r="O430" s="1523"/>
      <c r="P430" s="1524"/>
    </row>
    <row r="431" spans="2:16" s="1703" customFormat="1" ht="15">
      <c r="B431" s="1525"/>
      <c r="C431" s="1526" t="s">
        <v>72</v>
      </c>
      <c r="D431" s="1526" t="s">
        <v>399</v>
      </c>
      <c r="E431" s="1526" t="s">
        <v>422</v>
      </c>
      <c r="F431" s="1526" t="s">
        <v>579</v>
      </c>
      <c r="G431" s="1526" t="s">
        <v>580</v>
      </c>
      <c r="H431" s="1526" t="s">
        <v>605</v>
      </c>
      <c r="I431" s="1526" t="s">
        <v>606</v>
      </c>
      <c r="J431" s="1526" t="s">
        <v>607</v>
      </c>
      <c r="K431" s="1526" t="s">
        <v>608</v>
      </c>
      <c r="L431" s="1526" t="s">
        <v>609</v>
      </c>
      <c r="M431" s="1526" t="s">
        <v>610</v>
      </c>
      <c r="N431" s="1526" t="s">
        <v>611</v>
      </c>
      <c r="O431" s="1526" t="s">
        <v>612</v>
      </c>
      <c r="P431" s="1697"/>
    </row>
    <row r="432" spans="2:16" s="1703" customFormat="1" ht="15">
      <c r="B432" s="1525"/>
      <c r="C432" s="1527" t="s">
        <v>1540</v>
      </c>
      <c r="D432" s="1528" t="str">
        <f>INDEX(CostVectors[Description], MATCH(C432, CostVectors[Code], 0))</f>
        <v>High estimate of capital costs</v>
      </c>
      <c r="E432" s="1528"/>
      <c r="F432" s="1529">
        <f>F329</f>
        <v>0</v>
      </c>
      <c r="G432" s="1529">
        <f t="shared" ref="G432:O432" si="138">G329</f>
        <v>3262.3444034788367</v>
      </c>
      <c r="H432" s="1529">
        <f t="shared" si="138"/>
        <v>4925.594992680526</v>
      </c>
      <c r="I432" s="1529">
        <f t="shared" si="138"/>
        <v>4439.0695950584795</v>
      </c>
      <c r="J432" s="1529">
        <f t="shared" si="138"/>
        <v>4258.268816066301</v>
      </c>
      <c r="K432" s="1529">
        <f t="shared" si="138"/>
        <v>4092.0318785172644</v>
      </c>
      <c r="L432" s="1529">
        <f t="shared" si="138"/>
        <v>3932.1513689368117</v>
      </c>
      <c r="M432" s="1529">
        <f t="shared" si="138"/>
        <v>4400.591881821274</v>
      </c>
      <c r="N432" s="1529">
        <f t="shared" si="138"/>
        <v>6735.716305110318</v>
      </c>
      <c r="O432" s="1529">
        <f t="shared" si="138"/>
        <v>8250.2603431601747</v>
      </c>
      <c r="P432" s="1697"/>
    </row>
    <row r="433" spans="2:16" s="1703" customFormat="1" ht="15">
      <c r="B433" s="1525"/>
      <c r="C433" s="1527" t="s">
        <v>1542</v>
      </c>
      <c r="D433" s="1528" t="str">
        <f>INDEX(CostVectors[Description], MATCH(C433, CostVectors[Code], 0))</f>
        <v>High estimate of operating costs</v>
      </c>
      <c r="E433" s="1528"/>
      <c r="F433" s="1529">
        <f>F330</f>
        <v>6704.0871107068097</v>
      </c>
      <c r="G433" s="1529">
        <f t="shared" ref="G433:O433" si="139">G330</f>
        <v>5884.7153982781401</v>
      </c>
      <c r="H433" s="1529">
        <f t="shared" si="139"/>
        <v>6861.58927869126</v>
      </c>
      <c r="I433" s="1529">
        <f t="shared" si="139"/>
        <v>6625.3152656415332</v>
      </c>
      <c r="J433" s="1529">
        <f t="shared" si="139"/>
        <v>6387.476839446751</v>
      </c>
      <c r="K433" s="1529">
        <f t="shared" si="139"/>
        <v>6149.3001694952154</v>
      </c>
      <c r="L433" s="1529">
        <f t="shared" si="139"/>
        <v>5910.855570283793</v>
      </c>
      <c r="M433" s="1529">
        <f t="shared" si="139"/>
        <v>5701.5207534189803</v>
      </c>
      <c r="N433" s="1529">
        <f t="shared" si="139"/>
        <v>5587.881154143477</v>
      </c>
      <c r="O433" s="1529">
        <f t="shared" si="139"/>
        <v>5463.1335966888428</v>
      </c>
      <c r="P433" s="1697"/>
    </row>
    <row r="434" spans="2:16" s="1703" customFormat="1" ht="14">
      <c r="B434" s="1698"/>
      <c r="C434" s="1742" t="s">
        <v>1794</v>
      </c>
      <c r="D434" s="1528" t="str">
        <f>INDEX(CostVectors[Description], MATCH(C434, CostVectors[Code], 0))</f>
        <v>Point estimate of capital costs</v>
      </c>
      <c r="E434" s="1528"/>
      <c r="F434" s="1529">
        <f>F334</f>
        <v>0</v>
      </c>
      <c r="G434" s="1529">
        <f t="shared" ref="G434:O434" si="140">G334</f>
        <v>3262.3444034788367</v>
      </c>
      <c r="H434" s="1529">
        <f t="shared" si="140"/>
        <v>4861.1454734715207</v>
      </c>
      <c r="I434" s="1529">
        <f t="shared" si="140"/>
        <v>4322.937364897366</v>
      </c>
      <c r="J434" s="1529">
        <f t="shared" si="140"/>
        <v>4091.255094957135</v>
      </c>
      <c r="K434" s="1529">
        <f t="shared" si="140"/>
        <v>3878.1093817870219</v>
      </c>
      <c r="L434" s="1529">
        <f t="shared" si="140"/>
        <v>3675.3811416686685</v>
      </c>
      <c r="M434" s="1529">
        <f t="shared" si="140"/>
        <v>3819.7767505163933</v>
      </c>
      <c r="N434" s="1529">
        <f t="shared" si="140"/>
        <v>4746.8404079269367</v>
      </c>
      <c r="O434" s="1529">
        <f t="shared" si="140"/>
        <v>4977.4431404375719</v>
      </c>
      <c r="P434" s="1697"/>
    </row>
    <row r="435" spans="2:16" s="1703" customFormat="1">
      <c r="B435" s="1698"/>
      <c r="C435" s="1742" t="s">
        <v>1796</v>
      </c>
      <c r="D435" s="1528" t="str">
        <f>INDEX(CostVectors[Description], MATCH(C435, CostVectors[Code], 0))</f>
        <v>Point estimate of operating costs</v>
      </c>
      <c r="E435" s="1528"/>
      <c r="F435" s="1529">
        <f>F335</f>
        <v>6704.0871107068097</v>
      </c>
      <c r="G435" s="1529">
        <f t="shared" ref="G435:O435" si="141">G335</f>
        <v>5884.7153982781401</v>
      </c>
      <c r="H435" s="1529">
        <f t="shared" si="141"/>
        <v>6861.58927869126</v>
      </c>
      <c r="I435" s="1529">
        <f t="shared" si="141"/>
        <v>6625.3152656415332</v>
      </c>
      <c r="J435" s="1529">
        <f t="shared" si="141"/>
        <v>6387.476839446751</v>
      </c>
      <c r="K435" s="1529">
        <f t="shared" si="141"/>
        <v>6149.3001694952154</v>
      </c>
      <c r="L435" s="1529">
        <f t="shared" si="141"/>
        <v>5910.855570283793</v>
      </c>
      <c r="M435" s="1529">
        <f t="shared" si="141"/>
        <v>5675.0426843813657</v>
      </c>
      <c r="N435" s="1529">
        <f t="shared" si="141"/>
        <v>5425.098515056321</v>
      </c>
      <c r="O435" s="1529">
        <f t="shared" si="141"/>
        <v>5139.6752378671281</v>
      </c>
      <c r="P435" s="1699"/>
    </row>
    <row r="436" spans="2:16" s="1703" customFormat="1">
      <c r="B436" s="1746"/>
      <c r="C436" s="1742" t="s">
        <v>1533</v>
      </c>
      <c r="D436" s="1743" t="str">
        <f>INDEX(CostVectors[Description], MATCH(C436,CostVectors[Code], 0))</f>
        <v>Low estimate of capital costs</v>
      </c>
      <c r="E436" s="1743"/>
      <c r="F436" s="1529">
        <f t="shared" ref="F436:O436" si="142">F339</f>
        <v>0</v>
      </c>
      <c r="G436" s="1529">
        <f t="shared" si="142"/>
        <v>3262.3444034788367</v>
      </c>
      <c r="H436" s="1529">
        <f t="shared" si="142"/>
        <v>4702.6014196408969</v>
      </c>
      <c r="I436" s="1529">
        <f t="shared" si="142"/>
        <v>4037.4337167813678</v>
      </c>
      <c r="J436" s="1529">
        <f t="shared" si="142"/>
        <v>3679.0444060062105</v>
      </c>
      <c r="K436" s="1529">
        <f t="shared" si="142"/>
        <v>3349.4482327142832</v>
      </c>
      <c r="L436" s="1529">
        <f t="shared" si="142"/>
        <v>3040.5736753636397</v>
      </c>
      <c r="M436" s="1529">
        <f t="shared" si="142"/>
        <v>2939.5952422881473</v>
      </c>
      <c r="N436" s="1529">
        <f t="shared" si="142"/>
        <v>3061.2215181316756</v>
      </c>
      <c r="O436" s="1529">
        <f t="shared" si="142"/>
        <v>2559.6275276255164</v>
      </c>
      <c r="P436" s="1699"/>
    </row>
    <row r="437" spans="2:16" s="1703" customFormat="1">
      <c r="B437" s="1746"/>
      <c r="C437" s="1742" t="s">
        <v>1535</v>
      </c>
      <c r="D437" s="1743" t="str">
        <f>INDEX(CostVectors[Description], MATCH(C437, CostVectors[Code], 0))</f>
        <v>Low estimate of operating costs</v>
      </c>
      <c r="E437" s="1743"/>
      <c r="F437" s="1529">
        <f>F340</f>
        <v>6704.0871107068097</v>
      </c>
      <c r="G437" s="1529">
        <f t="shared" ref="G437:O437" si="143">G340</f>
        <v>5884.7153982781401</v>
      </c>
      <c r="H437" s="1529">
        <f t="shared" si="143"/>
        <v>6861.58927869126</v>
      </c>
      <c r="I437" s="1529">
        <f t="shared" si="143"/>
        <v>6625.3152656415332</v>
      </c>
      <c r="J437" s="1529">
        <f t="shared" si="143"/>
        <v>6387.476839446751</v>
      </c>
      <c r="K437" s="1529">
        <f t="shared" si="143"/>
        <v>6149.3001694952154</v>
      </c>
      <c r="L437" s="1529">
        <f t="shared" si="143"/>
        <v>5910.855570283793</v>
      </c>
      <c r="M437" s="1529">
        <f t="shared" si="143"/>
        <v>5668.3436146956947</v>
      </c>
      <c r="N437" s="1529">
        <f t="shared" si="143"/>
        <v>5378.0861413313505</v>
      </c>
      <c r="O437" s="1529">
        <f t="shared" si="143"/>
        <v>5037.5740905209732</v>
      </c>
      <c r="P437" s="1699"/>
    </row>
    <row r="438" spans="2:16" s="1703" customFormat="1">
      <c r="B438" s="1750"/>
      <c r="C438" s="1530"/>
      <c r="D438" s="1530"/>
      <c r="E438" s="1530"/>
      <c r="F438" s="1530"/>
      <c r="G438" s="1530"/>
      <c r="H438" s="1530"/>
      <c r="I438" s="1530"/>
      <c r="J438" s="1530"/>
      <c r="K438" s="1530"/>
      <c r="L438" s="1530"/>
      <c r="M438" s="1530"/>
      <c r="N438" s="1530"/>
      <c r="O438" s="1530"/>
      <c r="P438" s="1701"/>
    </row>
    <row r="439" spans="2:16" s="1044" customFormat="1">
      <c r="B439" s="1897"/>
      <c r="C439" s="37"/>
      <c r="D439" s="37"/>
      <c r="E439" s="37"/>
      <c r="F439" s="37"/>
      <c r="G439" s="37"/>
      <c r="H439" s="37"/>
      <c r="I439" s="37"/>
      <c r="J439" s="37"/>
      <c r="K439" s="37"/>
      <c r="L439" s="37"/>
      <c r="M439" s="37"/>
      <c r="N439" s="37"/>
      <c r="O439" s="37"/>
      <c r="P439" s="1898"/>
    </row>
    <row r="440" spans="2:16" customFormat="1">
      <c r="B440" s="1733" t="s">
        <v>433</v>
      </c>
      <c r="C440" s="1733"/>
      <c r="D440" s="1733" t="s">
        <v>906</v>
      </c>
      <c r="E440" s="1733" t="s">
        <v>657</v>
      </c>
    </row>
    <row r="441" spans="2:16" customFormat="1">
      <c r="D441" t="s">
        <v>921</v>
      </c>
      <c r="E441" t="s">
        <v>962</v>
      </c>
      <c r="F441" s="1660">
        <f>F216</f>
        <v>2.3096529550428362</v>
      </c>
      <c r="G441" s="1660">
        <f t="shared" ref="G441:O441" si="144">G216</f>
        <v>2.5051881766455684</v>
      </c>
      <c r="H441" s="1660">
        <f t="shared" si="144"/>
        <v>2.8974896276127349</v>
      </c>
      <c r="I441" s="1660">
        <f t="shared" si="144"/>
        <v>3.2353109880746955</v>
      </c>
      <c r="J441" s="1660">
        <f t="shared" si="144"/>
        <v>2.9322102150262102</v>
      </c>
      <c r="K441" s="1660">
        <f t="shared" si="144"/>
        <v>2.4983422916553351</v>
      </c>
      <c r="L441" s="1660">
        <f t="shared" si="144"/>
        <v>1.9609472632146741</v>
      </c>
      <c r="M441" s="1660">
        <f t="shared" si="144"/>
        <v>1.3472651749568294</v>
      </c>
      <c r="N441" s="1660">
        <f t="shared" si="144"/>
        <v>0.68453607213440415</v>
      </c>
      <c r="O441" s="1660">
        <f t="shared" si="144"/>
        <v>0</v>
      </c>
    </row>
    <row r="442" spans="2:16" customFormat="1">
      <c r="D442" t="s">
        <v>921</v>
      </c>
      <c r="E442" t="s">
        <v>963</v>
      </c>
      <c r="F442" s="1660">
        <f>F218</f>
        <v>0.10120000000000001</v>
      </c>
      <c r="G442" s="1660">
        <f t="shared" ref="G442:O442" si="145">G218</f>
        <v>0.10980070711868301</v>
      </c>
      <c r="H442" s="1660">
        <f t="shared" si="145"/>
        <v>0.12866600200307601</v>
      </c>
      <c r="I442" s="1660">
        <f t="shared" si="145"/>
        <v>0.145740427687365</v>
      </c>
      <c r="J442" s="1660">
        <f t="shared" si="145"/>
        <v>0.35986670869882903</v>
      </c>
      <c r="K442" s="1660">
        <f t="shared" si="145"/>
        <v>0.60552538865020211</v>
      </c>
      <c r="L442" s="1660">
        <f t="shared" si="145"/>
        <v>0.87608202771838106</v>
      </c>
      <c r="M442" s="1660">
        <f t="shared" si="145"/>
        <v>1.1649021860802602</v>
      </c>
      <c r="N442" s="1660">
        <f t="shared" si="145"/>
        <v>1.4653514239127401</v>
      </c>
      <c r="O442" s="1660">
        <f t="shared" si="145"/>
        <v>1.77079530139271</v>
      </c>
    </row>
    <row r="443" spans="2:16" customFormat="1">
      <c r="D443" s="1856" t="s">
        <v>1770</v>
      </c>
      <c r="E443" t="s">
        <v>962</v>
      </c>
      <c r="F443" s="1442">
        <f>F223</f>
        <v>87.654867521058719</v>
      </c>
      <c r="G443" s="1442">
        <f t="shared" ref="G443:O443" si="146">G223</f>
        <v>83.577666666666673</v>
      </c>
      <c r="H443" s="1442">
        <f t="shared" si="146"/>
        <v>84.763495689566241</v>
      </c>
      <c r="I443" s="1442">
        <f t="shared" si="146"/>
        <v>69.577581762502803</v>
      </c>
      <c r="J443" s="1442">
        <f t="shared" si="146"/>
        <v>55.270784365786838</v>
      </c>
      <c r="K443" s="1442">
        <f t="shared" si="146"/>
        <v>41.843103499418348</v>
      </c>
      <c r="L443" s="1442">
        <f t="shared" si="146"/>
        <v>38.832630917052917</v>
      </c>
      <c r="M443" s="1442">
        <f t="shared" si="146"/>
        <v>35.754511819193887</v>
      </c>
      <c r="N443" s="1442">
        <f t="shared" si="146"/>
        <v>32.239414367166745</v>
      </c>
      <c r="O443" s="1442">
        <f t="shared" si="146"/>
        <v>28.955705226977329</v>
      </c>
    </row>
    <row r="444" spans="2:16" customFormat="1">
      <c r="D444" s="1856" t="s">
        <v>1770</v>
      </c>
      <c r="E444" t="s">
        <v>963</v>
      </c>
      <c r="F444" s="1442">
        <f>F228</f>
        <v>0</v>
      </c>
      <c r="G444" s="1442">
        <f t="shared" ref="G444:O444" si="147">G228</f>
        <v>0</v>
      </c>
      <c r="H444" s="1442">
        <f t="shared" si="147"/>
        <v>0</v>
      </c>
      <c r="I444" s="1442">
        <f t="shared" si="147"/>
        <v>0</v>
      </c>
      <c r="J444" s="1442">
        <f t="shared" si="147"/>
        <v>0</v>
      </c>
      <c r="K444" s="1442">
        <f t="shared" si="147"/>
        <v>0</v>
      </c>
      <c r="L444" s="1442">
        <f t="shared" si="147"/>
        <v>0</v>
      </c>
      <c r="M444" s="1442">
        <f t="shared" si="147"/>
        <v>4.2756450174493692E-2</v>
      </c>
      <c r="N444" s="1442">
        <f t="shared" si="147"/>
        <v>0.21694722169314504</v>
      </c>
      <c r="O444" s="1442">
        <f t="shared" si="147"/>
        <v>0.36266396935180384</v>
      </c>
    </row>
    <row r="445" spans="2:16" customFormat="1">
      <c r="D445" s="1855" t="s">
        <v>1170</v>
      </c>
      <c r="E445" s="1855" t="s">
        <v>962</v>
      </c>
      <c r="F445" s="1442">
        <f>F231</f>
        <v>18.817339999999998</v>
      </c>
      <c r="G445" s="1442">
        <f t="shared" ref="G445:O445" si="148">G231</f>
        <v>27.144937170003814</v>
      </c>
      <c r="H445" s="1442">
        <f t="shared" si="148"/>
        <v>27.32305556984198</v>
      </c>
      <c r="I445" s="1442">
        <f t="shared" si="148"/>
        <v>27.858606532706467</v>
      </c>
      <c r="J445" s="1442">
        <f t="shared" si="148"/>
        <v>28.582641909901167</v>
      </c>
      <c r="K445" s="1442">
        <f t="shared" si="148"/>
        <v>29.635401755478146</v>
      </c>
      <c r="L445" s="1442">
        <f t="shared" si="148"/>
        <v>30.699187307229483</v>
      </c>
      <c r="M445" s="1442">
        <f t="shared" si="148"/>
        <v>31.774954722510824</v>
      </c>
      <c r="N445" s="1442">
        <f t="shared" si="148"/>
        <v>32.863712345161993</v>
      </c>
      <c r="O445" s="1442">
        <f t="shared" si="148"/>
        <v>33.966525009255932</v>
      </c>
    </row>
    <row r="446" spans="2:16" customFormat="1"/>
    <row r="447" spans="2:16" s="1855" customFormat="1" ht="15">
      <c r="B447" s="1858" t="s">
        <v>1753</v>
      </c>
      <c r="C447" s="1859"/>
      <c r="D447" s="1859"/>
      <c r="E447" s="1859"/>
      <c r="F447" s="1859"/>
      <c r="G447" s="1859"/>
      <c r="H447" s="1859"/>
      <c r="I447" s="1859"/>
      <c r="J447" s="1859"/>
      <c r="K447" s="1859"/>
      <c r="L447" s="1859"/>
      <c r="M447" s="1859"/>
      <c r="N447" s="1859"/>
      <c r="O447" s="1859"/>
      <c r="P447" s="1859"/>
    </row>
    <row r="448" spans="2:16" s="1855" customFormat="1">
      <c r="B448" s="1857"/>
      <c r="C448" s="1857"/>
      <c r="D448" s="1857"/>
      <c r="E448" s="1857"/>
      <c r="F448" s="1857"/>
      <c r="G448" s="1857"/>
      <c r="H448" s="1857"/>
      <c r="I448" s="1857"/>
      <c r="J448" s="1857"/>
      <c r="K448" s="1857"/>
      <c r="L448" s="1857"/>
      <c r="M448" s="1857"/>
      <c r="N448" s="1857"/>
      <c r="O448" s="1857"/>
      <c r="P448" s="1857"/>
    </row>
    <row r="449" spans="2:16" s="1855" customFormat="1">
      <c r="B449" s="1857"/>
      <c r="C449" s="1878" t="s">
        <v>1319</v>
      </c>
      <c r="D449" s="1857"/>
      <c r="E449" s="1857"/>
      <c r="F449" s="1857"/>
      <c r="G449" s="1857"/>
      <c r="H449" s="1857"/>
      <c r="I449" s="1857"/>
      <c r="J449" s="1857"/>
      <c r="K449" s="1857"/>
      <c r="L449" s="1857"/>
      <c r="M449" s="1857"/>
      <c r="N449" s="1857"/>
      <c r="O449" s="1894" t="s">
        <v>1766</v>
      </c>
      <c r="P449" s="1857"/>
    </row>
    <row r="450" spans="2:16" s="1855" customFormat="1">
      <c r="B450" s="1857"/>
      <c r="C450" s="1857"/>
      <c r="D450" s="1857"/>
      <c r="E450" s="1857"/>
      <c r="F450" s="1857"/>
      <c r="G450" s="1857"/>
      <c r="H450" s="1857"/>
      <c r="I450" s="1857"/>
      <c r="J450" s="1857"/>
      <c r="K450" s="1857"/>
      <c r="L450" s="1857"/>
      <c r="M450" s="1857"/>
      <c r="N450" s="1857"/>
      <c r="O450" s="1857"/>
      <c r="P450" s="1857"/>
    </row>
    <row r="451" spans="2:16" s="1855" customFormat="1">
      <c r="B451" s="1857"/>
      <c r="C451" s="1865" t="s">
        <v>72</v>
      </c>
      <c r="D451" s="1866" t="s">
        <v>399</v>
      </c>
      <c r="E451" s="1866" t="s">
        <v>1768</v>
      </c>
      <c r="F451" s="1896" t="s">
        <v>579</v>
      </c>
      <c r="G451" s="1896" t="s">
        <v>580</v>
      </c>
      <c r="H451" s="1866" t="s">
        <v>605</v>
      </c>
      <c r="I451" s="1866" t="s">
        <v>606</v>
      </c>
      <c r="J451" s="1866" t="s">
        <v>607</v>
      </c>
      <c r="K451" s="1866" t="s">
        <v>608</v>
      </c>
      <c r="L451" s="1866" t="s">
        <v>609</v>
      </c>
      <c r="M451" s="1866" t="s">
        <v>610</v>
      </c>
      <c r="N451" s="1866" t="s">
        <v>611</v>
      </c>
      <c r="O451" s="1867" t="s">
        <v>612</v>
      </c>
      <c r="P451" s="1857"/>
    </row>
    <row r="452" spans="2:16" s="1855" customFormat="1" ht="15">
      <c r="B452" s="1888"/>
      <c r="C452" s="1860" t="s">
        <v>1754</v>
      </c>
      <c r="D452" s="1861" t="str">
        <f>INDEX(AirQualityVectors[Description],MATCH(C452,AirQualityVectors[Code],0))</f>
        <v>PM10</v>
      </c>
      <c r="E452" s="1889" t="s">
        <v>779</v>
      </c>
      <c r="F452" s="1890">
        <f t="shared" ref="F452:O452" si="149">SUMPRODUCT(F$441:F$445,F$107:F$111)</f>
        <v>9.5029365697868577</v>
      </c>
      <c r="G452" s="1890">
        <f t="shared" si="149"/>
        <v>11.284564127118141</v>
      </c>
      <c r="H452" s="1890">
        <f t="shared" si="149"/>
        <v>8.3767447033998224</v>
      </c>
      <c r="I452" s="1890">
        <f t="shared" si="149"/>
        <v>5.6764810442265849</v>
      </c>
      <c r="J452" s="1890">
        <f t="shared" si="149"/>
        <v>5.0580957650415588</v>
      </c>
      <c r="K452" s="1890">
        <f t="shared" si="149"/>
        <v>4.57485581529955</v>
      </c>
      <c r="L452" s="1890">
        <f t="shared" si="149"/>
        <v>4.4364179746466945</v>
      </c>
      <c r="M452" s="1890">
        <f t="shared" si="149"/>
        <v>4.3604861867351321</v>
      </c>
      <c r="N452" s="1890">
        <f t="shared" si="149"/>
        <v>4.3458776981857223</v>
      </c>
      <c r="O452" s="1890">
        <f t="shared" si="149"/>
        <v>4.3461696514934136</v>
      </c>
      <c r="P452" s="1891"/>
    </row>
    <row r="453" spans="2:16" s="1855" customFormat="1" ht="15">
      <c r="B453" s="1888"/>
      <c r="C453" s="1860" t="s">
        <v>1755</v>
      </c>
      <c r="D453" s="1861" t="str">
        <f>INDEX(AirQualityVectors[Description],MATCH(C453,AirQualityVectors[Code],0))</f>
        <v>NOX</v>
      </c>
      <c r="E453" s="1889" t="s">
        <v>779</v>
      </c>
      <c r="F453" s="1890">
        <f t="shared" ref="F453:O453" si="150">SUMPRODUCT(F$441:F$445,F$116:F$120)</f>
        <v>249.51976908390503</v>
      </c>
      <c r="G453" s="1890">
        <f t="shared" si="150"/>
        <v>290.5695705089235</v>
      </c>
      <c r="H453" s="1890">
        <f t="shared" si="150"/>
        <v>220.41783832104309</v>
      </c>
      <c r="I453" s="1890">
        <f t="shared" si="150"/>
        <v>173.18320585856861</v>
      </c>
      <c r="J453" s="1890">
        <f t="shared" si="150"/>
        <v>161.8053713995595</v>
      </c>
      <c r="K453" s="1890">
        <f t="shared" si="150"/>
        <v>157.2431925343441</v>
      </c>
      <c r="L453" s="1890">
        <f t="shared" si="150"/>
        <v>154.85885366152252</v>
      </c>
      <c r="M453" s="1890">
        <f t="shared" si="150"/>
        <v>154.77154584355802</v>
      </c>
      <c r="N453" s="1890">
        <f t="shared" si="150"/>
        <v>156.98344934789696</v>
      </c>
      <c r="O453" s="1890">
        <f t="shared" si="150"/>
        <v>159.37023878380319</v>
      </c>
      <c r="P453" s="1891"/>
    </row>
    <row r="454" spans="2:16" s="1855" customFormat="1" ht="15">
      <c r="B454" s="1888"/>
      <c r="C454" s="1860" t="s">
        <v>1756</v>
      </c>
      <c r="D454" s="1861" t="str">
        <f>INDEX(AirQualityVectors[Description],MATCH(C454,AirQualityVectors[Code],0))</f>
        <v>SO2</v>
      </c>
      <c r="E454" s="1889" t="s">
        <v>779</v>
      </c>
      <c r="F454" s="1890">
        <f t="shared" ref="F454:O454" si="151">SUMPRODUCT(F$441:F$445,F$125:F$129)</f>
        <v>41.759459638957345</v>
      </c>
      <c r="G454" s="1890">
        <f t="shared" si="151"/>
        <v>60.116458904693708</v>
      </c>
      <c r="H454" s="1890">
        <f t="shared" si="151"/>
        <v>33.15523318155801</v>
      </c>
      <c r="I454" s="1890">
        <f t="shared" si="151"/>
        <v>8.7845728753302481</v>
      </c>
      <c r="J454" s="1890">
        <f t="shared" si="151"/>
        <v>8.9927989715220438</v>
      </c>
      <c r="K454" s="1890">
        <f t="shared" si="151"/>
        <v>9.3064512396671528</v>
      </c>
      <c r="L454" s="1890">
        <f t="shared" si="151"/>
        <v>9.633134641349292</v>
      </c>
      <c r="M454" s="1890">
        <f t="shared" si="151"/>
        <v>9.9657533790188957</v>
      </c>
      <c r="N454" s="1890">
        <f t="shared" si="151"/>
        <v>10.301974262895316</v>
      </c>
      <c r="O454" s="1890">
        <f t="shared" si="151"/>
        <v>10.642755884632134</v>
      </c>
      <c r="P454" s="1891"/>
    </row>
    <row r="455" spans="2:16" s="1855" customFormat="1" ht="15">
      <c r="B455" s="1888"/>
      <c r="C455" s="1863" t="s">
        <v>1757</v>
      </c>
      <c r="D455" s="1864" t="str">
        <f>INDEX(AirQualityVectors[Description],MATCH(C455,AirQualityVectors[Code],0))</f>
        <v>NMVOC</v>
      </c>
      <c r="E455" s="1889" t="s">
        <v>779</v>
      </c>
      <c r="F455" s="1890">
        <f t="shared" ref="F455:O455" si="152">SUMPRODUCT(F$441:F$445,F$134:F$138)</f>
        <v>10.860998474110868</v>
      </c>
      <c r="G455" s="1890">
        <f t="shared" si="152"/>
        <v>12.928344810666649</v>
      </c>
      <c r="H455" s="1890">
        <f t="shared" si="152"/>
        <v>10.468569826250894</v>
      </c>
      <c r="I455" s="1890">
        <f t="shared" si="152"/>
        <v>9.4980498919392016</v>
      </c>
      <c r="J455" s="1890">
        <f t="shared" si="152"/>
        <v>8.8070799256313244</v>
      </c>
      <c r="K455" s="1890">
        <f t="shared" si="152"/>
        <v>8.2435698797803152</v>
      </c>
      <c r="L455" s="1890">
        <f t="shared" si="152"/>
        <v>7.7880234665805332</v>
      </c>
      <c r="M455" s="1890">
        <f t="shared" si="152"/>
        <v>7.5797355406008471</v>
      </c>
      <c r="N455" s="1890">
        <f t="shared" si="152"/>
        <v>7.5509158433961048</v>
      </c>
      <c r="O455" s="1890">
        <f t="shared" si="152"/>
        <v>7.5167141937811452</v>
      </c>
      <c r="P455" s="1891"/>
    </row>
    <row r="456" spans="2:16" s="1855" customFormat="1" ht="15">
      <c r="B456" s="1888"/>
      <c r="C456" s="1889" t="s">
        <v>132</v>
      </c>
      <c r="D456" s="1889"/>
      <c r="E456" s="1889"/>
      <c r="F456" s="1892">
        <f>SUBTOTAL(109,XII.b.Total.AQ[2007])</f>
        <v>311.64316376676015</v>
      </c>
      <c r="G456" s="1892">
        <f>SUBTOTAL(109,XII.b.Total.AQ[2010])</f>
        <v>374.89893835140202</v>
      </c>
      <c r="H456" s="1892">
        <f>SUBTOTAL(109,XII.b.Total.AQ[2015])</f>
        <v>272.41838603225182</v>
      </c>
      <c r="I456" s="1892">
        <f>SUBTOTAL(109,XII.b.Total.AQ[2020])</f>
        <v>197.14230967006463</v>
      </c>
      <c r="J456" s="1892">
        <f>SUBTOTAL(109,XII.b.Total.AQ[2025])</f>
        <v>184.66334606175442</v>
      </c>
      <c r="K456" s="1892">
        <f>SUBTOTAL(109,XII.b.Total.AQ[2030])</f>
        <v>179.36806946909113</v>
      </c>
      <c r="L456" s="1892">
        <f>SUBTOTAL(109,XII.b.Total.AQ[2035])</f>
        <v>176.71642974409906</v>
      </c>
      <c r="M456" s="1892">
        <f>SUBTOTAL(109,XII.b.Total.AQ[2040])</f>
        <v>176.67752094991289</v>
      </c>
      <c r="N456" s="1892">
        <f>SUBTOTAL(109,XII.b.Total.AQ[2045])</f>
        <v>179.18221715237411</v>
      </c>
      <c r="O456" s="1892">
        <f>SUBTOTAL(109,XII.b.Total.AQ[2050])</f>
        <v>181.87587851370989</v>
      </c>
      <c r="P456" s="1891"/>
    </row>
    <row r="457" spans="2:16" s="1855" customFormat="1" ht="15">
      <c r="B457" s="1888"/>
      <c r="C457" s="1889"/>
      <c r="D457" s="1889"/>
      <c r="E457" s="1889"/>
      <c r="F457" s="1892"/>
      <c r="G457" s="1892"/>
      <c r="H457" s="1892"/>
      <c r="I457" s="1892"/>
      <c r="J457" s="1892"/>
      <c r="K457" s="1892"/>
      <c r="L457" s="1892"/>
      <c r="M457" s="1892"/>
      <c r="N457" s="1892"/>
      <c r="O457" s="1892"/>
      <c r="P457" s="1891"/>
    </row>
    <row r="458" spans="2:16" s="1855" customFormat="1" ht="15">
      <c r="B458" s="1888"/>
      <c r="C458" s="1893" t="s">
        <v>1313</v>
      </c>
      <c r="D458" s="1877"/>
      <c r="E458" s="1894"/>
      <c r="F458" s="1877"/>
      <c r="G458" s="1894"/>
      <c r="H458" s="1877"/>
      <c r="I458" s="1877"/>
      <c r="J458" s="1877"/>
      <c r="K458" s="1877"/>
      <c r="L458" s="1877"/>
      <c r="M458" s="1877"/>
      <c r="N458" s="1877"/>
      <c r="O458" s="1894" t="s">
        <v>1766</v>
      </c>
      <c r="P458" s="1891"/>
    </row>
    <row r="459" spans="2:16" s="1855" customFormat="1" ht="15">
      <c r="B459" s="1888"/>
      <c r="C459" s="1877"/>
      <c r="D459" s="1877"/>
      <c r="E459" s="1877"/>
      <c r="F459" s="1877"/>
      <c r="G459" s="1877"/>
      <c r="H459" s="1877"/>
      <c r="I459" s="1877"/>
      <c r="J459" s="1877"/>
      <c r="K459" s="1877"/>
      <c r="L459" s="1877"/>
      <c r="M459" s="1877"/>
      <c r="N459" s="1877"/>
      <c r="O459" s="1877"/>
      <c r="P459" s="1891"/>
    </row>
    <row r="460" spans="2:16" s="1855" customFormat="1" ht="15">
      <c r="B460" s="1888"/>
      <c r="C460" s="1865" t="s">
        <v>72</v>
      </c>
      <c r="D460" s="1866" t="s">
        <v>399</v>
      </c>
      <c r="E460" s="1866" t="s">
        <v>1768</v>
      </c>
      <c r="F460" s="1895" t="s">
        <v>579</v>
      </c>
      <c r="G460" s="1895" t="s">
        <v>580</v>
      </c>
      <c r="H460" s="1895" t="s">
        <v>605</v>
      </c>
      <c r="I460" s="1895" t="s">
        <v>606</v>
      </c>
      <c r="J460" s="1895" t="s">
        <v>607</v>
      </c>
      <c r="K460" s="1895" t="s">
        <v>608</v>
      </c>
      <c r="L460" s="1895" t="s">
        <v>609</v>
      </c>
      <c r="M460" s="1895" t="s">
        <v>610</v>
      </c>
      <c r="N460" s="1895" t="s">
        <v>611</v>
      </c>
      <c r="O460" s="1895" t="s">
        <v>612</v>
      </c>
      <c r="P460" s="1891"/>
    </row>
    <row r="461" spans="2:16" s="1855" customFormat="1" ht="15">
      <c r="B461" s="1888"/>
      <c r="C461" s="1860" t="s">
        <v>1754</v>
      </c>
      <c r="D461" s="1861" t="str">
        <f>INDEX(AirQualityVectors[Description],MATCH(C461,AirQualityVectors[Code],0))</f>
        <v>PM10</v>
      </c>
      <c r="E461" s="1889" t="s">
        <v>779</v>
      </c>
      <c r="F461" s="1890">
        <f t="shared" ref="F461:O461" si="153">SUMPRODUCT(F$443:F$444,F$109:F$110)</f>
        <v>4.4761772135880635</v>
      </c>
      <c r="G461" s="1890">
        <f t="shared" si="153"/>
        <v>4.2679711655295582</v>
      </c>
      <c r="H461" s="1890">
        <f t="shared" si="153"/>
        <v>3.1898980127251182</v>
      </c>
      <c r="I461" s="1890">
        <f t="shared" si="153"/>
        <v>2.186388692472188</v>
      </c>
      <c r="J461" s="1890">
        <f t="shared" si="153"/>
        <v>1.684820944188008</v>
      </c>
      <c r="K461" s="1890">
        <f t="shared" si="153"/>
        <v>1.2729333376071468</v>
      </c>
      <c r="L461" s="1890">
        <f t="shared" si="153"/>
        <v>1.173542934337187</v>
      </c>
      <c r="M461" s="1890">
        <f t="shared" si="153"/>
        <v>1.0817788731021214</v>
      </c>
      <c r="N461" s="1890">
        <f t="shared" si="153"/>
        <v>0.98067728527260889</v>
      </c>
      <c r="O461" s="1890">
        <f t="shared" si="153"/>
        <v>0.88573036814002182</v>
      </c>
      <c r="P461" s="1891"/>
    </row>
    <row r="462" spans="2:16" s="1855" customFormat="1" ht="15">
      <c r="B462" s="1888"/>
      <c r="C462" s="1860" t="s">
        <v>1755</v>
      </c>
      <c r="D462" s="1861" t="str">
        <f>INDEX(AirQualityVectors[Description],MATCH(C462,AirQualityVectors[Code],0))</f>
        <v>NOX</v>
      </c>
      <c r="E462" s="1889" t="s">
        <v>779</v>
      </c>
      <c r="F462" s="1890">
        <f t="shared" ref="F462:O462" si="154">SUMPRODUCT(F$443:F$444,F$118:F$119)</f>
        <v>118.88667016730575</v>
      </c>
      <c r="G462" s="1890">
        <f t="shared" si="154"/>
        <v>113.35674528246679</v>
      </c>
      <c r="H462" s="1890">
        <f t="shared" si="154"/>
        <v>50.89943630494222</v>
      </c>
      <c r="I462" s="1890">
        <f t="shared" si="154"/>
        <v>11.165609554509468</v>
      </c>
      <c r="J462" s="1890">
        <f t="shared" si="154"/>
        <v>4.6381573418307749</v>
      </c>
      <c r="K462" s="1890">
        <f t="shared" si="154"/>
        <v>3.2358185661877576</v>
      </c>
      <c r="L462" s="1890">
        <f t="shared" si="154"/>
        <v>2.9719092275141517</v>
      </c>
      <c r="M462" s="1890">
        <f t="shared" si="154"/>
        <v>2.7363369694857216</v>
      </c>
      <c r="N462" s="1890">
        <f t="shared" si="154"/>
        <v>2.4673222180617209</v>
      </c>
      <c r="O462" s="1890">
        <f t="shared" si="154"/>
        <v>2.2160159000569841</v>
      </c>
      <c r="P462" s="1891"/>
    </row>
    <row r="463" spans="2:16" s="1855" customFormat="1" ht="15">
      <c r="B463" s="1888"/>
      <c r="C463" s="1860" t="s">
        <v>1756</v>
      </c>
      <c r="D463" s="1861" t="str">
        <f>INDEX(AirQualityVectors[Description],MATCH(C463,AirQualityVectors[Code],0))</f>
        <v>SO2</v>
      </c>
      <c r="E463" s="1889" t="s">
        <v>779</v>
      </c>
      <c r="F463" s="1890">
        <f t="shared" ref="F463:O463" si="155">SUMPRODUCT(F$443:F$444,F$127:F$128)</f>
        <v>0.10241779257723713</v>
      </c>
      <c r="G463" s="1890">
        <f t="shared" si="155"/>
        <v>9.7653905263157995E-2</v>
      </c>
      <c r="H463" s="1890">
        <f t="shared" si="155"/>
        <v>9.1056820858329057E-2</v>
      </c>
      <c r="I463" s="1890">
        <f t="shared" si="155"/>
        <v>7.1212971026052119E-2</v>
      </c>
      <c r="J463" s="1890">
        <f t="shared" si="155"/>
        <v>5.35932558364609E-2</v>
      </c>
      <c r="K463" s="1890">
        <f t="shared" si="155"/>
        <v>3.8851034969354041E-2</v>
      </c>
      <c r="L463" s="1890">
        <f t="shared" si="155"/>
        <v>3.3856913818262203E-2</v>
      </c>
      <c r="M463" s="1890">
        <f t="shared" si="155"/>
        <v>3.1173201420789925E-2</v>
      </c>
      <c r="N463" s="1890">
        <f t="shared" si="155"/>
        <v>2.8108501742051085E-2</v>
      </c>
      <c r="O463" s="1890">
        <f t="shared" si="155"/>
        <v>2.5245542041970319E-2</v>
      </c>
      <c r="P463" s="1891"/>
    </row>
    <row r="464" spans="2:16" s="1855" customFormat="1" ht="15">
      <c r="B464" s="1888"/>
      <c r="C464" s="1863" t="s">
        <v>1757</v>
      </c>
      <c r="D464" s="1864" t="str">
        <f>INDEX(AirQualityVectors[Description],MATCH(C464,AirQualityVectors[Code],0))</f>
        <v>NMVOC</v>
      </c>
      <c r="E464" s="1889" t="s">
        <v>779</v>
      </c>
      <c r="F464" s="1890">
        <f t="shared" ref="F464:O464" si="156">SUMPRODUCT(F$443:F$444,F$136:F$137)</f>
        <v>3.3425762038138811</v>
      </c>
      <c r="G464" s="1890">
        <f t="shared" si="156"/>
        <v>3.1870987621214808</v>
      </c>
      <c r="H464" s="1890">
        <f t="shared" si="156"/>
        <v>0.86295983725260084</v>
      </c>
      <c r="I464" s="1890">
        <f t="shared" si="156"/>
        <v>0.11681768798457901</v>
      </c>
      <c r="J464" s="1890">
        <f t="shared" si="156"/>
        <v>6.0082907040387351E-2</v>
      </c>
      <c r="K464" s="1890">
        <f t="shared" si="156"/>
        <v>4.4302478722788946E-2</v>
      </c>
      <c r="L464" s="1890">
        <f t="shared" si="156"/>
        <v>4.0793694981345739E-2</v>
      </c>
      <c r="M464" s="1890">
        <f t="shared" si="156"/>
        <v>3.7560129584694374E-2</v>
      </c>
      <c r="N464" s="1890">
        <f t="shared" si="156"/>
        <v>3.3867518244659438E-2</v>
      </c>
      <c r="O464" s="1890">
        <f t="shared" si="156"/>
        <v>3.0417980422757205E-2</v>
      </c>
      <c r="P464" s="1891"/>
    </row>
    <row r="465" spans="2:16" s="1855" customFormat="1" ht="15">
      <c r="B465" s="1888"/>
      <c r="C465" s="1889" t="s">
        <v>132</v>
      </c>
      <c r="D465" s="1889"/>
      <c r="E465" s="1889"/>
      <c r="F465" s="1892">
        <f>SUBTOTAL(109,XII.b.Road.AQ[2007])</f>
        <v>126.80784137728493</v>
      </c>
      <c r="G465" s="1892">
        <f>SUBTOTAL(109,XII.b.Road.AQ[2010])</f>
        <v>120.90946911538099</v>
      </c>
      <c r="H465" s="1892">
        <f>SUBTOTAL(109,XII.b.Road.AQ[2015])</f>
        <v>55.043350975778267</v>
      </c>
      <c r="I465" s="1892">
        <f>SUBTOTAL(109,XII.b.Road.AQ[2020])</f>
        <v>13.540028905992285</v>
      </c>
      <c r="J465" s="1892">
        <f>SUBTOTAL(109,XII.b.Road.AQ[2025])</f>
        <v>6.4366544488956308</v>
      </c>
      <c r="K465" s="1892">
        <f>SUBTOTAL(109,XII.b.Road.AQ[2030])</f>
        <v>4.5919054174870464</v>
      </c>
      <c r="L465" s="1892">
        <f>SUBTOTAL(109,XII.b.Road.AQ[2035])</f>
        <v>4.2201027706509464</v>
      </c>
      <c r="M465" s="1892">
        <f>SUBTOTAL(109,XII.b.Road.AQ[2040])</f>
        <v>3.886849173593327</v>
      </c>
      <c r="N465" s="1892">
        <f>SUBTOTAL(109,XII.b.Road.AQ[2045])</f>
        <v>3.5099755233210406</v>
      </c>
      <c r="O465" s="1892">
        <f>SUBTOTAL(109,XII.b.Road.AQ[2050])</f>
        <v>3.1574097906617333</v>
      </c>
      <c r="P465" s="1891"/>
    </row>
    <row r="466" spans="2:16" s="1855" customFormat="1" ht="15">
      <c r="B466" s="1888"/>
      <c r="C466" s="1889"/>
      <c r="D466" s="1889"/>
      <c r="E466" s="1889"/>
      <c r="F466" s="1892"/>
      <c r="G466" s="1892"/>
      <c r="H466" s="1892"/>
      <c r="I466" s="1892"/>
      <c r="J466" s="1892"/>
      <c r="K466" s="1892"/>
      <c r="L466" s="1892"/>
      <c r="M466" s="1892"/>
      <c r="N466" s="1892"/>
      <c r="O466" s="1892"/>
      <c r="P466" s="1891"/>
    </row>
    <row r="467" spans="2:16" s="1855" customFormat="1" ht="15">
      <c r="B467" s="1888"/>
      <c r="C467" s="1893" t="s">
        <v>1312</v>
      </c>
      <c r="D467" s="1877"/>
      <c r="E467" s="1894"/>
      <c r="F467" s="1877"/>
      <c r="G467" s="1894"/>
      <c r="H467" s="1877"/>
      <c r="I467" s="1877"/>
      <c r="J467" s="1877"/>
      <c r="K467" s="1877"/>
      <c r="L467" s="1877"/>
      <c r="M467" s="1877"/>
      <c r="N467" s="1877"/>
      <c r="O467" s="1894" t="s">
        <v>1766</v>
      </c>
      <c r="P467" s="1891"/>
    </row>
    <row r="468" spans="2:16" s="1855" customFormat="1" ht="15">
      <c r="B468" s="1888"/>
      <c r="C468" s="1877"/>
      <c r="D468" s="1877"/>
      <c r="E468" s="1877"/>
      <c r="F468" s="1877"/>
      <c r="G468" s="1877"/>
      <c r="H468" s="1877"/>
      <c r="I468" s="1877"/>
      <c r="J468" s="1877"/>
      <c r="K468" s="1877"/>
      <c r="L468" s="1877"/>
      <c r="M468" s="1877"/>
      <c r="N468" s="1877"/>
      <c r="O468" s="1877"/>
      <c r="P468" s="1891"/>
    </row>
    <row r="469" spans="2:16" s="1855" customFormat="1" ht="15">
      <c r="B469" s="1888"/>
      <c r="C469" s="1865" t="s">
        <v>72</v>
      </c>
      <c r="D469" s="1866" t="s">
        <v>399</v>
      </c>
      <c r="E469" s="1866" t="s">
        <v>1768</v>
      </c>
      <c r="F469" s="1895" t="s">
        <v>579</v>
      </c>
      <c r="G469" s="1895" t="s">
        <v>580</v>
      </c>
      <c r="H469" s="1895" t="s">
        <v>605</v>
      </c>
      <c r="I469" s="1895" t="s">
        <v>606</v>
      </c>
      <c r="J469" s="1895" t="s">
        <v>607</v>
      </c>
      <c r="K469" s="1895" t="s">
        <v>608</v>
      </c>
      <c r="L469" s="1895" t="s">
        <v>609</v>
      </c>
      <c r="M469" s="1895" t="s">
        <v>610</v>
      </c>
      <c r="N469" s="1895" t="s">
        <v>611</v>
      </c>
      <c r="O469" s="1895" t="s">
        <v>612</v>
      </c>
      <c r="P469" s="1891"/>
    </row>
    <row r="470" spans="2:16" s="1855" customFormat="1" ht="15">
      <c r="B470" s="1888"/>
      <c r="C470" s="1860" t="s">
        <v>1754</v>
      </c>
      <c r="D470" s="1861" t="str">
        <f>INDEX(AirQualityVectors[Description],MATCH(C470,AirQualityVectors[Code],0))</f>
        <v>PM10</v>
      </c>
      <c r="E470" s="1889" t="s">
        <v>779</v>
      </c>
      <c r="F470" s="1890">
        <f t="shared" ref="F470:O470" si="157">SUMPRODUCT(F$441:F$442,F$107:F$108)</f>
        <v>0.65594143923216541</v>
      </c>
      <c r="G470" s="1890">
        <f t="shared" si="157"/>
        <v>0.71147344216734132</v>
      </c>
      <c r="H470" s="1890">
        <f t="shared" si="157"/>
        <v>0.71181661851686284</v>
      </c>
      <c r="I470" s="1890">
        <f t="shared" si="157"/>
        <v>0.65191516409705119</v>
      </c>
      <c r="J470" s="1890">
        <f t="shared" si="157"/>
        <v>0.46133440716412272</v>
      </c>
      <c r="K470" s="1890">
        <f t="shared" si="157"/>
        <v>0.28272906933899622</v>
      </c>
      <c r="L470" s="1890">
        <f t="shared" si="157"/>
        <v>0.13530536116181252</v>
      </c>
      <c r="M470" s="1890">
        <f t="shared" si="157"/>
        <v>4.1540676227835527E-2</v>
      </c>
      <c r="N470" s="1890">
        <f t="shared" si="157"/>
        <v>1.7113401803360104E-2</v>
      </c>
      <c r="O470" s="1890">
        <f t="shared" si="157"/>
        <v>0</v>
      </c>
      <c r="P470" s="1891"/>
    </row>
    <row r="471" spans="2:16" s="1855" customFormat="1" ht="15">
      <c r="B471" s="1888"/>
      <c r="C471" s="1860" t="s">
        <v>1755</v>
      </c>
      <c r="D471" s="1861" t="str">
        <f>INDEX(AirQualityVectors[Description],MATCH(C471,AirQualityVectors[Code],0))</f>
        <v>NOX</v>
      </c>
      <c r="E471" s="1889" t="s">
        <v>779</v>
      </c>
      <c r="F471" s="1890">
        <f t="shared" ref="F471:O471" si="158">SUMPRODUCT(F$441:F$442,F$116:F$117)</f>
        <v>31.383564353122058</v>
      </c>
      <c r="G471" s="1890">
        <f t="shared" si="158"/>
        <v>34.040496944259978</v>
      </c>
      <c r="H471" s="1890">
        <f t="shared" si="158"/>
        <v>34.701301610165892</v>
      </c>
      <c r="I471" s="1890">
        <f t="shared" si="158"/>
        <v>33.12311389590873</v>
      </c>
      <c r="J471" s="1890">
        <f t="shared" si="158"/>
        <v>24.922809424317787</v>
      </c>
      <c r="K471" s="1890">
        <f t="shared" si="158"/>
        <v>16.892125014645597</v>
      </c>
      <c r="L471" s="1890">
        <f t="shared" si="158"/>
        <v>9.8498381031273077</v>
      </c>
      <c r="M471" s="1890">
        <f t="shared" si="158"/>
        <v>5.0208082186724559</v>
      </c>
      <c r="N471" s="1890">
        <f t="shared" si="158"/>
        <v>2.464329859683855</v>
      </c>
      <c r="O471" s="1890">
        <f t="shared" si="158"/>
        <v>0</v>
      </c>
      <c r="P471" s="1891"/>
    </row>
    <row r="472" spans="2:16" s="1855" customFormat="1" ht="15">
      <c r="B472" s="1888"/>
      <c r="C472" s="1860" t="s">
        <v>1756</v>
      </c>
      <c r="D472" s="1861" t="str">
        <f>INDEX(AirQualityVectors[Description],MATCH(C472,AirQualityVectors[Code],0))</f>
        <v>SO2</v>
      </c>
      <c r="E472" s="1889" t="s">
        <v>779</v>
      </c>
      <c r="F472" s="1890">
        <f t="shared" ref="F472:O472" si="159">SUMPRODUCT(F$441:F$442,F$125:F$126)</f>
        <v>0.20543755231696798</v>
      </c>
      <c r="G472" s="1890">
        <f t="shared" si="159"/>
        <v>0.22282989571215836</v>
      </c>
      <c r="H472" s="1890">
        <f t="shared" si="159"/>
        <v>4.5749836225464158E-3</v>
      </c>
      <c r="I472" s="1890">
        <f t="shared" si="159"/>
        <v>5.1083857706442472E-3</v>
      </c>
      <c r="J472" s="1890">
        <f t="shared" si="159"/>
        <v>4.6298056026729557E-3</v>
      </c>
      <c r="K472" s="1890">
        <f t="shared" si="159"/>
        <v>3.9447509868242069E-3</v>
      </c>
      <c r="L472" s="1890">
        <f t="shared" si="159"/>
        <v>3.0962325208652697E-3</v>
      </c>
      <c r="M472" s="1890">
        <f t="shared" si="159"/>
        <v>2.1272608025634113E-3</v>
      </c>
      <c r="N472" s="1890">
        <f t="shared" si="159"/>
        <v>1.0808464296858994E-3</v>
      </c>
      <c r="O472" s="1890">
        <f t="shared" si="159"/>
        <v>0</v>
      </c>
      <c r="P472" s="1891"/>
    </row>
    <row r="473" spans="2:16" s="1855" customFormat="1" ht="15">
      <c r="B473" s="1888"/>
      <c r="C473" s="1863" t="s">
        <v>1757</v>
      </c>
      <c r="D473" s="1864" t="str">
        <f>INDEX(AirQualityVectors[Description],MATCH(C473,AirQualityVectors[Code],0))</f>
        <v>NMVOC</v>
      </c>
      <c r="E473" s="1889" t="s">
        <v>779</v>
      </c>
      <c r="F473" s="1890">
        <f>SUMPRODUCT(F$441:F$442,F$134:F$135)</f>
        <v>3.0860043016645609</v>
      </c>
      <c r="G473" s="1890">
        <f>SUMPRODUCT(G$441:G$442,G$134:G$135)</f>
        <v>3.3472654290886905</v>
      </c>
      <c r="H473" s="1890">
        <f t="shared" ref="H473:O473" si="160">SUMPRODUCT(H$441:H$442,H$134:H$135)</f>
        <v>3.3870687916917097</v>
      </c>
      <c r="I473" s="1890">
        <f t="shared" si="160"/>
        <v>3.2411345478532301</v>
      </c>
      <c r="J473" s="1890">
        <f t="shared" si="160"/>
        <v>2.4473203858013748</v>
      </c>
      <c r="K473" s="1890">
        <f t="shared" si="160"/>
        <v>1.6675602016035485</v>
      </c>
      <c r="L473" s="1890">
        <f t="shared" si="160"/>
        <v>0.98106191578630131</v>
      </c>
      <c r="M473" s="1890">
        <f t="shared" si="160"/>
        <v>0.53890606998273183</v>
      </c>
      <c r="N473" s="1890">
        <f t="shared" si="160"/>
        <v>0.27381442885376167</v>
      </c>
      <c r="O473" s="1890">
        <f t="shared" si="160"/>
        <v>0</v>
      </c>
      <c r="P473" s="1891"/>
    </row>
    <row r="474" spans="2:16" s="1855" customFormat="1" ht="15">
      <c r="B474" s="1888"/>
      <c r="C474" s="1889" t="s">
        <v>132</v>
      </c>
      <c r="D474" s="1889"/>
      <c r="E474" s="1889"/>
      <c r="F474" s="1892">
        <f>SUBTOTAL(109,XII.b.Rail.AQ[2007])</f>
        <v>35.330947646335744</v>
      </c>
      <c r="G474" s="1892">
        <f>SUBTOTAL(109,XII.b.Rail.AQ[2010])</f>
        <v>38.32206571122817</v>
      </c>
      <c r="H474" s="1892">
        <f>SUBTOTAL(109,XII.b.Rail.AQ[2015])</f>
        <v>38.804762003997013</v>
      </c>
      <c r="I474" s="1892">
        <f>SUBTOTAL(109,XII.b.Rail.AQ[2020])</f>
        <v>37.021271993629654</v>
      </c>
      <c r="J474" s="1892">
        <f>SUBTOTAL(109,XII.b.Rail.AQ[2025])</f>
        <v>27.836094022885959</v>
      </c>
      <c r="K474" s="1892">
        <f>SUBTOTAL(109,XII.b.Rail.AQ[2030])</f>
        <v>18.846359036574967</v>
      </c>
      <c r="L474" s="1892">
        <f>SUBTOTAL(109,XII.b.Rail.AQ[2035])</f>
        <v>10.969301612596286</v>
      </c>
      <c r="M474" s="1892">
        <f>SUBTOTAL(109,XII.b.Rail.AQ[2040])</f>
        <v>5.6033822256855865</v>
      </c>
      <c r="N474" s="1892">
        <f>SUBTOTAL(109,XII.b.Rail.AQ[2045])</f>
        <v>2.7563385367706625</v>
      </c>
      <c r="O474" s="1892">
        <f>SUBTOTAL(109,XII.b.Rail.AQ[2050])</f>
        <v>0</v>
      </c>
      <c r="P474" s="1891"/>
    </row>
    <row r="475" spans="2:16" s="1855" customFormat="1" ht="15">
      <c r="B475" s="1888"/>
      <c r="C475" s="1889"/>
      <c r="D475" s="1889"/>
      <c r="E475" s="1889"/>
      <c r="F475" s="1892"/>
      <c r="G475" s="1892"/>
      <c r="H475" s="1892"/>
      <c r="I475" s="1892"/>
      <c r="J475" s="1892"/>
      <c r="K475" s="1892"/>
      <c r="L475" s="1892"/>
      <c r="M475" s="1892"/>
      <c r="N475" s="1892"/>
      <c r="O475" s="1892"/>
      <c r="P475" s="1891"/>
    </row>
    <row r="476" spans="2:16" s="1855" customFormat="1" ht="15">
      <c r="B476" s="1888"/>
      <c r="C476" s="1893" t="s">
        <v>1321</v>
      </c>
      <c r="D476" s="1877"/>
      <c r="E476" s="1894"/>
      <c r="F476" s="1877"/>
      <c r="G476" s="1894"/>
      <c r="H476" s="1877"/>
      <c r="I476" s="1877"/>
      <c r="J476" s="1877"/>
      <c r="K476" s="1877"/>
      <c r="L476" s="1877"/>
      <c r="M476" s="1877"/>
      <c r="N476" s="1877"/>
      <c r="O476" s="1894" t="s">
        <v>1766</v>
      </c>
      <c r="P476" s="1891"/>
    </row>
    <row r="477" spans="2:16" s="1855" customFormat="1" ht="15">
      <c r="B477" s="1888"/>
      <c r="C477" s="1877"/>
      <c r="D477" s="1877"/>
      <c r="E477" s="1877"/>
      <c r="F477" s="1877"/>
      <c r="G477" s="1877"/>
      <c r="H477" s="1877"/>
      <c r="I477" s="1877"/>
      <c r="J477" s="1877"/>
      <c r="K477" s="1877"/>
      <c r="L477" s="1877"/>
      <c r="M477" s="1877"/>
      <c r="N477" s="1877"/>
      <c r="O477" s="1877"/>
      <c r="P477" s="1891"/>
    </row>
    <row r="478" spans="2:16" s="1855" customFormat="1" ht="15">
      <c r="B478" s="1888"/>
      <c r="C478" s="1865" t="s">
        <v>72</v>
      </c>
      <c r="D478" s="1866" t="s">
        <v>399</v>
      </c>
      <c r="E478" s="1866" t="s">
        <v>1768</v>
      </c>
      <c r="F478" s="1895" t="s">
        <v>579</v>
      </c>
      <c r="G478" s="1895" t="s">
        <v>580</v>
      </c>
      <c r="H478" s="1895" t="s">
        <v>605</v>
      </c>
      <c r="I478" s="1895" t="s">
        <v>606</v>
      </c>
      <c r="J478" s="1895" t="s">
        <v>607</v>
      </c>
      <c r="K478" s="1895" t="s">
        <v>608</v>
      </c>
      <c r="L478" s="1895" t="s">
        <v>609</v>
      </c>
      <c r="M478" s="1895" t="s">
        <v>610</v>
      </c>
      <c r="N478" s="1895" t="s">
        <v>611</v>
      </c>
      <c r="O478" s="1895" t="s">
        <v>612</v>
      </c>
      <c r="P478" s="1891"/>
    </row>
    <row r="479" spans="2:16" s="1855" customFormat="1" ht="15">
      <c r="B479" s="1888"/>
      <c r="C479" s="1860" t="s">
        <v>1754</v>
      </c>
      <c r="D479" s="1861" t="str">
        <f>INDEX(AirQualityVectors[Description],MATCH(C479,AirQualityVectors[Code],0))</f>
        <v>PM10</v>
      </c>
      <c r="E479" s="1889" t="s">
        <v>779</v>
      </c>
      <c r="F479" s="1890">
        <f t="shared" ref="F479:O479" si="161">F$445*F$111</f>
        <v>4.3708179169666286</v>
      </c>
      <c r="G479" s="1890">
        <f t="shared" si="161"/>
        <v>6.3051195194212406</v>
      </c>
      <c r="H479" s="1890">
        <f t="shared" si="161"/>
        <v>4.4750300721578418</v>
      </c>
      <c r="I479" s="1890">
        <f t="shared" si="161"/>
        <v>2.8381771876573456</v>
      </c>
      <c r="J479" s="1890">
        <f t="shared" si="161"/>
        <v>2.911940413689428</v>
      </c>
      <c r="K479" s="1890">
        <f t="shared" si="161"/>
        <v>3.0191934083534067</v>
      </c>
      <c r="L479" s="1890">
        <f t="shared" si="161"/>
        <v>3.1275696791476952</v>
      </c>
      <c r="M479" s="1890">
        <f t="shared" si="161"/>
        <v>3.2371666374051755</v>
      </c>
      <c r="N479" s="1890">
        <f t="shared" si="161"/>
        <v>3.3480870111097536</v>
      </c>
      <c r="O479" s="1890">
        <f t="shared" si="161"/>
        <v>3.4604392833533919</v>
      </c>
      <c r="P479" s="1891"/>
    </row>
    <row r="480" spans="2:16" s="1855" customFormat="1" ht="15">
      <c r="B480" s="1888"/>
      <c r="C480" s="1860" t="s">
        <v>1755</v>
      </c>
      <c r="D480" s="1861" t="str">
        <f>INDEX(AirQualityVectors[Description],MATCH(C480,AirQualityVectors[Code],0))</f>
        <v>NOX</v>
      </c>
      <c r="E480" s="1889" t="s">
        <v>779</v>
      </c>
      <c r="F480" s="1890">
        <f t="shared" ref="F480:O480" si="162">F$445*F$120</f>
        <v>99.249534563477241</v>
      </c>
      <c r="G480" s="1890">
        <f t="shared" si="162"/>
        <v>143.17232828219673</v>
      </c>
      <c r="H480" s="1890">
        <f t="shared" si="162"/>
        <v>134.81710040593498</v>
      </c>
      <c r="I480" s="1890">
        <f t="shared" si="162"/>
        <v>128.89448240815042</v>
      </c>
      <c r="J480" s="1890">
        <f t="shared" si="162"/>
        <v>132.24440463341094</v>
      </c>
      <c r="K480" s="1890">
        <f t="shared" si="162"/>
        <v>137.11524895351076</v>
      </c>
      <c r="L480" s="1890">
        <f t="shared" si="162"/>
        <v>142.03710633088104</v>
      </c>
      <c r="M480" s="1890">
        <f t="shared" si="162"/>
        <v>147.01440065539984</v>
      </c>
      <c r="N480" s="1890">
        <f t="shared" si="162"/>
        <v>152.05179727015138</v>
      </c>
      <c r="O480" s="1890">
        <f t="shared" si="162"/>
        <v>157.1542228837462</v>
      </c>
      <c r="P480" s="1891"/>
    </row>
    <row r="481" spans="2:16" s="1855" customFormat="1" ht="15">
      <c r="B481" s="1888"/>
      <c r="C481" s="1860" t="s">
        <v>1756</v>
      </c>
      <c r="D481" s="1861" t="str">
        <f>INDEX(AirQualityVectors[Description],MATCH(C481,AirQualityVectors[Code],0))</f>
        <v>SO2</v>
      </c>
      <c r="E481" s="1889" t="s">
        <v>779</v>
      </c>
      <c r="F481" s="1890">
        <f t="shared" ref="F481:O481" si="163">F$445*F$129</f>
        <v>41.451604294063138</v>
      </c>
      <c r="G481" s="1890">
        <f t="shared" si="163"/>
        <v>59.795975103718391</v>
      </c>
      <c r="H481" s="1890">
        <f t="shared" si="163"/>
        <v>33.059601377077136</v>
      </c>
      <c r="I481" s="1890">
        <f t="shared" si="163"/>
        <v>8.7082515185335509</v>
      </c>
      <c r="J481" s="1890">
        <f t="shared" si="163"/>
        <v>8.9345759100829092</v>
      </c>
      <c r="K481" s="1890">
        <f t="shared" si="163"/>
        <v>9.2636554537109745</v>
      </c>
      <c r="L481" s="1890">
        <f t="shared" si="163"/>
        <v>9.596181495010164</v>
      </c>
      <c r="M481" s="1890">
        <f t="shared" si="163"/>
        <v>9.9324529167955422</v>
      </c>
      <c r="N481" s="1890">
        <f t="shared" si="163"/>
        <v>10.272784914723578</v>
      </c>
      <c r="O481" s="1890">
        <f t="shared" si="163"/>
        <v>10.617510342590164</v>
      </c>
      <c r="P481" s="1891"/>
    </row>
    <row r="482" spans="2:16" s="1855" customFormat="1" ht="15">
      <c r="B482" s="1888"/>
      <c r="C482" s="1863" t="s">
        <v>1757</v>
      </c>
      <c r="D482" s="1864" t="str">
        <f>INDEX(AirQualityVectors[Description],MATCH(C482,AirQualityVectors[Code],0))</f>
        <v>NMVOC</v>
      </c>
      <c r="E482" s="1889" t="s">
        <v>779</v>
      </c>
      <c r="F482" s="1890">
        <f t="shared" ref="F482:O482" si="164">F$445*F$138</f>
        <v>4.4324179686324268</v>
      </c>
      <c r="G482" s="1890">
        <f t="shared" si="164"/>
        <v>6.3939806194564781</v>
      </c>
      <c r="H482" s="1890">
        <f t="shared" si="164"/>
        <v>6.2185411973065836</v>
      </c>
      <c r="I482" s="1890">
        <f t="shared" si="164"/>
        <v>6.1400976561013927</v>
      </c>
      <c r="J482" s="1890">
        <f t="shared" si="164"/>
        <v>6.2996766327895619</v>
      </c>
      <c r="K482" s="1890">
        <f t="shared" si="164"/>
        <v>6.5317071994539777</v>
      </c>
      <c r="L482" s="1890">
        <f t="shared" si="164"/>
        <v>6.7661678558128857</v>
      </c>
      <c r="M482" s="1890">
        <f t="shared" si="164"/>
        <v>7.0032693410334206</v>
      </c>
      <c r="N482" s="1890">
        <f t="shared" si="164"/>
        <v>7.2432338962976832</v>
      </c>
      <c r="O482" s="1890">
        <f t="shared" si="164"/>
        <v>7.4862962133583881</v>
      </c>
      <c r="P482" s="1891"/>
    </row>
    <row r="483" spans="2:16" s="1855" customFormat="1" ht="15">
      <c r="B483" s="1888"/>
      <c r="C483" s="1889" t="s">
        <v>132</v>
      </c>
      <c r="D483" s="1889"/>
      <c r="E483" s="1889"/>
      <c r="F483" s="1892">
        <f>SUBTOTAL(109,XII.b.NationalNavigation.AQ[2007])</f>
        <v>149.50437474313944</v>
      </c>
      <c r="G483" s="1892">
        <f>SUBTOTAL(109,XII.b.NationalNavigation.AQ[2010])</f>
        <v>215.66740352479283</v>
      </c>
      <c r="H483" s="1892">
        <f>SUBTOTAL(109,XII.b.NationalNavigation.AQ[2015])</f>
        <v>178.57027305247655</v>
      </c>
      <c r="I483" s="1892">
        <f>SUBTOTAL(109,XII.b.NationalNavigation.AQ[2020])</f>
        <v>146.58100877044274</v>
      </c>
      <c r="J483" s="1892">
        <f>SUBTOTAL(109,XII.b.NationalNavigation.AQ[2025])</f>
        <v>150.39059758997283</v>
      </c>
      <c r="K483" s="1892">
        <f>SUBTOTAL(109,XII.b.NationalNavigation.AQ[2030])</f>
        <v>155.92980501502913</v>
      </c>
      <c r="L483" s="1892">
        <f>SUBTOTAL(109,XII.b.NationalNavigation.AQ[2035])</f>
        <v>161.52702536085178</v>
      </c>
      <c r="M483" s="1892">
        <f>SUBTOTAL(109,XII.b.NationalNavigation.AQ[2040])</f>
        <v>167.18728955063398</v>
      </c>
      <c r="N483" s="1892">
        <f>SUBTOTAL(109,XII.b.NationalNavigation.AQ[2045])</f>
        <v>172.91590309228241</v>
      </c>
      <c r="O483" s="1892">
        <f>SUBTOTAL(109,XII.b.NationalNavigation.AQ[2050])</f>
        <v>178.71846872304815</v>
      </c>
      <c r="P483" s="1891"/>
    </row>
    <row r="484" spans="2:16" s="1855" customFormat="1" ht="15">
      <c r="B484" s="1888"/>
      <c r="C484" s="1877"/>
      <c r="D484" s="1877"/>
      <c r="E484" s="1877"/>
      <c r="F484" s="1877"/>
      <c r="G484" s="1877"/>
      <c r="H484" s="1877"/>
      <c r="I484" s="1877"/>
      <c r="J484" s="1877"/>
      <c r="K484" s="1877"/>
      <c r="L484" s="1877"/>
      <c r="M484" s="1877"/>
      <c r="N484" s="1877"/>
      <c r="O484" s="1877"/>
      <c r="P484" s="1891"/>
    </row>
    <row r="725" spans="6:15">
      <c r="F725" s="117">
        <f>F$685*INDEX(EF[CO2], MATCH("V.04", EF[Vector], 0))</f>
        <v>0</v>
      </c>
      <c r="G725" s="1993">
        <f>G$685*INDEX(EF[CO2], MATCH("V.04", EF[Vector], 0))</f>
        <v>0</v>
      </c>
      <c r="H725" s="1993">
        <f>H$685*INDEX(EF[CO2], MATCH("V.04", EF[Vector], 0))</f>
        <v>0</v>
      </c>
      <c r="I725" s="1993">
        <f>I$685*INDEX(EF[CO2], MATCH("V.04", EF[Vector], 0))</f>
        <v>0</v>
      </c>
      <c r="J725" s="1993">
        <f>J$685*INDEX(EF[CO2], MATCH("V.04", EF[Vector], 0))</f>
        <v>0</v>
      </c>
      <c r="K725" s="1993">
        <f>K$685*INDEX(EF[CO2], MATCH("V.04", EF[Vector], 0))</f>
        <v>0</v>
      </c>
      <c r="L725" s="1993">
        <f>L$685*INDEX(EF[CO2], MATCH("V.04", EF[Vector], 0))</f>
        <v>0</v>
      </c>
      <c r="M725" s="1993">
        <f>M$685*INDEX(EF[CO2], MATCH("V.04", EF[Vector], 0))</f>
        <v>0</v>
      </c>
      <c r="N725" s="1993">
        <f>N$685*INDEX(EF[CO2], MATCH("V.04", EF[Vector], 0))</f>
        <v>0</v>
      </c>
      <c r="O725" s="1993">
        <f>O$685*INDEX(EF[CO2], MATCH("V.04", EF[Vector], 0))</f>
        <v>0</v>
      </c>
    </row>
    <row r="726" spans="6:15">
      <c r="F726" s="1993">
        <f>F$685*INDEX(EF[CH4], MATCH("V.04", EF[Vector], 0))</f>
        <v>0</v>
      </c>
      <c r="G726" s="1993">
        <f>G$685*INDEX(EF[CH4], MATCH("V.04", EF[Vector], 0))</f>
        <v>0</v>
      </c>
      <c r="H726" s="1993">
        <f>H$685*INDEX(EF[CH4], MATCH("V.04", EF[Vector], 0))</f>
        <v>0</v>
      </c>
      <c r="I726" s="1993">
        <f>I$685*INDEX(EF[CH4], MATCH("V.04", EF[Vector], 0))</f>
        <v>0</v>
      </c>
      <c r="J726" s="1993">
        <f>J$685*INDEX(EF[CH4], MATCH("V.04", EF[Vector], 0))</f>
        <v>0</v>
      </c>
      <c r="K726" s="1993">
        <f>K$685*INDEX(EF[CH4], MATCH("V.04", EF[Vector], 0))</f>
        <v>0</v>
      </c>
      <c r="L726" s="1993">
        <f>L$685*INDEX(EF[CH4], MATCH("V.04", EF[Vector], 0))</f>
        <v>0</v>
      </c>
      <c r="M726" s="1993">
        <f>M$685*INDEX(EF[CH4], MATCH("V.04", EF[Vector], 0))</f>
        <v>0</v>
      </c>
      <c r="N726" s="1993">
        <f>N$685*INDEX(EF[CH4], MATCH("V.04", EF[Vector], 0))</f>
        <v>0</v>
      </c>
      <c r="O726" s="1993">
        <f>O$685*INDEX(EF[CH4], MATCH("V.04", EF[Vector], 0))</f>
        <v>0</v>
      </c>
    </row>
    <row r="727" spans="6:15">
      <c r="F727" s="117">
        <f>F$685*INDEX(EF[N2O], MATCH("V.04", EF[Vector], 0))</f>
        <v>0</v>
      </c>
      <c r="G727" s="1993">
        <f>G$685*INDEX(EF[N2O], MATCH("V.04", EF[Vector], 0))</f>
        <v>0</v>
      </c>
      <c r="H727" s="1993">
        <f>H$685*INDEX(EF[N2O], MATCH("V.04", EF[Vector], 0))</f>
        <v>0</v>
      </c>
      <c r="I727" s="1993">
        <f>I$685*INDEX(EF[N2O], MATCH("V.04", EF[Vector], 0))</f>
        <v>0</v>
      </c>
      <c r="J727" s="1993">
        <f>J$685*INDEX(EF[N2O], MATCH("V.04", EF[Vector], 0))</f>
        <v>0</v>
      </c>
      <c r="K727" s="1993">
        <f>K$685*INDEX(EF[N2O], MATCH("V.04", EF[Vector], 0))</f>
        <v>0</v>
      </c>
      <c r="L727" s="1993">
        <f>L$685*INDEX(EF[N2O], MATCH("V.04", EF[Vector], 0))</f>
        <v>0</v>
      </c>
      <c r="M727" s="1993">
        <f>M$685*INDEX(EF[N2O], MATCH("V.04", EF[Vector], 0))</f>
        <v>0</v>
      </c>
      <c r="N727" s="1993">
        <f>N$685*INDEX(EF[N2O], MATCH("V.04", EF[Vector], 0))</f>
        <v>0</v>
      </c>
      <c r="O727" s="1993">
        <f>O$685*INDEX(EF[N2O], MATCH("V.04", EF[Vector], 0))</f>
        <v>0</v>
      </c>
    </row>
  </sheetData>
  <hyperlinks>
    <hyperlink ref="E2" r:id="rId1"/>
  </hyperlinks>
  <pageMargins left="0.7" right="0.7" top="0.75" bottom="0.75" header="0.3" footer="0.3"/>
  <pageSetup paperSize="9" orientation="portrait" horizontalDpi="300" verticalDpi="300"/>
  <ignoredErrors>
    <ignoredError sqref="I101 K101 M101 I64:I67 K64:K67 M64:M67 L64:L65 N64:N65" formula="1"/>
  </ignoredErrors>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Control</vt:lpstr>
      <vt:lpstr>Preferences</vt:lpstr>
      <vt:lpstr>Intermediate output</vt:lpstr>
      <vt:lpstr>Conversions</vt:lpstr>
      <vt:lpstr>Global assumptions</vt:lpstr>
      <vt:lpstr>Constants</vt:lpstr>
      <vt:lpstr>Structure of the model</vt:lpstr>
      <vt:lpstr>XII.a</vt:lpstr>
      <vt:lpstr>XII.b</vt:lpstr>
      <vt:lpstr>XII.c</vt:lpstr>
      <vt:lpstr>XII.e</vt:lpstr>
      <vt:lpstr>2007</vt:lpstr>
      <vt:lpstr>DUKES 09 (1.2)</vt:lpstr>
      <vt:lpstr>DUKES 09 (1.9)</vt:lpstr>
      <vt:lpstr>DUKES 09 (2.5)</vt:lpstr>
      <vt:lpstr>DUKES 09 (5.1)</vt:lpstr>
      <vt:lpstr>DUKES 09 (5.6)</vt:lpstr>
      <vt:lpstr>DUKES 09 (7.2)</vt:lpstr>
      <vt:lpstr>DUKES 09 (7.4)</vt:lpstr>
      <vt:lpstr>DUKES 09 (A.1)</vt:lpstr>
      <vt:lpstr>DECC Energy Cons. (1.14)</vt:lpstr>
      <vt:lpstr>DECC Energy Cons. (4.1)</vt:lpstr>
    </vt:vector>
  </TitlesOfParts>
  <Company>Defra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Geddes</dc:creator>
  <cp:lastModifiedBy>Thomas Counsell</cp:lastModifiedBy>
  <cp:lastPrinted>2011-10-20T09:16:03Z</cp:lastPrinted>
  <dcterms:created xsi:type="dcterms:W3CDTF">2009-09-22T13:50:50Z</dcterms:created>
  <dcterms:modified xsi:type="dcterms:W3CDTF">2013-12-09T22:59:48Z</dcterms:modified>
</cp:coreProperties>
</file>