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</sheets>
  <definedNames/>
  <calcPr/>
</workbook>
</file>

<file path=xl/sharedStrings.xml><?xml version="1.0" encoding="utf-8"?>
<sst xmlns="http://schemas.openxmlformats.org/spreadsheetml/2006/main" count="74" uniqueCount="60">
  <si>
    <t>BSE Scrip Code</t>
  </si>
  <si>
    <t>Company Full Name</t>
  </si>
  <si>
    <t>MarketCapital</t>
  </si>
  <si>
    <t>Industry</t>
  </si>
  <si>
    <t>Housing Development Finance Corp Ltd.</t>
  </si>
  <si>
    <t>Housing Finance</t>
  </si>
  <si>
    <t>Bajaj Finance limited</t>
  </si>
  <si>
    <t>Finance</t>
  </si>
  <si>
    <t>State Bank of India</t>
  </si>
  <si>
    <t>Banks</t>
  </si>
  <si>
    <t>Titan Company Limited</t>
  </si>
  <si>
    <t>Other Apparels &amp; Accessories</t>
  </si>
  <si>
    <t>HDFC Bank Ltd</t>
  </si>
  <si>
    <t>Infosys Ltd</t>
  </si>
  <si>
    <t>IT Consulting &amp; Software</t>
  </si>
  <si>
    <t>Kotak Manindra Bank Ltd</t>
  </si>
  <si>
    <t>Oil and Natural Gas Corporation Ltd</t>
  </si>
  <si>
    <t>Exploration &amp; Production</t>
  </si>
  <si>
    <t>Reliance Industries Ltd</t>
  </si>
  <si>
    <t>Integrated Oil &amp; Gas</t>
  </si>
  <si>
    <t>TATA Steel Ltd</t>
  </si>
  <si>
    <t>Iron &amp; Steel/Interm.Products</t>
  </si>
  <si>
    <t>Larsen and Toubro Ltd</t>
  </si>
  <si>
    <t>Construction &amp; Engineering</t>
  </si>
  <si>
    <t>Mahindra and Mahindra Ltd</t>
  </si>
  <si>
    <t>Cars &amp; Utility Vehicles</t>
  </si>
  <si>
    <t>Hindustan Unilever Ltd</t>
  </si>
  <si>
    <t>Personal Products</t>
  </si>
  <si>
    <t>Nestle India Ltd</t>
  </si>
  <si>
    <t>Packaged Foods</t>
  </si>
  <si>
    <t>Asian Paints Ltd</t>
  </si>
  <si>
    <t>Furniture-Furnishing-Paints</t>
  </si>
  <si>
    <t>ITC Ltd</t>
  </si>
  <si>
    <t>Cigarettes-Tobacco Products</t>
  </si>
  <si>
    <t>Sun Pharmaceutical Industries Ltd</t>
  </si>
  <si>
    <t>Pharmaceuticals</t>
  </si>
  <si>
    <t>ICICI Bank Ltd</t>
  </si>
  <si>
    <t>Indusind Bank Ltd</t>
  </si>
  <si>
    <t>Axis Bank Ltd</t>
  </si>
  <si>
    <t>HTC Technologies Ltd</t>
  </si>
  <si>
    <t>Bharti Airtel Ltd</t>
  </si>
  <si>
    <t>Telecom Services</t>
  </si>
  <si>
    <t>Maruti Suzuki India Ltd</t>
  </si>
  <si>
    <t>Ultratech Cement Ltd</t>
  </si>
  <si>
    <t>Cement &amp; Cement Products</t>
  </si>
  <si>
    <t>Tata Consultancy Services ltd</t>
  </si>
  <si>
    <t>NTPC Ltd</t>
  </si>
  <si>
    <t>Electric Utilities</t>
  </si>
  <si>
    <t>Tech Mahindra ltd</t>
  </si>
  <si>
    <t>Power Grid Corporation Of India Ltd</t>
  </si>
  <si>
    <t>Bajaj Auto Auto Ltd</t>
  </si>
  <si>
    <t>2/3 Wheelers</t>
  </si>
  <si>
    <t>Bajaj Finserv Ltd</t>
  </si>
  <si>
    <t>Holding Companies</t>
  </si>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</sst>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>
      <sz val="11.0"/>
      <color rgb="FF4B4D4D"/>
      <name val="Arial"/>
    </font>
    <font>
      <sz val="11.0"/>
      <color rgb="FF000000"/>
      <name val="Inconsolata"/>
    </font>
    <font>
      <sz val="11.0"/>
      <color rgb="FF4B4D4D"/>
      <name val="La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64" xfId="0" applyFont="1" applyNumberFormat="1"/>
    <xf borderId="0" fillId="2" fontId="3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38.0"/>
    <col customWidth="1" min="3" max="3" width="17.14"/>
    <col customWidth="1" min="9" max="9" width="15.86"/>
    <col customWidth="1" min="10" max="10" width="28.43"/>
  </cols>
  <sheetData>
    <row r="1">
      <c r="A1" s="1" t="s">
        <v>0</v>
      </c>
      <c r="B1" s="1" t="s">
        <v>1</v>
      </c>
      <c r="C1" s="2" t="str">
        <f>IFERROR(__xludf.DUMMYFUNCTION("GOOGLEFINANCE(""BOM:500010"",""all"", TODAY()-2,TODAY()-1)"),"Date")</f>
        <v>Date</v>
      </c>
      <c r="D1" s="2" t="str">
        <f>IFERROR(__xludf.DUMMYFUNCTION("""COMPUTED_VALUE"""),"Open")</f>
        <v>Open</v>
      </c>
      <c r="E1" s="2" t="str">
        <f>IFERROR(__xludf.DUMMYFUNCTION("""COMPUTED_VALUE"""),"High")</f>
        <v>High</v>
      </c>
      <c r="F1" s="2" t="str">
        <f>IFERROR(__xludf.DUMMYFUNCTION("""COMPUTED_VALUE"""),"Low")</f>
        <v>Low</v>
      </c>
      <c r="G1" s="2" t="str">
        <f>IFERROR(__xludf.DUMMYFUNCTION("""COMPUTED_VALUE"""),"Close")</f>
        <v>Close</v>
      </c>
      <c r="H1" s="2" t="str">
        <f>IFERROR(__xludf.DUMMYFUNCTION("""COMPUTED_VALUE"""),"Volume")</f>
        <v>Volume</v>
      </c>
      <c r="I1" s="1" t="s">
        <v>2</v>
      </c>
      <c r="J1" s="1" t="s">
        <v>3</v>
      </c>
    </row>
    <row r="2">
      <c r="A2" s="3">
        <v>500010.0</v>
      </c>
      <c r="B2" s="3" t="s">
        <v>4</v>
      </c>
      <c r="C2" s="4">
        <f>IFERROR(__xludf.DUMMYFUNCTION("""COMPUTED_VALUE"""),44060.64583333333)</f>
        <v>44060.64583</v>
      </c>
      <c r="D2" s="2">
        <f>IFERROR(__xludf.DUMMYFUNCTION("""COMPUTED_VALUE"""),1800.1)</f>
        <v>1800.1</v>
      </c>
      <c r="E2" s="2">
        <f>IFERROR(__xludf.DUMMYFUNCTION("""COMPUTED_VALUE"""),1807.5)</f>
        <v>1807.5</v>
      </c>
      <c r="F2" s="2">
        <f>IFERROR(__xludf.DUMMYFUNCTION("""COMPUTED_VALUE"""),1782.85)</f>
        <v>1782.85</v>
      </c>
      <c r="G2" s="2">
        <f>IFERROR(__xludf.DUMMYFUNCTION("""COMPUTED_VALUE"""),1800.15)</f>
        <v>1800.15</v>
      </c>
      <c r="H2" s="2">
        <f>IFERROR(__xludf.DUMMYFUNCTION("""COMPUTED_VALUE"""),87843.0)</f>
        <v>87843</v>
      </c>
      <c r="I2" s="2">
        <f>IFERROR(__xludf.DUMMYFUNCTION("GOOGLEFINANCE(""BOM:500010"",""marketcap"")"),3.245349109463E12)</f>
        <v>3245349109463</v>
      </c>
      <c r="J2" s="3" t="s">
        <v>5</v>
      </c>
    </row>
    <row r="3">
      <c r="C3" s="5" t="str">
        <f>IFERROR(__xludf.DUMMYFUNCTION("GOOGLEFINANCE(""BOM:500034"",""all"", TODAY()-2,TODAY()-1)"),"Date")</f>
        <v>Date</v>
      </c>
      <c r="D3" s="2" t="str">
        <f>IFERROR(__xludf.DUMMYFUNCTION("""COMPUTED_VALUE"""),"Open")</f>
        <v>Open</v>
      </c>
      <c r="E3" s="2" t="str">
        <f>IFERROR(__xludf.DUMMYFUNCTION("""COMPUTED_VALUE"""),"High")</f>
        <v>High</v>
      </c>
      <c r="F3" s="2" t="str">
        <f>IFERROR(__xludf.DUMMYFUNCTION("""COMPUTED_VALUE"""),"Low")</f>
        <v>Low</v>
      </c>
      <c r="G3" s="2" t="str">
        <f>IFERROR(__xludf.DUMMYFUNCTION("""COMPUTED_VALUE"""),"Close")</f>
        <v>Close</v>
      </c>
      <c r="H3" s="2" t="str">
        <f>IFERROR(__xludf.DUMMYFUNCTION("""COMPUTED_VALUE"""),"Volume")</f>
        <v>Volume</v>
      </c>
    </row>
    <row r="4">
      <c r="A4" s="1">
        <v>500034.0</v>
      </c>
      <c r="B4" s="1" t="s">
        <v>6</v>
      </c>
      <c r="C4" s="4">
        <f>IFERROR(__xludf.DUMMYFUNCTION("""COMPUTED_VALUE"""),44060.64583333333)</f>
        <v>44060.64583</v>
      </c>
      <c r="D4" s="2">
        <f>IFERROR(__xludf.DUMMYFUNCTION("""COMPUTED_VALUE"""),3358.7)</f>
        <v>3358.7</v>
      </c>
      <c r="E4" s="2">
        <f>IFERROR(__xludf.DUMMYFUNCTION("""COMPUTED_VALUE"""),3399.8)</f>
        <v>3399.8</v>
      </c>
      <c r="F4" s="2">
        <f>IFERROR(__xludf.DUMMYFUNCTION("""COMPUTED_VALUE"""),3313.55)</f>
        <v>3313.55</v>
      </c>
      <c r="G4" s="2">
        <f>IFERROR(__xludf.DUMMYFUNCTION("""COMPUTED_VALUE"""),3384.35)</f>
        <v>3384.35</v>
      </c>
      <c r="H4" s="2">
        <f>IFERROR(__xludf.DUMMYFUNCTION("""COMPUTED_VALUE"""),195597.0)</f>
        <v>195597</v>
      </c>
      <c r="I4" s="5">
        <f>IFERROR(__xludf.DUMMYFUNCTION("GOOGLEFINANCE(""BOM:500034"",""marketcap"")"),2.033541495075E12)</f>
        <v>2033541495075</v>
      </c>
      <c r="J4" s="6" t="s">
        <v>7</v>
      </c>
    </row>
    <row r="5">
      <c r="C5" s="2" t="str">
        <f>IFERROR(__xludf.DUMMYFUNCTION("GOOGLEFINANCE(""BOM:500112"",""all"", TODAY()-2,TODAY()-1)"),"Date")</f>
        <v>Date</v>
      </c>
      <c r="D5" s="2" t="str">
        <f>IFERROR(__xludf.DUMMYFUNCTION("""COMPUTED_VALUE"""),"Open")</f>
        <v>Open</v>
      </c>
      <c r="E5" s="2" t="str">
        <f>IFERROR(__xludf.DUMMYFUNCTION("""COMPUTED_VALUE"""),"High")</f>
        <v>High</v>
      </c>
      <c r="F5" s="2" t="str">
        <f>IFERROR(__xludf.DUMMYFUNCTION("""COMPUTED_VALUE"""),"Low")</f>
        <v>Low</v>
      </c>
      <c r="G5" s="2" t="str">
        <f>IFERROR(__xludf.DUMMYFUNCTION("""COMPUTED_VALUE"""),"Close")</f>
        <v>Close</v>
      </c>
      <c r="H5" s="2" t="str">
        <f>IFERROR(__xludf.DUMMYFUNCTION("""COMPUTED_VALUE"""),"Volume")</f>
        <v>Volume</v>
      </c>
    </row>
    <row r="6">
      <c r="A6" s="1">
        <v>500112.0</v>
      </c>
      <c r="B6" s="1" t="s">
        <v>8</v>
      </c>
      <c r="C6" s="4">
        <f>IFERROR(__xludf.DUMMYFUNCTION("""COMPUTED_VALUE"""),44060.64583333333)</f>
        <v>44060.64583</v>
      </c>
      <c r="D6" s="2">
        <f>IFERROR(__xludf.DUMMYFUNCTION("""COMPUTED_VALUE"""),198.6)</f>
        <v>198.6</v>
      </c>
      <c r="E6" s="2">
        <f>IFERROR(__xludf.DUMMYFUNCTION("""COMPUTED_VALUE"""),198.7)</f>
        <v>198.7</v>
      </c>
      <c r="F6" s="2">
        <f>IFERROR(__xludf.DUMMYFUNCTION("""COMPUTED_VALUE"""),191.5)</f>
        <v>191.5</v>
      </c>
      <c r="G6" s="2">
        <f>IFERROR(__xludf.DUMMYFUNCTION("""COMPUTED_VALUE"""),193.05)</f>
        <v>193.05</v>
      </c>
      <c r="H6" s="2">
        <f>IFERROR(__xludf.DUMMYFUNCTION("""COMPUTED_VALUE"""),2340139.0)</f>
        <v>2340139</v>
      </c>
      <c r="I6" s="2">
        <f>IFERROR(__xludf.DUMMYFUNCTION("GOOGLEFINANCE(""BOM:500112"",""marketcap"")"),1.718433682735E12)</f>
        <v>1718433682735</v>
      </c>
      <c r="J6" s="7" t="s">
        <v>9</v>
      </c>
    </row>
    <row r="7">
      <c r="C7" s="2" t="str">
        <f>IFERROR(__xludf.DUMMYFUNCTION("GOOGLEFINANCE(""BOM:500114"",""all"", TODAY()-2,TODAY()-1)"),"Date")</f>
        <v>Date</v>
      </c>
      <c r="D7" s="2" t="str">
        <f>IFERROR(__xludf.DUMMYFUNCTION("""COMPUTED_VALUE"""),"Open")</f>
        <v>Open</v>
      </c>
      <c r="E7" s="2" t="str">
        <f>IFERROR(__xludf.DUMMYFUNCTION("""COMPUTED_VALUE"""),"High")</f>
        <v>High</v>
      </c>
      <c r="F7" s="2" t="str">
        <f>IFERROR(__xludf.DUMMYFUNCTION("""COMPUTED_VALUE"""),"Low")</f>
        <v>Low</v>
      </c>
      <c r="G7" s="2" t="str">
        <f>IFERROR(__xludf.DUMMYFUNCTION("""COMPUTED_VALUE"""),"Close")</f>
        <v>Close</v>
      </c>
      <c r="H7" s="2" t="str">
        <f>IFERROR(__xludf.DUMMYFUNCTION("""COMPUTED_VALUE"""),"Volume")</f>
        <v>Volume</v>
      </c>
    </row>
    <row r="8">
      <c r="A8" s="1">
        <v>500114.0</v>
      </c>
      <c r="B8" s="1" t="s">
        <v>10</v>
      </c>
      <c r="C8" s="4">
        <f>IFERROR(__xludf.DUMMYFUNCTION("""COMPUTED_VALUE"""),44060.64583333333)</f>
        <v>44060.64583</v>
      </c>
      <c r="D8" s="2">
        <f>IFERROR(__xludf.DUMMYFUNCTION("""COMPUTED_VALUE"""),1113.7)</f>
        <v>1113.7</v>
      </c>
      <c r="E8" s="2">
        <f>IFERROR(__xludf.DUMMYFUNCTION("""COMPUTED_VALUE"""),1125.5)</f>
        <v>1125.5</v>
      </c>
      <c r="F8" s="2">
        <f>IFERROR(__xludf.DUMMYFUNCTION("""COMPUTED_VALUE"""),1106.55)</f>
        <v>1106.55</v>
      </c>
      <c r="G8" s="2">
        <f>IFERROR(__xludf.DUMMYFUNCTION("""COMPUTED_VALUE"""),1124.15)</f>
        <v>1124.15</v>
      </c>
      <c r="H8" s="2">
        <f>IFERROR(__xludf.DUMMYFUNCTION("""COMPUTED_VALUE"""),91498.0)</f>
        <v>91498</v>
      </c>
      <c r="I8" s="2">
        <f>IFERROR(__xludf.DUMMYFUNCTION("GOOGLEFINANCE(""BOM:500114"",""marketcap"")"),1.009901121403E12)</f>
        <v>1009901121403</v>
      </c>
      <c r="J8" s="7" t="s">
        <v>11</v>
      </c>
    </row>
    <row r="9">
      <c r="C9" s="2" t="str">
        <f>IFERROR(__xludf.DUMMYFUNCTION("GOOGLEFINANCE(""BOM:500180"",""all"", TODAY()-2,TODAY()-1)"),"Date")</f>
        <v>Date</v>
      </c>
      <c r="D9" s="2" t="str">
        <f>IFERROR(__xludf.DUMMYFUNCTION("""COMPUTED_VALUE"""),"Open")</f>
        <v>Open</v>
      </c>
      <c r="E9" s="2" t="str">
        <f>IFERROR(__xludf.DUMMYFUNCTION("""COMPUTED_VALUE"""),"High")</f>
        <v>High</v>
      </c>
      <c r="F9" s="2" t="str">
        <f>IFERROR(__xludf.DUMMYFUNCTION("""COMPUTED_VALUE"""),"Low")</f>
        <v>Low</v>
      </c>
      <c r="G9" s="2" t="str">
        <f>IFERROR(__xludf.DUMMYFUNCTION("""COMPUTED_VALUE"""),"Close")</f>
        <v>Close</v>
      </c>
      <c r="H9" s="2" t="str">
        <f>IFERROR(__xludf.DUMMYFUNCTION("""COMPUTED_VALUE"""),"Volume")</f>
        <v>Volume</v>
      </c>
    </row>
    <row r="10">
      <c r="A10" s="1">
        <v>500180.0</v>
      </c>
      <c r="B10" s="1" t="s">
        <v>12</v>
      </c>
      <c r="C10" s="4">
        <f>IFERROR(__xludf.DUMMYFUNCTION("""COMPUTED_VALUE"""),44060.64583333333)</f>
        <v>44060.64583</v>
      </c>
      <c r="D10" s="2">
        <f>IFERROR(__xludf.DUMMYFUNCTION("""COMPUTED_VALUE"""),1045.05)</f>
        <v>1045.05</v>
      </c>
      <c r="E10" s="2">
        <f>IFERROR(__xludf.DUMMYFUNCTION("""COMPUTED_VALUE"""),1050.0)</f>
        <v>1050</v>
      </c>
      <c r="F10" s="2">
        <f>IFERROR(__xludf.DUMMYFUNCTION("""COMPUTED_VALUE"""),1020.5)</f>
        <v>1020.5</v>
      </c>
      <c r="G10" s="2">
        <f>IFERROR(__xludf.DUMMYFUNCTION("""COMPUTED_VALUE"""),1033.55)</f>
        <v>1033.55</v>
      </c>
      <c r="H10" s="2">
        <f>IFERROR(__xludf.DUMMYFUNCTION("""COMPUTED_VALUE"""),535483.0)</f>
        <v>535483</v>
      </c>
      <c r="I10" s="8">
        <f>IFERROR(__xludf.DUMMYFUNCTION("GOOGLEFINANCE(""BOM:500180"",""marketcap"")"),5.724145518558E12)</f>
        <v>5724145518558</v>
      </c>
      <c r="J10" s="7" t="s">
        <v>9</v>
      </c>
    </row>
    <row r="11">
      <c r="C11" s="2" t="str">
        <f>IFERROR(__xludf.DUMMYFUNCTION("GOOGLEFINANCE(""BOM:500209"",""all"", TODAY()-2,TODAY()-1)"),"Date")</f>
        <v>Date</v>
      </c>
      <c r="D11" s="2" t="str">
        <f>IFERROR(__xludf.DUMMYFUNCTION("""COMPUTED_VALUE"""),"Open")</f>
        <v>Open</v>
      </c>
      <c r="E11" s="2" t="str">
        <f>IFERROR(__xludf.DUMMYFUNCTION("""COMPUTED_VALUE"""),"High")</f>
        <v>High</v>
      </c>
      <c r="F11" s="2" t="str">
        <f>IFERROR(__xludf.DUMMYFUNCTION("""COMPUTED_VALUE"""),"Low")</f>
        <v>Low</v>
      </c>
      <c r="G11" s="2" t="str">
        <f>IFERROR(__xludf.DUMMYFUNCTION("""COMPUTED_VALUE"""),"Close")</f>
        <v>Close</v>
      </c>
      <c r="H11" s="2" t="str">
        <f>IFERROR(__xludf.DUMMYFUNCTION("""COMPUTED_VALUE"""),"Volume")</f>
        <v>Volume</v>
      </c>
    </row>
    <row r="12">
      <c r="A12" s="1">
        <v>500209.0</v>
      </c>
      <c r="B12" s="1" t="s">
        <v>13</v>
      </c>
      <c r="C12" s="4">
        <f>IFERROR(__xludf.DUMMYFUNCTION("""COMPUTED_VALUE"""),44060.64583333333)</f>
        <v>44060.64583</v>
      </c>
      <c r="D12" s="2">
        <f>IFERROR(__xludf.DUMMYFUNCTION("""COMPUTED_VALUE"""),953.5)</f>
        <v>953.5</v>
      </c>
      <c r="E12" s="2">
        <f>IFERROR(__xludf.DUMMYFUNCTION("""COMPUTED_VALUE"""),972.45)</f>
        <v>972.45</v>
      </c>
      <c r="F12" s="2">
        <f>IFERROR(__xludf.DUMMYFUNCTION("""COMPUTED_VALUE"""),953.5)</f>
        <v>953.5</v>
      </c>
      <c r="G12" s="2">
        <f>IFERROR(__xludf.DUMMYFUNCTION("""COMPUTED_VALUE"""),957.5)</f>
        <v>957.5</v>
      </c>
      <c r="H12" s="2">
        <f>IFERROR(__xludf.DUMMYFUNCTION("""COMPUTED_VALUE"""),541115.0)</f>
        <v>541115</v>
      </c>
      <c r="I12" s="2">
        <f>IFERROR(__xludf.DUMMYFUNCTION("GOOGLEFINANCE(""BOM:500209"",""marketcap"")"),4.074882114977E12)</f>
        <v>4074882114977</v>
      </c>
      <c r="J12" s="7" t="s">
        <v>14</v>
      </c>
    </row>
    <row r="13">
      <c r="C13" s="2" t="str">
        <f>IFERROR(__xludf.DUMMYFUNCTION("GOOGLEFINANCE(""BOM:500247"",""all"", TODAY()-2,TODAY()-1)"),"Date")</f>
        <v>Date</v>
      </c>
      <c r="D13" s="2" t="str">
        <f>IFERROR(__xludf.DUMMYFUNCTION("""COMPUTED_VALUE"""),"Open")</f>
        <v>Open</v>
      </c>
      <c r="E13" s="2" t="str">
        <f>IFERROR(__xludf.DUMMYFUNCTION("""COMPUTED_VALUE"""),"High")</f>
        <v>High</v>
      </c>
      <c r="F13" s="2" t="str">
        <f>IFERROR(__xludf.DUMMYFUNCTION("""COMPUTED_VALUE"""),"Low")</f>
        <v>Low</v>
      </c>
      <c r="G13" s="2" t="str">
        <f>IFERROR(__xludf.DUMMYFUNCTION("""COMPUTED_VALUE"""),"Close")</f>
        <v>Close</v>
      </c>
      <c r="H13" s="2" t="str">
        <f>IFERROR(__xludf.DUMMYFUNCTION("""COMPUTED_VALUE"""),"Volume")</f>
        <v>Volume</v>
      </c>
    </row>
    <row r="14">
      <c r="A14" s="1">
        <v>500247.0</v>
      </c>
      <c r="B14" s="1" t="s">
        <v>15</v>
      </c>
      <c r="C14" s="4">
        <f>IFERROR(__xludf.DUMMYFUNCTION("""COMPUTED_VALUE"""),44060.64583333333)</f>
        <v>44060.64583</v>
      </c>
      <c r="D14" s="2">
        <f>IFERROR(__xludf.DUMMYFUNCTION("""COMPUTED_VALUE"""),1320.0)</f>
        <v>1320</v>
      </c>
      <c r="E14" s="2">
        <f>IFERROR(__xludf.DUMMYFUNCTION("""COMPUTED_VALUE"""),1332.65)</f>
        <v>1332.65</v>
      </c>
      <c r="F14" s="2">
        <f>IFERROR(__xludf.DUMMYFUNCTION("""COMPUTED_VALUE"""),1312.0)</f>
        <v>1312</v>
      </c>
      <c r="G14" s="2">
        <f>IFERROR(__xludf.DUMMYFUNCTION("""COMPUTED_VALUE"""),1328.75)</f>
        <v>1328.75</v>
      </c>
      <c r="H14" s="2">
        <f>IFERROR(__xludf.DUMMYFUNCTION("""COMPUTED_VALUE"""),272867.0)</f>
        <v>272867</v>
      </c>
      <c r="I14" s="2">
        <f>IFERROR(__xludf.DUMMYFUNCTION("GOOGLEFINANCE(""BOM:500247"",""marketcap"")"),2.667113192321E12)</f>
        <v>2667113192321</v>
      </c>
      <c r="J14" s="3" t="s">
        <v>9</v>
      </c>
    </row>
    <row r="15">
      <c r="C15" s="2" t="str">
        <f>IFERROR(__xludf.DUMMYFUNCTION("GOOGLEFINANCE(""BOM:500312"",""all"", TODAY()-2,TODAY()-1)"),"Date")</f>
        <v>Date</v>
      </c>
      <c r="D15" s="2" t="str">
        <f>IFERROR(__xludf.DUMMYFUNCTION("""COMPUTED_VALUE"""),"Open")</f>
        <v>Open</v>
      </c>
      <c r="E15" s="2" t="str">
        <f>IFERROR(__xludf.DUMMYFUNCTION("""COMPUTED_VALUE"""),"High")</f>
        <v>High</v>
      </c>
      <c r="F15" s="2" t="str">
        <f>IFERROR(__xludf.DUMMYFUNCTION("""COMPUTED_VALUE"""),"Low")</f>
        <v>Low</v>
      </c>
      <c r="G15" s="2" t="str">
        <f>IFERROR(__xludf.DUMMYFUNCTION("""COMPUTED_VALUE"""),"Close")</f>
        <v>Close</v>
      </c>
      <c r="H15" s="2" t="str">
        <f>IFERROR(__xludf.DUMMYFUNCTION("""COMPUTED_VALUE"""),"Volume")</f>
        <v>Volume</v>
      </c>
    </row>
    <row r="16">
      <c r="A16" s="1">
        <v>500312.0</v>
      </c>
      <c r="B16" s="1" t="s">
        <v>16</v>
      </c>
      <c r="C16" s="4">
        <f>IFERROR(__xludf.DUMMYFUNCTION("""COMPUTED_VALUE"""),44060.64583333333)</f>
        <v>44060.64583</v>
      </c>
      <c r="D16" s="2">
        <f>IFERROR(__xludf.DUMMYFUNCTION("""COMPUTED_VALUE"""),77.1)</f>
        <v>77.1</v>
      </c>
      <c r="E16" s="2">
        <f>IFERROR(__xludf.DUMMYFUNCTION("""COMPUTED_VALUE"""),79.75)</f>
        <v>79.75</v>
      </c>
      <c r="F16" s="2">
        <f>IFERROR(__xludf.DUMMYFUNCTION("""COMPUTED_VALUE"""),77.1)</f>
        <v>77.1</v>
      </c>
      <c r="G16" s="2">
        <f>IFERROR(__xludf.DUMMYFUNCTION("""COMPUTED_VALUE"""),79.3)</f>
        <v>79.3</v>
      </c>
      <c r="H16" s="2">
        <f>IFERROR(__xludf.DUMMYFUNCTION("""COMPUTED_VALUE"""),1644493.0)</f>
        <v>1644493</v>
      </c>
      <c r="I16" s="2">
        <f>IFERROR(__xludf.DUMMYFUNCTION("GOOGLEFINANCE(""BOM:500312"",""marketcap"")"),1.018372818108E12)</f>
        <v>1018372818108</v>
      </c>
      <c r="J16" s="7" t="s">
        <v>17</v>
      </c>
    </row>
    <row r="17">
      <c r="C17" s="2" t="str">
        <f>IFERROR(__xludf.DUMMYFUNCTION("GOOGLEFINANCE(""BOM:500325"",""all"", TODAY()-2,TODAY()-1)"),"Date")</f>
        <v>Date</v>
      </c>
      <c r="D17" s="2" t="str">
        <f>IFERROR(__xludf.DUMMYFUNCTION("""COMPUTED_VALUE"""),"Open")</f>
        <v>Open</v>
      </c>
      <c r="E17" s="2" t="str">
        <f>IFERROR(__xludf.DUMMYFUNCTION("""COMPUTED_VALUE"""),"High")</f>
        <v>High</v>
      </c>
      <c r="F17" s="2" t="str">
        <f>IFERROR(__xludf.DUMMYFUNCTION("""COMPUTED_VALUE"""),"Low")</f>
        <v>Low</v>
      </c>
      <c r="G17" s="2" t="str">
        <f>IFERROR(__xludf.DUMMYFUNCTION("""COMPUTED_VALUE"""),"Close")</f>
        <v>Close</v>
      </c>
      <c r="H17" s="2" t="str">
        <f>IFERROR(__xludf.DUMMYFUNCTION("""COMPUTED_VALUE"""),"Volume")</f>
        <v>Volume</v>
      </c>
    </row>
    <row r="18">
      <c r="A18" s="1">
        <v>500325.0</v>
      </c>
      <c r="B18" s="1" t="s">
        <v>18</v>
      </c>
      <c r="C18" s="4">
        <f>IFERROR(__xludf.DUMMYFUNCTION("""COMPUTED_VALUE"""),44060.64583333333)</f>
        <v>44060.64583</v>
      </c>
      <c r="D18" s="2">
        <f>IFERROR(__xludf.DUMMYFUNCTION("""COMPUTED_VALUE"""),2103.15)</f>
        <v>2103.15</v>
      </c>
      <c r="E18" s="2">
        <f>IFERROR(__xludf.DUMMYFUNCTION("""COMPUTED_VALUE"""),2107.3)</f>
        <v>2107.3</v>
      </c>
      <c r="F18" s="2">
        <f>IFERROR(__xludf.DUMMYFUNCTION("""COMPUTED_VALUE"""),2070.0)</f>
        <v>2070</v>
      </c>
      <c r="G18" s="2">
        <f>IFERROR(__xludf.DUMMYFUNCTION("""COMPUTED_VALUE"""),2091.45)</f>
        <v>2091.45</v>
      </c>
      <c r="H18" s="2">
        <f>IFERROR(__xludf.DUMMYFUNCTION("""COMPUTED_VALUE"""),923799.0)</f>
        <v>923799</v>
      </c>
      <c r="I18" s="2">
        <f>IFERROR(__xludf.DUMMYFUNCTION("GOOGLEFINANCE(""BOM:500325"",""marketcap"")"),1.3947914729064E13)</f>
        <v>13947914729064</v>
      </c>
      <c r="J18" s="7" t="s">
        <v>19</v>
      </c>
    </row>
    <row r="19">
      <c r="C19" s="2" t="str">
        <f>IFERROR(__xludf.DUMMYFUNCTION("GOOGLEFINANCE(""BOM:500470"",""all"", TODAY()-2,TODAY()-1)"),"Date")</f>
        <v>Date</v>
      </c>
      <c r="D19" s="2" t="str">
        <f>IFERROR(__xludf.DUMMYFUNCTION("""COMPUTED_VALUE"""),"Open")</f>
        <v>Open</v>
      </c>
      <c r="E19" s="2" t="str">
        <f>IFERROR(__xludf.DUMMYFUNCTION("""COMPUTED_VALUE"""),"High")</f>
        <v>High</v>
      </c>
      <c r="F19" s="2" t="str">
        <f>IFERROR(__xludf.DUMMYFUNCTION("""COMPUTED_VALUE"""),"Low")</f>
        <v>Low</v>
      </c>
      <c r="G19" s="2" t="str">
        <f>IFERROR(__xludf.DUMMYFUNCTION("""COMPUTED_VALUE"""),"Close")</f>
        <v>Close</v>
      </c>
      <c r="H19" s="2" t="str">
        <f>IFERROR(__xludf.DUMMYFUNCTION("""COMPUTED_VALUE"""),"Volume")</f>
        <v>Volume</v>
      </c>
    </row>
    <row r="20">
      <c r="A20" s="1">
        <v>500470.0</v>
      </c>
      <c r="B20" s="1" t="s">
        <v>20</v>
      </c>
      <c r="C20" s="4">
        <f>IFERROR(__xludf.DUMMYFUNCTION("""COMPUTED_VALUE"""),44060.64583333333)</f>
        <v>44060.64583</v>
      </c>
      <c r="D20" s="2">
        <f>IFERROR(__xludf.DUMMYFUNCTION("""COMPUTED_VALUE"""),418.5)</f>
        <v>418.5</v>
      </c>
      <c r="E20" s="2">
        <f>IFERROR(__xludf.DUMMYFUNCTION("""COMPUTED_VALUE"""),429.0)</f>
        <v>429</v>
      </c>
      <c r="F20" s="2">
        <f>IFERROR(__xludf.DUMMYFUNCTION("""COMPUTED_VALUE"""),414.2)</f>
        <v>414.2</v>
      </c>
      <c r="G20" s="2">
        <f>IFERROR(__xludf.DUMMYFUNCTION("""COMPUTED_VALUE"""),424.95)</f>
        <v>424.95</v>
      </c>
      <c r="H20" s="2">
        <f>IFERROR(__xludf.DUMMYFUNCTION("""COMPUTED_VALUE"""),713092.0)</f>
        <v>713092</v>
      </c>
      <c r="I20" s="2">
        <f>IFERROR(__xludf.DUMMYFUNCTION("GOOGLEFINANCE(""BOM:500470"",""marketcap"")"),4.859918325E11)</f>
        <v>485991832500</v>
      </c>
      <c r="J20" s="7" t="s">
        <v>21</v>
      </c>
    </row>
    <row r="21">
      <c r="C21" s="2" t="str">
        <f>IFERROR(__xludf.DUMMYFUNCTION("GOOGLEFINANCE(""BOM:500510"",""all"", TODAY()-2,TODAY()-1)"),"Date")</f>
        <v>Date</v>
      </c>
      <c r="D21" s="2" t="str">
        <f>IFERROR(__xludf.DUMMYFUNCTION("""COMPUTED_VALUE"""),"Open")</f>
        <v>Open</v>
      </c>
      <c r="E21" s="2" t="str">
        <f>IFERROR(__xludf.DUMMYFUNCTION("""COMPUTED_VALUE"""),"High")</f>
        <v>High</v>
      </c>
      <c r="F21" s="2" t="str">
        <f>IFERROR(__xludf.DUMMYFUNCTION("""COMPUTED_VALUE"""),"Low")</f>
        <v>Low</v>
      </c>
      <c r="G21" s="2" t="str">
        <f>IFERROR(__xludf.DUMMYFUNCTION("""COMPUTED_VALUE"""),"Close")</f>
        <v>Close</v>
      </c>
      <c r="H21" s="2" t="str">
        <f>IFERROR(__xludf.DUMMYFUNCTION("""COMPUTED_VALUE"""),"Volume")</f>
        <v>Volume</v>
      </c>
    </row>
    <row r="22">
      <c r="A22" s="1">
        <v>500510.0</v>
      </c>
      <c r="B22" s="1" t="s">
        <v>22</v>
      </c>
      <c r="C22" s="4">
        <f>IFERROR(__xludf.DUMMYFUNCTION("""COMPUTED_VALUE"""),44060.64583333333)</f>
        <v>44060.64583</v>
      </c>
      <c r="D22" s="2">
        <f>IFERROR(__xludf.DUMMYFUNCTION("""COMPUTED_VALUE"""),1002.3)</f>
        <v>1002.3</v>
      </c>
      <c r="E22" s="2">
        <f>IFERROR(__xludf.DUMMYFUNCTION("""COMPUTED_VALUE"""),1007.0)</f>
        <v>1007</v>
      </c>
      <c r="F22" s="2">
        <f>IFERROR(__xludf.DUMMYFUNCTION("""COMPUTED_VALUE"""),988.1)</f>
        <v>988.1</v>
      </c>
      <c r="G22" s="2">
        <f>IFERROR(__xludf.DUMMYFUNCTION("""COMPUTED_VALUE"""),1000.7)</f>
        <v>1000.7</v>
      </c>
      <c r="H22" s="2">
        <f>IFERROR(__xludf.DUMMYFUNCTION("""COMPUTED_VALUE"""),190248.0)</f>
        <v>190248</v>
      </c>
      <c r="I22" s="2">
        <f>IFERROR(__xludf.DUMMYFUNCTION("GOOGLEFINANCE(""BOM:500510"",""marketcap"")"),1.40508802625E12)</f>
        <v>1405088026250</v>
      </c>
      <c r="J22" s="7" t="s">
        <v>23</v>
      </c>
    </row>
    <row r="23">
      <c r="C23" s="2" t="str">
        <f>IFERROR(__xludf.DUMMYFUNCTION("GOOGLEFINANCE(""BOM:500520"",""all"", TODAY()-2,TODAY()-1)"),"Date")</f>
        <v>Date</v>
      </c>
      <c r="D23" s="2" t="str">
        <f>IFERROR(__xludf.DUMMYFUNCTION("""COMPUTED_VALUE"""),"Open")</f>
        <v>Open</v>
      </c>
      <c r="E23" s="2" t="str">
        <f>IFERROR(__xludf.DUMMYFUNCTION("""COMPUTED_VALUE"""),"High")</f>
        <v>High</v>
      </c>
      <c r="F23" s="2" t="str">
        <f>IFERROR(__xludf.DUMMYFUNCTION("""COMPUTED_VALUE"""),"Low")</f>
        <v>Low</v>
      </c>
      <c r="G23" s="2" t="str">
        <f>IFERROR(__xludf.DUMMYFUNCTION("""COMPUTED_VALUE"""),"Close")</f>
        <v>Close</v>
      </c>
      <c r="H23" s="2" t="str">
        <f>IFERROR(__xludf.DUMMYFUNCTION("""COMPUTED_VALUE"""),"Volume")</f>
        <v>Volume</v>
      </c>
    </row>
    <row r="24">
      <c r="A24" s="1">
        <v>500520.0</v>
      </c>
      <c r="B24" s="1" t="s">
        <v>24</v>
      </c>
      <c r="C24" s="4">
        <f>IFERROR(__xludf.DUMMYFUNCTION("""COMPUTED_VALUE"""),44060.64583333333)</f>
        <v>44060.64583</v>
      </c>
      <c r="D24" s="2">
        <f>IFERROR(__xludf.DUMMYFUNCTION("""COMPUTED_VALUE"""),626.35)</f>
        <v>626.35</v>
      </c>
      <c r="E24" s="2">
        <f>IFERROR(__xludf.DUMMYFUNCTION("""COMPUTED_VALUE"""),631.6)</f>
        <v>631.6</v>
      </c>
      <c r="F24" s="2">
        <f>IFERROR(__xludf.DUMMYFUNCTION("""COMPUTED_VALUE"""),614.0)</f>
        <v>614</v>
      </c>
      <c r="G24" s="2">
        <f>IFERROR(__xludf.DUMMYFUNCTION("""COMPUTED_VALUE"""),623.45)</f>
        <v>623.45</v>
      </c>
      <c r="H24" s="2">
        <f>IFERROR(__xludf.DUMMYFUNCTION("""COMPUTED_VALUE"""),159585.0)</f>
        <v>159585</v>
      </c>
      <c r="I24" s="2">
        <f>IFERROR(__xludf.DUMMYFUNCTION("GOOGLEFINANCE(""BOM:500520"",""marketcap"")"),7.3921112E11)</f>
        <v>739211120000</v>
      </c>
      <c r="J24" s="7" t="s">
        <v>25</v>
      </c>
    </row>
    <row r="25">
      <c r="C25" s="2" t="str">
        <f>IFERROR(__xludf.DUMMYFUNCTION("GOOGLEFINANCE(""BOM:500696"",""all"", TODAY()-2,TODAY()-1)"),"Date")</f>
        <v>Date</v>
      </c>
      <c r="D25" s="2" t="str">
        <f>IFERROR(__xludf.DUMMYFUNCTION("""COMPUTED_VALUE"""),"Open")</f>
        <v>Open</v>
      </c>
      <c r="E25" s="2" t="str">
        <f>IFERROR(__xludf.DUMMYFUNCTION("""COMPUTED_VALUE"""),"High")</f>
        <v>High</v>
      </c>
      <c r="F25" s="2" t="str">
        <f>IFERROR(__xludf.DUMMYFUNCTION("""COMPUTED_VALUE"""),"Low")</f>
        <v>Low</v>
      </c>
      <c r="G25" s="2" t="str">
        <f>IFERROR(__xludf.DUMMYFUNCTION("""COMPUTED_VALUE"""),"Close")</f>
        <v>Close</v>
      </c>
      <c r="H25" s="2" t="str">
        <f>IFERROR(__xludf.DUMMYFUNCTION("""COMPUTED_VALUE"""),"Volume")</f>
        <v>Volume</v>
      </c>
    </row>
    <row r="26">
      <c r="A26" s="1">
        <v>500696.0</v>
      </c>
      <c r="B26" s="1" t="s">
        <v>26</v>
      </c>
      <c r="C26" s="4">
        <f>IFERROR(__xludf.DUMMYFUNCTION("""COMPUTED_VALUE"""),44060.64583333333)</f>
        <v>44060.64583</v>
      </c>
      <c r="D26" s="2">
        <f>IFERROR(__xludf.DUMMYFUNCTION("""COMPUTED_VALUE"""),2175.0)</f>
        <v>2175</v>
      </c>
      <c r="E26" s="2">
        <f>IFERROR(__xludf.DUMMYFUNCTION("""COMPUTED_VALUE"""),2203.0)</f>
        <v>2203</v>
      </c>
      <c r="F26" s="2">
        <f>IFERROR(__xludf.DUMMYFUNCTION("""COMPUTED_VALUE"""),2169.0)</f>
        <v>2169</v>
      </c>
      <c r="G26" s="2">
        <f>IFERROR(__xludf.DUMMYFUNCTION("""COMPUTED_VALUE"""),2196.7)</f>
        <v>2196.7</v>
      </c>
      <c r="H26" s="2">
        <f>IFERROR(__xludf.DUMMYFUNCTION("""COMPUTED_VALUE"""),112029.0)</f>
        <v>112029</v>
      </c>
      <c r="I26" s="2">
        <f>IFERROR(__xludf.DUMMYFUNCTION("GOOGLEFINANCE(""BOM:500696"",""marketcap"")"),5.170302367224E12)</f>
        <v>5170302367224</v>
      </c>
      <c r="J26" s="7" t="s">
        <v>27</v>
      </c>
    </row>
    <row r="27">
      <c r="C27" s="2" t="str">
        <f>IFERROR(__xludf.DUMMYFUNCTION("GOOGLEFINANCE(""BOM:500790"",""all"", TODAY()-2,TODAY()-1)"),"Date")</f>
        <v>Date</v>
      </c>
      <c r="D27" s="2" t="str">
        <f>IFERROR(__xludf.DUMMYFUNCTION("""COMPUTED_VALUE"""),"Open")</f>
        <v>Open</v>
      </c>
      <c r="E27" s="2" t="str">
        <f>IFERROR(__xludf.DUMMYFUNCTION("""COMPUTED_VALUE"""),"High")</f>
        <v>High</v>
      </c>
      <c r="F27" s="2" t="str">
        <f>IFERROR(__xludf.DUMMYFUNCTION("""COMPUTED_VALUE"""),"Low")</f>
        <v>Low</v>
      </c>
      <c r="G27" s="2" t="str">
        <f>IFERROR(__xludf.DUMMYFUNCTION("""COMPUTED_VALUE"""),"Close")</f>
        <v>Close</v>
      </c>
      <c r="H27" s="2" t="str">
        <f>IFERROR(__xludf.DUMMYFUNCTION("""COMPUTED_VALUE"""),"Volume")</f>
        <v>Volume</v>
      </c>
    </row>
    <row r="28">
      <c r="A28" s="1">
        <v>500790.0</v>
      </c>
      <c r="B28" s="1" t="s">
        <v>28</v>
      </c>
      <c r="C28" s="4">
        <f>IFERROR(__xludf.DUMMYFUNCTION("""COMPUTED_VALUE"""),44060.64583333333)</f>
        <v>44060.64583</v>
      </c>
      <c r="D28" s="2">
        <f>IFERROR(__xludf.DUMMYFUNCTION("""COMPUTED_VALUE"""),16356.0)</f>
        <v>16356</v>
      </c>
      <c r="E28" s="2">
        <f>IFERROR(__xludf.DUMMYFUNCTION("""COMPUTED_VALUE"""),16521.0)</f>
        <v>16521</v>
      </c>
      <c r="F28" s="2">
        <f>IFERROR(__xludf.DUMMYFUNCTION("""COMPUTED_VALUE"""),16316.1)</f>
        <v>16316.1</v>
      </c>
      <c r="G28" s="2">
        <f>IFERROR(__xludf.DUMMYFUNCTION("""COMPUTED_VALUE"""),16427.35)</f>
        <v>16427.35</v>
      </c>
      <c r="H28" s="2">
        <f>IFERROR(__xludf.DUMMYFUNCTION("""COMPUTED_VALUE"""),2197.0)</f>
        <v>2197</v>
      </c>
      <c r="I28" s="2">
        <f>IFERROR(__xludf.DUMMYFUNCTION("GOOGLEFINANCE(""BOM:500790"",""marketcap"")"),1.5777465148E12)</f>
        <v>1577746514800</v>
      </c>
      <c r="J28" s="7" t="s">
        <v>29</v>
      </c>
    </row>
    <row r="29">
      <c r="C29" s="2" t="str">
        <f>IFERROR(__xludf.DUMMYFUNCTION("GOOGLEFINANCE(""BOM:500820"",""all"", TODAY()-2,TODAY()-1)"),"Date")</f>
        <v>Date</v>
      </c>
      <c r="D29" s="2" t="str">
        <f>IFERROR(__xludf.DUMMYFUNCTION("""COMPUTED_VALUE"""),"Open")</f>
        <v>Open</v>
      </c>
      <c r="E29" s="2" t="str">
        <f>IFERROR(__xludf.DUMMYFUNCTION("""COMPUTED_VALUE"""),"High")</f>
        <v>High</v>
      </c>
      <c r="F29" s="2" t="str">
        <f>IFERROR(__xludf.DUMMYFUNCTION("""COMPUTED_VALUE"""),"Low")</f>
        <v>Low</v>
      </c>
      <c r="G29" s="2" t="str">
        <f>IFERROR(__xludf.DUMMYFUNCTION("""COMPUTED_VALUE"""),"Close")</f>
        <v>Close</v>
      </c>
      <c r="H29" s="2" t="str">
        <f>IFERROR(__xludf.DUMMYFUNCTION("""COMPUTED_VALUE"""),"Volume")</f>
        <v>Volume</v>
      </c>
    </row>
    <row r="30">
      <c r="A30" s="1">
        <v>500820.0</v>
      </c>
      <c r="B30" s="1" t="s">
        <v>30</v>
      </c>
      <c r="C30" s="4">
        <f>IFERROR(__xludf.DUMMYFUNCTION("""COMPUTED_VALUE"""),44060.64583333333)</f>
        <v>44060.64583</v>
      </c>
      <c r="D30" s="2">
        <f>IFERROR(__xludf.DUMMYFUNCTION("""COMPUTED_VALUE"""),1825.0)</f>
        <v>1825</v>
      </c>
      <c r="E30" s="2">
        <f>IFERROR(__xludf.DUMMYFUNCTION("""COMPUTED_VALUE"""),1841.7)</f>
        <v>1841.7</v>
      </c>
      <c r="F30" s="2">
        <f>IFERROR(__xludf.DUMMYFUNCTION("""COMPUTED_VALUE"""),1801.85)</f>
        <v>1801.85</v>
      </c>
      <c r="G30" s="2">
        <f>IFERROR(__xludf.DUMMYFUNCTION("""COMPUTED_VALUE"""),1835.85)</f>
        <v>1835.85</v>
      </c>
      <c r="H30" s="2">
        <f>IFERROR(__xludf.DUMMYFUNCTION("""COMPUTED_VALUE"""),49547.0)</f>
        <v>49547</v>
      </c>
      <c r="I30" s="2">
        <f>IFERROR(__xludf.DUMMYFUNCTION("GOOGLEFINANCE(""BOM:500820"",""marketcap"")"),1.785882400512E12)</f>
        <v>1785882400512</v>
      </c>
      <c r="J30" s="7" t="s">
        <v>31</v>
      </c>
    </row>
    <row r="31">
      <c r="C31" s="2" t="str">
        <f>IFERROR(__xludf.DUMMYFUNCTION("GOOGLEFINANCE(""BOM:500875"",""all"", TODAY()-2,TODAY()-1)"),"Date")</f>
        <v>Date</v>
      </c>
      <c r="D31" s="2" t="str">
        <f>IFERROR(__xludf.DUMMYFUNCTION("""COMPUTED_VALUE"""),"Open")</f>
        <v>Open</v>
      </c>
      <c r="E31" s="2" t="str">
        <f>IFERROR(__xludf.DUMMYFUNCTION("""COMPUTED_VALUE"""),"High")</f>
        <v>High</v>
      </c>
      <c r="F31" s="2" t="str">
        <f>IFERROR(__xludf.DUMMYFUNCTION("""COMPUTED_VALUE"""),"Low")</f>
        <v>Low</v>
      </c>
      <c r="G31" s="2" t="str">
        <f>IFERROR(__xludf.DUMMYFUNCTION("""COMPUTED_VALUE"""),"Close")</f>
        <v>Close</v>
      </c>
      <c r="H31" s="2" t="str">
        <f>IFERROR(__xludf.DUMMYFUNCTION("""COMPUTED_VALUE"""),"Volume")</f>
        <v>Volume</v>
      </c>
    </row>
    <row r="32">
      <c r="A32" s="1">
        <v>500875.0</v>
      </c>
      <c r="B32" s="1" t="s">
        <v>32</v>
      </c>
      <c r="C32" s="4">
        <f>IFERROR(__xludf.DUMMYFUNCTION("""COMPUTED_VALUE"""),44060.64583333333)</f>
        <v>44060.64583</v>
      </c>
      <c r="D32" s="2">
        <f>IFERROR(__xludf.DUMMYFUNCTION("""COMPUTED_VALUE"""),197.5)</f>
        <v>197.5</v>
      </c>
      <c r="E32" s="2">
        <f>IFERROR(__xludf.DUMMYFUNCTION("""COMPUTED_VALUE"""),199.45)</f>
        <v>199.45</v>
      </c>
      <c r="F32" s="2">
        <f>IFERROR(__xludf.DUMMYFUNCTION("""COMPUTED_VALUE"""),196.9)</f>
        <v>196.9</v>
      </c>
      <c r="G32" s="2">
        <f>IFERROR(__xludf.DUMMYFUNCTION("""COMPUTED_VALUE"""),198.65)</f>
        <v>198.65</v>
      </c>
      <c r="H32" s="2">
        <f>IFERROR(__xludf.DUMMYFUNCTION("""COMPUTED_VALUE"""),777984.0)</f>
        <v>777984</v>
      </c>
      <c r="I32" s="2">
        <f>IFERROR(__xludf.DUMMYFUNCTION("GOOGLEFINANCE(""BOM:500875"",""marketcap"")"),2.4332603575E12)</f>
        <v>2433260357500</v>
      </c>
      <c r="J32" s="7" t="s">
        <v>33</v>
      </c>
    </row>
    <row r="33">
      <c r="C33" s="2" t="str">
        <f>IFERROR(__xludf.DUMMYFUNCTION("GOOGLEFINANCE(""BOM:524715"",""all"", TODAY()-2,TODAY()-1)"),"Date")</f>
        <v>Date</v>
      </c>
      <c r="D33" s="2" t="str">
        <f>IFERROR(__xludf.DUMMYFUNCTION("""COMPUTED_VALUE"""),"Open")</f>
        <v>Open</v>
      </c>
      <c r="E33" s="2" t="str">
        <f>IFERROR(__xludf.DUMMYFUNCTION("""COMPUTED_VALUE"""),"High")</f>
        <v>High</v>
      </c>
      <c r="F33" s="2" t="str">
        <f>IFERROR(__xludf.DUMMYFUNCTION("""COMPUTED_VALUE"""),"Low")</f>
        <v>Low</v>
      </c>
      <c r="G33" s="2" t="str">
        <f>IFERROR(__xludf.DUMMYFUNCTION("""COMPUTED_VALUE"""),"Close")</f>
        <v>Close</v>
      </c>
      <c r="H33" s="2" t="str">
        <f>IFERROR(__xludf.DUMMYFUNCTION("""COMPUTED_VALUE"""),"Volume")</f>
        <v>Volume</v>
      </c>
      <c r="J33" s="9"/>
    </row>
    <row r="34">
      <c r="A34" s="1">
        <v>524715.0</v>
      </c>
      <c r="B34" s="1" t="s">
        <v>34</v>
      </c>
      <c r="C34" s="4">
        <f>IFERROR(__xludf.DUMMYFUNCTION("""COMPUTED_VALUE"""),44060.64583333333)</f>
        <v>44060.64583</v>
      </c>
      <c r="D34" s="2">
        <f>IFERROR(__xludf.DUMMYFUNCTION("""COMPUTED_VALUE"""),535.0)</f>
        <v>535</v>
      </c>
      <c r="E34" s="2">
        <f>IFERROR(__xludf.DUMMYFUNCTION("""COMPUTED_VALUE"""),538.0)</f>
        <v>538</v>
      </c>
      <c r="F34" s="2">
        <f>IFERROR(__xludf.DUMMYFUNCTION("""COMPUTED_VALUE"""),527.15)</f>
        <v>527.15</v>
      </c>
      <c r="G34" s="2">
        <f>IFERROR(__xludf.DUMMYFUNCTION("""COMPUTED_VALUE"""),528.35)</f>
        <v>528.35</v>
      </c>
      <c r="H34" s="2">
        <f>IFERROR(__xludf.DUMMYFUNCTION("""COMPUTED_VALUE"""),182005.0)</f>
        <v>182005</v>
      </c>
      <c r="I34" s="2">
        <f>IFERROR(__xludf.DUMMYFUNCTION("GOOGLEFINANCE(""BOM:524715"",""marketcap"")"),1.26205021E12)</f>
        <v>1262050210000</v>
      </c>
      <c r="J34" s="7" t="s">
        <v>35</v>
      </c>
    </row>
    <row r="35">
      <c r="C35" s="2" t="str">
        <f>IFERROR(__xludf.DUMMYFUNCTION("GOOGLEFINANCE(""BOM:532174"",""all"", TODAY()-2,TODAY()-1)"),"Date")</f>
        <v>Date</v>
      </c>
      <c r="D35" s="2" t="str">
        <f>IFERROR(__xludf.DUMMYFUNCTION("""COMPUTED_VALUE"""),"Open")</f>
        <v>Open</v>
      </c>
      <c r="E35" s="2" t="str">
        <f>IFERROR(__xludf.DUMMYFUNCTION("""COMPUTED_VALUE"""),"High")</f>
        <v>High</v>
      </c>
      <c r="F35" s="2" t="str">
        <f>IFERROR(__xludf.DUMMYFUNCTION("""COMPUTED_VALUE"""),"Low")</f>
        <v>Low</v>
      </c>
      <c r="G35" s="2" t="str">
        <f>IFERROR(__xludf.DUMMYFUNCTION("""COMPUTED_VALUE"""),"Close")</f>
        <v>Close</v>
      </c>
      <c r="H35" s="2" t="str">
        <f>IFERROR(__xludf.DUMMYFUNCTION("""COMPUTED_VALUE"""),"Volume")</f>
        <v>Volume</v>
      </c>
    </row>
    <row r="36">
      <c r="A36" s="1">
        <v>532174.0</v>
      </c>
      <c r="B36" s="1" t="s">
        <v>36</v>
      </c>
      <c r="C36" s="4">
        <f>IFERROR(__xludf.DUMMYFUNCTION("""COMPUTED_VALUE"""),44060.64583333333)</f>
        <v>44060.64583</v>
      </c>
      <c r="D36" s="2">
        <f>IFERROR(__xludf.DUMMYFUNCTION("""COMPUTED_VALUE"""),366.1)</f>
        <v>366.1</v>
      </c>
      <c r="E36" s="2">
        <f>IFERROR(__xludf.DUMMYFUNCTION("""COMPUTED_VALUE"""),367.15)</f>
        <v>367.15</v>
      </c>
      <c r="F36" s="2">
        <f>IFERROR(__xludf.DUMMYFUNCTION("""COMPUTED_VALUE"""),354.45)</f>
        <v>354.45</v>
      </c>
      <c r="G36" s="2">
        <f>IFERROR(__xludf.DUMMYFUNCTION("""COMPUTED_VALUE"""),360.25)</f>
        <v>360.25</v>
      </c>
      <c r="H36" s="2">
        <f>IFERROR(__xludf.DUMMYFUNCTION("""COMPUTED_VALUE"""),1316144.0)</f>
        <v>1316144</v>
      </c>
      <c r="I36" s="2">
        <f>IFERROR(__xludf.DUMMYFUNCTION("GOOGLEFINANCE(""BOM:532174"",""marketcap"")"),2.354177216E12)</f>
        <v>2354177216000</v>
      </c>
      <c r="J36" s="7" t="s">
        <v>9</v>
      </c>
    </row>
    <row r="37">
      <c r="C37" s="2" t="str">
        <f>IFERROR(__xludf.DUMMYFUNCTION("GOOGLEFINANCE(""BOM:532187"",""all"", TODAY()-2,TODAY()-1)"),"Date")</f>
        <v>Date</v>
      </c>
      <c r="D37" s="2" t="str">
        <f>IFERROR(__xludf.DUMMYFUNCTION("""COMPUTED_VALUE"""),"Open")</f>
        <v>Open</v>
      </c>
      <c r="E37" s="2" t="str">
        <f>IFERROR(__xludf.DUMMYFUNCTION("""COMPUTED_VALUE"""),"High")</f>
        <v>High</v>
      </c>
      <c r="F37" s="2" t="str">
        <f>IFERROR(__xludf.DUMMYFUNCTION("""COMPUTED_VALUE"""),"Low")</f>
        <v>Low</v>
      </c>
      <c r="G37" s="2" t="str">
        <f>IFERROR(__xludf.DUMMYFUNCTION("""COMPUTED_VALUE"""),"Close")</f>
        <v>Close</v>
      </c>
      <c r="H37" s="2" t="str">
        <f>IFERROR(__xludf.DUMMYFUNCTION("""COMPUTED_VALUE"""),"Volume")</f>
        <v>Volume</v>
      </c>
    </row>
    <row r="38">
      <c r="A38" s="1">
        <v>532187.0</v>
      </c>
      <c r="B38" s="1" t="s">
        <v>37</v>
      </c>
      <c r="C38" s="4">
        <f>IFERROR(__xludf.DUMMYFUNCTION("""COMPUTED_VALUE"""),44060.64583333333)</f>
        <v>44060.64583</v>
      </c>
      <c r="D38" s="2">
        <f>IFERROR(__xludf.DUMMYFUNCTION("""COMPUTED_VALUE"""),510.05)</f>
        <v>510.05</v>
      </c>
      <c r="E38" s="2">
        <f>IFERROR(__xludf.DUMMYFUNCTION("""COMPUTED_VALUE"""),514.8)</f>
        <v>514.8</v>
      </c>
      <c r="F38" s="2">
        <f>IFERROR(__xludf.DUMMYFUNCTION("""COMPUTED_VALUE"""),502.25)</f>
        <v>502.25</v>
      </c>
      <c r="G38" s="2">
        <f>IFERROR(__xludf.DUMMYFUNCTION("""COMPUTED_VALUE"""),513.0)</f>
        <v>513</v>
      </c>
      <c r="H38" s="2">
        <f>IFERROR(__xludf.DUMMYFUNCTION("""COMPUTED_VALUE"""),626208.0)</f>
        <v>626208</v>
      </c>
      <c r="I38" s="2">
        <f>IFERROR(__xludf.DUMMYFUNCTION("GOOGLEFINANCE(""BOM:532187"",""marketcap"")"),3.52608950166E11)</f>
        <v>352608950166</v>
      </c>
      <c r="J38" s="7" t="s">
        <v>9</v>
      </c>
    </row>
    <row r="39">
      <c r="C39" s="2" t="str">
        <f>IFERROR(__xludf.DUMMYFUNCTION("GOOGLEFINANCE(""BOM:532215"",""all"", TODAY()-2,TODAY()-1)"),"Date")</f>
        <v>Date</v>
      </c>
      <c r="D39" s="2" t="str">
        <f>IFERROR(__xludf.DUMMYFUNCTION("""COMPUTED_VALUE"""),"Open")</f>
        <v>Open</v>
      </c>
      <c r="E39" s="2" t="str">
        <f>IFERROR(__xludf.DUMMYFUNCTION("""COMPUTED_VALUE"""),"High")</f>
        <v>High</v>
      </c>
      <c r="F39" s="2" t="str">
        <f>IFERROR(__xludf.DUMMYFUNCTION("""COMPUTED_VALUE"""),"Low")</f>
        <v>Low</v>
      </c>
      <c r="G39" s="2" t="str">
        <f>IFERROR(__xludf.DUMMYFUNCTION("""COMPUTED_VALUE"""),"Close")</f>
        <v>Close</v>
      </c>
      <c r="H39" s="2" t="str">
        <f>IFERROR(__xludf.DUMMYFUNCTION("""COMPUTED_VALUE"""),"Volume")</f>
        <v>Volume</v>
      </c>
    </row>
    <row r="40">
      <c r="A40" s="1">
        <v>532215.0</v>
      </c>
      <c r="B40" s="1" t="s">
        <v>38</v>
      </c>
      <c r="C40" s="4">
        <f>IFERROR(__xludf.DUMMYFUNCTION("""COMPUTED_VALUE"""),44060.64583333333)</f>
        <v>44060.64583</v>
      </c>
      <c r="D40" s="2">
        <f>IFERROR(__xludf.DUMMYFUNCTION("""COMPUTED_VALUE"""),436.3)</f>
        <v>436.3</v>
      </c>
      <c r="E40" s="2">
        <f>IFERROR(__xludf.DUMMYFUNCTION("""COMPUTED_VALUE"""),440.7)</f>
        <v>440.7</v>
      </c>
      <c r="F40" s="2">
        <f>IFERROR(__xludf.DUMMYFUNCTION("""COMPUTED_VALUE"""),425.3)</f>
        <v>425.3</v>
      </c>
      <c r="G40" s="2">
        <f>IFERROR(__xludf.DUMMYFUNCTION("""COMPUTED_VALUE"""),437.75)</f>
        <v>437.75</v>
      </c>
      <c r="H40" s="2">
        <f>IFERROR(__xludf.DUMMYFUNCTION("""COMPUTED_VALUE"""),634322.0)</f>
        <v>634322</v>
      </c>
      <c r="I40" s="2">
        <f>IFERROR(__xludf.DUMMYFUNCTION("GOOGLEFINANCE(""BOM:532215"",""marketcap"")"),1.339696857445E12)</f>
        <v>1339696857445</v>
      </c>
      <c r="J40" s="7" t="s">
        <v>9</v>
      </c>
    </row>
    <row r="41">
      <c r="C41" s="2" t="str">
        <f>IFERROR(__xludf.DUMMYFUNCTION("GOOGLEFINANCE(""BOM:532281"",""all"", TODAY()-2,TODAY()-1)"),"Date")</f>
        <v>Date</v>
      </c>
      <c r="D41" s="2" t="str">
        <f>IFERROR(__xludf.DUMMYFUNCTION("""COMPUTED_VALUE"""),"Open")</f>
        <v>Open</v>
      </c>
      <c r="E41" s="2" t="str">
        <f>IFERROR(__xludf.DUMMYFUNCTION("""COMPUTED_VALUE"""),"High")</f>
        <v>High</v>
      </c>
      <c r="F41" s="2" t="str">
        <f>IFERROR(__xludf.DUMMYFUNCTION("""COMPUTED_VALUE"""),"Low")</f>
        <v>Low</v>
      </c>
      <c r="G41" s="2" t="str">
        <f>IFERROR(__xludf.DUMMYFUNCTION("""COMPUTED_VALUE"""),"Close")</f>
        <v>Close</v>
      </c>
      <c r="H41" s="2" t="str">
        <f>IFERROR(__xludf.DUMMYFUNCTION("""COMPUTED_VALUE"""),"Volume")</f>
        <v>Volume</v>
      </c>
    </row>
    <row r="42">
      <c r="A42" s="1">
        <v>532281.0</v>
      </c>
      <c r="B42" s="1" t="s">
        <v>39</v>
      </c>
      <c r="C42" s="4">
        <f>IFERROR(__xludf.DUMMYFUNCTION("""COMPUTED_VALUE"""),44060.64583333333)</f>
        <v>44060.64583</v>
      </c>
      <c r="D42" s="2">
        <f>IFERROR(__xludf.DUMMYFUNCTION("""COMPUTED_VALUE"""),709.05)</f>
        <v>709.05</v>
      </c>
      <c r="E42" s="2">
        <f>IFERROR(__xludf.DUMMYFUNCTION("""COMPUTED_VALUE"""),720.5)</f>
        <v>720.5</v>
      </c>
      <c r="F42" s="2">
        <f>IFERROR(__xludf.DUMMYFUNCTION("""COMPUTED_VALUE"""),709.05)</f>
        <v>709.05</v>
      </c>
      <c r="G42" s="2">
        <f>IFERROR(__xludf.DUMMYFUNCTION("""COMPUTED_VALUE"""),719.0)</f>
        <v>719</v>
      </c>
      <c r="H42" s="2">
        <f>IFERROR(__xludf.DUMMYFUNCTION("""COMPUTED_VALUE"""),64765.0)</f>
        <v>64765</v>
      </c>
      <c r="I42" s="2">
        <f>IFERROR(__xludf.DUMMYFUNCTION("GOOGLEFINANCE(""BOM:532281"",""marketcap"")"),1.936336256E12)</f>
        <v>1936336256000</v>
      </c>
      <c r="J42" s="7" t="s">
        <v>14</v>
      </c>
    </row>
    <row r="43">
      <c r="C43" s="2" t="str">
        <f>IFERROR(__xludf.DUMMYFUNCTION("GOOGLEFINANCE(""BOM:532454"",""all"", TODAY()-2,TODAY()-1)"),"Date")</f>
        <v>Date</v>
      </c>
      <c r="D43" s="2" t="str">
        <f>IFERROR(__xludf.DUMMYFUNCTION("""COMPUTED_VALUE"""),"Open")</f>
        <v>Open</v>
      </c>
      <c r="E43" s="2" t="str">
        <f>IFERROR(__xludf.DUMMYFUNCTION("""COMPUTED_VALUE"""),"High")</f>
        <v>High</v>
      </c>
      <c r="F43" s="2" t="str">
        <f>IFERROR(__xludf.DUMMYFUNCTION("""COMPUTED_VALUE"""),"Low")</f>
        <v>Low</v>
      </c>
      <c r="G43" s="2" t="str">
        <f>IFERROR(__xludf.DUMMYFUNCTION("""COMPUTED_VALUE"""),"Close")</f>
        <v>Close</v>
      </c>
      <c r="H43" s="2" t="str">
        <f>IFERROR(__xludf.DUMMYFUNCTION("""COMPUTED_VALUE"""),"Volume")</f>
        <v>Volume</v>
      </c>
    </row>
    <row r="44">
      <c r="A44" s="1">
        <v>532454.0</v>
      </c>
      <c r="B44" s="1" t="s">
        <v>40</v>
      </c>
      <c r="C44" s="4">
        <f>IFERROR(__xludf.DUMMYFUNCTION("""COMPUTED_VALUE"""),44060.64583333333)</f>
        <v>44060.64583</v>
      </c>
      <c r="D44" s="2">
        <f>IFERROR(__xludf.DUMMYFUNCTION("""COMPUTED_VALUE"""),533.0)</f>
        <v>533</v>
      </c>
      <c r="E44" s="2">
        <f>IFERROR(__xludf.DUMMYFUNCTION("""COMPUTED_VALUE"""),533.0)</f>
        <v>533</v>
      </c>
      <c r="F44" s="2">
        <f>IFERROR(__xludf.DUMMYFUNCTION("""COMPUTED_VALUE"""),518.1)</f>
        <v>518.1</v>
      </c>
      <c r="G44" s="2">
        <f>IFERROR(__xludf.DUMMYFUNCTION("""COMPUTED_VALUE"""),521.4)</f>
        <v>521.4</v>
      </c>
      <c r="H44" s="2">
        <f>IFERROR(__xludf.DUMMYFUNCTION("""COMPUTED_VALUE"""),971803.0)</f>
        <v>971803</v>
      </c>
      <c r="I44" s="2">
        <f>IFERROR(__xludf.DUMMYFUNCTION("GOOGLEFINANCE(""BOM:532454"",""marketcap"")"),2.849390005E12)</f>
        <v>2849390005000</v>
      </c>
      <c r="J44" s="7" t="s">
        <v>41</v>
      </c>
    </row>
    <row r="45">
      <c r="C45" s="5" t="str">
        <f>IFERROR(__xludf.DUMMYFUNCTION("GOOGLEFINANCE(""BOM:532500"",""all"", TODAY()-2,TODAY()-1)"),"Date")</f>
        <v>Date</v>
      </c>
      <c r="D45" s="2" t="str">
        <f>IFERROR(__xludf.DUMMYFUNCTION("""COMPUTED_VALUE"""),"Open")</f>
        <v>Open</v>
      </c>
      <c r="E45" s="2" t="str">
        <f>IFERROR(__xludf.DUMMYFUNCTION("""COMPUTED_VALUE"""),"High")</f>
        <v>High</v>
      </c>
      <c r="F45" s="2" t="str">
        <f>IFERROR(__xludf.DUMMYFUNCTION("""COMPUTED_VALUE"""),"Low")</f>
        <v>Low</v>
      </c>
      <c r="G45" s="2" t="str">
        <f>IFERROR(__xludf.DUMMYFUNCTION("""COMPUTED_VALUE"""),"Close")</f>
        <v>Close</v>
      </c>
      <c r="H45" s="2" t="str">
        <f>IFERROR(__xludf.DUMMYFUNCTION("""COMPUTED_VALUE"""),"Volume")</f>
        <v>Volume</v>
      </c>
    </row>
    <row r="46">
      <c r="A46" s="1">
        <v>532500.0</v>
      </c>
      <c r="B46" s="1" t="s">
        <v>42</v>
      </c>
      <c r="C46" s="4">
        <f>IFERROR(__xludf.DUMMYFUNCTION("""COMPUTED_VALUE"""),44060.64583333333)</f>
        <v>44060.64583</v>
      </c>
      <c r="D46" s="2">
        <f>IFERROR(__xludf.DUMMYFUNCTION("""COMPUTED_VALUE"""),6625.0)</f>
        <v>6625</v>
      </c>
      <c r="E46" s="2">
        <f>IFERROR(__xludf.DUMMYFUNCTION("""COMPUTED_VALUE"""),6788.55)</f>
        <v>6788.55</v>
      </c>
      <c r="F46" s="2">
        <f>IFERROR(__xludf.DUMMYFUNCTION("""COMPUTED_VALUE"""),6587.4)</f>
        <v>6587.4</v>
      </c>
      <c r="G46" s="2">
        <f>IFERROR(__xludf.DUMMYFUNCTION("""COMPUTED_VALUE"""),6770.2)</f>
        <v>6770.2</v>
      </c>
      <c r="H46" s="2">
        <f>IFERROR(__xludf.DUMMYFUNCTION("""COMPUTED_VALUE"""),33811.0)</f>
        <v>33811</v>
      </c>
      <c r="I46" s="2">
        <f>IFERROR(__xludf.DUMMYFUNCTION("GOOGLEFINANCE(""BOM:532500"",""marketcap"")"),2.0768E12)</f>
        <v>2076800000000</v>
      </c>
      <c r="J46" s="7" t="s">
        <v>25</v>
      </c>
    </row>
    <row r="47">
      <c r="C47" s="2" t="str">
        <f>IFERROR(__xludf.DUMMYFUNCTION("GOOGLEFINANCE(""BOM:532538"",""all"", TODAY()-2,TODAY()-1)"),"Date")</f>
        <v>Date</v>
      </c>
      <c r="D47" s="2" t="str">
        <f>IFERROR(__xludf.DUMMYFUNCTION("""COMPUTED_VALUE"""),"Open")</f>
        <v>Open</v>
      </c>
      <c r="E47" s="2" t="str">
        <f>IFERROR(__xludf.DUMMYFUNCTION("""COMPUTED_VALUE"""),"High")</f>
        <v>High</v>
      </c>
      <c r="F47" s="2" t="str">
        <f>IFERROR(__xludf.DUMMYFUNCTION("""COMPUTED_VALUE"""),"Low")</f>
        <v>Low</v>
      </c>
      <c r="G47" s="2" t="str">
        <f>IFERROR(__xludf.DUMMYFUNCTION("""COMPUTED_VALUE"""),"Close")</f>
        <v>Close</v>
      </c>
      <c r="H47" s="2" t="str">
        <f>IFERROR(__xludf.DUMMYFUNCTION("""COMPUTED_VALUE"""),"Volume")</f>
        <v>Volume</v>
      </c>
    </row>
    <row r="48">
      <c r="A48" s="1">
        <v>532538.0</v>
      </c>
      <c r="B48" s="1" t="s">
        <v>43</v>
      </c>
      <c r="C48" s="4">
        <f>IFERROR(__xludf.DUMMYFUNCTION("""COMPUTED_VALUE"""),44060.64583333333)</f>
        <v>44060.64583</v>
      </c>
      <c r="D48" s="2">
        <f>IFERROR(__xludf.DUMMYFUNCTION("""COMPUTED_VALUE"""),4055.0)</f>
        <v>4055</v>
      </c>
      <c r="E48" s="2">
        <f>IFERROR(__xludf.DUMMYFUNCTION("""COMPUTED_VALUE"""),4055.0)</f>
        <v>4055</v>
      </c>
      <c r="F48" s="2">
        <f>IFERROR(__xludf.DUMMYFUNCTION("""COMPUTED_VALUE"""),3985.65)</f>
        <v>3985.65</v>
      </c>
      <c r="G48" s="2">
        <f>IFERROR(__xludf.DUMMYFUNCTION("""COMPUTED_VALUE"""),4036.05)</f>
        <v>4036.05</v>
      </c>
      <c r="H48" s="2">
        <f>IFERROR(__xludf.DUMMYFUNCTION("""COMPUTED_VALUE"""),8082.0)</f>
        <v>8082</v>
      </c>
      <c r="I48" s="5">
        <f>IFERROR(__xludf.DUMMYFUNCTION("GOOGLEFINANCE(""BOM:532538"",""marketcap"")"),1.199581547211E12)</f>
        <v>1199581547211</v>
      </c>
      <c r="J48" s="7" t="s">
        <v>44</v>
      </c>
    </row>
    <row r="49">
      <c r="C49" s="2" t="str">
        <f>IFERROR(__xludf.DUMMYFUNCTION("GOOGLEFINANCE(""BOM:532540"",""all"", TODAY()-2,TODAY()-1)"),"Date")</f>
        <v>Date</v>
      </c>
      <c r="D49" s="2" t="str">
        <f>IFERROR(__xludf.DUMMYFUNCTION("""COMPUTED_VALUE"""),"Open")</f>
        <v>Open</v>
      </c>
      <c r="E49" s="2" t="str">
        <f>IFERROR(__xludf.DUMMYFUNCTION("""COMPUTED_VALUE"""),"High")</f>
        <v>High</v>
      </c>
      <c r="F49" s="2" t="str">
        <f>IFERROR(__xludf.DUMMYFUNCTION("""COMPUTED_VALUE"""),"Low")</f>
        <v>Low</v>
      </c>
      <c r="G49" s="2" t="str">
        <f>IFERROR(__xludf.DUMMYFUNCTION("""COMPUTED_VALUE"""),"Close")</f>
        <v>Close</v>
      </c>
      <c r="H49" s="2" t="str">
        <f>IFERROR(__xludf.DUMMYFUNCTION("""COMPUTED_VALUE"""),"Volume")</f>
        <v>Volume</v>
      </c>
    </row>
    <row r="50">
      <c r="A50" s="1">
        <v>532540.0</v>
      </c>
      <c r="B50" s="1" t="s">
        <v>45</v>
      </c>
      <c r="C50" s="4">
        <f>IFERROR(__xludf.DUMMYFUNCTION("""COMPUTED_VALUE"""),44060.64583333333)</f>
        <v>44060.64583</v>
      </c>
      <c r="D50" s="2">
        <f>IFERROR(__xludf.DUMMYFUNCTION("""COMPUTED_VALUE"""),2255.0)</f>
        <v>2255</v>
      </c>
      <c r="E50" s="2">
        <f>IFERROR(__xludf.DUMMYFUNCTION("""COMPUTED_VALUE"""),2268.85)</f>
        <v>2268.85</v>
      </c>
      <c r="F50" s="2">
        <f>IFERROR(__xludf.DUMMYFUNCTION("""COMPUTED_VALUE"""),2239.0)</f>
        <v>2239</v>
      </c>
      <c r="G50" s="2">
        <f>IFERROR(__xludf.DUMMYFUNCTION("""COMPUTED_VALUE"""),2252.05)</f>
        <v>2252.05</v>
      </c>
      <c r="H50" s="2">
        <f>IFERROR(__xludf.DUMMYFUNCTION("""COMPUTED_VALUE"""),98833.0)</f>
        <v>98833</v>
      </c>
      <c r="I50" s="5">
        <f>IFERROR(__xludf.DUMMYFUNCTION("GOOGLEFINANCE(""BOM:532540"",""marketcap"")"),8.488080410421E12)</f>
        <v>8488080410421</v>
      </c>
      <c r="J50" s="7" t="s">
        <v>14</v>
      </c>
    </row>
    <row r="51">
      <c r="C51" s="2" t="str">
        <f>IFERROR(__xludf.DUMMYFUNCTION("GOOGLEFINANCE(""BOM:532555"",""all"", TODAY()-2,TODAY()-1)"),"Date")</f>
        <v>Date</v>
      </c>
      <c r="D51" s="2" t="str">
        <f>IFERROR(__xludf.DUMMYFUNCTION("""COMPUTED_VALUE"""),"Open")</f>
        <v>Open</v>
      </c>
      <c r="E51" s="2" t="str">
        <f>IFERROR(__xludf.DUMMYFUNCTION("""COMPUTED_VALUE"""),"High")</f>
        <v>High</v>
      </c>
      <c r="F51" s="2" t="str">
        <f>IFERROR(__xludf.DUMMYFUNCTION("""COMPUTED_VALUE"""),"Low")</f>
        <v>Low</v>
      </c>
      <c r="G51" s="2" t="str">
        <f>IFERROR(__xludf.DUMMYFUNCTION("""COMPUTED_VALUE"""),"Close")</f>
        <v>Close</v>
      </c>
      <c r="H51" s="2" t="str">
        <f>IFERROR(__xludf.DUMMYFUNCTION("""COMPUTED_VALUE"""),"Volume")</f>
        <v>Volume</v>
      </c>
    </row>
    <row r="52">
      <c r="A52" s="1">
        <v>532555.0</v>
      </c>
      <c r="B52" s="1" t="s">
        <v>46</v>
      </c>
      <c r="C52" s="4">
        <f>IFERROR(__xludf.DUMMYFUNCTION("""COMPUTED_VALUE"""),44060.64583333333)</f>
        <v>44060.64583</v>
      </c>
      <c r="D52" s="2">
        <f>IFERROR(__xludf.DUMMYFUNCTION("""COMPUTED_VALUE"""),89.2)</f>
        <v>89.2</v>
      </c>
      <c r="E52" s="2">
        <f>IFERROR(__xludf.DUMMYFUNCTION("""COMPUTED_VALUE"""),96.35)</f>
        <v>96.35</v>
      </c>
      <c r="F52" s="2">
        <f>IFERROR(__xludf.DUMMYFUNCTION("""COMPUTED_VALUE"""),89.2)</f>
        <v>89.2</v>
      </c>
      <c r="G52" s="2">
        <f>IFERROR(__xludf.DUMMYFUNCTION("""COMPUTED_VALUE"""),95.4)</f>
        <v>95.4</v>
      </c>
      <c r="H52" s="2">
        <f>IFERROR(__xludf.DUMMYFUNCTION("""COMPUTED_VALUE"""),8105217.0)</f>
        <v>8105217</v>
      </c>
      <c r="I52" s="8">
        <f>IFERROR(__xludf.DUMMYFUNCTION("GOOGLEFINANCE(""BOM:532555"",""marketcap"")"),9.38004033795E11)</f>
        <v>938004033795</v>
      </c>
      <c r="J52" s="7" t="s">
        <v>47</v>
      </c>
    </row>
    <row r="53">
      <c r="C53" s="2" t="str">
        <f>IFERROR(__xludf.DUMMYFUNCTION("GOOGLEFINANCE(""BOM:532755"",""all"", TODAY()-2,TODAY()-1)"),"Date")</f>
        <v>Date</v>
      </c>
      <c r="D53" s="2" t="str">
        <f>IFERROR(__xludf.DUMMYFUNCTION("""COMPUTED_VALUE"""),"Open")</f>
        <v>Open</v>
      </c>
      <c r="E53" s="2" t="str">
        <f>IFERROR(__xludf.DUMMYFUNCTION("""COMPUTED_VALUE"""),"High")</f>
        <v>High</v>
      </c>
      <c r="F53" s="2" t="str">
        <f>IFERROR(__xludf.DUMMYFUNCTION("""COMPUTED_VALUE"""),"Low")</f>
        <v>Low</v>
      </c>
      <c r="G53" s="2" t="str">
        <f>IFERROR(__xludf.DUMMYFUNCTION("""COMPUTED_VALUE"""),"Close")</f>
        <v>Close</v>
      </c>
      <c r="H53" s="2" t="str">
        <f>IFERROR(__xludf.DUMMYFUNCTION("""COMPUTED_VALUE"""),"Volume")</f>
        <v>Volume</v>
      </c>
    </row>
    <row r="54">
      <c r="A54" s="1">
        <v>532755.0</v>
      </c>
      <c r="B54" s="1" t="s">
        <v>48</v>
      </c>
      <c r="C54" s="4">
        <f>IFERROR(__xludf.DUMMYFUNCTION("""COMPUTED_VALUE"""),44060.64583333333)</f>
        <v>44060.64583</v>
      </c>
      <c r="D54" s="2">
        <f>IFERROR(__xludf.DUMMYFUNCTION("""COMPUTED_VALUE"""),703.5)</f>
        <v>703.5</v>
      </c>
      <c r="E54" s="2">
        <f>IFERROR(__xludf.DUMMYFUNCTION("""COMPUTED_VALUE"""),724.15)</f>
        <v>724.15</v>
      </c>
      <c r="F54" s="2">
        <f>IFERROR(__xludf.DUMMYFUNCTION("""COMPUTED_VALUE"""),699.0)</f>
        <v>699</v>
      </c>
      <c r="G54" s="2">
        <f>IFERROR(__xludf.DUMMYFUNCTION("""COMPUTED_VALUE"""),721.1)</f>
        <v>721.1</v>
      </c>
      <c r="H54" s="2">
        <f>IFERROR(__xludf.DUMMYFUNCTION("""COMPUTED_VALUE"""),300722.0)</f>
        <v>300722</v>
      </c>
      <c r="I54" s="2">
        <f>IFERROR(__xludf.DUMMYFUNCTION("GOOGLEFINANCE(""BOM:532755"",""marketcap"")"),6.89792048929E11)</f>
        <v>689792048929</v>
      </c>
      <c r="J54" s="7" t="s">
        <v>14</v>
      </c>
    </row>
    <row r="55">
      <c r="C55" s="2" t="str">
        <f>IFERROR(__xludf.DUMMYFUNCTION("GOOGLEFINANCE(""BOM:532898"",""all"", TODAY()-2,TODAY()-1)"),"Date")</f>
        <v>Date</v>
      </c>
      <c r="D55" s="2" t="str">
        <f>IFERROR(__xludf.DUMMYFUNCTION("""COMPUTED_VALUE"""),"Open")</f>
        <v>Open</v>
      </c>
      <c r="E55" s="2" t="str">
        <f>IFERROR(__xludf.DUMMYFUNCTION("""COMPUTED_VALUE"""),"High")</f>
        <v>High</v>
      </c>
      <c r="F55" s="2" t="str">
        <f>IFERROR(__xludf.DUMMYFUNCTION("""COMPUTED_VALUE"""),"Low")</f>
        <v>Low</v>
      </c>
      <c r="G55" s="2" t="str">
        <f>IFERROR(__xludf.DUMMYFUNCTION("""COMPUTED_VALUE"""),"Close")</f>
        <v>Close</v>
      </c>
      <c r="H55" s="2" t="str">
        <f>IFERROR(__xludf.DUMMYFUNCTION("""COMPUTED_VALUE"""),"Volume")</f>
        <v>Volume</v>
      </c>
    </row>
    <row r="56">
      <c r="A56" s="1">
        <v>532898.0</v>
      </c>
      <c r="B56" s="1" t="s">
        <v>49</v>
      </c>
      <c r="C56" s="4">
        <f>IFERROR(__xludf.DUMMYFUNCTION("""COMPUTED_VALUE"""),44060.64583333333)</f>
        <v>44060.64583</v>
      </c>
      <c r="D56" s="2">
        <f>IFERROR(__xludf.DUMMYFUNCTION("""COMPUTED_VALUE"""),177.85)</f>
        <v>177.85</v>
      </c>
      <c r="E56" s="2">
        <f>IFERROR(__xludf.DUMMYFUNCTION("""COMPUTED_VALUE"""),182.4)</f>
        <v>182.4</v>
      </c>
      <c r="F56" s="2">
        <f>IFERROR(__xludf.DUMMYFUNCTION("""COMPUTED_VALUE"""),175.55)</f>
        <v>175.55</v>
      </c>
      <c r="G56" s="2">
        <f>IFERROR(__xludf.DUMMYFUNCTION("""COMPUTED_VALUE"""),178.65)</f>
        <v>178.65</v>
      </c>
      <c r="H56" s="2">
        <f>IFERROR(__xludf.DUMMYFUNCTION("""COMPUTED_VALUE"""),469437.0)</f>
        <v>469437</v>
      </c>
      <c r="I56" s="5">
        <f>IFERROR(__xludf.DUMMYFUNCTION("GOOGLEFINANCE(""BOM:532898"",""marketcap"")"),9.338386365E11)</f>
        <v>933838636500</v>
      </c>
      <c r="J56" s="7" t="s">
        <v>47</v>
      </c>
    </row>
    <row r="57">
      <c r="C57" s="2" t="str">
        <f>IFERROR(__xludf.DUMMYFUNCTION("GOOGLEFINANCE(""BOM:532977"",""all"", TODAY()-2,TODAY()-1)"),"Date")</f>
        <v>Date</v>
      </c>
      <c r="D57" s="2" t="str">
        <f>IFERROR(__xludf.DUMMYFUNCTION("""COMPUTED_VALUE"""),"Open")</f>
        <v>Open</v>
      </c>
      <c r="E57" s="2" t="str">
        <f>IFERROR(__xludf.DUMMYFUNCTION("""COMPUTED_VALUE"""),"High")</f>
        <v>High</v>
      </c>
      <c r="F57" s="2" t="str">
        <f>IFERROR(__xludf.DUMMYFUNCTION("""COMPUTED_VALUE"""),"Low")</f>
        <v>Low</v>
      </c>
      <c r="G57" s="2" t="str">
        <f>IFERROR(__xludf.DUMMYFUNCTION("""COMPUTED_VALUE"""),"Close")</f>
        <v>Close</v>
      </c>
      <c r="H57" s="2" t="str">
        <f>IFERROR(__xludf.DUMMYFUNCTION("""COMPUTED_VALUE"""),"Volume")</f>
        <v>Volume</v>
      </c>
    </row>
    <row r="58">
      <c r="A58" s="1">
        <v>532977.0</v>
      </c>
      <c r="B58" s="1" t="s">
        <v>50</v>
      </c>
      <c r="C58" s="4">
        <f>IFERROR(__xludf.DUMMYFUNCTION("""COMPUTED_VALUE"""),44060.64583333333)</f>
        <v>44060.64583</v>
      </c>
      <c r="D58" s="2">
        <f>IFERROR(__xludf.DUMMYFUNCTION("""COMPUTED_VALUE"""),2986.1)</f>
        <v>2986.1</v>
      </c>
      <c r="E58" s="2">
        <f>IFERROR(__xludf.DUMMYFUNCTION("""COMPUTED_VALUE"""),3125.0)</f>
        <v>3125</v>
      </c>
      <c r="F58" s="2">
        <f>IFERROR(__xludf.DUMMYFUNCTION("""COMPUTED_VALUE"""),2986.1)</f>
        <v>2986.1</v>
      </c>
      <c r="G58" s="2">
        <f>IFERROR(__xludf.DUMMYFUNCTION("""COMPUTED_VALUE"""),3114.35)</f>
        <v>3114.35</v>
      </c>
      <c r="H58" s="2">
        <f>IFERROR(__xludf.DUMMYFUNCTION("""COMPUTED_VALUE"""),47908.0)</f>
        <v>47908</v>
      </c>
      <c r="I58" s="5">
        <f>IFERROR(__xludf.DUMMYFUNCTION("GOOGLEFINANCE(""BOM:532977"",""marketcap"")"),9.0816384702E11)</f>
        <v>908163847020</v>
      </c>
      <c r="J58" s="7" t="s">
        <v>51</v>
      </c>
    </row>
    <row r="59">
      <c r="C59" s="2" t="str">
        <f>IFERROR(__xludf.DUMMYFUNCTION("GOOGLEFINANCE(""BOM:532978"",""all"", TODAY()-2,TODAY()-1)"),"Date")</f>
        <v>Date</v>
      </c>
      <c r="D59" s="2" t="str">
        <f>IFERROR(__xludf.DUMMYFUNCTION("""COMPUTED_VALUE"""),"Open")</f>
        <v>Open</v>
      </c>
      <c r="E59" s="2" t="str">
        <f>IFERROR(__xludf.DUMMYFUNCTION("""COMPUTED_VALUE"""),"High")</f>
        <v>High</v>
      </c>
      <c r="F59" s="2" t="str">
        <f>IFERROR(__xludf.DUMMYFUNCTION("""COMPUTED_VALUE"""),"Low")</f>
        <v>Low</v>
      </c>
      <c r="G59" s="2" t="str">
        <f>IFERROR(__xludf.DUMMYFUNCTION("""COMPUTED_VALUE"""),"Close")</f>
        <v>Close</v>
      </c>
      <c r="H59" s="2" t="str">
        <f>IFERROR(__xludf.DUMMYFUNCTION("""COMPUTED_VALUE"""),"Volume")</f>
        <v>Volume</v>
      </c>
    </row>
    <row r="60">
      <c r="A60" s="1">
        <v>532978.0</v>
      </c>
      <c r="B60" s="1" t="s">
        <v>52</v>
      </c>
      <c r="C60" s="4">
        <f>IFERROR(__xludf.DUMMYFUNCTION("""COMPUTED_VALUE"""),44060.64583333333)</f>
        <v>44060.64583</v>
      </c>
      <c r="D60" s="2">
        <f>IFERROR(__xludf.DUMMYFUNCTION("""COMPUTED_VALUE"""),6250.0)</f>
        <v>6250</v>
      </c>
      <c r="E60" s="2">
        <f>IFERROR(__xludf.DUMMYFUNCTION("""COMPUTED_VALUE"""),6313.35)</f>
        <v>6313.35</v>
      </c>
      <c r="F60" s="2">
        <f>IFERROR(__xludf.DUMMYFUNCTION("""COMPUTED_VALUE"""),6201.45)</f>
        <v>6201.45</v>
      </c>
      <c r="G60" s="2">
        <f>IFERROR(__xludf.DUMMYFUNCTION("""COMPUTED_VALUE"""),6269.05)</f>
        <v>6269.05</v>
      </c>
      <c r="H60" s="2">
        <f>IFERROR(__xludf.DUMMYFUNCTION("""COMPUTED_VALUE"""),20797.0)</f>
        <v>20797</v>
      </c>
      <c r="I60" s="2">
        <f>IFERROR(__xludf.DUMMYFUNCTION("GOOGLEFINANCE(""BOM:532978"",""marketcap"")"),9.96484210231E11)</f>
        <v>996484210231</v>
      </c>
      <c r="J60" s="7" t="s">
        <v>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71"/>
    <col customWidth="1" min="3" max="3" width="17.14"/>
    <col customWidth="1" min="4" max="4" width="12.86"/>
    <col customWidth="1" min="9" max="9" width="15.57"/>
    <col customWidth="1" min="10" max="10" width="25.86"/>
  </cols>
  <sheetData>
    <row r="1">
      <c r="A1" s="2" t="s">
        <v>0</v>
      </c>
      <c r="B1" s="2" t="s">
        <v>1</v>
      </c>
      <c r="C1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2</v>
      </c>
      <c r="J1" s="2" t="s">
        <v>3</v>
      </c>
    </row>
    <row r="2">
      <c r="A2" s="2">
        <f>RAW!A2</f>
        <v>500010</v>
      </c>
      <c r="B2" s="2" t="str">
        <f>RAW!B2</f>
        <v>Housing Development Finance Corp Ltd.</v>
      </c>
      <c r="C2" s="4">
        <f>RAW!C2</f>
        <v>44060.64583</v>
      </c>
      <c r="D2" s="2">
        <f>RAW!D2</f>
        <v>1800.1</v>
      </c>
      <c r="E2" s="2">
        <f>RAW!E2</f>
        <v>1807.5</v>
      </c>
      <c r="F2" s="2">
        <f>RAW!F2</f>
        <v>1782.85</v>
      </c>
      <c r="G2" s="2">
        <f>RAW!G2</f>
        <v>1800.15</v>
      </c>
      <c r="H2" s="2">
        <f>RAW!H2</f>
        <v>87843</v>
      </c>
      <c r="I2" s="2">
        <f>RAW!I2</f>
        <v>3245349109463</v>
      </c>
      <c r="J2" s="2" t="str">
        <f>RAW!J2</f>
        <v>Housing Finance</v>
      </c>
      <c r="K2" s="2" t="str">
        <f>RAW!K2</f>
        <v/>
      </c>
      <c r="L2" s="2" t="str">
        <f>RAW!L2</f>
        <v/>
      </c>
      <c r="M2" s="2" t="str">
        <f>RAW!M2</f>
        <v/>
      </c>
    </row>
    <row r="3">
      <c r="A3" s="2">
        <f>RAW!A4</f>
        <v>500034</v>
      </c>
      <c r="B3" s="2" t="str">
        <f>RAW!B4</f>
        <v>Bajaj Finance limited</v>
      </c>
      <c r="C3" s="4">
        <f>RAW!C4</f>
        <v>44060.64583</v>
      </c>
      <c r="D3" s="2">
        <f>RAW!D4</f>
        <v>3358.7</v>
      </c>
      <c r="E3" s="2">
        <f>RAW!E4</f>
        <v>3399.8</v>
      </c>
      <c r="F3" s="2">
        <f>RAW!F4</f>
        <v>3313.55</v>
      </c>
      <c r="G3" s="2">
        <f>RAW!G4</f>
        <v>3384.35</v>
      </c>
      <c r="H3" s="2">
        <f>RAW!H4</f>
        <v>195597</v>
      </c>
      <c r="I3" s="2">
        <f>RAW!I4</f>
        <v>2033541495075</v>
      </c>
      <c r="J3" s="2" t="str">
        <f>RAW!J4</f>
        <v>Finance</v>
      </c>
      <c r="K3" s="2" t="str">
        <f>RAW!K4</f>
        <v/>
      </c>
      <c r="L3" s="2" t="str">
        <f>RAW!L4</f>
        <v/>
      </c>
      <c r="M3" s="2" t="str">
        <f>RAW!M4</f>
        <v/>
      </c>
    </row>
    <row r="4">
      <c r="A4" s="2">
        <f>RAW!A6</f>
        <v>500112</v>
      </c>
      <c r="B4" s="2" t="str">
        <f>RAW!B6</f>
        <v>State Bank of India</v>
      </c>
      <c r="C4" s="4">
        <f>RAW!C6</f>
        <v>44060.64583</v>
      </c>
      <c r="D4" s="2">
        <f>RAW!D6</f>
        <v>198.6</v>
      </c>
      <c r="E4" s="2">
        <f>RAW!E6</f>
        <v>198.7</v>
      </c>
      <c r="F4" s="2">
        <f>RAW!F6</f>
        <v>191.5</v>
      </c>
      <c r="G4" s="2">
        <f>RAW!G6</f>
        <v>193.05</v>
      </c>
      <c r="H4" s="2">
        <f>RAW!H6</f>
        <v>2340139</v>
      </c>
      <c r="I4" s="2">
        <f>RAW!I6</f>
        <v>1718433682735</v>
      </c>
      <c r="J4" s="2" t="str">
        <f>RAW!J6</f>
        <v>Banks</v>
      </c>
      <c r="K4" s="2" t="str">
        <f>RAW!K6</f>
        <v/>
      </c>
      <c r="L4" s="2" t="str">
        <f>RAW!L6</f>
        <v/>
      </c>
      <c r="M4" s="2" t="str">
        <f>RAW!M6</f>
        <v/>
      </c>
    </row>
    <row r="5">
      <c r="A5" s="2">
        <f>RAW!A8</f>
        <v>500114</v>
      </c>
      <c r="B5" s="2" t="str">
        <f>RAW!B8</f>
        <v>Titan Company Limited</v>
      </c>
      <c r="C5" s="4">
        <f>RAW!C8</f>
        <v>44060.64583</v>
      </c>
      <c r="D5" s="2">
        <f>RAW!D8</f>
        <v>1113.7</v>
      </c>
      <c r="E5" s="2">
        <f>RAW!E8</f>
        <v>1125.5</v>
      </c>
      <c r="F5" s="2">
        <f>RAW!F8</f>
        <v>1106.55</v>
      </c>
      <c r="G5" s="2">
        <f>RAW!G8</f>
        <v>1124.15</v>
      </c>
      <c r="H5" s="2">
        <f>RAW!H8</f>
        <v>91498</v>
      </c>
      <c r="I5" s="2">
        <f>RAW!I8</f>
        <v>1009901121403</v>
      </c>
      <c r="J5" s="2" t="str">
        <f>RAW!J8</f>
        <v>Other Apparels &amp; Accessories</v>
      </c>
      <c r="K5" s="2" t="str">
        <f>RAW!K8</f>
        <v/>
      </c>
      <c r="L5" s="2" t="str">
        <f>RAW!L8</f>
        <v/>
      </c>
      <c r="M5" s="2" t="str">
        <f>RAW!M8</f>
        <v/>
      </c>
    </row>
    <row r="6">
      <c r="A6" s="2">
        <f>RAW!A10</f>
        <v>500180</v>
      </c>
      <c r="B6" s="2" t="str">
        <f>RAW!B10</f>
        <v>HDFC Bank Ltd</v>
      </c>
      <c r="C6" s="4">
        <f>RAW!C10</f>
        <v>44060.64583</v>
      </c>
      <c r="D6" s="2">
        <f>RAW!D10</f>
        <v>1045.05</v>
      </c>
      <c r="E6" s="2">
        <f>RAW!E10</f>
        <v>1050</v>
      </c>
      <c r="F6" s="2">
        <f>RAW!F10</f>
        <v>1020.5</v>
      </c>
      <c r="G6" s="2">
        <f>RAW!G10</f>
        <v>1033.55</v>
      </c>
      <c r="H6" s="2">
        <f>RAW!H10</f>
        <v>535483</v>
      </c>
      <c r="I6" s="2">
        <f>RAW!I10</f>
        <v>5724145518558</v>
      </c>
      <c r="J6" s="2" t="str">
        <f>RAW!J10</f>
        <v>Banks</v>
      </c>
      <c r="K6" s="2" t="str">
        <f>RAW!K10</f>
        <v/>
      </c>
      <c r="L6" s="2" t="str">
        <f>RAW!L10</f>
        <v/>
      </c>
      <c r="M6" s="2" t="str">
        <f>RAW!M10</f>
        <v/>
      </c>
    </row>
    <row r="7">
      <c r="A7" s="2">
        <f>RAW!A12</f>
        <v>500209</v>
      </c>
      <c r="B7" s="2" t="str">
        <f>RAW!B12</f>
        <v>Infosys Ltd</v>
      </c>
      <c r="C7" s="4">
        <f>RAW!C12</f>
        <v>44060.64583</v>
      </c>
      <c r="D7" s="2">
        <f>RAW!D12</f>
        <v>953.5</v>
      </c>
      <c r="E7" s="2">
        <f>RAW!E12</f>
        <v>972.45</v>
      </c>
      <c r="F7" s="2">
        <f>RAW!F12</f>
        <v>953.5</v>
      </c>
      <c r="G7" s="2">
        <f>RAW!G12</f>
        <v>957.5</v>
      </c>
      <c r="H7" s="2">
        <f>RAW!H12</f>
        <v>541115</v>
      </c>
      <c r="I7" s="2">
        <f>RAW!I12</f>
        <v>4074882114977</v>
      </c>
      <c r="J7" s="2" t="str">
        <f>RAW!J12</f>
        <v>IT Consulting &amp; Software</v>
      </c>
      <c r="K7" s="2" t="str">
        <f>RAW!K12</f>
        <v/>
      </c>
      <c r="L7" s="2" t="str">
        <f>RAW!L12</f>
        <v/>
      </c>
      <c r="M7" s="2" t="str">
        <f>RAW!M12</f>
        <v/>
      </c>
    </row>
    <row r="8">
      <c r="A8" s="2">
        <f>RAW!A14</f>
        <v>500247</v>
      </c>
      <c r="B8" s="2" t="str">
        <f>RAW!B14</f>
        <v>Kotak Manindra Bank Ltd</v>
      </c>
      <c r="C8" s="4">
        <f>RAW!C14</f>
        <v>44060.64583</v>
      </c>
      <c r="D8" s="2">
        <f>RAW!D14</f>
        <v>1320</v>
      </c>
      <c r="E8" s="2">
        <f>RAW!E14</f>
        <v>1332.65</v>
      </c>
      <c r="F8" s="2">
        <f>RAW!F14</f>
        <v>1312</v>
      </c>
      <c r="G8" s="2">
        <f>RAW!G14</f>
        <v>1328.75</v>
      </c>
      <c r="H8" s="2">
        <f>RAW!H14</f>
        <v>272867</v>
      </c>
      <c r="I8" s="2">
        <f>RAW!I14</f>
        <v>2667113192321</v>
      </c>
      <c r="J8" s="2" t="str">
        <f>RAW!J14</f>
        <v>Banks</v>
      </c>
      <c r="K8" s="2" t="str">
        <f>RAW!K14</f>
        <v/>
      </c>
      <c r="L8" s="2" t="str">
        <f>RAW!L14</f>
        <v/>
      </c>
      <c r="M8" s="2" t="str">
        <f>RAW!M14</f>
        <v/>
      </c>
    </row>
    <row r="9">
      <c r="A9" s="2">
        <f>RAW!A16</f>
        <v>500312</v>
      </c>
      <c r="B9" s="2" t="str">
        <f>RAW!B16</f>
        <v>Oil and Natural Gas Corporation Ltd</v>
      </c>
      <c r="C9" s="4">
        <f>RAW!C16</f>
        <v>44060.64583</v>
      </c>
      <c r="D9" s="2">
        <f>RAW!D16</f>
        <v>77.1</v>
      </c>
      <c r="E9" s="2">
        <f>RAW!E16</f>
        <v>79.75</v>
      </c>
      <c r="F9" s="2">
        <f>RAW!F16</f>
        <v>77.1</v>
      </c>
      <c r="G9" s="2">
        <f>RAW!G16</f>
        <v>79.3</v>
      </c>
      <c r="H9" s="2">
        <f>RAW!H16</f>
        <v>1644493</v>
      </c>
      <c r="I9" s="2">
        <f>RAW!I16</f>
        <v>1018372818108</v>
      </c>
      <c r="J9" s="2" t="str">
        <f>RAW!J16</f>
        <v>Exploration &amp; Production</v>
      </c>
      <c r="K9" s="2" t="str">
        <f>RAW!K16</f>
        <v/>
      </c>
      <c r="L9" s="2" t="str">
        <f>RAW!L16</f>
        <v/>
      </c>
      <c r="M9" s="2" t="str">
        <f>RAW!M16</f>
        <v/>
      </c>
    </row>
    <row r="10">
      <c r="A10" s="2">
        <f>RAW!A18</f>
        <v>500325</v>
      </c>
      <c r="B10" s="2" t="str">
        <f>RAW!B18</f>
        <v>Reliance Industries Ltd</v>
      </c>
      <c r="C10" s="4">
        <f>RAW!C18</f>
        <v>44060.64583</v>
      </c>
      <c r="D10" s="2">
        <f>RAW!D18</f>
        <v>2103.15</v>
      </c>
      <c r="E10" s="2">
        <f>RAW!E18</f>
        <v>2107.3</v>
      </c>
      <c r="F10" s="2">
        <f>RAW!F18</f>
        <v>2070</v>
      </c>
      <c r="G10" s="2">
        <f>RAW!G18</f>
        <v>2091.45</v>
      </c>
      <c r="H10" s="2">
        <f>RAW!H18</f>
        <v>923799</v>
      </c>
      <c r="I10" s="2">
        <f>RAW!I18</f>
        <v>13947914729064</v>
      </c>
      <c r="J10" s="2" t="str">
        <f>RAW!J18</f>
        <v>Integrated Oil &amp; Gas</v>
      </c>
      <c r="K10" s="2" t="str">
        <f>RAW!K18</f>
        <v/>
      </c>
      <c r="L10" s="2" t="str">
        <f>RAW!L18</f>
        <v/>
      </c>
      <c r="M10" s="2" t="str">
        <f>RAW!M18</f>
        <v/>
      </c>
    </row>
    <row r="11">
      <c r="A11" s="2">
        <f>RAW!A20</f>
        <v>500470</v>
      </c>
      <c r="B11" s="2" t="str">
        <f>RAW!B20</f>
        <v>TATA Steel Ltd</v>
      </c>
      <c r="C11" s="4">
        <f>RAW!C20</f>
        <v>44060.64583</v>
      </c>
      <c r="D11" s="2">
        <f>RAW!D20</f>
        <v>418.5</v>
      </c>
      <c r="E11" s="2">
        <f>RAW!E20</f>
        <v>429</v>
      </c>
      <c r="F11" s="2">
        <f>RAW!F20</f>
        <v>414.2</v>
      </c>
      <c r="G11" s="2">
        <f>RAW!G20</f>
        <v>424.95</v>
      </c>
      <c r="H11" s="2">
        <f>RAW!H20</f>
        <v>713092</v>
      </c>
      <c r="I11" s="2">
        <f>RAW!I20</f>
        <v>485991832500</v>
      </c>
      <c r="J11" s="2" t="str">
        <f>RAW!J20</f>
        <v>Iron &amp; Steel/Interm.Products</v>
      </c>
      <c r="K11" s="2" t="str">
        <f>RAW!K20</f>
        <v/>
      </c>
      <c r="L11" s="2" t="str">
        <f>RAW!L20</f>
        <v/>
      </c>
      <c r="M11" s="2" t="str">
        <f>RAW!M20</f>
        <v/>
      </c>
    </row>
    <row r="12">
      <c r="A12" s="2">
        <f>RAW!A22</f>
        <v>500510</v>
      </c>
      <c r="B12" s="2" t="str">
        <f>RAW!B22</f>
        <v>Larsen and Toubro Ltd</v>
      </c>
      <c r="C12" s="4">
        <f>RAW!C22</f>
        <v>44060.64583</v>
      </c>
      <c r="D12" s="2">
        <f>RAW!D22</f>
        <v>1002.3</v>
      </c>
      <c r="E12" s="2">
        <f>RAW!E22</f>
        <v>1007</v>
      </c>
      <c r="F12" s="2">
        <f>RAW!F22</f>
        <v>988.1</v>
      </c>
      <c r="G12" s="2">
        <f>RAW!G22</f>
        <v>1000.7</v>
      </c>
      <c r="H12" s="2">
        <f>RAW!H22</f>
        <v>190248</v>
      </c>
      <c r="I12" s="2">
        <f>RAW!I22</f>
        <v>1405088026250</v>
      </c>
      <c r="J12" s="2" t="str">
        <f>RAW!J22</f>
        <v>Construction &amp; Engineering</v>
      </c>
      <c r="K12" s="2" t="str">
        <f>RAW!K22</f>
        <v/>
      </c>
      <c r="L12" s="2" t="str">
        <f>RAW!L22</f>
        <v/>
      </c>
      <c r="M12" s="2" t="str">
        <f>RAW!M22</f>
        <v/>
      </c>
    </row>
    <row r="13">
      <c r="A13" s="2">
        <f>RAW!A24</f>
        <v>500520</v>
      </c>
      <c r="B13" s="2" t="str">
        <f>RAW!B24</f>
        <v>Mahindra and Mahindra Ltd</v>
      </c>
      <c r="C13" s="4">
        <f>RAW!C24</f>
        <v>44060.64583</v>
      </c>
      <c r="D13" s="2">
        <f>RAW!D24</f>
        <v>626.35</v>
      </c>
      <c r="E13" s="2">
        <f>RAW!E24</f>
        <v>631.6</v>
      </c>
      <c r="F13" s="2">
        <f>RAW!F24</f>
        <v>614</v>
      </c>
      <c r="G13" s="2">
        <f>RAW!G24</f>
        <v>623.45</v>
      </c>
      <c r="H13" s="2">
        <f>RAW!H24</f>
        <v>159585</v>
      </c>
      <c r="I13" s="2">
        <f>RAW!I24</f>
        <v>739211120000</v>
      </c>
      <c r="J13" s="2" t="str">
        <f>RAW!J24</f>
        <v>Cars &amp; Utility Vehicles</v>
      </c>
      <c r="K13" s="2" t="str">
        <f>RAW!K24</f>
        <v/>
      </c>
      <c r="L13" s="2" t="str">
        <f>RAW!L24</f>
        <v/>
      </c>
      <c r="M13" s="2" t="str">
        <f>RAW!M24</f>
        <v/>
      </c>
    </row>
    <row r="14">
      <c r="A14" s="2">
        <f>RAW!A26</f>
        <v>500696</v>
      </c>
      <c r="B14" s="2" t="str">
        <f>RAW!B26</f>
        <v>Hindustan Unilever Ltd</v>
      </c>
      <c r="C14" s="4">
        <f>RAW!C26</f>
        <v>44060.64583</v>
      </c>
      <c r="D14" s="2">
        <f>RAW!D26</f>
        <v>2175</v>
      </c>
      <c r="E14" s="2">
        <f>RAW!E26</f>
        <v>2203</v>
      </c>
      <c r="F14" s="2">
        <f>RAW!F26</f>
        <v>2169</v>
      </c>
      <c r="G14" s="2">
        <f>RAW!G26</f>
        <v>2196.7</v>
      </c>
      <c r="H14" s="2">
        <f>RAW!H26</f>
        <v>112029</v>
      </c>
      <c r="I14" s="2">
        <f>RAW!I26</f>
        <v>5170302367224</v>
      </c>
      <c r="J14" s="2" t="str">
        <f>RAW!J26</f>
        <v>Personal Products</v>
      </c>
      <c r="K14" s="2" t="str">
        <f>RAW!K26</f>
        <v/>
      </c>
      <c r="L14" s="2" t="str">
        <f>RAW!L26</f>
        <v/>
      </c>
      <c r="M14" s="2" t="str">
        <f>RAW!M26</f>
        <v/>
      </c>
    </row>
    <row r="15">
      <c r="A15" s="2">
        <f>RAW!A28</f>
        <v>500790</v>
      </c>
      <c r="B15" s="2" t="str">
        <f>RAW!B28</f>
        <v>Nestle India Ltd</v>
      </c>
      <c r="C15" s="4">
        <f>RAW!C28</f>
        <v>44060.64583</v>
      </c>
      <c r="D15" s="2">
        <f>RAW!D28</f>
        <v>16356</v>
      </c>
      <c r="E15" s="2">
        <f>RAW!E28</f>
        <v>16521</v>
      </c>
      <c r="F15" s="2">
        <f>RAW!F28</f>
        <v>16316.1</v>
      </c>
      <c r="G15" s="2">
        <f>RAW!G28</f>
        <v>16427.35</v>
      </c>
      <c r="H15" s="2">
        <f>RAW!H28</f>
        <v>2197</v>
      </c>
      <c r="I15" s="2">
        <f>RAW!I28</f>
        <v>1577746514800</v>
      </c>
      <c r="J15" s="2" t="str">
        <f>RAW!J28</f>
        <v>Packaged Foods</v>
      </c>
      <c r="K15" s="2" t="str">
        <f>RAW!K28</f>
        <v/>
      </c>
      <c r="L15" s="2" t="str">
        <f>RAW!L28</f>
        <v/>
      </c>
      <c r="M15" s="2" t="str">
        <f>RAW!M28</f>
        <v/>
      </c>
    </row>
    <row r="16">
      <c r="A16" s="2">
        <f>RAW!A30</f>
        <v>500820</v>
      </c>
      <c r="B16" s="2" t="str">
        <f>RAW!B30</f>
        <v>Asian Paints Ltd</v>
      </c>
      <c r="C16" s="4">
        <f>RAW!C30</f>
        <v>44060.64583</v>
      </c>
      <c r="D16" s="2">
        <f>RAW!D30</f>
        <v>1825</v>
      </c>
      <c r="E16" s="2">
        <f>RAW!E30</f>
        <v>1841.7</v>
      </c>
      <c r="F16" s="2">
        <f>RAW!F30</f>
        <v>1801.85</v>
      </c>
      <c r="G16" s="2">
        <f>RAW!G30</f>
        <v>1835.85</v>
      </c>
      <c r="H16" s="2">
        <f>RAW!H30</f>
        <v>49547</v>
      </c>
      <c r="I16" s="2">
        <f>RAW!I30</f>
        <v>1785882400512</v>
      </c>
      <c r="J16" s="2" t="str">
        <f>RAW!J30</f>
        <v>Furniture-Furnishing-Paints</v>
      </c>
      <c r="K16" s="2" t="str">
        <f>RAW!K30</f>
        <v/>
      </c>
      <c r="L16" s="2" t="str">
        <f>RAW!L30</f>
        <v/>
      </c>
      <c r="M16" s="2" t="str">
        <f>RAW!M30</f>
        <v/>
      </c>
    </row>
    <row r="17">
      <c r="A17" s="2">
        <f>RAW!A32</f>
        <v>500875</v>
      </c>
      <c r="B17" s="2" t="str">
        <f>RAW!B32</f>
        <v>ITC Ltd</v>
      </c>
      <c r="C17" s="4">
        <f>RAW!C32</f>
        <v>44060.64583</v>
      </c>
      <c r="D17" s="2">
        <f>RAW!D32</f>
        <v>197.5</v>
      </c>
      <c r="E17" s="2">
        <f>RAW!E32</f>
        <v>199.45</v>
      </c>
      <c r="F17" s="2">
        <f>RAW!F32</f>
        <v>196.9</v>
      </c>
      <c r="G17" s="2">
        <f>RAW!G32</f>
        <v>198.65</v>
      </c>
      <c r="H17" s="2">
        <f>RAW!H32</f>
        <v>777984</v>
      </c>
      <c r="I17" s="2">
        <f>RAW!I32</f>
        <v>2433260357500</v>
      </c>
      <c r="J17" s="2" t="str">
        <f>RAW!J32</f>
        <v>Cigarettes-Tobacco Products</v>
      </c>
      <c r="K17" s="2" t="str">
        <f>RAW!K32</f>
        <v/>
      </c>
      <c r="L17" s="2" t="str">
        <f>RAW!L32</f>
        <v/>
      </c>
      <c r="M17" s="2" t="str">
        <f>RAW!M32</f>
        <v/>
      </c>
    </row>
    <row r="18">
      <c r="A18" s="2">
        <f>RAW!A34</f>
        <v>524715</v>
      </c>
      <c r="B18" s="2" t="str">
        <f>RAW!B34</f>
        <v>Sun Pharmaceutical Industries Ltd</v>
      </c>
      <c r="C18" s="4">
        <f>RAW!C34</f>
        <v>44060.64583</v>
      </c>
      <c r="D18" s="2">
        <f>RAW!D34</f>
        <v>535</v>
      </c>
      <c r="E18" s="2">
        <f>RAW!E34</f>
        <v>538</v>
      </c>
      <c r="F18" s="2">
        <f>RAW!F34</f>
        <v>527.15</v>
      </c>
      <c r="G18" s="2">
        <f>RAW!G34</f>
        <v>528.35</v>
      </c>
      <c r="H18" s="2">
        <f>RAW!H34</f>
        <v>182005</v>
      </c>
      <c r="I18" s="2">
        <f>RAW!I34</f>
        <v>1262050210000</v>
      </c>
      <c r="J18" s="2" t="str">
        <f>RAW!J34</f>
        <v>Pharmaceuticals</v>
      </c>
      <c r="K18" s="2" t="str">
        <f>RAW!K34</f>
        <v/>
      </c>
      <c r="L18" s="2" t="str">
        <f>RAW!L34</f>
        <v/>
      </c>
      <c r="M18" s="2" t="str">
        <f>RAW!M34</f>
        <v/>
      </c>
    </row>
    <row r="19">
      <c r="A19" s="2">
        <f>RAW!A36</f>
        <v>532174</v>
      </c>
      <c r="B19" s="2" t="str">
        <f>RAW!B36</f>
        <v>ICICI Bank Ltd</v>
      </c>
      <c r="C19" s="4">
        <f>RAW!C36</f>
        <v>44060.64583</v>
      </c>
      <c r="D19" s="2">
        <f>RAW!D36</f>
        <v>366.1</v>
      </c>
      <c r="E19" s="2">
        <f>RAW!E36</f>
        <v>367.15</v>
      </c>
      <c r="F19" s="2">
        <f>RAW!F36</f>
        <v>354.45</v>
      </c>
      <c r="G19" s="2">
        <f>RAW!G36</f>
        <v>360.25</v>
      </c>
      <c r="H19" s="2">
        <f>RAW!H36</f>
        <v>1316144</v>
      </c>
      <c r="I19" s="2">
        <f>RAW!I36</f>
        <v>2354177216000</v>
      </c>
      <c r="J19" s="2" t="str">
        <f>RAW!J36</f>
        <v>Banks</v>
      </c>
      <c r="K19" s="2" t="str">
        <f>RAW!K36</f>
        <v/>
      </c>
      <c r="L19" s="2" t="str">
        <f>RAW!L36</f>
        <v/>
      </c>
      <c r="M19" s="2" t="str">
        <f>RAW!M36</f>
        <v/>
      </c>
    </row>
    <row r="20">
      <c r="A20" s="2">
        <f>RAW!A38</f>
        <v>532187</v>
      </c>
      <c r="B20" s="2" t="str">
        <f>RAW!B38</f>
        <v>Indusind Bank Ltd</v>
      </c>
      <c r="C20" s="4">
        <f>RAW!C38</f>
        <v>44060.64583</v>
      </c>
      <c r="D20" s="2">
        <f>RAW!D38</f>
        <v>510.05</v>
      </c>
      <c r="E20" s="2">
        <f>RAW!E38</f>
        <v>514.8</v>
      </c>
      <c r="F20" s="2">
        <f>RAW!F38</f>
        <v>502.25</v>
      </c>
      <c r="G20" s="2">
        <f>RAW!G38</f>
        <v>513</v>
      </c>
      <c r="H20" s="2">
        <f>RAW!H38</f>
        <v>626208</v>
      </c>
      <c r="I20" s="2">
        <f>RAW!I38</f>
        <v>352608950166</v>
      </c>
      <c r="J20" s="2" t="str">
        <f>RAW!J38</f>
        <v>Banks</v>
      </c>
      <c r="K20" s="2" t="str">
        <f>RAW!K38</f>
        <v/>
      </c>
      <c r="L20" s="2" t="str">
        <f>RAW!L38</f>
        <v/>
      </c>
      <c r="M20" s="2" t="str">
        <f>RAW!M38</f>
        <v/>
      </c>
    </row>
    <row r="21">
      <c r="A21" s="2">
        <f>RAW!A40</f>
        <v>532215</v>
      </c>
      <c r="B21" s="2" t="str">
        <f>RAW!B40</f>
        <v>Axis Bank Ltd</v>
      </c>
      <c r="C21" s="4">
        <f>RAW!C40</f>
        <v>44060.64583</v>
      </c>
      <c r="D21" s="2">
        <f>RAW!D40</f>
        <v>436.3</v>
      </c>
      <c r="E21" s="2">
        <f>RAW!E40</f>
        <v>440.7</v>
      </c>
      <c r="F21" s="2">
        <f>RAW!F40</f>
        <v>425.3</v>
      </c>
      <c r="G21" s="2">
        <f>RAW!G40</f>
        <v>437.75</v>
      </c>
      <c r="H21" s="2">
        <f>RAW!H40</f>
        <v>634322</v>
      </c>
      <c r="I21" s="2">
        <f>RAW!I40</f>
        <v>1339696857445</v>
      </c>
      <c r="J21" s="2" t="str">
        <f>RAW!J40</f>
        <v>Banks</v>
      </c>
      <c r="K21" s="2" t="str">
        <f>RAW!K40</f>
        <v/>
      </c>
      <c r="L21" s="2" t="str">
        <f>RAW!L40</f>
        <v/>
      </c>
      <c r="M21" s="2" t="str">
        <f>RAW!M40</f>
        <v/>
      </c>
    </row>
    <row r="22">
      <c r="A22" s="2">
        <f>RAW!A42</f>
        <v>532281</v>
      </c>
      <c r="B22" s="2" t="str">
        <f>RAW!B42</f>
        <v>HTC Technologies Ltd</v>
      </c>
      <c r="C22" s="4">
        <f>RAW!C42</f>
        <v>44060.64583</v>
      </c>
      <c r="D22" s="2">
        <f>RAW!D42</f>
        <v>709.05</v>
      </c>
      <c r="E22" s="2">
        <f>RAW!E42</f>
        <v>720.5</v>
      </c>
      <c r="F22" s="2">
        <f>RAW!F42</f>
        <v>709.05</v>
      </c>
      <c r="G22" s="2">
        <f>RAW!G42</f>
        <v>719</v>
      </c>
      <c r="H22" s="2">
        <f>RAW!H42</f>
        <v>64765</v>
      </c>
      <c r="I22" s="2">
        <f>RAW!I42</f>
        <v>1936336256000</v>
      </c>
      <c r="J22" s="2" t="str">
        <f>RAW!J42</f>
        <v>IT Consulting &amp; Software</v>
      </c>
      <c r="K22" s="2" t="str">
        <f>RAW!K42</f>
        <v/>
      </c>
      <c r="L22" s="2" t="str">
        <f>RAW!L42</f>
        <v/>
      </c>
      <c r="M22" s="2" t="str">
        <f>RAW!M42</f>
        <v/>
      </c>
    </row>
    <row r="23">
      <c r="A23" s="2">
        <f>RAW!A44</f>
        <v>532454</v>
      </c>
      <c r="B23" s="2" t="str">
        <f>RAW!B44</f>
        <v>Bharti Airtel Ltd</v>
      </c>
      <c r="C23" s="4">
        <f>RAW!C44</f>
        <v>44060.64583</v>
      </c>
      <c r="D23" s="2">
        <f>RAW!D44</f>
        <v>533</v>
      </c>
      <c r="E23" s="2">
        <f>RAW!E44</f>
        <v>533</v>
      </c>
      <c r="F23" s="2">
        <f>RAW!F44</f>
        <v>518.1</v>
      </c>
      <c r="G23" s="2">
        <f>RAW!G44</f>
        <v>521.4</v>
      </c>
      <c r="H23" s="2">
        <f>RAW!H44</f>
        <v>971803</v>
      </c>
      <c r="I23" s="2">
        <f>RAW!I44</f>
        <v>2849390005000</v>
      </c>
      <c r="J23" s="2" t="str">
        <f>RAW!J44</f>
        <v>Telecom Services</v>
      </c>
      <c r="K23" s="2" t="str">
        <f>RAW!K44</f>
        <v/>
      </c>
      <c r="L23" s="2" t="str">
        <f>RAW!L44</f>
        <v/>
      </c>
      <c r="M23" s="2" t="str">
        <f>RAW!M44</f>
        <v/>
      </c>
    </row>
    <row r="24">
      <c r="A24" s="2">
        <f>RAW!A46</f>
        <v>532500</v>
      </c>
      <c r="B24" s="2" t="str">
        <f>RAW!B46</f>
        <v>Maruti Suzuki India Ltd</v>
      </c>
      <c r="C24" s="4">
        <f>RAW!C46</f>
        <v>44060.64583</v>
      </c>
      <c r="D24" s="2">
        <f>RAW!D46</f>
        <v>6625</v>
      </c>
      <c r="E24" s="2">
        <f>RAW!E46</f>
        <v>6788.55</v>
      </c>
      <c r="F24" s="2">
        <f>RAW!F46</f>
        <v>6587.4</v>
      </c>
      <c r="G24" s="2">
        <f>RAW!G46</f>
        <v>6770.2</v>
      </c>
      <c r="H24" s="2">
        <f>RAW!H46</f>
        <v>33811</v>
      </c>
      <c r="I24" s="2">
        <f>RAW!I46</f>
        <v>2076800000000</v>
      </c>
      <c r="J24" s="2" t="str">
        <f>RAW!J46</f>
        <v>Cars &amp; Utility Vehicles</v>
      </c>
      <c r="K24" s="2" t="str">
        <f>RAW!K46</f>
        <v/>
      </c>
      <c r="L24" s="2" t="str">
        <f>RAW!L46</f>
        <v/>
      </c>
      <c r="M24" s="2" t="str">
        <f>RAW!M46</f>
        <v/>
      </c>
    </row>
    <row r="25">
      <c r="A25" s="2">
        <f>RAW!A48</f>
        <v>532538</v>
      </c>
      <c r="B25" s="2" t="str">
        <f>RAW!B48</f>
        <v>Ultratech Cement Ltd</v>
      </c>
      <c r="C25" s="4">
        <f>RAW!C48</f>
        <v>44060.64583</v>
      </c>
      <c r="D25" s="2">
        <f>RAW!D48</f>
        <v>4055</v>
      </c>
      <c r="E25" s="2">
        <f>RAW!E48</f>
        <v>4055</v>
      </c>
      <c r="F25" s="2">
        <f>RAW!F48</f>
        <v>3985.65</v>
      </c>
      <c r="G25" s="2">
        <f>RAW!G48</f>
        <v>4036.05</v>
      </c>
      <c r="H25" s="2">
        <f>RAW!H48</f>
        <v>8082</v>
      </c>
      <c r="I25" s="2">
        <f>RAW!I48</f>
        <v>1199581547211</v>
      </c>
      <c r="J25" s="2" t="str">
        <f>RAW!J48</f>
        <v>Cement &amp; Cement Products</v>
      </c>
      <c r="K25" s="2" t="str">
        <f>RAW!K48</f>
        <v/>
      </c>
      <c r="L25" s="2" t="str">
        <f>RAW!L48</f>
        <v/>
      </c>
      <c r="M25" s="2" t="str">
        <f>RAW!M48</f>
        <v/>
      </c>
    </row>
    <row r="26">
      <c r="A26" s="2">
        <f>RAW!A50</f>
        <v>532540</v>
      </c>
      <c r="B26" s="2" t="str">
        <f>RAW!B50</f>
        <v>Tata Consultancy Services ltd</v>
      </c>
      <c r="C26" s="4">
        <f>RAW!C50</f>
        <v>44060.64583</v>
      </c>
      <c r="D26" s="2">
        <f>RAW!D50</f>
        <v>2255</v>
      </c>
      <c r="E26" s="2">
        <f>RAW!E50</f>
        <v>2268.85</v>
      </c>
      <c r="F26" s="2">
        <f>RAW!F50</f>
        <v>2239</v>
      </c>
      <c r="G26" s="2">
        <f>RAW!G50</f>
        <v>2252.05</v>
      </c>
      <c r="H26" s="2">
        <f>RAW!H50</f>
        <v>98833</v>
      </c>
      <c r="I26" s="2">
        <f>RAW!I50</f>
        <v>8488080410421</v>
      </c>
      <c r="J26" s="2" t="str">
        <f>RAW!J50</f>
        <v>IT Consulting &amp; Software</v>
      </c>
      <c r="K26" s="2" t="str">
        <f>RAW!K50</f>
        <v/>
      </c>
      <c r="L26" s="2" t="str">
        <f>RAW!L50</f>
        <v/>
      </c>
      <c r="M26" s="2" t="str">
        <f>RAW!M50</f>
        <v/>
      </c>
    </row>
    <row r="27">
      <c r="A27" s="2">
        <f>RAW!A52</f>
        <v>532555</v>
      </c>
      <c r="B27" s="2" t="str">
        <f>RAW!B52</f>
        <v>NTPC Ltd</v>
      </c>
      <c r="C27" s="4">
        <f>RAW!C52</f>
        <v>44060.64583</v>
      </c>
      <c r="D27" s="2">
        <f>RAW!D52</f>
        <v>89.2</v>
      </c>
      <c r="E27" s="2">
        <f>RAW!E52</f>
        <v>96.35</v>
      </c>
      <c r="F27" s="2">
        <f>RAW!F52</f>
        <v>89.2</v>
      </c>
      <c r="G27" s="2">
        <f>RAW!G52</f>
        <v>95.4</v>
      </c>
      <c r="H27" s="2">
        <f>RAW!H52</f>
        <v>8105217</v>
      </c>
      <c r="I27" s="2">
        <f>RAW!I52</f>
        <v>938004033795</v>
      </c>
      <c r="J27" s="2" t="str">
        <f>RAW!J52</f>
        <v>Electric Utilities</v>
      </c>
      <c r="K27" s="2" t="str">
        <f>RAW!K52</f>
        <v/>
      </c>
      <c r="L27" s="2" t="str">
        <f>RAW!L52</f>
        <v/>
      </c>
      <c r="M27" s="2" t="str">
        <f>RAW!M52</f>
        <v/>
      </c>
    </row>
    <row r="28">
      <c r="A28" s="2">
        <f>RAW!A54</f>
        <v>532755</v>
      </c>
      <c r="B28" s="2" t="str">
        <f>RAW!B54</f>
        <v>Tech Mahindra ltd</v>
      </c>
      <c r="C28" s="4">
        <f>RAW!C54</f>
        <v>44060.64583</v>
      </c>
      <c r="D28" s="2">
        <f>RAW!D54</f>
        <v>703.5</v>
      </c>
      <c r="E28" s="2">
        <f>RAW!E54</f>
        <v>724.15</v>
      </c>
      <c r="F28" s="2">
        <f>RAW!F54</f>
        <v>699</v>
      </c>
      <c r="G28" s="2">
        <f>RAW!G54</f>
        <v>721.1</v>
      </c>
      <c r="H28" s="2">
        <f>RAW!H54</f>
        <v>300722</v>
      </c>
      <c r="I28" s="2">
        <f>RAW!I54</f>
        <v>689792048929</v>
      </c>
      <c r="J28" s="2" t="str">
        <f>RAW!J54</f>
        <v>IT Consulting &amp; Software</v>
      </c>
      <c r="K28" s="2" t="str">
        <f>RAW!K54</f>
        <v/>
      </c>
      <c r="L28" s="2" t="str">
        <f>RAW!L54</f>
        <v/>
      </c>
      <c r="M28" s="2" t="str">
        <f>RAW!M54</f>
        <v/>
      </c>
    </row>
    <row r="29">
      <c r="A29" s="2">
        <f>RAW!A56</f>
        <v>532898</v>
      </c>
      <c r="B29" s="2" t="str">
        <f>RAW!B56</f>
        <v>Power Grid Corporation Of India Ltd</v>
      </c>
      <c r="C29" s="4">
        <f>RAW!C56</f>
        <v>44060.64583</v>
      </c>
      <c r="D29" s="2">
        <f>RAW!D56</f>
        <v>177.85</v>
      </c>
      <c r="E29" s="2">
        <f>RAW!E56</f>
        <v>182.4</v>
      </c>
      <c r="F29" s="2">
        <f>RAW!F56</f>
        <v>175.55</v>
      </c>
      <c r="G29" s="2">
        <f>RAW!G56</f>
        <v>178.65</v>
      </c>
      <c r="H29" s="2">
        <f>RAW!H56</f>
        <v>469437</v>
      </c>
      <c r="I29" s="2">
        <f>RAW!I56</f>
        <v>933838636500</v>
      </c>
      <c r="J29" s="2" t="str">
        <f>RAW!J56</f>
        <v>Electric Utilities</v>
      </c>
      <c r="K29" s="2" t="str">
        <f>RAW!K56</f>
        <v/>
      </c>
      <c r="L29" s="2" t="str">
        <f>RAW!L56</f>
        <v/>
      </c>
      <c r="M29" s="2" t="str">
        <f>RAW!M56</f>
        <v/>
      </c>
    </row>
    <row r="30">
      <c r="A30" s="2">
        <f>RAW!A58</f>
        <v>532977</v>
      </c>
      <c r="B30" s="2" t="str">
        <f>RAW!B58</f>
        <v>Bajaj Auto Auto Ltd</v>
      </c>
      <c r="C30" s="4">
        <f>RAW!C58</f>
        <v>44060.64583</v>
      </c>
      <c r="D30" s="2">
        <f>RAW!D58</f>
        <v>2986.1</v>
      </c>
      <c r="E30" s="2">
        <f>RAW!E58</f>
        <v>3125</v>
      </c>
      <c r="F30" s="2">
        <f>RAW!F58</f>
        <v>2986.1</v>
      </c>
      <c r="G30" s="2">
        <f>RAW!G58</f>
        <v>3114.35</v>
      </c>
      <c r="H30" s="2">
        <f>RAW!H58</f>
        <v>47908</v>
      </c>
      <c r="I30" s="2">
        <f>RAW!I58</f>
        <v>908163847020</v>
      </c>
      <c r="J30" s="2" t="str">
        <f>RAW!J58</f>
        <v>2/3 Wheelers</v>
      </c>
      <c r="K30" s="2" t="str">
        <f>RAW!K58</f>
        <v/>
      </c>
      <c r="L30" s="2" t="str">
        <f>RAW!L58</f>
        <v/>
      </c>
      <c r="M30" s="2" t="str">
        <f>RAW!M58</f>
        <v/>
      </c>
    </row>
    <row r="31">
      <c r="A31" s="2">
        <f>RAW!A60</f>
        <v>532978</v>
      </c>
      <c r="B31" s="2" t="str">
        <f>RAW!B60</f>
        <v>Bajaj Finserv Ltd</v>
      </c>
      <c r="C31" s="4">
        <f>RAW!C60</f>
        <v>44060.64583</v>
      </c>
      <c r="D31" s="2">
        <f>RAW!D60</f>
        <v>6250</v>
      </c>
      <c r="E31" s="2">
        <f>RAW!E60</f>
        <v>6313.35</v>
      </c>
      <c r="F31" s="2">
        <f>RAW!F60</f>
        <v>6201.45</v>
      </c>
      <c r="G31" s="2">
        <f>RAW!G60</f>
        <v>6269.05</v>
      </c>
      <c r="H31" s="2">
        <f>RAW!H60</f>
        <v>20797</v>
      </c>
      <c r="I31" s="2">
        <f>RAW!I60</f>
        <v>996484210231</v>
      </c>
      <c r="J31" s="2" t="str">
        <f>RAW!J60</f>
        <v>Holding Companies</v>
      </c>
      <c r="K31" s="2" t="str">
        <f>RAW!K60</f>
        <v/>
      </c>
      <c r="L31" s="2" t="str">
        <f>RAW!L60</f>
        <v/>
      </c>
      <c r="M31" s="2" t="str">
        <f>RAW!M60</f>
        <v/>
      </c>
    </row>
    <row r="32">
      <c r="A32" s="2" t="str">
        <f>RAW!A61</f>
        <v/>
      </c>
      <c r="B32" s="2" t="str">
        <f>RAW!B61</f>
        <v/>
      </c>
      <c r="C32" s="2" t="str">
        <f>RAW!C61</f>
        <v/>
      </c>
      <c r="D32" s="2" t="str">
        <f>RAW!D61</f>
        <v/>
      </c>
      <c r="E32" s="2" t="str">
        <f>RAW!E61</f>
        <v/>
      </c>
      <c r="F32" s="2" t="str">
        <f>RAW!F61</f>
        <v/>
      </c>
      <c r="G32" s="2" t="str">
        <f>RAW!G61</f>
        <v/>
      </c>
      <c r="H32" s="2" t="str">
        <f>RAW!H61</f>
        <v/>
      </c>
      <c r="I32" s="2" t="str">
        <f>RAW!I61</f>
        <v/>
      </c>
      <c r="J32" s="2" t="str">
        <f>RAW!J61</f>
        <v/>
      </c>
      <c r="K32" s="2" t="str">
        <f>RAW!K61</f>
        <v/>
      </c>
      <c r="L32" s="2" t="str">
        <f>RAW!L61</f>
        <v/>
      </c>
      <c r="M32" s="2" t="str">
        <f>RAW!M61</f>
        <v/>
      </c>
    </row>
    <row r="33">
      <c r="A33" s="2" t="str">
        <f>RAW!A62</f>
        <v/>
      </c>
      <c r="B33" s="2" t="str">
        <f>RAW!B62</f>
        <v/>
      </c>
      <c r="C33" s="2" t="str">
        <f>RAW!C62</f>
        <v/>
      </c>
      <c r="D33" s="2" t="str">
        <f>RAW!D62</f>
        <v/>
      </c>
      <c r="E33" s="2" t="str">
        <f>RAW!E62</f>
        <v/>
      </c>
      <c r="F33" s="2" t="str">
        <f>RAW!F62</f>
        <v/>
      </c>
      <c r="G33" s="2" t="str">
        <f>RAW!G62</f>
        <v/>
      </c>
      <c r="H33" s="2" t="str">
        <f>RAW!H62</f>
        <v/>
      </c>
      <c r="I33" s="2" t="str">
        <f>RAW!I62</f>
        <v/>
      </c>
      <c r="J33" s="2" t="str">
        <f>RAW!J62</f>
        <v/>
      </c>
      <c r="K33" s="2" t="str">
        <f>RAW!K62</f>
        <v/>
      </c>
      <c r="L33" s="2" t="str">
        <f>RAW!L62</f>
        <v/>
      </c>
      <c r="M33" s="2" t="str">
        <f>RAW!M62</f>
        <v/>
      </c>
    </row>
    <row r="34">
      <c r="A34" s="2" t="str">
        <f>RAW!A63</f>
        <v/>
      </c>
      <c r="B34" s="2" t="str">
        <f>RAW!B63</f>
        <v/>
      </c>
      <c r="C34" s="2" t="str">
        <f>RAW!C63</f>
        <v/>
      </c>
      <c r="D34" s="2" t="str">
        <f>RAW!D63</f>
        <v/>
      </c>
      <c r="E34" s="2" t="str">
        <f>RAW!E63</f>
        <v/>
      </c>
      <c r="F34" s="2" t="str">
        <f>RAW!F63</f>
        <v/>
      </c>
      <c r="G34" s="2" t="str">
        <f>RAW!G63</f>
        <v/>
      </c>
      <c r="H34" s="2" t="str">
        <f>RAW!H63</f>
        <v/>
      </c>
      <c r="I34" s="2" t="str">
        <f>RAW!I63</f>
        <v/>
      </c>
      <c r="J34" s="2" t="str">
        <f>RAW!J63</f>
        <v/>
      </c>
      <c r="K34" s="2" t="str">
        <f>RAW!K63</f>
        <v/>
      </c>
      <c r="L34" s="2" t="str">
        <f>RAW!L63</f>
        <v/>
      </c>
      <c r="M34" s="2" t="str">
        <f>RAW!M63</f>
        <v/>
      </c>
    </row>
    <row r="35">
      <c r="A35" s="2" t="str">
        <f>RAW!A64</f>
        <v/>
      </c>
      <c r="B35" s="2" t="str">
        <f>RAW!B64</f>
        <v/>
      </c>
      <c r="C35" s="2" t="str">
        <f>RAW!C64</f>
        <v/>
      </c>
      <c r="D35" s="2" t="str">
        <f>RAW!D64</f>
        <v/>
      </c>
      <c r="E35" s="2" t="str">
        <f>RAW!E64</f>
        <v/>
      </c>
      <c r="F35" s="2" t="str">
        <f>RAW!F64</f>
        <v/>
      </c>
      <c r="G35" s="2" t="str">
        <f>RAW!G64</f>
        <v/>
      </c>
      <c r="H35" s="2" t="str">
        <f>RAW!H64</f>
        <v/>
      </c>
      <c r="I35" s="2" t="str">
        <f>RAW!I64</f>
        <v/>
      </c>
      <c r="J35" s="2" t="str">
        <f>RAW!J64</f>
        <v/>
      </c>
      <c r="K35" s="2" t="str">
        <f>RAW!K64</f>
        <v/>
      </c>
      <c r="L35" s="2" t="str">
        <f>RAW!L64</f>
        <v/>
      </c>
      <c r="M35" s="2" t="str">
        <f>RAW!M64</f>
        <v/>
      </c>
    </row>
    <row r="36">
      <c r="A36" s="2" t="str">
        <f>RAW!A65</f>
        <v/>
      </c>
      <c r="B36" s="2" t="str">
        <f>RAW!B65</f>
        <v/>
      </c>
      <c r="C36" s="2" t="str">
        <f>RAW!C65</f>
        <v/>
      </c>
      <c r="D36" s="2" t="str">
        <f>RAW!D65</f>
        <v/>
      </c>
      <c r="E36" s="2" t="str">
        <f>RAW!E65</f>
        <v/>
      </c>
      <c r="F36" s="2" t="str">
        <f>RAW!F65</f>
        <v/>
      </c>
      <c r="G36" s="2" t="str">
        <f>RAW!G65</f>
        <v/>
      </c>
      <c r="H36" s="2" t="str">
        <f>RAW!H65</f>
        <v/>
      </c>
      <c r="I36" s="2" t="str">
        <f>RAW!I65</f>
        <v/>
      </c>
      <c r="J36" s="2" t="str">
        <f>RAW!J65</f>
        <v/>
      </c>
      <c r="K36" s="2" t="str">
        <f>RAW!K65</f>
        <v/>
      </c>
      <c r="L36" s="2" t="str">
        <f>RAW!L65</f>
        <v/>
      </c>
      <c r="M36" s="2" t="str">
        <f>RAW!M65</f>
        <v/>
      </c>
    </row>
  </sheetData>
  <drawing r:id="rId1"/>
</worksheet>
</file>