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ILEY REPORT\"/>
    </mc:Choice>
  </mc:AlternateContent>
  <bookViews>
    <workbookView xWindow="0" yWindow="0" windowWidth="24000" windowHeight="9630" activeTab="13"/>
  </bookViews>
  <sheets>
    <sheet name="REPORT DATA SHEET" sheetId="1" r:id="rId1"/>
    <sheet name="Sheet12" sheetId="22" r:id="rId2"/>
    <sheet name="Sheet11" sheetId="21" r:id="rId3"/>
    <sheet name="Sheet10" sheetId="20" state="hidden" r:id="rId4"/>
    <sheet name="Sheet9" sheetId="19" state="hidden" r:id="rId5"/>
    <sheet name="Sheet8" sheetId="18" state="hidden" r:id="rId6"/>
    <sheet name="Sheet7" sheetId="17" state="hidden" r:id="rId7"/>
    <sheet name="Sheet6" sheetId="16" state="hidden" r:id="rId8"/>
    <sheet name="Sheet5" sheetId="15" state="hidden" r:id="rId9"/>
    <sheet name="Sheet4" sheetId="14" state="hidden" r:id="rId10"/>
    <sheet name="Sheet3" sheetId="13" state="hidden" r:id="rId11"/>
    <sheet name="Sheet2" sheetId="12" state="hidden" r:id="rId12"/>
    <sheet name="june 6" sheetId="9" state="hidden" r:id="rId13"/>
    <sheet name="PARTAL REPORT " sheetId="4" r:id="rId14"/>
    <sheet name="Sheet13" sheetId="23" r:id="rId15"/>
    <sheet name="Sheet14" sheetId="24" r:id="rId16"/>
    <sheet name="AUG TILL DATE " sheetId="10" state="hidden" r:id="rId17"/>
    <sheet name="Sheet1" sheetId="5" state="hidden" r:id="rId18"/>
    <sheet name="GRINDING" sheetId="11" state="hidden" r:id="rId19"/>
  </sheets>
  <externalReferences>
    <externalReference r:id="rId20"/>
  </externalReferences>
  <definedNames>
    <definedName name="_xlnm.Print_Area" localSheetId="13">'PARTAL REPORT '!$B$1:$G$19</definedName>
    <definedName name="_xlnm.Print_Area" localSheetId="6">Sheet7!$A$2:$M$24</definedName>
  </definedNames>
  <calcPr calcId="162913"/>
</workbook>
</file>

<file path=xl/calcChain.xml><?xml version="1.0" encoding="utf-8"?>
<calcChain xmlns="http://schemas.openxmlformats.org/spreadsheetml/2006/main">
  <c r="G18" i="4" l="1"/>
  <c r="G14" i="4"/>
  <c r="G3" i="4"/>
  <c r="M58" i="1" l="1"/>
  <c r="M50" i="1"/>
  <c r="O50" i="1"/>
  <c r="O48" i="1"/>
  <c r="I46" i="1"/>
  <c r="I35" i="1" l="1"/>
  <c r="B65" i="1" l="1"/>
  <c r="I31" i="1" l="1"/>
  <c r="I33" i="1"/>
  <c r="M73" i="1" l="1"/>
  <c r="M22" i="1" l="1"/>
  <c r="G22" i="1" l="1"/>
  <c r="F16" i="21" l="1"/>
  <c r="H12" i="21"/>
  <c r="H11" i="21"/>
  <c r="H10" i="21"/>
  <c r="H9" i="21"/>
  <c r="H8" i="21"/>
  <c r="H7" i="21"/>
  <c r="H6" i="21"/>
  <c r="H5" i="21"/>
  <c r="H4" i="21"/>
  <c r="F21" i="2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I12" i="21"/>
  <c r="I11" i="21"/>
  <c r="I10" i="21"/>
  <c r="I9" i="21"/>
  <c r="I8" i="21"/>
  <c r="I7" i="21"/>
  <c r="I6" i="21"/>
  <c r="I5" i="21"/>
  <c r="H21" i="21" l="1"/>
  <c r="I4" i="21"/>
  <c r="I21" i="21" s="1"/>
  <c r="I37" i="1"/>
  <c r="I36" i="1"/>
  <c r="N22" i="1" l="1"/>
  <c r="I19" i="1"/>
  <c r="O58" i="1" l="1"/>
  <c r="G43" i="1" l="1"/>
  <c r="I47" i="1" l="1"/>
  <c r="Q22" i="1" l="1"/>
  <c r="O13" i="1" l="1"/>
  <c r="L26" i="4" l="1"/>
  <c r="D8" i="1" l="1"/>
  <c r="D23" i="17" l="1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C24" i="17"/>
  <c r="B24" i="17"/>
  <c r="J24" i="17" l="1"/>
  <c r="L21" i="17"/>
  <c r="M21" i="17" s="1"/>
  <c r="L20" i="17"/>
  <c r="M20" i="17" s="1"/>
  <c r="L19" i="17"/>
  <c r="M19" i="17" s="1"/>
  <c r="L18" i="17"/>
  <c r="M18" i="17" s="1"/>
  <c r="L17" i="17"/>
  <c r="M17" i="17" s="1"/>
  <c r="L16" i="17"/>
  <c r="M16" i="17" s="1"/>
  <c r="L15" i="17"/>
  <c r="M15" i="17" s="1"/>
  <c r="L14" i="17"/>
  <c r="M14" i="17" s="1"/>
  <c r="L13" i="17"/>
  <c r="M13" i="17" s="1"/>
  <c r="L12" i="17"/>
  <c r="M12" i="17" s="1"/>
  <c r="L11" i="17"/>
  <c r="M11" i="17" s="1"/>
  <c r="L10" i="17"/>
  <c r="M10" i="17" s="1"/>
  <c r="L9" i="17"/>
  <c r="M9" i="17" s="1"/>
  <c r="L8" i="17"/>
  <c r="M8" i="17" s="1"/>
  <c r="L7" i="17"/>
  <c r="M7" i="17" s="1"/>
  <c r="L6" i="17"/>
  <c r="F21" i="17"/>
  <c r="G21" i="17" s="1"/>
  <c r="F20" i="17"/>
  <c r="G20" i="17" s="1"/>
  <c r="F19" i="17"/>
  <c r="G19" i="17" s="1"/>
  <c r="F18" i="17"/>
  <c r="G18" i="17" s="1"/>
  <c r="F17" i="17"/>
  <c r="G17" i="17" s="1"/>
  <c r="F16" i="17"/>
  <c r="G16" i="17" s="1"/>
  <c r="F15" i="17"/>
  <c r="G15" i="17" s="1"/>
  <c r="F14" i="17"/>
  <c r="G14" i="17" s="1"/>
  <c r="F13" i="17"/>
  <c r="G13" i="17" s="1"/>
  <c r="F12" i="17"/>
  <c r="G12" i="17" s="1"/>
  <c r="F11" i="17"/>
  <c r="G11" i="17" s="1"/>
  <c r="F10" i="17"/>
  <c r="G10" i="17" s="1"/>
  <c r="F9" i="17"/>
  <c r="G9" i="17" s="1"/>
  <c r="F8" i="17"/>
  <c r="G8" i="17" s="1"/>
  <c r="F7" i="17"/>
  <c r="G7" i="17" s="1"/>
  <c r="F6" i="17"/>
  <c r="F24" i="17" l="1"/>
  <c r="L24" i="17"/>
  <c r="M6" i="17"/>
  <c r="M24" i="17" s="1"/>
  <c r="G6" i="17"/>
  <c r="G24" i="17" s="1"/>
  <c r="F4" i="4" l="1"/>
  <c r="G4" i="4" s="1"/>
  <c r="R36" i="14" l="1"/>
  <c r="R31" i="14"/>
  <c r="R27" i="14"/>
  <c r="R21" i="14"/>
  <c r="Q36" i="14" l="1"/>
  <c r="P36" i="14"/>
  <c r="P31" i="14" l="1"/>
  <c r="Q31" i="14"/>
  <c r="Q27" i="14"/>
  <c r="P27" i="14"/>
  <c r="P21" i="14"/>
  <c r="Q21" i="14"/>
  <c r="K33" i="14"/>
  <c r="L33" i="14"/>
  <c r="M33" i="14"/>
  <c r="N11" i="14"/>
  <c r="P11" i="14" s="1"/>
  <c r="K28" i="14"/>
  <c r="L28" i="14"/>
  <c r="M28" i="14"/>
  <c r="K24" i="14"/>
  <c r="L24" i="14"/>
  <c r="M24" i="14"/>
  <c r="C21" i="14"/>
  <c r="E20" i="14"/>
  <c r="E19" i="14"/>
  <c r="E18" i="14"/>
  <c r="E17" i="14"/>
  <c r="E16" i="14"/>
  <c r="E14" i="14"/>
  <c r="E13" i="14"/>
  <c r="E12" i="14"/>
  <c r="E11" i="14"/>
  <c r="E10" i="14"/>
  <c r="E9" i="14"/>
  <c r="E8" i="14"/>
  <c r="E7" i="14"/>
  <c r="E6" i="14"/>
  <c r="E5" i="14"/>
  <c r="E21" i="14" l="1"/>
  <c r="F12" i="14" s="1"/>
  <c r="F5" i="14" l="1"/>
  <c r="F20" i="14"/>
  <c r="F19" i="14"/>
  <c r="F18" i="14"/>
  <c r="F17" i="14"/>
  <c r="F16" i="14"/>
  <c r="F13" i="14"/>
  <c r="F11" i="14"/>
  <c r="F10" i="14"/>
  <c r="F9" i="14"/>
  <c r="F8" i="14"/>
  <c r="F7" i="14"/>
  <c r="F6" i="14"/>
  <c r="F21" i="14" l="1"/>
  <c r="K4" i="12" l="1"/>
  <c r="K5" i="12" l="1"/>
  <c r="I14" i="12"/>
  <c r="G14" i="12"/>
  <c r="D17" i="12"/>
  <c r="B17" i="12"/>
  <c r="B35" i="11" l="1"/>
  <c r="A34" i="11" l="1"/>
  <c r="A33" i="11"/>
  <c r="A30" i="11"/>
  <c r="A31" i="11" s="1"/>
  <c r="A32" i="11" s="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5" i="11"/>
  <c r="P41" i="1" l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42" i="1" l="1"/>
  <c r="K74" i="1"/>
  <c r="K68" i="1"/>
  <c r="K67" i="1"/>
  <c r="K66" i="1"/>
  <c r="M74" i="1" l="1"/>
  <c r="K75" i="1" l="1"/>
  <c r="K76" i="1"/>
  <c r="O42" i="1"/>
  <c r="I48" i="1" l="1"/>
  <c r="K22" i="1" l="1"/>
  <c r="M47" i="1" s="1"/>
  <c r="O19" i="1" l="1"/>
  <c r="I38" i="1" l="1"/>
  <c r="I29" i="1"/>
  <c r="X3" i="4" l="1"/>
  <c r="P57" i="1" l="1"/>
  <c r="P56" i="1"/>
  <c r="F11" i="9" l="1"/>
  <c r="E11" i="9"/>
  <c r="C11" i="9"/>
  <c r="B11" i="9"/>
  <c r="F6" i="9"/>
  <c r="I6" i="9"/>
  <c r="I8" i="9"/>
  <c r="E8" i="9"/>
  <c r="F8" i="9" s="1"/>
  <c r="F7" i="9"/>
  <c r="E7" i="9"/>
  <c r="L42" i="1" l="1"/>
  <c r="O6" i="1"/>
  <c r="O4" i="1"/>
  <c r="Z6" i="4" l="1"/>
  <c r="Z7" i="4"/>
  <c r="Z8" i="4"/>
  <c r="Z9" i="4"/>
  <c r="Z10" i="4"/>
  <c r="Z11" i="4"/>
  <c r="Z12" i="4"/>
  <c r="Z17" i="4"/>
  <c r="Z18" i="4"/>
  <c r="Z3" i="4"/>
  <c r="R5" i="5"/>
  <c r="R6" i="5" s="1"/>
  <c r="Q5" i="5"/>
  <c r="Q6" i="5" s="1"/>
  <c r="B32" i="9"/>
  <c r="I7" i="9"/>
  <c r="C20" i="10"/>
  <c r="B20" i="10"/>
  <c r="AC6" i="4" l="1"/>
  <c r="AB7" i="4"/>
  <c r="AC8" i="4"/>
  <c r="AC9" i="4"/>
  <c r="AB10" i="4"/>
  <c r="AC11" i="4"/>
  <c r="AC12" i="4"/>
  <c r="AB14" i="4"/>
  <c r="AC15" i="4"/>
  <c r="AC16" i="4"/>
  <c r="AB17" i="4"/>
  <c r="AC18" i="4"/>
  <c r="AB19" i="4"/>
  <c r="V22" i="4"/>
  <c r="X19" i="4"/>
  <c r="X18" i="4"/>
  <c r="X17" i="4"/>
  <c r="X16" i="4"/>
  <c r="X15" i="4"/>
  <c r="X14" i="4"/>
  <c r="AC13" i="4"/>
  <c r="AB13" i="4"/>
  <c r="X13" i="4"/>
  <c r="X12" i="4"/>
  <c r="X11" i="4"/>
  <c r="X10" i="4"/>
  <c r="X9" i="4"/>
  <c r="X8" i="4"/>
  <c r="X7" i="4"/>
  <c r="X6" i="4"/>
  <c r="AC5" i="4"/>
  <c r="AB5" i="4"/>
  <c r="X5" i="4"/>
  <c r="S11" i="4"/>
  <c r="O6" i="5"/>
  <c r="I6" i="5"/>
  <c r="N5" i="5"/>
  <c r="N6" i="5" s="1"/>
  <c r="N8" i="5" s="1"/>
  <c r="E26" i="9"/>
  <c r="F26" i="9" s="1"/>
  <c r="E27" i="9"/>
  <c r="F27" i="9" s="1"/>
  <c r="E28" i="9"/>
  <c r="F28" i="9" s="1"/>
  <c r="E29" i="9"/>
  <c r="F29" i="9" s="1"/>
  <c r="E30" i="9"/>
  <c r="F30" i="9" s="1"/>
  <c r="I16" i="10"/>
  <c r="I15" i="10"/>
  <c r="I14" i="10"/>
  <c r="E16" i="10"/>
  <c r="F16" i="10" s="1"/>
  <c r="E15" i="10"/>
  <c r="F15" i="10" s="1"/>
  <c r="E14" i="10"/>
  <c r="F14" i="10" s="1"/>
  <c r="AC7" i="4" l="1"/>
  <c r="AC14" i="4"/>
  <c r="AB16" i="4"/>
  <c r="AB15" i="4"/>
  <c r="X22" i="4"/>
  <c r="Z22" i="4"/>
  <c r="AB3" i="4"/>
  <c r="AC3" i="4"/>
  <c r="AC10" i="4"/>
  <c r="AC17" i="4"/>
  <c r="AB8" i="4"/>
  <c r="AB11" i="4"/>
  <c r="AB18" i="4"/>
  <c r="AB9" i="4"/>
  <c r="AB12" i="4"/>
  <c r="AB6" i="4"/>
  <c r="S18" i="4"/>
  <c r="S19" i="4" s="1"/>
  <c r="P11" i="10"/>
  <c r="P10" i="10"/>
  <c r="C38" i="10"/>
  <c r="B38" i="10"/>
  <c r="I36" i="10"/>
  <c r="I35" i="10"/>
  <c r="I34" i="10"/>
  <c r="E36" i="10"/>
  <c r="F36" i="10" s="1"/>
  <c r="V30" i="1"/>
  <c r="Z10" i="10"/>
  <c r="V10" i="10"/>
  <c r="C32" i="9"/>
  <c r="AB22" i="4" l="1"/>
  <c r="AC22" i="4"/>
  <c r="O27" i="10"/>
  <c r="R24" i="10"/>
  <c r="N24" i="10"/>
  <c r="S10" i="10"/>
  <c r="T10" i="10" s="1"/>
  <c r="I6" i="1"/>
  <c r="R56" i="1"/>
  <c r="R55" i="1"/>
  <c r="O28" i="10"/>
  <c r="O29" i="10"/>
  <c r="O30" i="10"/>
  <c r="I13" i="10"/>
  <c r="G5" i="5" l="1"/>
  <c r="G6" i="5" s="1"/>
  <c r="G8" i="5" s="1"/>
  <c r="P8" i="10"/>
  <c r="X10" i="10"/>
  <c r="P12" i="10"/>
  <c r="P13" i="10"/>
  <c r="P14" i="10"/>
  <c r="P15" i="10"/>
  <c r="P16" i="10"/>
  <c r="P17" i="10"/>
  <c r="P18" i="10"/>
  <c r="P19" i="10"/>
  <c r="N28" i="10" s="1"/>
  <c r="P20" i="10"/>
  <c r="N29" i="10" s="1"/>
  <c r="D6" i="1"/>
  <c r="P9" i="10"/>
  <c r="E35" i="10"/>
  <c r="F35" i="10" s="1"/>
  <c r="P22" i="10"/>
  <c r="B5" i="5"/>
  <c r="P21" i="10"/>
  <c r="N30" i="10" s="1"/>
  <c r="P30" i="10" l="1"/>
  <c r="P29" i="10"/>
  <c r="S8" i="10"/>
  <c r="S14" i="10"/>
  <c r="S13" i="10"/>
  <c r="S19" i="10"/>
  <c r="T19" i="10" s="1"/>
  <c r="AA10" i="10"/>
  <c r="P7" i="10"/>
  <c r="N27" i="10" s="1"/>
  <c r="S12" i="10"/>
  <c r="S21" i="10"/>
  <c r="S15" i="10"/>
  <c r="S9" i="10"/>
  <c r="S20" i="10"/>
  <c r="E30" i="4" l="1"/>
  <c r="F30" i="4" s="1"/>
  <c r="P24" i="10"/>
  <c r="Q10" i="10" s="1"/>
  <c r="S7" i="10"/>
  <c r="P28" i="10"/>
  <c r="Q21" i="10" l="1"/>
  <c r="S24" i="10"/>
  <c r="Q14" i="10"/>
  <c r="Q17" i="10"/>
  <c r="Q22" i="10"/>
  <c r="Q9" i="10"/>
  <c r="Q19" i="10"/>
  <c r="Q7" i="10"/>
  <c r="Q18" i="10"/>
  <c r="Q13" i="10"/>
  <c r="P25" i="10"/>
  <c r="Q12" i="10"/>
  <c r="Q16" i="10"/>
  <c r="Q15" i="10"/>
  <c r="Q8" i="10"/>
  <c r="Q20" i="10"/>
  <c r="Q11" i="10"/>
  <c r="Y10" i="10"/>
  <c r="O32" i="10"/>
  <c r="P27" i="10"/>
  <c r="N32" i="10"/>
  <c r="P32" i="10" l="1"/>
  <c r="Q24" i="10"/>
  <c r="E34" i="10"/>
  <c r="D6" i="5"/>
  <c r="D8" i="5" s="1"/>
  <c r="F5" i="5"/>
  <c r="F6" i="5" s="1"/>
  <c r="I33" i="10"/>
  <c r="E33" i="10"/>
  <c r="F33" i="10" s="1"/>
  <c r="E25" i="10"/>
  <c r="E26" i="10"/>
  <c r="F26" i="10" s="1"/>
  <c r="E27" i="10"/>
  <c r="F27" i="10" s="1"/>
  <c r="E28" i="10"/>
  <c r="F28" i="10" s="1"/>
  <c r="E29" i="10"/>
  <c r="F29" i="10" s="1"/>
  <c r="E30" i="10"/>
  <c r="F30" i="10" s="1"/>
  <c r="E31" i="10"/>
  <c r="F31" i="10" s="1"/>
  <c r="E32" i="10"/>
  <c r="F32" i="10" s="1"/>
  <c r="B22" i="1"/>
  <c r="I32" i="10"/>
  <c r="I12" i="10"/>
  <c r="Q57" i="1"/>
  <c r="Q56" i="1"/>
  <c r="M42" i="1"/>
  <c r="I26" i="9"/>
  <c r="I27" i="9"/>
  <c r="V19" i="10"/>
  <c r="V20" i="10"/>
  <c r="V21" i="10"/>
  <c r="V22" i="10"/>
  <c r="E18" i="10"/>
  <c r="E13" i="10"/>
  <c r="F13" i="10" s="1"/>
  <c r="F25" i="10" l="1"/>
  <c r="E38" i="10"/>
  <c r="F34" i="10"/>
  <c r="AA5" i="5"/>
  <c r="AC5" i="5"/>
  <c r="C46" i="10"/>
  <c r="B46" i="10"/>
  <c r="I38" i="9"/>
  <c r="I37" i="9"/>
  <c r="I25" i="9"/>
  <c r="I15" i="9"/>
  <c r="I7" i="10"/>
  <c r="I8" i="10"/>
  <c r="I9" i="10"/>
  <c r="I10" i="10"/>
  <c r="I11" i="10"/>
  <c r="I44" i="10"/>
  <c r="D36" i="4"/>
  <c r="D34" i="4"/>
  <c r="F32" i="4"/>
  <c r="G32" i="4" s="1"/>
  <c r="G30" i="4"/>
  <c r="D13" i="4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3" i="4"/>
  <c r="G13" i="4" l="1"/>
  <c r="C21" i="9"/>
  <c r="B21" i="9"/>
  <c r="D56" i="10" l="1"/>
  <c r="P5" i="5" l="1"/>
  <c r="P6" i="5" s="1"/>
  <c r="M5" i="5" l="1"/>
  <c r="M6" i="5" l="1"/>
  <c r="M8" i="5" s="1"/>
  <c r="L5" i="5"/>
  <c r="L6" i="5" s="1"/>
  <c r="E6" i="10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K5" i="5"/>
  <c r="K6" i="5" s="1"/>
  <c r="E20" i="10" l="1"/>
  <c r="F6" i="10"/>
  <c r="J5" i="5"/>
  <c r="J6" i="5" s="1"/>
  <c r="E6" i="9"/>
  <c r="E5" i="5"/>
  <c r="E6" i="5" s="1"/>
  <c r="H5" i="5"/>
  <c r="H6" i="5" s="1"/>
  <c r="E25" i="9"/>
  <c r="E32" i="9" s="1"/>
  <c r="E15" i="9"/>
  <c r="F20" i="10" l="1"/>
  <c r="F25" i="9"/>
  <c r="E21" i="9"/>
  <c r="F15" i="9"/>
  <c r="B56" i="10" l="1"/>
  <c r="V23" i="10" l="1"/>
  <c r="I31" i="10"/>
  <c r="AG12" i="5"/>
  <c r="AG11" i="5"/>
  <c r="C5" i="5"/>
  <c r="E37" i="9"/>
  <c r="AF5" i="5"/>
  <c r="AE5" i="5"/>
  <c r="AE6" i="5" s="1"/>
  <c r="E63" i="10"/>
  <c r="AF13" i="5"/>
  <c r="AD6" i="5"/>
  <c r="AD13" i="5"/>
  <c r="R64" i="1"/>
  <c r="AC13" i="5"/>
  <c r="F37" i="9" l="1"/>
  <c r="B62" i="10"/>
  <c r="D62" i="10" s="1"/>
  <c r="C62" i="10"/>
  <c r="E62" i="10" s="1"/>
  <c r="T20" i="10"/>
  <c r="AB13" i="5"/>
  <c r="AB5" i="5"/>
  <c r="AA13" i="5"/>
  <c r="K77" i="1"/>
  <c r="K73" i="1"/>
  <c r="F8" i="5"/>
  <c r="F10" i="5" s="1"/>
  <c r="P13" i="5"/>
  <c r="Q13" i="5"/>
  <c r="R13" i="5"/>
  <c r="S13" i="5"/>
  <c r="T13" i="5"/>
  <c r="U13" i="5"/>
  <c r="V13" i="5"/>
  <c r="W13" i="5"/>
  <c r="X13" i="5"/>
  <c r="Y13" i="5"/>
  <c r="Z13" i="5"/>
  <c r="B45" i="9"/>
  <c r="D45" i="9"/>
  <c r="D47" i="9"/>
  <c r="K21" i="9"/>
  <c r="B51" i="10"/>
  <c r="E43" i="10"/>
  <c r="B53" i="10"/>
  <c r="B46" i="9"/>
  <c r="E44" i="10"/>
  <c r="I43" i="10"/>
  <c r="B52" i="10"/>
  <c r="I30" i="10"/>
  <c r="I29" i="10"/>
  <c r="I28" i="10"/>
  <c r="I27" i="10"/>
  <c r="I26" i="10"/>
  <c r="I25" i="10"/>
  <c r="I6" i="10"/>
  <c r="C40" i="9"/>
  <c r="B40" i="9"/>
  <c r="B48" i="9" s="1"/>
  <c r="E38" i="9"/>
  <c r="F38" i="9" s="1"/>
  <c r="M15" i="9"/>
  <c r="E31" i="4" l="1"/>
  <c r="F31" i="4" s="1"/>
  <c r="G31" i="4" s="1"/>
  <c r="E40" i="9"/>
  <c r="C48" i="9" s="1"/>
  <c r="B55" i="10"/>
  <c r="B57" i="10" s="1"/>
  <c r="F43" i="10"/>
  <c r="E46" i="10"/>
  <c r="F46" i="10" s="1"/>
  <c r="T12" i="10"/>
  <c r="V11" i="10"/>
  <c r="T15" i="10"/>
  <c r="V18" i="10"/>
  <c r="T14" i="10"/>
  <c r="V13" i="10"/>
  <c r="T8" i="10"/>
  <c r="V8" i="10"/>
  <c r="AB10" i="10"/>
  <c r="AD10" i="10"/>
  <c r="T13" i="10"/>
  <c r="V12" i="10"/>
  <c r="T9" i="10"/>
  <c r="V9" i="10"/>
  <c r="T21" i="10"/>
  <c r="V24" i="10"/>
  <c r="C45" i="9"/>
  <c r="E45" i="9" s="1"/>
  <c r="F38" i="10"/>
  <c r="C46" i="9"/>
  <c r="F21" i="9"/>
  <c r="B67" i="10"/>
  <c r="D67" i="10" s="1"/>
  <c r="B47" i="9"/>
  <c r="B49" i="9" s="1"/>
  <c r="I20" i="10"/>
  <c r="F44" i="10"/>
  <c r="I46" i="10"/>
  <c r="C67" i="10"/>
  <c r="E67" i="10" s="1"/>
  <c r="D51" i="10"/>
  <c r="C65" i="10" s="1"/>
  <c r="E65" i="10" s="1"/>
  <c r="I32" i="9"/>
  <c r="I38" i="10"/>
  <c r="D52" i="10"/>
  <c r="C66" i="10" s="1"/>
  <c r="E66" i="10" s="1"/>
  <c r="D53" i="10"/>
  <c r="C68" i="10" s="1"/>
  <c r="E68" i="10" s="1"/>
  <c r="H45" i="9"/>
  <c r="D48" i="9"/>
  <c r="H48" i="9" s="1"/>
  <c r="D46" i="9"/>
  <c r="E29" i="4" l="1"/>
  <c r="F29" i="4" s="1"/>
  <c r="G29" i="4" s="1"/>
  <c r="E33" i="4"/>
  <c r="F33" i="4" s="1"/>
  <c r="G33" i="4" s="1"/>
  <c r="E26" i="4"/>
  <c r="F26" i="4" s="1"/>
  <c r="G26" i="4" s="1"/>
  <c r="E28" i="4"/>
  <c r="F28" i="4" s="1"/>
  <c r="G28" i="4" s="1"/>
  <c r="E27" i="4"/>
  <c r="F27" i="4" s="1"/>
  <c r="G27" i="4" s="1"/>
  <c r="T7" i="10"/>
  <c r="V7" i="10"/>
  <c r="V27" i="10" s="1"/>
  <c r="C56" i="10"/>
  <c r="D49" i="9"/>
  <c r="C53" i="10"/>
  <c r="B68" i="10" s="1"/>
  <c r="D68" i="10" s="1"/>
  <c r="C52" i="10"/>
  <c r="B66" i="10" s="1"/>
  <c r="D66" i="10" s="1"/>
  <c r="E48" i="9"/>
  <c r="H47" i="9"/>
  <c r="D55" i="10"/>
  <c r="D57" i="10" s="1"/>
  <c r="C47" i="9"/>
  <c r="F32" i="9"/>
  <c r="F40" i="9"/>
  <c r="C51" i="10"/>
  <c r="E46" i="9"/>
  <c r="H46" i="9"/>
  <c r="O13" i="5"/>
  <c r="E25" i="4" l="1"/>
  <c r="F25" i="4" s="1"/>
  <c r="G25" i="4" s="1"/>
  <c r="G34" i="4" s="1"/>
  <c r="B65" i="10"/>
  <c r="D65" i="10" s="1"/>
  <c r="C55" i="10"/>
  <c r="F52" i="10"/>
  <c r="F53" i="10"/>
  <c r="E47" i="9"/>
  <c r="C49" i="9"/>
  <c r="E49" i="9" s="1"/>
  <c r="F51" i="10"/>
  <c r="B97" i="1"/>
  <c r="N13" i="5"/>
  <c r="M13" i="5"/>
  <c r="L13" i="5"/>
  <c r="I9" i="1"/>
  <c r="I16" i="1"/>
  <c r="C13" i="5"/>
  <c r="D13" i="5"/>
  <c r="E13" i="5"/>
  <c r="F13" i="5"/>
  <c r="G13" i="5"/>
  <c r="H13" i="5"/>
  <c r="I13" i="5"/>
  <c r="J13" i="5"/>
  <c r="K13" i="5"/>
  <c r="B13" i="5"/>
  <c r="B98" i="1"/>
  <c r="D5" i="1"/>
  <c r="B10" i="5"/>
  <c r="D16" i="1"/>
  <c r="F55" i="10" l="1"/>
  <c r="H56" i="10" s="1"/>
  <c r="C57" i="10"/>
  <c r="D51" i="9"/>
  <c r="D52" i="9" s="1"/>
  <c r="X30" i="1"/>
  <c r="S23" i="1"/>
  <c r="P47" i="1" l="1"/>
  <c r="Q47" i="1" s="1"/>
  <c r="C1" i="5" l="1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C61" i="10" l="1"/>
  <c r="E61" i="10" s="1"/>
  <c r="D97" i="1"/>
  <c r="Q58" i="1" l="1"/>
  <c r="V6" i="5"/>
  <c r="Z5" i="5"/>
  <c r="Z6" i="5" s="1"/>
  <c r="D65" i="1"/>
  <c r="AG7" i="5"/>
  <c r="C6" i="5"/>
  <c r="AF6" i="5"/>
  <c r="B6" i="5"/>
  <c r="AE8" i="5"/>
  <c r="AE10" i="5" s="1"/>
  <c r="AC6" i="5"/>
  <c r="AB6" i="5"/>
  <c r="AA6" i="5"/>
  <c r="Y5" i="5"/>
  <c r="Y6" i="5" s="1"/>
  <c r="X5" i="5"/>
  <c r="X6" i="5" s="1"/>
  <c r="W5" i="5"/>
  <c r="U5" i="5"/>
  <c r="S8" i="5"/>
  <c r="S10" i="5" s="1"/>
  <c r="R8" i="5"/>
  <c r="R10" i="5" s="1"/>
  <c r="H8" i="5"/>
  <c r="H10" i="5" s="1"/>
  <c r="AF8" i="5" l="1"/>
  <c r="AF10" i="5" s="1"/>
  <c r="AC8" i="5"/>
  <c r="AC10" i="5" s="1"/>
  <c r="AD8" i="5"/>
  <c r="AD10" i="5" s="1"/>
  <c r="AA8" i="5"/>
  <c r="AA10" i="5" s="1"/>
  <c r="AB8" i="5"/>
  <c r="AB10" i="5" s="1"/>
  <c r="Q8" i="5"/>
  <c r="Q10" i="5" s="1"/>
  <c r="T8" i="5"/>
  <c r="T10" i="5" s="1"/>
  <c r="U8" i="5"/>
  <c r="U10" i="5" s="1"/>
  <c r="V8" i="5"/>
  <c r="V10" i="5" s="1"/>
  <c r="X8" i="5"/>
  <c r="X10" i="5" s="1"/>
  <c r="Z8" i="5"/>
  <c r="Z10" i="5" s="1"/>
  <c r="C8" i="5"/>
  <c r="C10" i="5" s="1"/>
  <c r="P8" i="5"/>
  <c r="P10" i="5" s="1"/>
  <c r="O8" i="5"/>
  <c r="O10" i="5" s="1"/>
  <c r="M10" i="5"/>
  <c r="N10" i="5"/>
  <c r="G10" i="5"/>
  <c r="I8" i="5"/>
  <c r="I10" i="5" s="1"/>
  <c r="J8" i="5"/>
  <c r="J10" i="5" s="1"/>
  <c r="K8" i="5"/>
  <c r="K10" i="5" s="1"/>
  <c r="L8" i="5"/>
  <c r="L10" i="5" s="1"/>
  <c r="D10" i="5"/>
  <c r="E8" i="5"/>
  <c r="E10" i="5" s="1"/>
  <c r="Y8" i="5"/>
  <c r="Y10" i="5" s="1"/>
  <c r="W6" i="5"/>
  <c r="D62" i="1"/>
  <c r="B8" i="5"/>
  <c r="W8" i="5" l="1"/>
  <c r="W10" i="5" s="1"/>
  <c r="AG6" i="5"/>
  <c r="AG8" i="5" s="1"/>
  <c r="B54" i="1" l="1"/>
  <c r="D60" i="1" l="1"/>
  <c r="V7" i="1"/>
  <c r="V8" i="1"/>
  <c r="V9" i="1"/>
  <c r="V10" i="1"/>
  <c r="V11" i="1"/>
  <c r="V12" i="1"/>
  <c r="V13" i="1"/>
  <c r="V14" i="1"/>
  <c r="V15" i="1"/>
  <c r="V6" i="1"/>
  <c r="V16" i="1" l="1"/>
  <c r="B51" i="9" l="1"/>
  <c r="B52" i="9" s="1"/>
  <c r="D66" i="1" l="1"/>
  <c r="D23" i="5"/>
  <c r="C25" i="5"/>
  <c r="D24" i="5"/>
  <c r="R40" i="1" l="1"/>
  <c r="S41" i="1"/>
  <c r="D25" i="5"/>
  <c r="E25" i="5" s="1"/>
  <c r="K72" i="1"/>
  <c r="I18" i="1" l="1"/>
  <c r="I17" i="1"/>
  <c r="G8" i="9" l="1"/>
  <c r="H8" i="9" s="1"/>
  <c r="G7" i="9"/>
  <c r="H7" i="9" s="1"/>
  <c r="G6" i="9"/>
  <c r="G11" i="9" l="1"/>
  <c r="G15" i="9" s="1"/>
  <c r="H6" i="9"/>
  <c r="G6" i="10"/>
  <c r="G7" i="10" s="1"/>
  <c r="P58" i="1"/>
  <c r="G17" i="4" l="1"/>
  <c r="G15" i="4"/>
  <c r="G21" i="9"/>
  <c r="H21" i="9" s="1"/>
  <c r="H11" i="9"/>
  <c r="G25" i="9"/>
  <c r="G26" i="9" s="1"/>
  <c r="H7" i="10"/>
  <c r="G8" i="10"/>
  <c r="G20" i="10"/>
  <c r="G25" i="10" s="1"/>
  <c r="H6" i="10"/>
  <c r="H15" i="9"/>
  <c r="G32" i="9" l="1"/>
  <c r="G27" i="9"/>
  <c r="H26" i="9"/>
  <c r="H8" i="10"/>
  <c r="G9" i="10"/>
  <c r="H20" i="10"/>
  <c r="I39" i="1"/>
  <c r="I34" i="1"/>
  <c r="I32" i="1"/>
  <c r="I30" i="1"/>
  <c r="I28" i="1"/>
  <c r="I27" i="1"/>
  <c r="G28" i="9" l="1"/>
  <c r="H27" i="9"/>
  <c r="H25" i="9"/>
  <c r="H9" i="10"/>
  <c r="G10" i="10"/>
  <c r="H32" i="9"/>
  <c r="G37" i="9"/>
  <c r="G40" i="9"/>
  <c r="F45" i="9" s="1"/>
  <c r="I15" i="1"/>
  <c r="I14" i="1"/>
  <c r="I13" i="1"/>
  <c r="I12" i="1"/>
  <c r="I11" i="1"/>
  <c r="I10" i="1"/>
  <c r="I8" i="1"/>
  <c r="I7" i="1"/>
  <c r="I5" i="1"/>
  <c r="I4" i="1"/>
  <c r="D18" i="1"/>
  <c r="I42" i="1"/>
  <c r="I22" i="1" l="1"/>
  <c r="H28" i="9"/>
  <c r="G29" i="9"/>
  <c r="H37" i="9"/>
  <c r="G38" i="9"/>
  <c r="H38" i="9" s="1"/>
  <c r="H10" i="10"/>
  <c r="G11" i="10"/>
  <c r="G12" i="10" s="1"/>
  <c r="H40" i="9"/>
  <c r="M46" i="1" l="1"/>
  <c r="J19" i="1"/>
  <c r="G30" i="9"/>
  <c r="H30" i="9" s="1"/>
  <c r="H29" i="9"/>
  <c r="J23" i="1"/>
  <c r="J6" i="1"/>
  <c r="H12" i="10"/>
  <c r="G13" i="10"/>
  <c r="H11" i="10"/>
  <c r="C51" i="9"/>
  <c r="C52" i="9" s="1"/>
  <c r="F49" i="9"/>
  <c r="G49" i="9" s="1"/>
  <c r="G45" i="9"/>
  <c r="F46" i="9"/>
  <c r="J7" i="1"/>
  <c r="J9" i="1"/>
  <c r="J11" i="1"/>
  <c r="J13" i="1"/>
  <c r="J15" i="1"/>
  <c r="J4" i="1"/>
  <c r="J8" i="1"/>
  <c r="J10" i="1"/>
  <c r="J12" i="1"/>
  <c r="J14" i="1"/>
  <c r="J16" i="1"/>
  <c r="J18" i="1"/>
  <c r="J5" i="1"/>
  <c r="J17" i="1"/>
  <c r="K78" i="1"/>
  <c r="I41" i="1"/>
  <c r="I40" i="1"/>
  <c r="O5" i="1"/>
  <c r="O7" i="1"/>
  <c r="O8" i="1"/>
  <c r="O9" i="1"/>
  <c r="O10" i="1"/>
  <c r="O11" i="1"/>
  <c r="O12" i="1"/>
  <c r="O14" i="1"/>
  <c r="O15" i="1"/>
  <c r="O16" i="1"/>
  <c r="O17" i="1"/>
  <c r="O18" i="1"/>
  <c r="M48" i="1" l="1"/>
  <c r="O61" i="1"/>
  <c r="B92" i="1"/>
  <c r="I43" i="1"/>
  <c r="H13" i="10"/>
  <c r="G14" i="10"/>
  <c r="O22" i="1"/>
  <c r="P13" i="1" s="1"/>
  <c r="F47" i="9"/>
  <c r="F48" i="9" s="1"/>
  <c r="G46" i="9"/>
  <c r="D17" i="1"/>
  <c r="D19" i="1"/>
  <c r="D15" i="1"/>
  <c r="D14" i="1"/>
  <c r="D13" i="1"/>
  <c r="D12" i="1"/>
  <c r="D11" i="1"/>
  <c r="D10" i="1"/>
  <c r="D9" i="1"/>
  <c r="D7" i="1"/>
  <c r="D4" i="1"/>
  <c r="G47" i="1" l="1"/>
  <c r="I49" i="1" s="1"/>
  <c r="I50" i="1" s="1"/>
  <c r="J40" i="1"/>
  <c r="D52" i="1" s="1"/>
  <c r="J38" i="1"/>
  <c r="J35" i="1"/>
  <c r="D50" i="1" s="1"/>
  <c r="M61" i="1"/>
  <c r="M51" i="1"/>
  <c r="M60" i="1" s="1"/>
  <c r="P6" i="1"/>
  <c r="P16" i="1"/>
  <c r="J29" i="1"/>
  <c r="H14" i="10"/>
  <c r="G15" i="10"/>
  <c r="P4" i="1"/>
  <c r="P17" i="1"/>
  <c r="P19" i="1"/>
  <c r="P8" i="1"/>
  <c r="P10" i="1"/>
  <c r="P5" i="1"/>
  <c r="P18" i="1"/>
  <c r="P7" i="1"/>
  <c r="P9" i="1"/>
  <c r="P11" i="1"/>
  <c r="P12" i="1"/>
  <c r="P15" i="1"/>
  <c r="P14" i="1"/>
  <c r="D22" i="1"/>
  <c r="G48" i="9"/>
  <c r="G47" i="9"/>
  <c r="O23" i="1"/>
  <c r="B27" i="1"/>
  <c r="B40" i="1" s="1"/>
  <c r="J42" i="1"/>
  <c r="B35" i="1" s="1"/>
  <c r="J32" i="1"/>
  <c r="J30" i="1"/>
  <c r="D47" i="1" s="1"/>
  <c r="J39" i="1"/>
  <c r="J41" i="1"/>
  <c r="J34" i="1"/>
  <c r="J33" i="1"/>
  <c r="D49" i="1" s="1"/>
  <c r="J31" i="1"/>
  <c r="D48" i="1" s="1"/>
  <c r="J28" i="1"/>
  <c r="J27" i="1"/>
  <c r="B60" i="1"/>
  <c r="B62" i="1"/>
  <c r="B94" i="1" s="1"/>
  <c r="E6" i="1" l="1"/>
  <c r="E19" i="1"/>
  <c r="B64" i="1"/>
  <c r="B96" i="1" s="1"/>
  <c r="D46" i="1"/>
  <c r="J43" i="1"/>
  <c r="G16" i="10"/>
  <c r="H16" i="10" s="1"/>
  <c r="H15" i="10"/>
  <c r="B59" i="1"/>
  <c r="B91" i="1" s="1"/>
  <c r="E91" i="1" s="1"/>
  <c r="D91" i="1" s="1"/>
  <c r="E16" i="1"/>
  <c r="B37" i="1"/>
  <c r="D51" i="1"/>
  <c r="B36" i="1"/>
  <c r="D53" i="1"/>
  <c r="B72" i="1"/>
  <c r="B73" i="1" s="1"/>
  <c r="B75" i="1" s="1"/>
  <c r="B34" i="1"/>
  <c r="G48" i="1"/>
  <c r="B61" i="1"/>
  <c r="P22" i="1"/>
  <c r="J22" i="1"/>
  <c r="E8" i="1"/>
  <c r="E12" i="1"/>
  <c r="E5" i="1"/>
  <c r="E10" i="1"/>
  <c r="E14" i="1"/>
  <c r="E18" i="1"/>
  <c r="E4" i="1"/>
  <c r="E7" i="1"/>
  <c r="E9" i="1"/>
  <c r="E11" i="1"/>
  <c r="E13" i="1"/>
  <c r="E15" i="1"/>
  <c r="E17" i="1"/>
  <c r="D72" i="1" l="1"/>
  <c r="D73" i="1" s="1"/>
  <c r="D75" i="1" s="1"/>
  <c r="B31" i="1"/>
  <c r="B32" i="1" s="1"/>
  <c r="E33" i="1" s="1"/>
  <c r="E22" i="1"/>
  <c r="D54" i="1"/>
  <c r="B56" i="1" s="1"/>
  <c r="B38" i="1"/>
  <c r="B63" i="10" l="1"/>
  <c r="D63" i="10" s="1"/>
  <c r="G26" i="10"/>
  <c r="H25" i="10"/>
  <c r="P46" i="1"/>
  <c r="Q46" i="1" s="1"/>
  <c r="B63" i="1"/>
  <c r="B95" i="1" s="1"/>
  <c r="B93" i="1" l="1"/>
  <c r="G27" i="10"/>
  <c r="H26" i="10"/>
  <c r="E92" i="1"/>
  <c r="O49" i="1"/>
  <c r="B66" i="1"/>
  <c r="B61" i="10" l="1"/>
  <c r="D61" i="10" s="1"/>
  <c r="D93" i="1"/>
  <c r="G28" i="10"/>
  <c r="H27" i="10"/>
  <c r="O51" i="1"/>
  <c r="O60" i="1" s="1"/>
  <c r="P48" i="1"/>
  <c r="P60" i="1" s="1"/>
  <c r="D92" i="1"/>
  <c r="Q48" i="1"/>
  <c r="Q60" i="1" s="1"/>
  <c r="G29" i="10" l="1"/>
  <c r="H28" i="10"/>
  <c r="G30" i="10" l="1"/>
  <c r="G31" i="10" s="1"/>
  <c r="G32" i="10" s="1"/>
  <c r="H29" i="10"/>
  <c r="G33" i="10" l="1"/>
  <c r="H32" i="10"/>
  <c r="H31" i="10"/>
  <c r="H30" i="10"/>
  <c r="H33" i="10" l="1"/>
  <c r="G34" i="10"/>
  <c r="H34" i="10" l="1"/>
  <c r="G35" i="10"/>
  <c r="G36" i="10" s="1"/>
  <c r="H36" i="10" s="1"/>
  <c r="H35" i="10" l="1"/>
  <c r="G38" i="10"/>
  <c r="P35" i="10" s="1"/>
  <c r="P37" i="10" l="1"/>
  <c r="G35" i="4"/>
  <c r="G46" i="10"/>
  <c r="H38" i="10"/>
  <c r="G43" i="10"/>
  <c r="G38" i="4" l="1"/>
  <c r="G36" i="4"/>
  <c r="H43" i="10"/>
  <c r="G44" i="10"/>
  <c r="H44" i="10" s="1"/>
  <c r="G51" i="10"/>
  <c r="H46" i="10"/>
  <c r="G39" i="4" l="1"/>
  <c r="G52" i="10"/>
  <c r="G55" i="10"/>
  <c r="H51" i="10"/>
  <c r="H52" i="10" l="1"/>
  <c r="G53" i="10"/>
  <c r="H53" i="10" s="1"/>
  <c r="J55" i="10"/>
  <c r="K69" i="10" s="1"/>
  <c r="H55" i="10"/>
  <c r="H57" i="10" s="1"/>
</calcChain>
</file>

<file path=xl/sharedStrings.xml><?xml version="1.0" encoding="utf-8"?>
<sst xmlns="http://schemas.openxmlformats.org/spreadsheetml/2006/main" count="767" uniqueCount="321">
  <si>
    <t xml:space="preserve">FINISH  STOCK  </t>
  </si>
  <si>
    <t>SALES REPORT</t>
  </si>
  <si>
    <t>SALES PENDING  SOUDA</t>
  </si>
  <si>
    <t xml:space="preserve">PRODUCT </t>
  </si>
  <si>
    <t xml:space="preserve">KATTA </t>
  </si>
  <si>
    <t>IN QTL</t>
  </si>
  <si>
    <t>in%</t>
  </si>
  <si>
    <t>IN %</t>
  </si>
  <si>
    <t xml:space="preserve">AMOUNT </t>
  </si>
  <si>
    <t xml:space="preserve">MAIDA </t>
  </si>
  <si>
    <t>MAIDA PREMIUM 50 KG</t>
  </si>
  <si>
    <t>MAIDA 30</t>
  </si>
  <si>
    <t>MAIDA 30KG</t>
  </si>
  <si>
    <t xml:space="preserve">PARLE </t>
  </si>
  <si>
    <t>REFINED WHEAT FLOUR (MAIDA) 50KG</t>
  </si>
  <si>
    <t>SOOJI50</t>
  </si>
  <si>
    <t>SOOJI30</t>
  </si>
  <si>
    <t>Sooji 30 Kgs</t>
  </si>
  <si>
    <t>RAWA 50</t>
  </si>
  <si>
    <t>Rawa 50 kg</t>
  </si>
  <si>
    <t>RAWA 30</t>
  </si>
  <si>
    <t>Rawa 30 Kg</t>
  </si>
  <si>
    <t>TM50</t>
  </si>
  <si>
    <t>TANDORI MAIDA 50 KG</t>
  </si>
  <si>
    <t>CA50</t>
  </si>
  <si>
    <t>CA30</t>
  </si>
  <si>
    <t>CA05</t>
  </si>
  <si>
    <t>BD</t>
  </si>
  <si>
    <t>FINE BRAN</t>
  </si>
  <si>
    <t>Bran Fine 49 KG</t>
  </si>
  <si>
    <t xml:space="preserve">DELUX BRAN </t>
  </si>
  <si>
    <t>DELUX BRAN 49KG</t>
  </si>
  <si>
    <t>TOTAL</t>
  </si>
  <si>
    <t xml:space="preserve">AV RATE </t>
  </si>
  <si>
    <t>रिपोर्ट दिनाक</t>
  </si>
  <si>
    <t xml:space="preserve">SALESMAN WISE SALES REPORT </t>
  </si>
  <si>
    <t>ओसत  पिसाई के अनुसार</t>
  </si>
  <si>
    <t>मिल पिसाई</t>
  </si>
  <si>
    <t>QTL</t>
  </si>
  <si>
    <t>चक्की पिसाई</t>
  </si>
  <si>
    <t>मिल कुल पिसाई</t>
  </si>
  <si>
    <t>चक्की कुल पिसाई</t>
  </si>
  <si>
    <t>टोटल मिल औरचक्की</t>
  </si>
  <si>
    <t>ओसतपिसाई मिल</t>
  </si>
  <si>
    <t>QTL PER DAY</t>
  </si>
  <si>
    <t>ओसतपिसाई चक्की</t>
  </si>
  <si>
    <t>फाइन ब्रान</t>
  </si>
  <si>
    <t>डिलक्स ब्रान</t>
  </si>
  <si>
    <t>जाड़ा ब्रान</t>
  </si>
  <si>
    <t>कुल ब्रान</t>
  </si>
  <si>
    <t>ब्रान चक्की</t>
  </si>
  <si>
    <t>लोड</t>
  </si>
  <si>
    <t>Grand Total</t>
  </si>
  <si>
    <t>भुशी चली</t>
  </si>
  <si>
    <t>क्लाशियम</t>
  </si>
  <si>
    <t>स्टॉक</t>
  </si>
  <si>
    <t>कनकी</t>
  </si>
  <si>
    <t>MOISTURE</t>
  </si>
  <si>
    <t>MAIDA 1</t>
  </si>
  <si>
    <t>MAIDA 2</t>
  </si>
  <si>
    <t xml:space="preserve">AVERAGE </t>
  </si>
  <si>
    <t xml:space="preserve">MILL GRINDING </t>
  </si>
  <si>
    <t xml:space="preserve">WHEAT STOCK </t>
  </si>
  <si>
    <t>YESTERDAY</t>
  </si>
  <si>
    <t>OP</t>
  </si>
  <si>
    <t>TODAY</t>
  </si>
  <si>
    <t>RECIV</t>
  </si>
  <si>
    <t xml:space="preserve">SOOJI </t>
  </si>
  <si>
    <t>TILL DATE</t>
  </si>
  <si>
    <t>GRINDING</t>
  </si>
  <si>
    <t>MILL STOP REPORT</t>
  </si>
  <si>
    <t>CL</t>
  </si>
  <si>
    <t>TOTAL MILL STOP</t>
  </si>
  <si>
    <t>BF</t>
  </si>
  <si>
    <t>TOTAL RUNNING</t>
  </si>
  <si>
    <t xml:space="preserve">CL </t>
  </si>
  <si>
    <t>DELUX</t>
  </si>
  <si>
    <t>MAIDA LAB REPORT</t>
  </si>
  <si>
    <t>Bf</t>
  </si>
  <si>
    <t xml:space="preserve">WHEAT MOISTURE </t>
  </si>
  <si>
    <t>W.P</t>
  </si>
  <si>
    <t>ASH</t>
  </si>
  <si>
    <t>BR50</t>
  </si>
  <si>
    <t>DIFFERENCE</t>
  </si>
  <si>
    <t>SEDIMENTATION</t>
  </si>
  <si>
    <t>M50</t>
  </si>
  <si>
    <t>MM</t>
  </si>
  <si>
    <t>MA50</t>
  </si>
  <si>
    <t>AT A GLANCE</t>
  </si>
  <si>
    <t xml:space="preserve">    JUTE BAGS STOCK                                         </t>
  </si>
  <si>
    <t>PARTICULARS</t>
  </si>
  <si>
    <t>Clo. Bundle</t>
  </si>
  <si>
    <t>CLO. BAGS</t>
  </si>
  <si>
    <t>TODATE</t>
  </si>
  <si>
    <t xml:space="preserve">SALES  TODAY </t>
  </si>
  <si>
    <t>FCI JUTE 1 NO.</t>
  </si>
  <si>
    <t>2 NO. Market</t>
  </si>
  <si>
    <t>3 NO. Market</t>
  </si>
  <si>
    <t xml:space="preserve">GRINDING </t>
  </si>
  <si>
    <t>JUTE BORI</t>
  </si>
  <si>
    <t>FCI PP</t>
  </si>
  <si>
    <t>POWER CONSUMPTION</t>
  </si>
  <si>
    <t>FCI PP2</t>
  </si>
  <si>
    <t>MARKET PP</t>
  </si>
  <si>
    <t>CONSUMPTION</t>
  </si>
  <si>
    <t>YET TO DATE</t>
  </si>
  <si>
    <t>PALTI</t>
  </si>
  <si>
    <t>UNIT CONSUMED</t>
  </si>
  <si>
    <t>BHUSHI PP</t>
  </si>
  <si>
    <t xml:space="preserve">  TOTAL BUNDLE</t>
  </si>
  <si>
    <t>UNIT PER QTL</t>
  </si>
  <si>
    <t>RATE OF UNIT</t>
  </si>
  <si>
    <t>ELE COST PER BAG</t>
  </si>
  <si>
    <t>ATTENDANCE</t>
  </si>
  <si>
    <t>PRESENT</t>
  </si>
  <si>
    <t>ABSENT</t>
  </si>
  <si>
    <t xml:space="preserve">ADMIN </t>
  </si>
  <si>
    <t xml:space="preserve">GENERAL </t>
  </si>
  <si>
    <t>MILL STAFF</t>
  </si>
  <si>
    <t>SECURITY</t>
  </si>
  <si>
    <t xml:space="preserve">PACKING </t>
  </si>
  <si>
    <t xml:space="preserve">LOADING </t>
  </si>
  <si>
    <t>UNLOADING</t>
  </si>
  <si>
    <t xml:space="preserve">BARDANA </t>
  </si>
  <si>
    <t xml:space="preserve">BREAD HIGHT </t>
  </si>
  <si>
    <t>GLUTEN</t>
  </si>
  <si>
    <t xml:space="preserve">FINISH STOCK CL </t>
  </si>
  <si>
    <t xml:space="preserve">PRODUCTION TODAY </t>
  </si>
  <si>
    <t xml:space="preserve">SOUDA </t>
  </si>
  <si>
    <t>COURS BRAN</t>
  </si>
  <si>
    <t xml:space="preserve">SUPER DELUX BRAN </t>
  </si>
  <si>
    <t>SUPER FINE BRAN</t>
  </si>
  <si>
    <t>SALE VALUE</t>
  </si>
  <si>
    <t>SALE RATE</t>
  </si>
  <si>
    <t>Transport sale</t>
  </si>
  <si>
    <t>AVG</t>
  </si>
  <si>
    <t>PURCH. QTY</t>
  </si>
  <si>
    <t>PURCH. VALUE</t>
  </si>
  <si>
    <t>PURCH. RATE</t>
  </si>
  <si>
    <t>PRODUCTS</t>
  </si>
  <si>
    <t>AVG RATE</t>
  </si>
  <si>
    <t xml:space="preserve"> RATE BAG</t>
  </si>
  <si>
    <t xml:space="preserve"> RATE KG</t>
  </si>
  <si>
    <t>REALIZATION VALUE</t>
  </si>
  <si>
    <t>DIFFRENCE</t>
  </si>
  <si>
    <t>YIELD IN  %</t>
  </si>
  <si>
    <t>GRD EXP.</t>
  </si>
  <si>
    <t>MAIDA -I ( 50 KG )</t>
  </si>
  <si>
    <t>MAIDA -II  ( 50 KG )</t>
  </si>
  <si>
    <t>SOOJI  ( 50 KG )</t>
  </si>
  <si>
    <t>RAWA (50 KG )</t>
  </si>
  <si>
    <t>T-ATTA (50 KG )</t>
  </si>
  <si>
    <t>R-BRAN ( 39 KG )</t>
  </si>
  <si>
    <t>FINE BRAN ( 49 KG )</t>
  </si>
  <si>
    <t>DELUXE BRAN ( 49 KG )</t>
  </si>
  <si>
    <t>सुपर डिलक्स ब्रान</t>
  </si>
  <si>
    <t>S. DELUXE BRAN ( 49 KG )</t>
  </si>
  <si>
    <t xml:space="preserve">FINAL </t>
  </si>
  <si>
    <t>WHEAT RATE LESS 4%</t>
  </si>
  <si>
    <t>PURCHASE TODATE</t>
  </si>
  <si>
    <t>SALE TODATE</t>
  </si>
  <si>
    <t>Rate Diff</t>
  </si>
  <si>
    <t>AMOUNT</t>
  </si>
  <si>
    <t>RATE</t>
  </si>
  <si>
    <t>Bran ROUGH 39 KG-Non Branded</t>
  </si>
  <si>
    <t>SOOJI 50 KG</t>
  </si>
  <si>
    <t>MOISTURE @ 3%</t>
  </si>
  <si>
    <t xml:space="preserve">wheat rate </t>
  </si>
  <si>
    <t>Row Labels</t>
  </si>
  <si>
    <t>SALES RETUREN</t>
  </si>
  <si>
    <t>BRAN FINE  LOOSE</t>
  </si>
  <si>
    <t>MAIZE</t>
  </si>
  <si>
    <t>ADITYA</t>
  </si>
  <si>
    <t>KAILASH SHARMA</t>
  </si>
  <si>
    <t>SALE</t>
  </si>
  <si>
    <t>monthaly %</t>
  </si>
  <si>
    <t>unit consum</t>
  </si>
  <si>
    <t xml:space="preserve"> </t>
  </si>
  <si>
    <t>comsum kw</t>
  </si>
  <si>
    <t>unit</t>
  </si>
  <si>
    <t>grinding</t>
  </si>
  <si>
    <t>per bag consume</t>
  </si>
  <si>
    <t>Sundry Creditors (Wheat A/c)</t>
  </si>
  <si>
    <t>sundry debtors</t>
  </si>
  <si>
    <t xml:space="preserve">advance </t>
  </si>
  <si>
    <t xml:space="preserve">CASH CD  AMOUNT </t>
  </si>
  <si>
    <t xml:space="preserve">SALE  RATE NET </t>
  </si>
  <si>
    <t xml:space="preserve">SAUDA  RATE </t>
  </si>
  <si>
    <t>WHEAT  STOCK</t>
  </si>
  <si>
    <t>TOTAL PURCHSE</t>
  </si>
  <si>
    <t xml:space="preserve">TOTAL SALES </t>
  </si>
  <si>
    <t xml:space="preserve">Creditors advance </t>
  </si>
  <si>
    <t>wheat stock</t>
  </si>
  <si>
    <t>SALES RETUREN AMOUNT</t>
  </si>
  <si>
    <t>kg</t>
  </si>
  <si>
    <t>in qtl</t>
  </si>
  <si>
    <t xml:space="preserve">av  rate </t>
  </si>
  <si>
    <t>WHEAT RT</t>
  </si>
  <si>
    <t>DIFF</t>
  </si>
  <si>
    <t xml:space="preserve">SALES MAN </t>
  </si>
  <si>
    <t xml:space="preserve">amount </t>
  </si>
  <si>
    <t>KATTA</t>
  </si>
  <si>
    <t xml:space="preserve">ADITYA JI </t>
  </si>
  <si>
    <t>DEEPAK JI SHARMA</t>
  </si>
  <si>
    <t>KAILASH JI SHARMA</t>
  </si>
  <si>
    <t>ADITYA JI</t>
  </si>
  <si>
    <t>DEEPAK JI  SHARMA</t>
  </si>
  <si>
    <t xml:space="preserve">SALES REPORT </t>
  </si>
  <si>
    <t xml:space="preserve">Diff SALE PUR NET </t>
  </si>
  <si>
    <t xml:space="preserve">Diff SALE PUR </t>
  </si>
  <si>
    <t>admin</t>
  </si>
  <si>
    <t xml:space="preserve">admin ji </t>
  </si>
  <si>
    <t>katta</t>
  </si>
  <si>
    <t>ADMIN</t>
  </si>
  <si>
    <t>KATTA RATE</t>
  </si>
  <si>
    <t>cash</t>
  </si>
  <si>
    <t xml:space="preserve">net diff </t>
  </si>
  <si>
    <t xml:space="preserve">PER DAY AMOUNT </t>
  </si>
  <si>
    <t>per</t>
  </si>
  <si>
    <t>month</t>
  </si>
  <si>
    <t>av per day</t>
  </si>
  <si>
    <t>CARGIL-CHOMU</t>
  </si>
  <si>
    <t>CARGIL-ETAH</t>
  </si>
  <si>
    <t>ITC -BADAUN</t>
  </si>
  <si>
    <t>ITC DABRA</t>
  </si>
  <si>
    <t>ITC DATIA</t>
  </si>
  <si>
    <t>ITC- ETAH</t>
  </si>
  <si>
    <t>ITC- HARDOI</t>
  </si>
  <si>
    <t>MAIDA TRANSPORT</t>
  </si>
  <si>
    <t>Main Location</t>
  </si>
  <si>
    <t xml:space="preserve">stop time </t>
  </si>
  <si>
    <t xml:space="preserve">running </t>
  </si>
  <si>
    <t xml:space="preserve">PER DAY SALES </t>
  </si>
  <si>
    <t xml:space="preserve">PER DAY PURCHASE </t>
  </si>
  <si>
    <t xml:space="preserve">PER DAY GRINDING </t>
  </si>
  <si>
    <t>PER DAY SALEMANWISE</t>
  </si>
  <si>
    <t>KAILASH JI</t>
  </si>
  <si>
    <t xml:space="preserve">DEEPAK JI </t>
  </si>
  <si>
    <t xml:space="preserve">ADMIN JI </t>
  </si>
  <si>
    <t>MONTH</t>
  </si>
  <si>
    <t>PER DAY  QTL</t>
  </si>
  <si>
    <t xml:space="preserve">RATE </t>
  </si>
  <si>
    <t xml:space="preserve">  </t>
  </si>
  <si>
    <t xml:space="preserve">                                           TODAYS  PPODUCTION</t>
  </si>
  <si>
    <t xml:space="preserve">WHEAT RATE </t>
  </si>
  <si>
    <t>diff</t>
  </si>
  <si>
    <t xml:space="preserve">katta  rate </t>
  </si>
  <si>
    <t>DATE :- 05.10.2025</t>
  </si>
  <si>
    <t>MAIDA BAKERY</t>
  </si>
  <si>
    <t>ROUGH BRAN</t>
  </si>
  <si>
    <t>WHEAT FLOUR (MAIDA LEMINATION ) 50 KG</t>
  </si>
  <si>
    <t>Sum of Acutal Quantity</t>
  </si>
  <si>
    <t>Sum of Amount</t>
  </si>
  <si>
    <t>SALES REPORT 17.10.2025</t>
  </si>
  <si>
    <t>0</t>
  </si>
  <si>
    <t xml:space="preserve">WHEAT NET AVG RATE </t>
  </si>
  <si>
    <t>NOTE :- WHEAT &amp; ATTA MAIDA AVG</t>
  </si>
  <si>
    <t>FINE BRAN 40 KG</t>
  </si>
  <si>
    <t>Bran Fine 40 KG</t>
  </si>
  <si>
    <t>BRAN FINE  40 KG</t>
  </si>
  <si>
    <t>LEMINATION MAIDA  50 KG</t>
  </si>
  <si>
    <t>.</t>
  </si>
  <si>
    <t>DATE</t>
  </si>
  <si>
    <t>TOTAL GRD</t>
  </si>
  <si>
    <t>LAST MONTH TILL DATE</t>
  </si>
  <si>
    <t xml:space="preserve"> MONTH TILL DATE</t>
  </si>
  <si>
    <t>ITEM NAME</t>
  </si>
  <si>
    <t>POWER MESH 50 KG</t>
  </si>
  <si>
    <t xml:space="preserve"> (MAIDA LEMINATION ) 50 KG</t>
  </si>
  <si>
    <t>MAIDA LEMINATION  50 KG</t>
  </si>
  <si>
    <t>CHK</t>
  </si>
  <si>
    <t>CRN</t>
  </si>
  <si>
    <t>WHEAT</t>
  </si>
  <si>
    <t>REFINED WHEAT FLOUR MAIDA</t>
  </si>
  <si>
    <t>MAIDA LEMINATION ) 50 KG</t>
  </si>
  <si>
    <t>PENDING SAUDA</t>
  </si>
  <si>
    <t>DT 29.01.2026</t>
  </si>
  <si>
    <t>C. STOCK</t>
  </si>
  <si>
    <t>P. SAUDA</t>
  </si>
  <si>
    <t>POWER MESS ( C F )</t>
  </si>
  <si>
    <t>ITC Lalitpur</t>
  </si>
  <si>
    <t>ELECTRIC BILL</t>
  </si>
  <si>
    <t>SALARY</t>
  </si>
  <si>
    <t>PP BAG</t>
  </si>
  <si>
    <t>CC INT..</t>
  </si>
  <si>
    <t>REPAIR &amp; MAINTANANCE</t>
  </si>
  <si>
    <t>Staff Welfare A/c</t>
  </si>
  <si>
    <t>TRAVELLING EXPENSES</t>
  </si>
  <si>
    <t>PEST CONTROL</t>
  </si>
  <si>
    <t>DIRECTOR REMUNARATION</t>
  </si>
  <si>
    <t>Building Repaire &amp; Maintance</t>
  </si>
  <si>
    <t>Printing &amp; Stationery Exp</t>
  </si>
  <si>
    <t>Transport Exp. A/c</t>
  </si>
  <si>
    <t>Interest Paid (Expenses) BMW</t>
  </si>
  <si>
    <t>Wherehouse Rent</t>
  </si>
  <si>
    <t>Rent Pune</t>
  </si>
  <si>
    <t>Bardana Repaire</t>
  </si>
  <si>
    <t>Cash discount</t>
  </si>
  <si>
    <t xml:space="preserve">TOTAL </t>
  </si>
  <si>
    <t>SHREE SANVALIYA TRADING CO</t>
  </si>
  <si>
    <t>FIRST FLOOR, 16/BLOCK -B, APMC,RUPANTAR MILL</t>
  </si>
  <si>
    <t>Dahod, Gujarat,38915</t>
  </si>
  <si>
    <t>COMPOUND, ANAJ MARKET ROAD, DAHOD</t>
  </si>
  <si>
    <t>To,</t>
  </si>
  <si>
    <t>From ,</t>
  </si>
  <si>
    <t>MANISH FLOUR MILLS PVT LTD</t>
  </si>
  <si>
    <t>124/125A, BARDOLI ROAD TATETHIYA</t>
  </si>
  <si>
    <t>KADODARA SURAT , GUJARAT -394305</t>
  </si>
  <si>
    <t>Mob. 8108004715</t>
  </si>
  <si>
    <t>SARGUN</t>
  </si>
  <si>
    <t>NAME</t>
  </si>
  <si>
    <t>A.C.</t>
  </si>
  <si>
    <t>12510100003758</t>
  </si>
  <si>
    <t>IFSC.</t>
  </si>
  <si>
    <t>UCBA0001251</t>
  </si>
  <si>
    <t>BRANCH .</t>
  </si>
  <si>
    <t>SAHUPARBATTA</t>
  </si>
  <si>
    <t>Report dt-01-07-2026</t>
  </si>
  <si>
    <t xml:space="preserve">                  RATE TILL DATE 01.07.26</t>
  </si>
  <si>
    <t>DATE :- 01-07-26</t>
  </si>
  <si>
    <t>TILLDATE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</si>
</sst>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* #,##0.00_);_(* \(#,##0.00\);_(* &quot;-&quot;??_);_(@_)"/>
    <numFmt numFmtId="165" formatCode="0.0"/>
    <numFmt numFmtId="166" formatCode="&quot;&quot;0.00"/>
    <numFmt numFmtId="167" formatCode="&quot;&quot;0.000&quot; QTL&quot;"/>
    <numFmt numFmtId="168" formatCode="&quot;&quot;0"/>
    <numFmt numFmtId="169" formatCode="0.000"/>
    <numFmt numFmtId="170" formatCode="&quot;&quot;0.00&quot; Cr&quot;"/>
    <numFmt numFmtId="171" formatCode="&quot;&quot;0.00&quot; QTL&quot;"/>
  </numFmts>
  <fonts count="6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3C78D8"/>
      <name val="Calibri"/>
      <family val="2"/>
    </font>
    <font>
      <sz val="11"/>
      <name val="Calibri"/>
      <family val="2"/>
    </font>
    <font>
      <b/>
      <sz val="18"/>
      <color rgb="FF6AA84F"/>
      <name val="Calibri"/>
      <family val="2"/>
    </font>
    <font>
      <sz val="11"/>
      <color theme="1"/>
      <name val="Calibri"/>
      <family val="2"/>
    </font>
    <font>
      <b/>
      <sz val="18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4A86E8"/>
      <name val="Calibri"/>
      <family val="2"/>
    </font>
    <font>
      <b/>
      <sz val="18"/>
      <color rgb="FF4A86E8"/>
      <name val="Calibri"/>
      <family val="2"/>
    </font>
    <font>
      <sz val="11"/>
      <color theme="0"/>
      <name val="Calibri"/>
      <family val="2"/>
    </font>
    <font>
      <b/>
      <sz val="16"/>
      <color rgb="FFCC0000"/>
      <name val="Calibri"/>
      <family val="2"/>
    </font>
    <font>
      <b/>
      <u/>
      <sz val="11"/>
      <color rgb="FFFF0000"/>
      <name val="Calibri"/>
      <family val="2"/>
    </font>
    <font>
      <b/>
      <sz val="14"/>
      <color rgb="FF6AA84F"/>
      <name val="Bookman Old Style"/>
      <family val="1"/>
    </font>
    <font>
      <b/>
      <sz val="14"/>
      <color rgb="FF6AA84F"/>
      <name val="Calibri"/>
      <family val="2"/>
      <scheme val="minor"/>
    </font>
    <font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b/>
      <sz val="18"/>
      <color rgb="FF38761D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9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i/>
      <sz val="9"/>
      <color theme="1"/>
      <name val="Arial"/>
      <family val="2"/>
    </font>
    <font>
      <i/>
      <sz val="9"/>
      <color theme="3"/>
      <name val="Arial"/>
      <family val="2"/>
    </font>
    <font>
      <sz val="11"/>
      <color theme="3"/>
      <name val="Calibri"/>
      <family val="2"/>
      <scheme val="minor"/>
    </font>
    <font>
      <b/>
      <sz val="11"/>
      <color theme="1"/>
      <name val="Bookman Old Style"/>
      <family val="1"/>
    </font>
    <font>
      <sz val="16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indexed="8"/>
      <name val="Calibri"/>
      <family val="2"/>
    </font>
    <font>
      <b/>
      <sz val="9"/>
      <color rgb="FFFF0000"/>
      <name val="Calibri"/>
      <family val="2"/>
    </font>
    <font>
      <sz val="11"/>
      <color rgb="FF9C0006"/>
      <name val="Calibri"/>
      <family val="2"/>
      <scheme val="minor"/>
    </font>
    <font>
      <b/>
      <sz val="18"/>
      <color theme="8" tint="-0.499984740745262"/>
      <name val="Calibri"/>
      <family val="2"/>
    </font>
    <font>
      <b/>
      <sz val="11"/>
      <color theme="8" tint="-0.499984740745262"/>
      <name val="Calibri"/>
      <family val="2"/>
      <scheme val="minor"/>
    </font>
    <font>
      <sz val="9"/>
      <color theme="1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2"/>
      <color rgb="FF6AA84F"/>
      <name val="Calibri"/>
      <family val="2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</fills>
  <borders count="81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7" fillId="0" borderId="51"/>
    <xf numFmtId="164" fontId="41" fillId="0" borderId="0" applyFont="0" applyFill="0" applyBorder="0" applyAlignment="0" applyProtection="0"/>
    <xf numFmtId="0" fontId="11" fillId="0" borderId="51"/>
    <xf numFmtId="0" fontId="54" fillId="15" borderId="0" applyNumberFormat="0" applyBorder="0" applyAlignment="0" applyProtection="0"/>
  </cellStyleXfs>
  <cellXfs count="493">
    <xf numFmtId="0" fontId="0" fillId="0" borderId="0" xfId="0"/>
    <xf numFmtId="0" fontId="21" fillId="0" borderId="7" xfId="0" applyFont="1" applyBorder="1"/>
    <xf numFmtId="0" fontId="23" fillId="0" borderId="10" xfId="0" applyFont="1" applyBorder="1"/>
    <xf numFmtId="0" fontId="23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1" fillId="0" borderId="13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15" xfId="0" applyFont="1" applyBorder="1" applyAlignment="1">
      <alignment horizontal="center"/>
    </xf>
    <xf numFmtId="0" fontId="21" fillId="3" borderId="15" xfId="0" applyFont="1" applyFill="1" applyBorder="1" applyAlignment="1">
      <alignment horizontal="center"/>
    </xf>
    <xf numFmtId="165" fontId="23" fillId="4" borderId="13" xfId="0" applyNumberFormat="1" applyFont="1" applyFill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5" xfId="0" applyFont="1" applyBorder="1"/>
    <xf numFmtId="0" fontId="25" fillId="0" borderId="0" xfId="0" applyFont="1" applyAlignment="1">
      <alignment horizontal="center"/>
    </xf>
    <xf numFmtId="0" fontId="21" fillId="0" borderId="14" xfId="0" applyFont="1" applyBorder="1"/>
    <xf numFmtId="0" fontId="23" fillId="0" borderId="15" xfId="0" applyFont="1" applyBorder="1"/>
    <xf numFmtId="0" fontId="21" fillId="0" borderId="17" xfId="0" applyFont="1" applyBorder="1"/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1" fillId="3" borderId="18" xfId="0" applyFont="1" applyFill="1" applyBorder="1" applyAlignment="1">
      <alignment horizontal="center"/>
    </xf>
    <xf numFmtId="0" fontId="21" fillId="0" borderId="18" xfId="0" applyFont="1" applyBorder="1"/>
    <xf numFmtId="0" fontId="23" fillId="0" borderId="21" xfId="0" applyFont="1" applyBorder="1"/>
    <xf numFmtId="0" fontId="26" fillId="0" borderId="0" xfId="0" applyFont="1"/>
    <xf numFmtId="0" fontId="27" fillId="0" borderId="8" xfId="0" applyFont="1" applyBorder="1"/>
    <xf numFmtId="14" fontId="23" fillId="0" borderId="22" xfId="0" applyNumberFormat="1" applyFont="1" applyBorder="1"/>
    <xf numFmtId="0" fontId="21" fillId="0" borderId="22" xfId="0" applyFont="1" applyBorder="1"/>
    <xf numFmtId="0" fontId="26" fillId="0" borderId="23" xfId="0" applyFont="1" applyBorder="1"/>
    <xf numFmtId="2" fontId="23" fillId="0" borderId="13" xfId="0" applyNumberFormat="1" applyFont="1" applyBorder="1"/>
    <xf numFmtId="2" fontId="23" fillId="0" borderId="15" xfId="0" applyNumberFormat="1" applyFont="1" applyBorder="1"/>
    <xf numFmtId="0" fontId="21" fillId="5" borderId="13" xfId="0" applyFont="1" applyFill="1" applyBorder="1"/>
    <xf numFmtId="0" fontId="29" fillId="0" borderId="26" xfId="0" applyFont="1" applyBorder="1"/>
    <xf numFmtId="0" fontId="26" fillId="0" borderId="26" xfId="0" applyFont="1" applyBorder="1"/>
    <xf numFmtId="0" fontId="26" fillId="0" borderId="33" xfId="0" applyFont="1" applyBorder="1"/>
    <xf numFmtId="0" fontId="26" fillId="0" borderId="19" xfId="0" applyFont="1" applyBorder="1"/>
    <xf numFmtId="0" fontId="26" fillId="0" borderId="34" xfId="0" applyFont="1" applyBorder="1"/>
    <xf numFmtId="2" fontId="23" fillId="0" borderId="14" xfId="0" applyNumberFormat="1" applyFont="1" applyBorder="1"/>
    <xf numFmtId="0" fontId="26" fillId="0" borderId="15" xfId="0" applyFont="1" applyBorder="1"/>
    <xf numFmtId="0" fontId="26" fillId="0" borderId="13" xfId="0" applyFont="1" applyBorder="1"/>
    <xf numFmtId="0" fontId="24" fillId="0" borderId="8" xfId="0" applyFont="1" applyBorder="1"/>
    <xf numFmtId="0" fontId="25" fillId="0" borderId="22" xfId="0" applyFont="1" applyBorder="1"/>
    <xf numFmtId="0" fontId="25" fillId="0" borderId="9" xfId="0" applyFont="1" applyBorder="1"/>
    <xf numFmtId="10" fontId="25" fillId="0" borderId="22" xfId="0" applyNumberFormat="1" applyFont="1" applyBorder="1"/>
    <xf numFmtId="0" fontId="26" fillId="0" borderId="29" xfId="0" applyFont="1" applyBorder="1"/>
    <xf numFmtId="0" fontId="25" fillId="0" borderId="35" xfId="0" applyFont="1" applyBorder="1"/>
    <xf numFmtId="10" fontId="23" fillId="0" borderId="15" xfId="0" applyNumberFormat="1" applyFont="1" applyBorder="1" applyAlignment="1">
      <alignment horizontal="left"/>
    </xf>
    <xf numFmtId="165" fontId="21" fillId="0" borderId="13" xfId="0" applyNumberFormat="1" applyFont="1" applyBorder="1"/>
    <xf numFmtId="0" fontId="23" fillId="5" borderId="13" xfId="0" applyFont="1" applyFill="1" applyBorder="1"/>
    <xf numFmtId="0" fontId="26" fillId="0" borderId="37" xfId="0" applyFont="1" applyBorder="1"/>
    <xf numFmtId="0" fontId="23" fillId="0" borderId="17" xfId="0" applyFont="1" applyBorder="1"/>
    <xf numFmtId="0" fontId="23" fillId="5" borderId="20" xfId="0" applyFont="1" applyFill="1" applyBorder="1"/>
    <xf numFmtId="0" fontId="26" fillId="0" borderId="16" xfId="0" applyFont="1" applyBorder="1"/>
    <xf numFmtId="10" fontId="24" fillId="0" borderId="15" xfId="0" applyNumberFormat="1" applyFont="1" applyBorder="1" applyAlignment="1">
      <alignment horizontal="left"/>
    </xf>
    <xf numFmtId="0" fontId="23" fillId="0" borderId="8" xfId="0" applyFont="1" applyBorder="1"/>
    <xf numFmtId="0" fontId="21" fillId="0" borderId="37" xfId="0" applyFont="1" applyBorder="1"/>
    <xf numFmtId="0" fontId="21" fillId="0" borderId="39" xfId="0" applyFont="1" applyBorder="1"/>
    <xf numFmtId="0" fontId="21" fillId="0" borderId="41" xfId="0" applyFont="1" applyBorder="1"/>
    <xf numFmtId="0" fontId="21" fillId="0" borderId="21" xfId="0" applyFont="1" applyBorder="1"/>
    <xf numFmtId="10" fontId="21" fillId="0" borderId="15" xfId="0" applyNumberFormat="1" applyFont="1" applyBorder="1" applyAlignment="1">
      <alignment horizontal="left"/>
    </xf>
    <xf numFmtId="165" fontId="25" fillId="5" borderId="13" xfId="0" applyNumberFormat="1" applyFont="1" applyFill="1" applyBorder="1"/>
    <xf numFmtId="0" fontId="25" fillId="0" borderId="13" xfId="0" applyFont="1" applyBorder="1"/>
    <xf numFmtId="9" fontId="21" fillId="0" borderId="15" xfId="0" applyNumberFormat="1" applyFont="1" applyBorder="1" applyAlignment="1">
      <alignment horizontal="center"/>
    </xf>
    <xf numFmtId="10" fontId="21" fillId="0" borderId="15" xfId="0" applyNumberFormat="1" applyFont="1" applyBorder="1" applyAlignment="1">
      <alignment horizontal="center"/>
    </xf>
    <xf numFmtId="0" fontId="23" fillId="0" borderId="42" xfId="0" applyFont="1" applyBorder="1"/>
    <xf numFmtId="0" fontId="21" fillId="0" borderId="43" xfId="0" applyFont="1" applyBorder="1"/>
    <xf numFmtId="165" fontId="25" fillId="3" borderId="44" xfId="0" applyNumberFormat="1" applyFont="1" applyFill="1" applyBorder="1"/>
    <xf numFmtId="0" fontId="25" fillId="3" borderId="45" xfId="0" applyFont="1" applyFill="1" applyBorder="1"/>
    <xf numFmtId="0" fontId="25" fillId="3" borderId="46" xfId="0" applyFont="1" applyFill="1" applyBorder="1"/>
    <xf numFmtId="0" fontId="21" fillId="3" borderId="46" xfId="0" applyFont="1" applyFill="1" applyBorder="1"/>
    <xf numFmtId="0" fontId="26" fillId="0" borderId="47" xfId="0" applyFont="1" applyBorder="1"/>
    <xf numFmtId="0" fontId="26" fillId="0" borderId="18" xfId="0" applyFont="1" applyBorder="1"/>
    <xf numFmtId="0" fontId="21" fillId="3" borderId="20" xfId="0" applyFont="1" applyFill="1" applyBorder="1"/>
    <xf numFmtId="0" fontId="21" fillId="3" borderId="48" xfId="0" applyFont="1" applyFill="1" applyBorder="1"/>
    <xf numFmtId="0" fontId="21" fillId="3" borderId="51" xfId="0" applyFont="1" applyFill="1" applyBorder="1"/>
    <xf numFmtId="0" fontId="21" fillId="3" borderId="49" xfId="0" applyFont="1" applyFill="1" applyBorder="1"/>
    <xf numFmtId="2" fontId="23" fillId="0" borderId="8" xfId="0" applyNumberFormat="1" applyFont="1" applyBorder="1"/>
    <xf numFmtId="0" fontId="34" fillId="0" borderId="14" xfId="0" applyFont="1" applyBorder="1"/>
    <xf numFmtId="0" fontId="34" fillId="0" borderId="15" xfId="0" applyFont="1" applyBorder="1"/>
    <xf numFmtId="0" fontId="34" fillId="0" borderId="27" xfId="0" applyFont="1" applyBorder="1"/>
    <xf numFmtId="0" fontId="26" fillId="0" borderId="14" xfId="0" applyFont="1" applyBorder="1"/>
    <xf numFmtId="0" fontId="21" fillId="0" borderId="0" xfId="0" applyFont="1"/>
    <xf numFmtId="0" fontId="21" fillId="3" borderId="0" xfId="0" applyFont="1" applyFill="1"/>
    <xf numFmtId="0" fontId="34" fillId="0" borderId="15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16" xfId="0" applyFont="1" applyBorder="1"/>
    <xf numFmtId="0" fontId="36" fillId="0" borderId="14" xfId="0" applyFont="1" applyBorder="1"/>
    <xf numFmtId="1" fontId="34" fillId="0" borderId="15" xfId="0" applyNumberFormat="1" applyFont="1" applyBorder="1" applyAlignment="1">
      <alignment horizontal="center"/>
    </xf>
    <xf numFmtId="1" fontId="34" fillId="0" borderId="13" xfId="0" applyNumberFormat="1" applyFont="1" applyBorder="1" applyAlignment="1">
      <alignment horizontal="center"/>
    </xf>
    <xf numFmtId="2" fontId="34" fillId="0" borderId="15" xfId="0" applyNumberFormat="1" applyFont="1" applyBorder="1" applyAlignment="1">
      <alignment horizontal="center"/>
    </xf>
    <xf numFmtId="165" fontId="34" fillId="0" borderId="15" xfId="0" applyNumberFormat="1" applyFont="1" applyBorder="1" applyAlignment="1">
      <alignment horizontal="center"/>
    </xf>
    <xf numFmtId="0" fontId="34" fillId="0" borderId="17" xfId="0" applyFont="1" applyBorder="1"/>
    <xf numFmtId="0" fontId="34" fillId="0" borderId="18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0" fontId="26" fillId="0" borderId="8" xfId="0" applyFont="1" applyBorder="1"/>
    <xf numFmtId="0" fontId="26" fillId="0" borderId="22" xfId="0" applyFont="1" applyBorder="1"/>
    <xf numFmtId="0" fontId="26" fillId="0" borderId="17" xfId="0" applyFont="1" applyBorder="1"/>
    <xf numFmtId="0" fontId="23" fillId="6" borderId="36" xfId="0" applyFont="1" applyFill="1" applyBorder="1"/>
    <xf numFmtId="0" fontId="23" fillId="0" borderId="36" xfId="0" applyFont="1" applyBorder="1"/>
    <xf numFmtId="49" fontId="23" fillId="0" borderId="14" xfId="0" quotePrefix="1" applyNumberFormat="1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2" fontId="23" fillId="0" borderId="18" xfId="0" applyNumberFormat="1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2" fontId="39" fillId="0" borderId="15" xfId="0" applyNumberFormat="1" applyFont="1" applyBorder="1" applyAlignment="1">
      <alignment horizontal="center"/>
    </xf>
    <xf numFmtId="2" fontId="39" fillId="9" borderId="15" xfId="0" applyNumberFormat="1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"/>
    </xf>
    <xf numFmtId="0" fontId="38" fillId="10" borderId="15" xfId="0" applyFont="1" applyFill="1" applyBorder="1" applyAlignment="1">
      <alignment horizontal="center"/>
    </xf>
    <xf numFmtId="164" fontId="0" fillId="0" borderId="0" xfId="0" applyNumberFormat="1"/>
    <xf numFmtId="0" fontId="42" fillId="0" borderId="55" xfId="0" applyFont="1" applyBorder="1" applyAlignment="1">
      <alignment horizontal="center"/>
    </xf>
    <xf numFmtId="2" fontId="42" fillId="0" borderId="55" xfId="0" applyNumberFormat="1" applyFont="1" applyBorder="1" applyAlignment="1">
      <alignment horizontal="center"/>
    </xf>
    <xf numFmtId="164" fontId="42" fillId="0" borderId="55" xfId="2" applyFont="1" applyBorder="1" applyAlignment="1">
      <alignment horizontal="center"/>
    </xf>
    <xf numFmtId="164" fontId="42" fillId="0" borderId="55" xfId="0" applyNumberFormat="1" applyFont="1" applyBorder="1"/>
    <xf numFmtId="0" fontId="42" fillId="0" borderId="0" xfId="0" applyFont="1"/>
    <xf numFmtId="164" fontId="42" fillId="0" borderId="55" xfId="2" applyFont="1" applyBorder="1" applyAlignment="1"/>
    <xf numFmtId="165" fontId="21" fillId="5" borderId="15" xfId="0" applyNumberFormat="1" applyFont="1" applyFill="1" applyBorder="1"/>
    <xf numFmtId="165" fontId="21" fillId="0" borderId="15" xfId="0" applyNumberFormat="1" applyFont="1" applyBorder="1"/>
    <xf numFmtId="2" fontId="0" fillId="0" borderId="0" xfId="0" applyNumberFormat="1"/>
    <xf numFmtId="0" fontId="39" fillId="0" borderId="55" xfId="0" applyFont="1" applyBorder="1" applyAlignment="1">
      <alignment horizontal="center"/>
    </xf>
    <xf numFmtId="0" fontId="39" fillId="0" borderId="59" xfId="0" applyFont="1" applyBorder="1"/>
    <xf numFmtId="0" fontId="39" fillId="0" borderId="55" xfId="0" applyFont="1" applyBorder="1"/>
    <xf numFmtId="0" fontId="39" fillId="0" borderId="31" xfId="0" applyFont="1" applyBorder="1" applyAlignment="1">
      <alignment horizontal="center"/>
    </xf>
    <xf numFmtId="0" fontId="39" fillId="0" borderId="60" xfId="0" applyFont="1" applyBorder="1" applyAlignment="1">
      <alignment horizontal="center"/>
    </xf>
    <xf numFmtId="2" fontId="39" fillId="0" borderId="60" xfId="0" applyNumberFormat="1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2" fontId="39" fillId="0" borderId="55" xfId="0" applyNumberFormat="1" applyFont="1" applyBorder="1" applyAlignment="1">
      <alignment horizontal="center"/>
    </xf>
    <xf numFmtId="2" fontId="21" fillId="0" borderId="20" xfId="0" applyNumberFormat="1" applyFont="1" applyBorder="1" applyAlignment="1">
      <alignment horizontal="right"/>
    </xf>
    <xf numFmtId="2" fontId="23" fillId="0" borderId="36" xfId="0" applyNumberFormat="1" applyFont="1" applyBorder="1"/>
    <xf numFmtId="4" fontId="42" fillId="0" borderId="55" xfId="0" applyNumberFormat="1" applyFont="1" applyBorder="1"/>
    <xf numFmtId="9" fontId="42" fillId="0" borderId="0" xfId="0" applyNumberFormat="1" applyFont="1"/>
    <xf numFmtId="2" fontId="21" fillId="4" borderId="27" xfId="0" applyNumberFormat="1" applyFont="1" applyFill="1" applyBorder="1"/>
    <xf numFmtId="0" fontId="0" fillId="0" borderId="55" xfId="0" applyBorder="1"/>
    <xf numFmtId="0" fontId="23" fillId="0" borderId="27" xfId="0" applyFont="1" applyBorder="1"/>
    <xf numFmtId="1" fontId="39" fillId="0" borderId="15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21" fillId="0" borderId="40" xfId="0" applyNumberFormat="1" applyFont="1" applyBorder="1"/>
    <xf numFmtId="166" fontId="0" fillId="0" borderId="0" xfId="0" applyNumberFormat="1"/>
    <xf numFmtId="4" fontId="42" fillId="9" borderId="55" xfId="0" applyNumberFormat="1" applyFont="1" applyFill="1" applyBorder="1"/>
    <xf numFmtId="0" fontId="42" fillId="9" borderId="0" xfId="0" applyFont="1" applyFill="1"/>
    <xf numFmtId="10" fontId="21" fillId="0" borderId="15" xfId="0" applyNumberFormat="1" applyFont="1" applyBorder="1"/>
    <xf numFmtId="9" fontId="21" fillId="0" borderId="15" xfId="0" applyNumberFormat="1" applyFont="1" applyBorder="1" applyAlignment="1">
      <alignment horizontal="left"/>
    </xf>
    <xf numFmtId="0" fontId="26" fillId="0" borderId="11" xfId="0" applyFont="1" applyBorder="1"/>
    <xf numFmtId="0" fontId="0" fillId="0" borderId="51" xfId="0" applyBorder="1"/>
    <xf numFmtId="0" fontId="26" fillId="0" borderId="45" xfId="0" applyFont="1" applyBorder="1"/>
    <xf numFmtId="0" fontId="21" fillId="0" borderId="62" xfId="0" applyFont="1" applyBorder="1"/>
    <xf numFmtId="0" fontId="39" fillId="0" borderId="47" xfId="0" applyFont="1" applyBorder="1" applyAlignment="1">
      <alignment horizontal="center"/>
    </xf>
    <xf numFmtId="0" fontId="21" fillId="0" borderId="27" xfId="0" applyFont="1" applyBorder="1"/>
    <xf numFmtId="0" fontId="21" fillId="0" borderId="63" xfId="0" applyFont="1" applyBorder="1"/>
    <xf numFmtId="0" fontId="21" fillId="0" borderId="55" xfId="0" applyFont="1" applyBorder="1"/>
    <xf numFmtId="166" fontId="0" fillId="0" borderId="55" xfId="0" applyNumberFormat="1" applyBorder="1"/>
    <xf numFmtId="0" fontId="44" fillId="0" borderId="55" xfId="0" applyFont="1" applyBorder="1"/>
    <xf numFmtId="16" fontId="39" fillId="0" borderId="0" xfId="0" applyNumberFormat="1" applyFont="1"/>
    <xf numFmtId="0" fontId="45" fillId="0" borderId="0" xfId="0" applyFont="1"/>
    <xf numFmtId="0" fontId="0" fillId="12" borderId="0" xfId="0" applyFill="1"/>
    <xf numFmtId="0" fontId="0" fillId="9" borderId="0" xfId="0" applyFill="1"/>
    <xf numFmtId="169" fontId="0" fillId="0" borderId="0" xfId="0" applyNumberFormat="1"/>
    <xf numFmtId="0" fontId="26" fillId="0" borderId="9" xfId="0" applyFont="1" applyBorder="1"/>
    <xf numFmtId="0" fontId="26" fillId="0" borderId="27" xfId="0" applyFont="1" applyBorder="1"/>
    <xf numFmtId="0" fontId="13" fillId="0" borderId="55" xfId="0" applyFont="1" applyBorder="1"/>
    <xf numFmtId="49" fontId="46" fillId="0" borderId="55" xfId="0" applyNumberFormat="1" applyFont="1" applyBorder="1" applyAlignment="1">
      <alignment horizontal="center" vertical="top" wrapText="1"/>
    </xf>
    <xf numFmtId="0" fontId="19" fillId="0" borderId="24" xfId="0" applyFont="1" applyBorder="1"/>
    <xf numFmtId="0" fontId="19" fillId="0" borderId="5" xfId="0" applyFont="1" applyBorder="1"/>
    <xf numFmtId="0" fontId="32" fillId="0" borderId="4" xfId="0" applyFont="1" applyBorder="1" applyAlignment="1">
      <alignment horizontal="left"/>
    </xf>
    <xf numFmtId="0" fontId="19" fillId="0" borderId="26" xfId="0" applyFont="1" applyBorder="1"/>
    <xf numFmtId="0" fontId="40" fillId="0" borderId="54" xfId="1" applyFont="1" applyBorder="1" applyAlignment="1">
      <alignment horizontal="left"/>
    </xf>
    <xf numFmtId="0" fontId="40" fillId="0" borderId="41" xfId="1" applyFont="1" applyBorder="1" applyAlignment="1">
      <alignment horizontal="left"/>
    </xf>
    <xf numFmtId="0" fontId="26" fillId="0" borderId="66" xfId="0" applyFont="1" applyBorder="1"/>
    <xf numFmtId="0" fontId="12" fillId="0" borderId="0" xfId="0" applyFont="1"/>
    <xf numFmtId="0" fontId="35" fillId="0" borderId="47" xfId="0" applyFont="1" applyBorder="1" applyAlignment="1">
      <alignment horizontal="center"/>
    </xf>
    <xf numFmtId="0" fontId="35" fillId="0" borderId="66" xfId="0" applyFont="1" applyBorder="1" applyAlignment="1">
      <alignment horizontal="center"/>
    </xf>
    <xf numFmtId="0" fontId="34" fillId="0" borderId="55" xfId="0" applyFont="1" applyBorder="1"/>
    <xf numFmtId="0" fontId="14" fillId="0" borderId="51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39" fillId="0" borderId="51" xfId="0" applyFont="1" applyBorder="1" applyAlignment="1">
      <alignment horizontal="center"/>
    </xf>
    <xf numFmtId="1" fontId="26" fillId="0" borderId="13" xfId="0" applyNumberFormat="1" applyFont="1" applyBorder="1"/>
    <xf numFmtId="2" fontId="23" fillId="4" borderId="27" xfId="0" applyNumberFormat="1" applyFont="1" applyFill="1" applyBorder="1"/>
    <xf numFmtId="0" fontId="21" fillId="3" borderId="55" xfId="0" applyFont="1" applyFill="1" applyBorder="1"/>
    <xf numFmtId="2" fontId="21" fillId="3" borderId="55" xfId="0" applyNumberFormat="1" applyFont="1" applyFill="1" applyBorder="1"/>
    <xf numFmtId="0" fontId="21" fillId="0" borderId="51" xfId="0" applyFont="1" applyBorder="1"/>
    <xf numFmtId="2" fontId="23" fillId="0" borderId="65" xfId="0" applyNumberFormat="1" applyFont="1" applyBorder="1"/>
    <xf numFmtId="0" fontId="21" fillId="0" borderId="66" xfId="0" applyFont="1" applyBorder="1"/>
    <xf numFmtId="0" fontId="21" fillId="3" borderId="67" xfId="0" applyFont="1" applyFill="1" applyBorder="1"/>
    <xf numFmtId="2" fontId="23" fillId="0" borderId="55" xfId="0" applyNumberFormat="1" applyFont="1" applyBorder="1"/>
    <xf numFmtId="167" fontId="21" fillId="0" borderId="55" xfId="0" applyNumberFormat="1" applyFont="1" applyBorder="1"/>
    <xf numFmtId="0" fontId="34" fillId="0" borderId="27" xfId="0" applyFont="1" applyBorder="1" applyAlignment="1">
      <alignment horizontal="left"/>
    </xf>
    <xf numFmtId="0" fontId="34" fillId="0" borderId="64" xfId="0" applyFont="1" applyBorder="1" applyAlignment="1">
      <alignment horizontal="left"/>
    </xf>
    <xf numFmtId="0" fontId="34" fillId="0" borderId="51" xfId="0" applyFont="1" applyBorder="1"/>
    <xf numFmtId="1" fontId="34" fillId="0" borderId="51" xfId="0" applyNumberFormat="1" applyFont="1" applyBorder="1" applyAlignment="1">
      <alignment horizontal="center"/>
    </xf>
    <xf numFmtId="0" fontId="39" fillId="0" borderId="53" xfId="0" applyFont="1" applyBorder="1" applyAlignment="1">
      <alignment horizontal="center"/>
    </xf>
    <xf numFmtId="1" fontId="39" fillId="0" borderId="47" xfId="0" applyNumberFormat="1" applyFont="1" applyBorder="1" applyAlignment="1">
      <alignment horizontal="center"/>
    </xf>
    <xf numFmtId="0" fontId="39" fillId="13" borderId="55" xfId="0" applyFont="1" applyFill="1" applyBorder="1" applyAlignment="1">
      <alignment horizontal="center"/>
    </xf>
    <xf numFmtId="0" fontId="39" fillId="11" borderId="68" xfId="0" applyFont="1" applyFill="1" applyBorder="1"/>
    <xf numFmtId="170" fontId="39" fillId="11" borderId="68" xfId="0" applyNumberFormat="1" applyFont="1" applyFill="1" applyBorder="1"/>
    <xf numFmtId="49" fontId="47" fillId="14" borderId="55" xfId="0" applyNumberFormat="1" applyFont="1" applyFill="1" applyBorder="1" applyAlignment="1">
      <alignment vertical="top" wrapText="1"/>
    </xf>
    <xf numFmtId="0" fontId="48" fillId="14" borderId="55" xfId="0" applyFont="1" applyFill="1" applyBorder="1" applyAlignment="1">
      <alignment horizontal="center"/>
    </xf>
    <xf numFmtId="0" fontId="48" fillId="14" borderId="55" xfId="0" applyFont="1" applyFill="1" applyBorder="1"/>
    <xf numFmtId="1" fontId="0" fillId="0" borderId="0" xfId="0" applyNumberFormat="1"/>
    <xf numFmtId="0" fontId="49" fillId="0" borderId="0" xfId="0" applyFont="1" applyAlignment="1">
      <alignment horizontal="center"/>
    </xf>
    <xf numFmtId="168" fontId="0" fillId="0" borderId="55" xfId="0" applyNumberFormat="1" applyBorder="1"/>
    <xf numFmtId="0" fontId="11" fillId="0" borderId="55" xfId="3" applyBorder="1"/>
    <xf numFmtId="0" fontId="11" fillId="0" borderId="51" xfId="3"/>
    <xf numFmtId="0" fontId="11" fillId="0" borderId="57" xfId="3" applyBorder="1"/>
    <xf numFmtId="0" fontId="11" fillId="0" borderId="69" xfId="3" applyBorder="1"/>
    <xf numFmtId="0" fontId="11" fillId="0" borderId="58" xfId="3" applyBorder="1"/>
    <xf numFmtId="165" fontId="11" fillId="0" borderId="55" xfId="3" applyNumberFormat="1" applyBorder="1"/>
    <xf numFmtId="0" fontId="11" fillId="0" borderId="61" xfId="3" applyBorder="1"/>
    <xf numFmtId="0" fontId="39" fillId="0" borderId="57" xfId="3" applyFont="1" applyBorder="1" applyAlignment="1">
      <alignment wrapText="1"/>
    </xf>
    <xf numFmtId="0" fontId="39" fillId="0" borderId="69" xfId="3" applyFont="1" applyBorder="1" applyAlignment="1">
      <alignment wrapText="1"/>
    </xf>
    <xf numFmtId="0" fontId="39" fillId="0" borderId="58" xfId="3" applyFont="1" applyBorder="1" applyAlignment="1">
      <alignment wrapText="1"/>
    </xf>
    <xf numFmtId="0" fontId="39" fillId="0" borderId="55" xfId="3" applyFont="1" applyBorder="1"/>
    <xf numFmtId="0" fontId="39" fillId="0" borderId="51" xfId="3" applyFont="1"/>
    <xf numFmtId="0" fontId="39" fillId="12" borderId="57" xfId="3" applyFont="1" applyFill="1" applyBorder="1"/>
    <xf numFmtId="0" fontId="39" fillId="12" borderId="55" xfId="3" applyFont="1" applyFill="1" applyBorder="1"/>
    <xf numFmtId="0" fontId="39" fillId="9" borderId="55" xfId="3" applyFont="1" applyFill="1" applyBorder="1"/>
    <xf numFmtId="166" fontId="39" fillId="12" borderId="58" xfId="3" applyNumberFormat="1" applyFont="1" applyFill="1" applyBorder="1"/>
    <xf numFmtId="0" fontId="0" fillId="0" borderId="55" xfId="0" applyBorder="1" applyAlignment="1">
      <alignment horizontal="left" indent="1"/>
    </xf>
    <xf numFmtId="0" fontId="39" fillId="14" borderId="55" xfId="3" applyFont="1" applyFill="1" applyBorder="1"/>
    <xf numFmtId="0" fontId="39" fillId="14" borderId="51" xfId="3" applyFont="1" applyFill="1"/>
    <xf numFmtId="0" fontId="11" fillId="14" borderId="51" xfId="3" applyFill="1"/>
    <xf numFmtId="166" fontId="11" fillId="0" borderId="55" xfId="3" applyNumberFormat="1" applyBorder="1"/>
    <xf numFmtId="166" fontId="39" fillId="12" borderId="55" xfId="3" applyNumberFormat="1" applyFont="1" applyFill="1" applyBorder="1"/>
    <xf numFmtId="1" fontId="39" fillId="12" borderId="55" xfId="3" applyNumberFormat="1" applyFont="1" applyFill="1" applyBorder="1"/>
    <xf numFmtId="1" fontId="11" fillId="0" borderId="55" xfId="3" applyNumberFormat="1" applyBorder="1"/>
    <xf numFmtId="2" fontId="11" fillId="0" borderId="51" xfId="3" applyNumberFormat="1"/>
    <xf numFmtId="1" fontId="39" fillId="0" borderId="55" xfId="0" applyNumberFormat="1" applyFont="1" applyBorder="1" applyAlignment="1">
      <alignment horizontal="center"/>
    </xf>
    <xf numFmtId="1" fontId="26" fillId="0" borderId="15" xfId="0" applyNumberFormat="1" applyFont="1" applyBorder="1"/>
    <xf numFmtId="1" fontId="11" fillId="0" borderId="51" xfId="3" applyNumberFormat="1"/>
    <xf numFmtId="0" fontId="39" fillId="9" borderId="57" xfId="3" applyFont="1" applyFill="1" applyBorder="1" applyAlignment="1">
      <alignment horizontal="center"/>
    </xf>
    <xf numFmtId="0" fontId="39" fillId="9" borderId="69" xfId="3" applyFont="1" applyFill="1" applyBorder="1" applyAlignment="1">
      <alignment horizontal="center"/>
    </xf>
    <xf numFmtId="0" fontId="39" fillId="9" borderId="58" xfId="3" applyFont="1" applyFill="1" applyBorder="1" applyAlignment="1">
      <alignment horizontal="center"/>
    </xf>
    <xf numFmtId="168" fontId="39" fillId="12" borderId="55" xfId="3" applyNumberFormat="1" applyFont="1" applyFill="1" applyBorder="1"/>
    <xf numFmtId="0" fontId="0" fillId="0" borderId="0" xfId="0" applyAlignment="1">
      <alignment horizontal="left" indent="1"/>
    </xf>
    <xf numFmtId="168" fontId="0" fillId="0" borderId="0" xfId="0" applyNumberFormat="1"/>
    <xf numFmtId="166" fontId="0" fillId="0" borderId="51" xfId="0" applyNumberFormat="1" applyBorder="1"/>
    <xf numFmtId="0" fontId="11" fillId="0" borderId="59" xfId="3" applyBorder="1"/>
    <xf numFmtId="0" fontId="39" fillId="0" borderId="57" xfId="3" applyFont="1" applyBorder="1"/>
    <xf numFmtId="0" fontId="11" fillId="0" borderId="70" xfId="3" applyBorder="1"/>
    <xf numFmtId="0" fontId="11" fillId="14" borderId="55" xfId="3" applyFill="1" applyBorder="1"/>
    <xf numFmtId="1" fontId="0" fillId="0" borderId="55" xfId="3" applyNumberFormat="1" applyFont="1" applyBorder="1"/>
    <xf numFmtId="0" fontId="0" fillId="0" borderId="55" xfId="3" applyFont="1" applyBorder="1"/>
    <xf numFmtId="2" fontId="39" fillId="12" borderId="55" xfId="3" applyNumberFormat="1" applyFont="1" applyFill="1" applyBorder="1"/>
    <xf numFmtId="1" fontId="25" fillId="0" borderId="0" xfId="0" applyNumberFormat="1" applyFont="1"/>
    <xf numFmtId="1" fontId="39" fillId="9" borderId="15" xfId="0" applyNumberFormat="1" applyFont="1" applyFill="1" applyBorder="1" applyAlignment="1">
      <alignment horizontal="center"/>
    </xf>
    <xf numFmtId="1" fontId="15" fillId="0" borderId="15" xfId="0" applyNumberFormat="1" applyFont="1" applyBorder="1"/>
    <xf numFmtId="166" fontId="11" fillId="0" borderId="51" xfId="3" applyNumberFormat="1"/>
    <xf numFmtId="0" fontId="11" fillId="0" borderId="71" xfId="3" applyBorder="1"/>
    <xf numFmtId="166" fontId="39" fillId="12" borderId="69" xfId="3" applyNumberFormat="1" applyFont="1" applyFill="1" applyBorder="1"/>
    <xf numFmtId="1" fontId="39" fillId="12" borderId="57" xfId="3" applyNumberFormat="1" applyFont="1" applyFill="1" applyBorder="1"/>
    <xf numFmtId="165" fontId="0" fillId="0" borderId="0" xfId="0" applyNumberFormat="1"/>
    <xf numFmtId="0" fontId="23" fillId="0" borderId="55" xfId="0" applyFont="1" applyBorder="1"/>
    <xf numFmtId="0" fontId="23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3" borderId="55" xfId="0" applyFont="1" applyFill="1" applyBorder="1" applyAlignment="1">
      <alignment horizontal="center"/>
    </xf>
    <xf numFmtId="0" fontId="23" fillId="0" borderId="65" xfId="0" applyFont="1" applyBorder="1"/>
    <xf numFmtId="0" fontId="23" fillId="0" borderId="47" xfId="0" applyFont="1" applyBorder="1" applyAlignment="1">
      <alignment horizontal="center"/>
    </xf>
    <xf numFmtId="0" fontId="21" fillId="3" borderId="47" xfId="0" applyFont="1" applyFill="1" applyBorder="1" applyAlignment="1">
      <alignment horizontal="center"/>
    </xf>
    <xf numFmtId="165" fontId="23" fillId="4" borderId="66" xfId="0" applyNumberFormat="1" applyFont="1" applyFill="1" applyBorder="1" applyAlignment="1">
      <alignment horizontal="center"/>
    </xf>
    <xf numFmtId="0" fontId="21" fillId="0" borderId="47" xfId="0" applyFont="1" applyBorder="1" applyAlignment="1">
      <alignment horizontal="center"/>
    </xf>
    <xf numFmtId="2" fontId="21" fillId="4" borderId="72" xfId="0" applyNumberFormat="1" applyFont="1" applyFill="1" applyBorder="1"/>
    <xf numFmtId="2" fontId="42" fillId="0" borderId="0" xfId="0" applyNumberFormat="1" applyFont="1"/>
    <xf numFmtId="1" fontId="11" fillId="0" borderId="59" xfId="3" applyNumberFormat="1" applyBorder="1"/>
    <xf numFmtId="2" fontId="23" fillId="0" borderId="4" xfId="0" applyNumberFormat="1" applyFont="1" applyBorder="1"/>
    <xf numFmtId="2" fontId="23" fillId="0" borderId="52" xfId="0" applyNumberFormat="1" applyFont="1" applyBorder="1"/>
    <xf numFmtId="2" fontId="23" fillId="0" borderId="54" xfId="0" applyNumberFormat="1" applyFont="1" applyBorder="1"/>
    <xf numFmtId="2" fontId="23" fillId="0" borderId="57" xfId="0" applyNumberFormat="1" applyFont="1" applyBorder="1"/>
    <xf numFmtId="2" fontId="21" fillId="0" borderId="55" xfId="0" applyNumberFormat="1" applyFont="1" applyBorder="1"/>
    <xf numFmtId="167" fontId="0" fillId="0" borderId="55" xfId="0" applyNumberFormat="1" applyBorder="1"/>
    <xf numFmtId="1" fontId="11" fillId="0" borderId="57" xfId="3" applyNumberFormat="1" applyBorder="1"/>
    <xf numFmtId="0" fontId="11" fillId="0" borderId="55" xfId="3" applyBorder="1" applyAlignment="1">
      <alignment horizontal="center"/>
    </xf>
    <xf numFmtId="166" fontId="11" fillId="0" borderId="55" xfId="3" applyNumberFormat="1" applyBorder="1" applyAlignment="1">
      <alignment horizontal="center"/>
    </xf>
    <xf numFmtId="166" fontId="39" fillId="12" borderId="57" xfId="3" applyNumberFormat="1" applyFont="1" applyFill="1" applyBorder="1" applyAlignment="1">
      <alignment horizontal="center"/>
    </xf>
    <xf numFmtId="166" fontId="39" fillId="12" borderId="58" xfId="3" applyNumberFormat="1" applyFont="1" applyFill="1" applyBorder="1" applyAlignment="1">
      <alignment horizontal="center"/>
    </xf>
    <xf numFmtId="49" fontId="47" fillId="14" borderId="55" xfId="0" applyNumberFormat="1" applyFont="1" applyFill="1" applyBorder="1" applyAlignment="1">
      <alignment horizontal="left" vertical="top" wrapText="1"/>
    </xf>
    <xf numFmtId="0" fontId="48" fillId="14" borderId="55" xfId="0" applyFont="1" applyFill="1" applyBorder="1" applyAlignment="1">
      <alignment horizontal="left"/>
    </xf>
    <xf numFmtId="0" fontId="21" fillId="0" borderId="27" xfId="0" applyFont="1" applyBorder="1" applyAlignment="1">
      <alignment horizontal="center"/>
    </xf>
    <xf numFmtId="0" fontId="26" fillId="0" borderId="28" xfId="0" applyFont="1" applyBorder="1"/>
    <xf numFmtId="2" fontId="39" fillId="0" borderId="53" xfId="0" applyNumberFormat="1" applyFont="1" applyBorder="1" applyAlignment="1">
      <alignment horizontal="center"/>
    </xf>
    <xf numFmtId="0" fontId="38" fillId="10" borderId="47" xfId="0" applyFont="1" applyFill="1" applyBorder="1" applyAlignment="1">
      <alignment horizontal="center"/>
    </xf>
    <xf numFmtId="0" fontId="39" fillId="0" borderId="11" xfId="0" applyFont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0" fontId="10" fillId="0" borderId="55" xfId="3" applyFont="1" applyBorder="1"/>
    <xf numFmtId="0" fontId="10" fillId="14" borderId="55" xfId="3" applyFont="1" applyFill="1" applyBorder="1"/>
    <xf numFmtId="1" fontId="10" fillId="0" borderId="55" xfId="3" applyNumberFormat="1" applyFont="1" applyBorder="1"/>
    <xf numFmtId="166" fontId="10" fillId="0" borderId="55" xfId="3" applyNumberFormat="1" applyFont="1" applyBorder="1"/>
    <xf numFmtId="168" fontId="10" fillId="0" borderId="55" xfId="3" applyNumberFormat="1" applyFont="1" applyBorder="1"/>
    <xf numFmtId="1" fontId="10" fillId="0" borderId="51" xfId="3" applyNumberFormat="1" applyFont="1"/>
    <xf numFmtId="2" fontId="10" fillId="0" borderId="51" xfId="3" applyNumberFormat="1" applyFont="1"/>
    <xf numFmtId="0" fontId="10" fillId="0" borderId="51" xfId="3" applyFont="1"/>
    <xf numFmtId="166" fontId="51" fillId="0" borderId="0" xfId="0" applyNumberFormat="1" applyFont="1" applyAlignment="1">
      <alignment horizontal="right" vertical="top"/>
    </xf>
    <xf numFmtId="166" fontId="46" fillId="0" borderId="0" xfId="0" applyNumberFormat="1" applyFont="1" applyAlignment="1">
      <alignment horizontal="right" vertical="top"/>
    </xf>
    <xf numFmtId="49" fontId="46" fillId="0" borderId="55" xfId="0" applyNumberFormat="1" applyFont="1" applyBorder="1" applyAlignment="1">
      <alignment vertical="top"/>
    </xf>
    <xf numFmtId="167" fontId="46" fillId="0" borderId="55" xfId="0" applyNumberFormat="1" applyFont="1" applyBorder="1" applyAlignment="1">
      <alignment horizontal="right" vertical="top"/>
    </xf>
    <xf numFmtId="0" fontId="39" fillId="0" borderId="67" xfId="0" applyFont="1" applyBorder="1" applyAlignment="1">
      <alignment horizontal="center"/>
    </xf>
    <xf numFmtId="0" fontId="26" fillId="0" borderId="32" xfId="0" applyFont="1" applyBorder="1"/>
    <xf numFmtId="0" fontId="26" fillId="0" borderId="55" xfId="0" applyFont="1" applyBorder="1"/>
    <xf numFmtId="0" fontId="12" fillId="0" borderId="55" xfId="0" applyFont="1" applyBorder="1"/>
    <xf numFmtId="0" fontId="9" fillId="0" borderId="55" xfId="0" applyFont="1" applyBorder="1" applyAlignment="1">
      <alignment horizontal="center"/>
    </xf>
    <xf numFmtId="0" fontId="33" fillId="9" borderId="0" xfId="0" applyFont="1" applyFill="1" applyAlignment="1">
      <alignment horizontal="center"/>
    </xf>
    <xf numFmtId="0" fontId="0" fillId="9" borderId="51" xfId="0" applyFill="1" applyBorder="1"/>
    <xf numFmtId="166" fontId="43" fillId="9" borderId="55" xfId="0" applyNumberFormat="1" applyFont="1" applyFill="1" applyBorder="1" applyAlignment="1">
      <alignment horizontal="right" vertical="top"/>
    </xf>
    <xf numFmtId="0" fontId="0" fillId="9" borderId="55" xfId="0" applyFill="1" applyBorder="1"/>
    <xf numFmtId="0" fontId="34" fillId="9" borderId="0" xfId="0" applyFont="1" applyFill="1"/>
    <xf numFmtId="0" fontId="34" fillId="9" borderId="0" xfId="0" applyFont="1" applyFill="1" applyAlignment="1">
      <alignment horizontal="center"/>
    </xf>
    <xf numFmtId="2" fontId="8" fillId="0" borderId="51" xfId="3" applyNumberFormat="1" applyFont="1"/>
    <xf numFmtId="0" fontId="7" fillId="0" borderId="55" xfId="3" applyFont="1" applyBorder="1"/>
    <xf numFmtId="2" fontId="11" fillId="0" borderId="55" xfId="3" applyNumberFormat="1" applyBorder="1"/>
    <xf numFmtId="2" fontId="7" fillId="0" borderId="51" xfId="3" applyNumberFormat="1" applyFont="1"/>
    <xf numFmtId="2" fontId="7" fillId="0" borderId="61" xfId="3" applyNumberFormat="1" applyFont="1" applyBorder="1"/>
    <xf numFmtId="166" fontId="7" fillId="0" borderId="51" xfId="3" applyNumberFormat="1" applyFont="1"/>
    <xf numFmtId="0" fontId="0" fillId="0" borderId="51" xfId="0" applyBorder="1" applyAlignment="1">
      <alignment horizontal="left" indent="1"/>
    </xf>
    <xf numFmtId="168" fontId="0" fillId="0" borderId="51" xfId="0" applyNumberFormat="1" applyBorder="1"/>
    <xf numFmtId="0" fontId="19" fillId="0" borderId="6" xfId="0" applyFont="1" applyBorder="1"/>
    <xf numFmtId="0" fontId="28" fillId="0" borderId="4" xfId="0" applyFont="1" applyBorder="1" applyAlignment="1">
      <alignment horizontal="center"/>
    </xf>
    <xf numFmtId="0" fontId="21" fillId="0" borderId="55" xfId="0" applyFont="1" applyBorder="1" applyAlignment="1">
      <alignment horizontal="left"/>
    </xf>
    <xf numFmtId="2" fontId="21" fillId="4" borderId="55" xfId="0" applyNumberFormat="1" applyFont="1" applyFill="1" applyBorder="1"/>
    <xf numFmtId="49" fontId="23" fillId="0" borderId="55" xfId="0" quotePrefix="1" applyNumberFormat="1" applyFont="1" applyBorder="1" applyAlignment="1">
      <alignment horizontal="left"/>
    </xf>
    <xf numFmtId="0" fontId="23" fillId="0" borderId="55" xfId="0" applyFont="1" applyBorder="1" applyAlignment="1">
      <alignment horizontal="left"/>
    </xf>
    <xf numFmtId="2" fontId="23" fillId="0" borderId="55" xfId="0" applyNumberFormat="1" applyFont="1" applyBorder="1" applyAlignment="1">
      <alignment horizontal="center"/>
    </xf>
    <xf numFmtId="1" fontId="11" fillId="9" borderId="55" xfId="3" applyNumberFormat="1" applyFill="1" applyBorder="1"/>
    <xf numFmtId="0" fontId="6" fillId="0" borderId="55" xfId="3" applyFont="1" applyBorder="1"/>
    <xf numFmtId="0" fontId="5" fillId="0" borderId="51" xfId="3" applyFont="1"/>
    <xf numFmtId="0" fontId="5" fillId="0" borderId="55" xfId="3" applyFont="1" applyBorder="1"/>
    <xf numFmtId="0" fontId="4" fillId="0" borderId="55" xfId="3" applyFont="1" applyBorder="1"/>
    <xf numFmtId="165" fontId="11" fillId="0" borderId="59" xfId="3" applyNumberFormat="1" applyBorder="1"/>
    <xf numFmtId="0" fontId="11" fillId="0" borderId="56" xfId="3" applyBorder="1"/>
    <xf numFmtId="2" fontId="23" fillId="8" borderId="27" xfId="0" applyNumberFormat="1" applyFont="1" applyFill="1" applyBorder="1"/>
    <xf numFmtId="0" fontId="25" fillId="0" borderId="26" xfId="0" applyFont="1" applyBorder="1"/>
    <xf numFmtId="2" fontId="26" fillId="0" borderId="26" xfId="0" applyNumberFormat="1" applyFont="1" applyBorder="1"/>
    <xf numFmtId="2" fontId="21" fillId="0" borderId="15" xfId="0" applyNumberFormat="1" applyFont="1" applyBorder="1"/>
    <xf numFmtId="0" fontId="39" fillId="0" borderId="55" xfId="3" applyFont="1" applyBorder="1" applyAlignment="1">
      <alignment wrapText="1"/>
    </xf>
    <xf numFmtId="1" fontId="0" fillId="0" borderId="55" xfId="0" applyNumberFormat="1" applyBorder="1"/>
    <xf numFmtId="1" fontId="42" fillId="0" borderId="55" xfId="0" applyNumberFormat="1" applyFont="1" applyBorder="1" applyAlignment="1">
      <alignment horizontal="center"/>
    </xf>
    <xf numFmtId="166" fontId="11" fillId="0" borderId="57" xfId="3" applyNumberFormat="1" applyBorder="1" applyAlignment="1">
      <alignment horizontal="center"/>
    </xf>
    <xf numFmtId="166" fontId="11" fillId="0" borderId="58" xfId="3" applyNumberFormat="1" applyBorder="1" applyAlignment="1">
      <alignment horizontal="center"/>
    </xf>
    <xf numFmtId="0" fontId="3" fillId="0" borderId="55" xfId="3" applyFont="1" applyBorder="1"/>
    <xf numFmtId="1" fontId="0" fillId="0" borderId="58" xfId="0" applyNumberFormat="1" applyBorder="1"/>
    <xf numFmtId="0" fontId="6" fillId="0" borderId="67" xfId="3" applyFont="1" applyBorder="1"/>
    <xf numFmtId="0" fontId="11" fillId="0" borderId="67" xfId="3" applyBorder="1"/>
    <xf numFmtId="1" fontId="11" fillId="0" borderId="67" xfId="3" applyNumberFormat="1" applyBorder="1"/>
    <xf numFmtId="0" fontId="6" fillId="0" borderId="59" xfId="3" applyFont="1" applyBorder="1"/>
    <xf numFmtId="0" fontId="3" fillId="0" borderId="59" xfId="3" applyFont="1" applyBorder="1"/>
    <xf numFmtId="0" fontId="20" fillId="0" borderId="4" xfId="0" applyFont="1" applyBorder="1" applyAlignment="1">
      <alignment horizontal="center"/>
    </xf>
    <xf numFmtId="0" fontId="52" fillId="0" borderId="51" xfId="0" applyFont="1" applyBorder="1"/>
    <xf numFmtId="168" fontId="52" fillId="0" borderId="51" xfId="0" applyNumberFormat="1" applyFont="1" applyBorder="1"/>
    <xf numFmtId="166" fontId="52" fillId="0" borderId="51" xfId="0" applyNumberFormat="1" applyFont="1" applyBorder="1"/>
    <xf numFmtId="0" fontId="52" fillId="0" borderId="55" xfId="0" applyFont="1" applyBorder="1" applyAlignment="1">
      <alignment horizontal="left" indent="1"/>
    </xf>
    <xf numFmtId="168" fontId="52" fillId="0" borderId="55" xfId="0" applyNumberFormat="1" applyFont="1" applyBorder="1"/>
    <xf numFmtId="166" fontId="52" fillId="0" borderId="55" xfId="0" applyNumberFormat="1" applyFont="1" applyBorder="1"/>
    <xf numFmtId="0" fontId="52" fillId="0" borderId="51" xfId="0" applyFont="1" applyBorder="1" applyAlignment="1">
      <alignment horizontal="left"/>
    </xf>
    <xf numFmtId="0" fontId="19" fillId="0" borderId="55" xfId="0" applyFont="1" applyBorder="1"/>
    <xf numFmtId="0" fontId="53" fillId="0" borderId="55" xfId="0" applyFont="1" applyBorder="1"/>
    <xf numFmtId="0" fontId="21" fillId="0" borderId="74" xfId="0" applyFont="1" applyBorder="1" applyAlignment="1">
      <alignment horizontal="center"/>
    </xf>
    <xf numFmtId="0" fontId="21" fillId="3" borderId="27" xfId="0" applyFont="1" applyFill="1" applyBorder="1" applyAlignment="1">
      <alignment horizontal="center"/>
    </xf>
    <xf numFmtId="0" fontId="21" fillId="3" borderId="72" xfId="0" applyFont="1" applyFill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1" fillId="3" borderId="64" xfId="0" applyFont="1" applyFill="1" applyBorder="1" applyAlignment="1">
      <alignment horizontal="center"/>
    </xf>
    <xf numFmtId="2" fontId="23" fillId="0" borderId="75" xfId="0" applyNumberFormat="1" applyFont="1" applyBorder="1"/>
    <xf numFmtId="0" fontId="23" fillId="0" borderId="75" xfId="0" applyFont="1" applyBorder="1"/>
    <xf numFmtId="0" fontId="39" fillId="0" borderId="67" xfId="0" applyFont="1" applyBorder="1"/>
    <xf numFmtId="164" fontId="21" fillId="0" borderId="55" xfId="2" applyFont="1" applyBorder="1"/>
    <xf numFmtId="164" fontId="23" fillId="0" borderId="55" xfId="2" applyFont="1" applyBorder="1"/>
    <xf numFmtId="171" fontId="23" fillId="7" borderId="36" xfId="0" applyNumberFormat="1" applyFont="1" applyFill="1" applyBorder="1"/>
    <xf numFmtId="171" fontId="23" fillId="5" borderId="38" xfId="0" applyNumberFormat="1" applyFont="1" applyFill="1" applyBorder="1"/>
    <xf numFmtId="0" fontId="42" fillId="14" borderId="0" xfId="0" applyFont="1" applyFill="1"/>
    <xf numFmtId="0" fontId="0" fillId="0" borderId="0" xfId="0"/>
    <xf numFmtId="0" fontId="2" fillId="0" borderId="23" xfId="0" applyFont="1" applyBorder="1"/>
    <xf numFmtId="0" fontId="23" fillId="0" borderId="53" xfId="0" applyFont="1" applyBorder="1" applyAlignment="1">
      <alignment horizontal="center"/>
    </xf>
    <xf numFmtId="165" fontId="23" fillId="4" borderId="27" xfId="0" applyNumberFormat="1" applyFont="1" applyFill="1" applyBorder="1" applyAlignment="1">
      <alignment horizontal="center"/>
    </xf>
    <xf numFmtId="0" fontId="23" fillId="0" borderId="77" xfId="0" applyFont="1" applyBorder="1"/>
    <xf numFmtId="0" fontId="0" fillId="0" borderId="55" xfId="0" applyBorder="1" applyAlignment="1">
      <alignment horizontal="left"/>
    </xf>
    <xf numFmtId="0" fontId="39" fillId="0" borderId="0" xfId="0" applyFont="1"/>
    <xf numFmtId="0" fontId="21" fillId="0" borderId="53" xfId="0" applyFont="1" applyBorder="1"/>
    <xf numFmtId="0" fontId="23" fillId="0" borderId="78" xfId="0" applyFont="1" applyBorder="1" applyAlignment="1">
      <alignment horizontal="center"/>
    </xf>
    <xf numFmtId="0" fontId="23" fillId="0" borderId="73" xfId="0" applyFont="1" applyBorder="1"/>
    <xf numFmtId="2" fontId="21" fillId="0" borderId="64" xfId="0" applyNumberFormat="1" applyFont="1" applyBorder="1"/>
    <xf numFmtId="2" fontId="23" fillId="0" borderId="27" xfId="0" applyNumberFormat="1" applyFont="1" applyBorder="1"/>
    <xf numFmtId="0" fontId="21" fillId="0" borderId="79" xfId="0" applyFont="1" applyBorder="1" applyAlignment="1">
      <alignment horizontal="left"/>
    </xf>
    <xf numFmtId="0" fontId="39" fillId="0" borderId="76" xfId="0" applyFont="1" applyBorder="1"/>
    <xf numFmtId="2" fontId="26" fillId="0" borderId="13" xfId="0" applyNumberFormat="1" applyFont="1" applyBorder="1"/>
    <xf numFmtId="167" fontId="39" fillId="0" borderId="55" xfId="0" applyNumberFormat="1" applyFont="1" applyBorder="1" applyAlignment="1">
      <alignment horizontal="center"/>
    </xf>
    <xf numFmtId="0" fontId="0" fillId="0" borderId="0" xfId="0"/>
    <xf numFmtId="16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20" fillId="0" borderId="51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56" fillId="16" borderId="55" xfId="4" applyFont="1" applyFill="1" applyBorder="1" applyAlignment="1">
      <alignment vertical="center"/>
    </xf>
    <xf numFmtId="0" fontId="56" fillId="16" borderId="55" xfId="4" applyFont="1" applyFill="1" applyBorder="1" applyAlignment="1">
      <alignment horizontal="center" vertical="center"/>
    </xf>
    <xf numFmtId="0" fontId="56" fillId="16" borderId="55" xfId="0" applyFont="1" applyFill="1" applyBorder="1" applyAlignment="1">
      <alignment vertical="center"/>
    </xf>
    <xf numFmtId="0" fontId="56" fillId="16" borderId="55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/>
    </xf>
    <xf numFmtId="0" fontId="39" fillId="0" borderId="55" xfId="0" applyFont="1" applyBorder="1" applyAlignment="1">
      <alignment horizontal="left"/>
    </xf>
    <xf numFmtId="0" fontId="0" fillId="0" borderId="0" xfId="0"/>
    <xf numFmtId="0" fontId="19" fillId="0" borderId="5" xfId="0" applyFont="1" applyBorder="1"/>
    <xf numFmtId="0" fontId="39" fillId="0" borderId="55" xfId="0" applyFont="1" applyBorder="1" applyAlignment="1">
      <alignment horizontal="left"/>
    </xf>
    <xf numFmtId="0" fontId="0" fillId="0" borderId="0" xfId="0"/>
    <xf numFmtId="0" fontId="0" fillId="0" borderId="0" xfId="0"/>
    <xf numFmtId="0" fontId="42" fillId="0" borderId="55" xfId="0" applyFont="1" applyBorder="1" applyAlignment="1">
      <alignment horizontal="center"/>
    </xf>
    <xf numFmtId="1" fontId="21" fillId="0" borderId="55" xfId="0" applyNumberFormat="1" applyFont="1" applyBorder="1"/>
    <xf numFmtId="0" fontId="0" fillId="0" borderId="0" xfId="0"/>
    <xf numFmtId="0" fontId="39" fillId="0" borderId="55" xfId="0" applyFont="1" applyBorder="1" applyAlignment="1">
      <alignment horizontal="left"/>
    </xf>
    <xf numFmtId="0" fontId="0" fillId="0" borderId="0" xfId="0"/>
    <xf numFmtId="165" fontId="23" fillId="4" borderId="55" xfId="0" applyNumberFormat="1" applyFont="1" applyFill="1" applyBorder="1" applyAlignment="1">
      <alignment horizontal="center"/>
    </xf>
    <xf numFmtId="0" fontId="25" fillId="0" borderId="55" xfId="0" applyFont="1" applyBorder="1" applyAlignment="1">
      <alignment horizontal="center"/>
    </xf>
    <xf numFmtId="2" fontId="23" fillId="4" borderId="55" xfId="0" applyNumberFormat="1" applyFont="1" applyFill="1" applyBorder="1"/>
    <xf numFmtId="2" fontId="23" fillId="8" borderId="55" xfId="0" applyNumberFormat="1" applyFont="1" applyFill="1" applyBorder="1"/>
    <xf numFmtId="0" fontId="20" fillId="0" borderId="55" xfId="0" applyFont="1" applyBorder="1" applyAlignment="1"/>
    <xf numFmtId="0" fontId="59" fillId="0" borderId="55" xfId="0" applyFont="1" applyBorder="1" applyAlignment="1">
      <alignment horizontal="center"/>
    </xf>
    <xf numFmtId="0" fontId="58" fillId="0" borderId="0" xfId="0" applyFont="1" applyAlignment="1"/>
    <xf numFmtId="0" fontId="0" fillId="0" borderId="0" xfId="0"/>
    <xf numFmtId="0" fontId="0" fillId="0" borderId="0" xfId="0"/>
    <xf numFmtId="0" fontId="60" fillId="0" borderId="0" xfId="0" applyFont="1"/>
    <xf numFmtId="0" fontId="61" fillId="0" borderId="0" xfId="0" applyFont="1"/>
    <xf numFmtId="0" fontId="62" fillId="0" borderId="0" xfId="0" applyFont="1"/>
    <xf numFmtId="0" fontId="39" fillId="0" borderId="55" xfId="0" applyFont="1" applyBorder="1" applyAlignment="1">
      <alignment horizontal="left"/>
    </xf>
    <xf numFmtId="0" fontId="63" fillId="0" borderId="0" xfId="0" applyFont="1"/>
    <xf numFmtId="0" fontId="63" fillId="0" borderId="0" xfId="0" quotePrefix="1" applyFont="1"/>
    <xf numFmtId="168" fontId="39" fillId="0" borderId="57" xfId="0" applyNumberFormat="1" applyFont="1" applyBorder="1" applyAlignment="1">
      <alignment horizontal="center"/>
    </xf>
    <xf numFmtId="0" fontId="39" fillId="0" borderId="5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49" fontId="46" fillId="0" borderId="55" xfId="0" applyNumberFormat="1" applyFont="1" applyBorder="1" applyAlignment="1">
      <alignment horizontal="center" vertical="top" wrapText="1"/>
    </xf>
    <xf numFmtId="0" fontId="21" fillId="0" borderId="25" xfId="0" applyFont="1" applyBorder="1" applyAlignment="1">
      <alignment horizontal="center" vertical="center" wrapText="1"/>
    </xf>
    <xf numFmtId="0" fontId="19" fillId="0" borderId="25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33" fillId="0" borderId="28" xfId="0" applyFont="1" applyBorder="1" applyAlignment="1">
      <alignment horizontal="center"/>
    </xf>
    <xf numFmtId="0" fontId="19" fillId="0" borderId="23" xfId="0" applyFont="1" applyBorder="1"/>
    <xf numFmtId="0" fontId="26" fillId="0" borderId="60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39" fillId="0" borderId="55" xfId="1" applyFont="1" applyBorder="1"/>
    <xf numFmtId="0" fontId="40" fillId="0" borderId="16" xfId="1" applyFont="1" applyBorder="1" applyAlignment="1">
      <alignment horizontal="left"/>
    </xf>
    <xf numFmtId="0" fontId="40" fillId="0" borderId="73" xfId="1" applyFont="1" applyBorder="1" applyAlignment="1">
      <alignment horizontal="left"/>
    </xf>
    <xf numFmtId="2" fontId="23" fillId="10" borderId="54" xfId="0" applyNumberFormat="1" applyFont="1" applyFill="1" applyBorder="1" applyAlignment="1">
      <alignment horizontal="center"/>
    </xf>
    <xf numFmtId="2" fontId="23" fillId="10" borderId="41" xfId="0" applyNumberFormat="1" applyFont="1" applyFill="1" applyBorder="1" applyAlignment="1">
      <alignment horizontal="center"/>
    </xf>
    <xf numFmtId="0" fontId="39" fillId="9" borderId="60" xfId="0" applyFont="1" applyFill="1" applyBorder="1" applyAlignment="1">
      <alignment horizontal="left"/>
    </xf>
    <xf numFmtId="0" fontId="39" fillId="9" borderId="53" xfId="0" applyFont="1" applyFill="1" applyBorder="1" applyAlignment="1">
      <alignment horizontal="left"/>
    </xf>
    <xf numFmtId="49" fontId="46" fillId="0" borderId="55" xfId="0" applyNumberFormat="1" applyFont="1" applyBorder="1" applyAlignment="1">
      <alignment horizontal="left" vertical="top" wrapText="1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39" fillId="0" borderId="57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9" fillId="0" borderId="2" xfId="0" applyFont="1" applyBorder="1"/>
    <xf numFmtId="0" fontId="19" fillId="0" borderId="3" xfId="0" applyFont="1" applyBorder="1"/>
    <xf numFmtId="0" fontId="23" fillId="0" borderId="0" xfId="0" applyFont="1" applyAlignment="1">
      <alignment horizontal="center"/>
    </xf>
    <xf numFmtId="0" fontId="0" fillId="0" borderId="0" xfId="0"/>
    <xf numFmtId="0" fontId="20" fillId="0" borderId="28" xfId="0" applyFont="1" applyBorder="1" applyAlignment="1">
      <alignment horizontal="center"/>
    </xf>
    <xf numFmtId="0" fontId="19" fillId="0" borderId="29" xfId="0" applyFont="1" applyBorder="1"/>
    <xf numFmtId="0" fontId="32" fillId="0" borderId="28" xfId="0" applyFont="1" applyBorder="1" applyAlignment="1">
      <alignment horizontal="center"/>
    </xf>
    <xf numFmtId="0" fontId="19" fillId="0" borderId="30" xfId="0" applyFont="1" applyBorder="1"/>
    <xf numFmtId="0" fontId="19" fillId="0" borderId="31" xfId="0" applyFont="1" applyBorder="1"/>
    <xf numFmtId="0" fontId="19" fillId="0" borderId="32" xfId="0" applyFont="1" applyBorder="1"/>
    <xf numFmtId="2" fontId="30" fillId="0" borderId="28" xfId="0" applyNumberFormat="1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19" fillId="0" borderId="24" xfId="0" applyFont="1" applyBorder="1"/>
    <xf numFmtId="0" fontId="24" fillId="0" borderId="28" xfId="0" applyFont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19" fillId="0" borderId="5" xfId="0" applyFont="1" applyBorder="1"/>
    <xf numFmtId="0" fontId="21" fillId="3" borderId="49" xfId="0" applyFont="1" applyFill="1" applyBorder="1" applyAlignment="1">
      <alignment horizontal="center"/>
    </xf>
    <xf numFmtId="0" fontId="19" fillId="0" borderId="50" xfId="0" applyFont="1" applyBorder="1"/>
    <xf numFmtId="0" fontId="19" fillId="0" borderId="16" xfId="0" applyFont="1" applyBorder="1"/>
    <xf numFmtId="0" fontId="19" fillId="0" borderId="26" xfId="0" applyFont="1" applyBorder="1"/>
    <xf numFmtId="0" fontId="40" fillId="0" borderId="55" xfId="1" applyFont="1" applyBorder="1" applyAlignment="1">
      <alignment horizontal="left"/>
    </xf>
    <xf numFmtId="0" fontId="39" fillId="0" borderId="55" xfId="0" applyFont="1" applyBorder="1" applyAlignment="1">
      <alignment horizontal="left"/>
    </xf>
    <xf numFmtId="0" fontId="39" fillId="0" borderId="67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0" fillId="0" borderId="5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5" fillId="0" borderId="70" xfId="0" applyFont="1" applyBorder="1" applyAlignment="1">
      <alignment horizontal="center"/>
    </xf>
    <xf numFmtId="0" fontId="55" fillId="0" borderId="56" xfId="0" applyFont="1" applyBorder="1" applyAlignment="1">
      <alignment horizontal="center"/>
    </xf>
    <xf numFmtId="0" fontId="55" fillId="0" borderId="80" xfId="0" applyFont="1" applyBorder="1" applyAlignment="1">
      <alignment horizontal="center"/>
    </xf>
    <xf numFmtId="0" fontId="55" fillId="0" borderId="51" xfId="0" applyFont="1" applyBorder="1" applyAlignment="1">
      <alignment horizontal="center"/>
    </xf>
    <xf numFmtId="0" fontId="50" fillId="0" borderId="70" xfId="3" applyFont="1" applyBorder="1" applyAlignment="1">
      <alignment horizontal="center"/>
    </xf>
    <xf numFmtId="0" fontId="50" fillId="0" borderId="56" xfId="3" applyFont="1" applyBorder="1" applyAlignment="1">
      <alignment horizontal="center"/>
    </xf>
    <xf numFmtId="0" fontId="39" fillId="9" borderId="57" xfId="3" applyFont="1" applyFill="1" applyBorder="1" applyAlignment="1">
      <alignment horizontal="center"/>
    </xf>
    <xf numFmtId="0" fontId="39" fillId="9" borderId="69" xfId="3" applyFont="1" applyFill="1" applyBorder="1" applyAlignment="1">
      <alignment horizontal="center"/>
    </xf>
    <xf numFmtId="0" fontId="39" fillId="9" borderId="58" xfId="3" applyFont="1" applyFill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58" xfId="0" applyFont="1" applyBorder="1" applyAlignment="1">
      <alignment horizontal="center"/>
    </xf>
    <xf numFmtId="0" fontId="42" fillId="0" borderId="55" xfId="0" applyFont="1" applyBorder="1" applyAlignment="1">
      <alignment horizontal="center"/>
    </xf>
    <xf numFmtId="0" fontId="42" fillId="0" borderId="56" xfId="0" applyFont="1" applyBorder="1" applyAlignment="1">
      <alignment horizontal="center"/>
    </xf>
    <xf numFmtId="0" fontId="57" fillId="0" borderId="57" xfId="0" applyFont="1" applyBorder="1" applyAlignment="1">
      <alignment horizontal="center"/>
    </xf>
    <xf numFmtId="0" fontId="57" fillId="0" borderId="58" xfId="0" applyFont="1" applyBorder="1" applyAlignment="1">
      <alignment horizontal="center"/>
    </xf>
    <xf numFmtId="17" fontId="0" fillId="0" borderId="55" xfId="0" applyNumberFormat="1" applyBorder="1" applyAlignment="1">
      <alignment horizontal="center"/>
    </xf>
    <xf numFmtId="0" fontId="0" fillId="0" borderId="55" xfId="0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20" fillId="0" borderId="69" xfId="0" applyFont="1" applyBorder="1" applyAlignment="1">
      <alignment horizontal="center"/>
    </xf>
    <xf numFmtId="0" fontId="20" fillId="0" borderId="58" xfId="0" applyFont="1" applyBorder="1" applyAlignment="1">
      <alignment horizontal="center"/>
    </xf>
  </cellXfs>
  <cellStyles count="5">
    <cellStyle name="Bad" xfId="4" builtinId="27"/>
    <cellStyle name="Comma" xfId="2" builtinId="3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932-480A-8C1F-9042F8E80B4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932-480A-8C1F-9042F8E80B4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932-480A-8C1F-9042F8E80B4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B932-480A-8C1F-9042F8E80B4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B932-480A-8C1F-9042F8E80B4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B932-480A-8C1F-9042F8E80B4E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B932-480A-8C1F-9042F8E80B4E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B932-480A-8C1F-9042F8E80B4E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B932-480A-8C1F-9042F8E80B4E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B932-480A-8C1F-9042F8E80B4E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B932-480A-8C1F-9042F8E80B4E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B932-480A-8C1F-9042F8E80B4E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B932-480A-8C1F-9042F8E80B4E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B932-480A-8C1F-9042F8E80B4E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B932-480A-8C1F-9042F8E80B4E}"/>
              </c:ext>
            </c:extLst>
          </c:dPt>
          <c:cat>
            <c:strRef>
              <c:f>'REPORT DATA SHEET'!$A$4:$A$18</c:f>
              <c:strCache>
                <c:ptCount val="15"/>
                <c:pt idx="0">
                  <c:v>MAIDA BAKERY</c:v>
                </c:pt>
                <c:pt idx="1">
                  <c:v>MAIDA 30</c:v>
                </c:pt>
                <c:pt idx="2">
                  <c:v>MAIDA LEMINATION  50 KG</c:v>
                </c:pt>
                <c:pt idx="3">
                  <c:v>REFINED WHEAT FLOUR (MAIDA) 50KG</c:v>
                </c:pt>
                <c:pt idx="4">
                  <c:v>SOOJI50</c:v>
                </c:pt>
                <c:pt idx="5">
                  <c:v>SOOJI30</c:v>
                </c:pt>
                <c:pt idx="6">
                  <c:v>RAWA 50</c:v>
                </c:pt>
                <c:pt idx="7">
                  <c:v>RAWA 30</c:v>
                </c:pt>
                <c:pt idx="8">
                  <c:v>TM50</c:v>
                </c:pt>
                <c:pt idx="9">
                  <c:v>CA50</c:v>
                </c:pt>
                <c:pt idx="10">
                  <c:v>CA30</c:v>
                </c:pt>
                <c:pt idx="11">
                  <c:v>FINE BRAN 40 KG</c:v>
                </c:pt>
                <c:pt idx="12">
                  <c:v>COURS BRAN</c:v>
                </c:pt>
                <c:pt idx="13">
                  <c:v>FINE BRAN</c:v>
                </c:pt>
                <c:pt idx="14">
                  <c:v>DELUX BRAN </c:v>
                </c:pt>
              </c:strCache>
            </c:strRef>
          </c:cat>
          <c:val>
            <c:numRef>
              <c:f>'REPORT DATA SHEET'!$B$4:$B$18</c:f>
              <c:numCache>
                <c:formatCode>General</c:formatCode>
                <c:ptCount val="15"/>
                <c:pt idx="0">
                  <c:v>2045</c:v>
                </c:pt>
                <c:pt idx="1">
                  <c:v>507</c:v>
                </c:pt>
                <c:pt idx="2">
                  <c:v>291</c:v>
                </c:pt>
                <c:pt idx="3">
                  <c:v>0</c:v>
                </c:pt>
                <c:pt idx="4">
                  <c:v>503</c:v>
                </c:pt>
                <c:pt idx="5">
                  <c:v>238</c:v>
                </c:pt>
                <c:pt idx="6">
                  <c:v>534</c:v>
                </c:pt>
                <c:pt idx="7">
                  <c:v>97</c:v>
                </c:pt>
                <c:pt idx="8">
                  <c:v>182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2007</c:v>
                </c:pt>
                <c:pt idx="14">
                  <c:v>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932-480A-8C1F-9042F8E8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cat>
            <c:strRef>
              <c:f>'REPORT DATA SHEET'!$A$59:$A$62</c:f>
              <c:strCache>
                <c:ptCount val="4"/>
                <c:pt idx="0">
                  <c:v>FINISH STOCK CL </c:v>
                </c:pt>
                <c:pt idx="1">
                  <c:v>SALES  TODAY </c:v>
                </c:pt>
                <c:pt idx="2">
                  <c:v>PRODUCTION TODAY </c:v>
                </c:pt>
                <c:pt idx="3">
                  <c:v>SOUDA </c:v>
                </c:pt>
              </c:strCache>
            </c:strRef>
          </c:cat>
          <c:val>
            <c:numRef>
              <c:f>'REPORT DATA SHEET'!$B$59:$B$62</c:f>
              <c:numCache>
                <c:formatCode>General</c:formatCode>
                <c:ptCount val="4"/>
                <c:pt idx="0">
                  <c:v>6049.77</c:v>
                </c:pt>
                <c:pt idx="1">
                  <c:v>939.45</c:v>
                </c:pt>
                <c:pt idx="2">
                  <c:v>719.35</c:v>
                </c:pt>
                <c:pt idx="3">
                  <c:v>11940.4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AF3-9A19-7215AB55B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57</xdr:row>
      <xdr:rowOff>19050</xdr:rowOff>
    </xdr:from>
    <xdr:ext cx="2638425" cy="1638300"/>
    <xdr:graphicFrame macro="">
      <xdr:nvGraphicFramePr>
        <xdr:cNvPr id="86228949" name="Chart 1">
          <a:extLst>
            <a:ext uri="{FF2B5EF4-FFF2-40B4-BE49-F238E27FC236}">
              <a16:creationId xmlns:a16="http://schemas.microsoft.com/office/drawing/2014/main" id="{00000000-0008-0000-0000-0000D5BF2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4</xdr:col>
      <xdr:colOff>47624</xdr:colOff>
      <xdr:row>66</xdr:row>
      <xdr:rowOff>19048</xdr:rowOff>
    </xdr:from>
    <xdr:to>
      <xdr:col>6</xdr:col>
      <xdr:colOff>800100</xdr:colOff>
      <xdr:row>73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85727</xdr:colOff>
      <xdr:row>18</xdr:row>
      <xdr:rowOff>66671</xdr:rowOff>
    </xdr:from>
    <xdr:to>
      <xdr:col>9</xdr:col>
      <xdr:colOff>76203</xdr:colOff>
      <xdr:row>35</xdr:row>
      <xdr:rowOff>104774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185863" y="2395535"/>
          <a:ext cx="3276603" cy="5476876"/>
        </a:xfrm>
        <a:prstGeom prst="rect">
          <a:avLst/>
        </a:prstGeom>
      </xdr:spPr>
    </xdr:pic>
    <xdr:clientData/>
  </xdr:twoCellAnchor>
  <xdr:twoCellAnchor editAs="oneCell">
    <xdr:from>
      <xdr:col>0</xdr:col>
      <xdr:colOff>66489</xdr:colOff>
      <xdr:row>0</xdr:row>
      <xdr:rowOff>1</xdr:rowOff>
    </xdr:from>
    <xdr:to>
      <xdr:col>9</xdr:col>
      <xdr:colOff>95250</xdr:colOff>
      <xdr:row>17</xdr:row>
      <xdr:rowOff>190317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09662" y="-1043172"/>
          <a:ext cx="3428816" cy="55151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9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eat Purchase Register"/>
      <sheetName val="Sheet3"/>
      <sheetName val="ISL Sales Register"/>
      <sheetName val="Sheet2"/>
      <sheetName val="Sheet1"/>
    </sheetNames>
    <sheetDataSet>
      <sheetData sheetId="0"/>
      <sheetData sheetId="1">
        <row r="4">
          <cell r="A4" t="str">
            <v>Bran Fine 49 KG</v>
          </cell>
          <cell r="B4">
            <v>2735</v>
          </cell>
          <cell r="C4">
            <v>2110135</v>
          </cell>
        </row>
        <row r="5">
          <cell r="A5" t="str">
            <v>Bran ROUGH 39 KG-Non Branded</v>
          </cell>
          <cell r="B5">
            <v>15</v>
          </cell>
          <cell r="C5">
            <v>12750</v>
          </cell>
        </row>
        <row r="6">
          <cell r="A6" t="str">
            <v>DELUX BRAN 49KG</v>
          </cell>
          <cell r="B6">
            <v>2564</v>
          </cell>
          <cell r="C6">
            <v>2643860</v>
          </cell>
        </row>
        <row r="7">
          <cell r="A7" t="str">
            <v>MAIDA 30KG</v>
          </cell>
          <cell r="B7">
            <v>737</v>
          </cell>
          <cell r="C7">
            <v>724278</v>
          </cell>
        </row>
        <row r="8">
          <cell r="A8" t="str">
            <v>MAIDA PREMIUM 50 KG</v>
          </cell>
          <cell r="B8">
            <v>6129</v>
          </cell>
          <cell r="C8">
            <v>10096950</v>
          </cell>
        </row>
        <row r="9">
          <cell r="A9" t="str">
            <v>Rawa 30 Kg</v>
          </cell>
          <cell r="B9">
            <v>218</v>
          </cell>
          <cell r="C9">
            <v>228540</v>
          </cell>
        </row>
        <row r="10">
          <cell r="A10" t="str">
            <v>Rawa 50 kg</v>
          </cell>
          <cell r="B10">
            <v>1159</v>
          </cell>
          <cell r="C10">
            <v>1996152</v>
          </cell>
        </row>
        <row r="11">
          <cell r="A11" t="str">
            <v>REFINED WHEAT FLOUR (MAIDA) 50KG</v>
          </cell>
          <cell r="B11">
            <v>3505</v>
          </cell>
          <cell r="C11">
            <v>5347750</v>
          </cell>
        </row>
        <row r="12">
          <cell r="A12" t="str">
            <v>Sooji 30 Kgs</v>
          </cell>
          <cell r="B12">
            <v>463</v>
          </cell>
          <cell r="C12">
            <v>484048</v>
          </cell>
        </row>
        <row r="13">
          <cell r="A13" t="str">
            <v>SOOJI 50 KG</v>
          </cell>
          <cell r="B13">
            <v>525</v>
          </cell>
          <cell r="C13">
            <v>913020</v>
          </cell>
        </row>
        <row r="14">
          <cell r="A14" t="str">
            <v>TANDORI MAIDA 50 KG</v>
          </cell>
          <cell r="B14">
            <v>678</v>
          </cell>
          <cell r="C14">
            <v>1189660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6"/>
  <sheetViews>
    <sheetView topLeftCell="A13" zoomScaleNormal="100" workbookViewId="0">
      <selection activeCell="D81" sqref="D81:D87"/>
    </sheetView>
  </sheetViews>
  <sheetFormatPr defaultColWidth="14.42578125" defaultRowHeight="15" customHeight="1" x14ac:dyDescent="0.25"/>
  <cols>
    <col min="1" max="1" width="22.7109375" customWidth="1"/>
    <col min="2" max="2" width="13.42578125" bestFit="1" customWidth="1"/>
    <col min="3" max="3" width="6.140625" hidden="1" customWidth="1"/>
    <col min="4" max="4" width="13" customWidth="1"/>
    <col min="5" max="5" width="8.7109375" customWidth="1"/>
    <col min="6" max="6" width="19.140625" customWidth="1"/>
    <col min="7" max="7" width="14.5703125" customWidth="1"/>
    <col min="8" max="8" width="0.140625" customWidth="1"/>
    <col min="9" max="9" width="15.85546875" customWidth="1"/>
    <col min="10" max="10" width="10.140625" customWidth="1"/>
    <col min="11" max="11" width="33.7109375" customWidth="1"/>
    <col min="12" max="12" width="29" customWidth="1"/>
    <col min="13" max="13" width="16.85546875" bestFit="1" customWidth="1"/>
    <col min="14" max="14" width="0.140625" customWidth="1"/>
    <col min="15" max="15" width="17.42578125" bestFit="1" customWidth="1"/>
    <col min="16" max="16" width="13.140625" bestFit="1" customWidth="1"/>
    <col min="17" max="17" width="13.28515625" bestFit="1" customWidth="1"/>
    <col min="18" max="18" width="33.140625" bestFit="1" customWidth="1"/>
  </cols>
  <sheetData>
    <row r="1" spans="1:24" ht="22.5" thickTop="1" thickBot="1" x14ac:dyDescent="0.4">
      <c r="A1" s="446" t="s">
        <v>317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8"/>
    </row>
    <row r="2" spans="1:24" ht="24" thickTop="1" x14ac:dyDescent="0.35">
      <c r="A2" s="442" t="s">
        <v>0</v>
      </c>
      <c r="B2" s="443"/>
      <c r="C2" s="443"/>
      <c r="D2" s="443"/>
      <c r="E2" s="444"/>
      <c r="F2" s="442" t="s">
        <v>1</v>
      </c>
      <c r="G2" s="443"/>
      <c r="H2" s="443"/>
      <c r="I2" s="470"/>
      <c r="J2" s="1"/>
      <c r="K2" s="148"/>
      <c r="L2" s="423" t="s">
        <v>2</v>
      </c>
      <c r="M2" s="424"/>
      <c r="N2" s="424"/>
      <c r="O2" s="424"/>
      <c r="P2" s="425"/>
      <c r="Q2" s="149"/>
    </row>
    <row r="3" spans="1:24" x14ac:dyDescent="0.25">
      <c r="A3" s="2" t="s">
        <v>3</v>
      </c>
      <c r="B3" s="3" t="s">
        <v>4</v>
      </c>
      <c r="C3" s="4"/>
      <c r="D3" s="5" t="s">
        <v>5</v>
      </c>
      <c r="E3" s="6" t="s">
        <v>6</v>
      </c>
      <c r="F3" s="369" t="s">
        <v>3</v>
      </c>
      <c r="G3" s="3" t="s">
        <v>4</v>
      </c>
      <c r="H3" s="5"/>
      <c r="I3" s="5" t="s">
        <v>5</v>
      </c>
      <c r="J3" s="147" t="s">
        <v>7</v>
      </c>
      <c r="K3" s="149" t="s">
        <v>8</v>
      </c>
      <c r="L3" s="374" t="s">
        <v>3</v>
      </c>
      <c r="M3" s="3" t="s">
        <v>4</v>
      </c>
      <c r="N3" s="5"/>
      <c r="O3" s="5" t="s">
        <v>5</v>
      </c>
      <c r="P3" s="133" t="s">
        <v>7</v>
      </c>
      <c r="Q3" s="149" t="s">
        <v>8</v>
      </c>
      <c r="R3" s="135"/>
      <c r="T3" s="137"/>
    </row>
    <row r="4" spans="1:24" x14ac:dyDescent="0.25">
      <c r="A4" s="9" t="s">
        <v>248</v>
      </c>
      <c r="B4" s="10">
        <v>2045</v>
      </c>
      <c r="C4" s="4">
        <v>50</v>
      </c>
      <c r="D4" s="11">
        <f t="shared" ref="D4:D17" si="0">+B4*C4/100</f>
        <v>1022.5</v>
      </c>
      <c r="E4" s="368">
        <f t="shared" ref="E4:E18" si="1">(D4*100)/$D$22</f>
        <v>16.90146898146541</v>
      </c>
      <c r="F4" s="314" t="s">
        <v>10</v>
      </c>
      <c r="G4" s="367">
        <v>1420</v>
      </c>
      <c r="H4" s="13">
        <v>50</v>
      </c>
      <c r="I4" s="11">
        <f t="shared" ref="I4:I15" si="2">+G4*H4/100</f>
        <v>710</v>
      </c>
      <c r="J4" s="131">
        <f>(I4*100)/$I$22</f>
        <v>75.576134972590339</v>
      </c>
      <c r="K4" s="132">
        <v>2014900</v>
      </c>
      <c r="L4" s="314" t="s">
        <v>10</v>
      </c>
      <c r="M4" s="372">
        <v>16875</v>
      </c>
      <c r="N4" s="13">
        <v>50</v>
      </c>
      <c r="O4" s="11">
        <f>+M4*N4/100</f>
        <v>8437.5</v>
      </c>
      <c r="P4" s="176">
        <f>+O4/$O$22*100</f>
        <v>70.663461860574188</v>
      </c>
      <c r="Q4" s="14">
        <v>24041550</v>
      </c>
      <c r="R4" s="135"/>
      <c r="T4" s="137"/>
    </row>
    <row r="5" spans="1:24" x14ac:dyDescent="0.25">
      <c r="A5" s="9" t="s">
        <v>11</v>
      </c>
      <c r="B5" s="10">
        <v>507</v>
      </c>
      <c r="C5" s="4">
        <v>30</v>
      </c>
      <c r="D5" s="11">
        <f>+B5*C5/100</f>
        <v>152.1</v>
      </c>
      <c r="E5" s="368">
        <f t="shared" si="1"/>
        <v>2.5141451658492802</v>
      </c>
      <c r="F5" s="132" t="s">
        <v>12</v>
      </c>
      <c r="G5" s="367">
        <v>0</v>
      </c>
      <c r="H5" s="13">
        <v>30</v>
      </c>
      <c r="I5" s="11">
        <f t="shared" si="2"/>
        <v>0</v>
      </c>
      <c r="J5" s="131">
        <f>(I5*100)/$I$22</f>
        <v>0</v>
      </c>
      <c r="K5" s="132"/>
      <c r="L5" s="314" t="s">
        <v>12</v>
      </c>
      <c r="M5" s="372">
        <v>150</v>
      </c>
      <c r="N5" s="13">
        <v>30</v>
      </c>
      <c r="O5" s="11">
        <f t="shared" ref="O5:O18" si="3">+M5*N5/100</f>
        <v>45</v>
      </c>
      <c r="P5" s="176">
        <f>+O5/$O$22*100</f>
        <v>0.37687179658972902</v>
      </c>
      <c r="Q5" s="14">
        <v>132480</v>
      </c>
      <c r="R5" s="135"/>
      <c r="S5" s="137"/>
      <c r="T5" s="137"/>
    </row>
    <row r="6" spans="1:24" x14ac:dyDescent="0.25">
      <c r="A6" s="395" t="s">
        <v>269</v>
      </c>
      <c r="B6" s="10">
        <v>291</v>
      </c>
      <c r="C6" s="4"/>
      <c r="D6" s="11">
        <f>+B6*0.5</f>
        <v>145.5</v>
      </c>
      <c r="E6" s="368">
        <f t="shared" si="1"/>
        <v>2.4050501093429997</v>
      </c>
      <c r="F6" s="370" t="s">
        <v>269</v>
      </c>
      <c r="G6" s="367">
        <v>0</v>
      </c>
      <c r="H6" s="13"/>
      <c r="I6" s="11">
        <f>+G6*0.5</f>
        <v>0</v>
      </c>
      <c r="J6" s="131">
        <f>(I6*100)/$I$22</f>
        <v>0</v>
      </c>
      <c r="K6" s="132"/>
      <c r="L6" s="370" t="s">
        <v>269</v>
      </c>
      <c r="M6" s="372">
        <v>616</v>
      </c>
      <c r="N6" s="13">
        <v>50</v>
      </c>
      <c r="O6" s="11">
        <f>+M6*N6/100</f>
        <v>308</v>
      </c>
      <c r="P6" s="176">
        <f>+O6/$O$22*100</f>
        <v>2.5794780744363677</v>
      </c>
      <c r="Q6" s="14">
        <v>862400</v>
      </c>
      <c r="R6" s="135"/>
      <c r="S6" s="137"/>
      <c r="T6" s="137"/>
      <c r="V6">
        <f>+S6*U6/100</f>
        <v>0</v>
      </c>
      <c r="W6" t="s">
        <v>170</v>
      </c>
      <c r="X6">
        <v>300</v>
      </c>
    </row>
    <row r="7" spans="1:24" x14ac:dyDescent="0.25">
      <c r="A7" s="121" t="s">
        <v>14</v>
      </c>
      <c r="B7" s="10">
        <v>0</v>
      </c>
      <c r="C7" s="4">
        <v>50</v>
      </c>
      <c r="D7" s="11">
        <f t="shared" si="0"/>
        <v>0</v>
      </c>
      <c r="E7" s="368">
        <f t="shared" si="1"/>
        <v>0</v>
      </c>
      <c r="F7" s="132" t="s">
        <v>14</v>
      </c>
      <c r="G7" s="367">
        <v>0</v>
      </c>
      <c r="H7" s="13">
        <v>50</v>
      </c>
      <c r="I7" s="11">
        <f t="shared" si="2"/>
        <v>0</v>
      </c>
      <c r="J7" s="131">
        <f t="shared" ref="J7:J19" si="4">(I7*100)/$I$22</f>
        <v>0</v>
      </c>
      <c r="K7" s="132"/>
      <c r="L7" s="314" t="s">
        <v>14</v>
      </c>
      <c r="M7" s="372">
        <v>4000</v>
      </c>
      <c r="N7" s="13">
        <v>50</v>
      </c>
      <c r="O7" s="11">
        <f t="shared" si="3"/>
        <v>2000</v>
      </c>
      <c r="P7" s="176">
        <f t="shared" ref="P7:P19" si="5">+O7/$O$22*100</f>
        <v>16.749857626210176</v>
      </c>
      <c r="Q7" s="14">
        <v>560000</v>
      </c>
      <c r="R7" s="135"/>
      <c r="S7" s="137"/>
      <c r="T7" s="137"/>
      <c r="V7">
        <f t="shared" ref="V7:V15" si="6">+S7*U7/100</f>
        <v>0</v>
      </c>
      <c r="W7" t="s">
        <v>29</v>
      </c>
      <c r="X7">
        <v>715</v>
      </c>
    </row>
    <row r="8" spans="1:24" x14ac:dyDescent="0.25">
      <c r="A8" s="9" t="s">
        <v>15</v>
      </c>
      <c r="B8" s="10">
        <v>503</v>
      </c>
      <c r="C8" s="4">
        <v>50</v>
      </c>
      <c r="D8" s="11">
        <f>+B8*C8/100</f>
        <v>251.5</v>
      </c>
      <c r="E8" s="368">
        <f t="shared" si="1"/>
        <v>4.1571828350499276</v>
      </c>
      <c r="F8" s="132" t="s">
        <v>165</v>
      </c>
      <c r="G8" s="367">
        <v>65</v>
      </c>
      <c r="H8" s="13">
        <v>50</v>
      </c>
      <c r="I8" s="11">
        <f t="shared" si="2"/>
        <v>32.5</v>
      </c>
      <c r="J8" s="131">
        <f t="shared" si="4"/>
        <v>3.4594709670551915</v>
      </c>
      <c r="K8" s="132">
        <v>102650</v>
      </c>
      <c r="L8" s="370" t="s">
        <v>165</v>
      </c>
      <c r="M8" s="372">
        <v>795</v>
      </c>
      <c r="N8" s="13">
        <v>50</v>
      </c>
      <c r="O8" s="11">
        <f t="shared" si="3"/>
        <v>397.5</v>
      </c>
      <c r="P8" s="176">
        <f t="shared" si="5"/>
        <v>3.3290342032092726</v>
      </c>
      <c r="Q8" s="14">
        <v>1242850</v>
      </c>
      <c r="R8" s="135"/>
      <c r="S8" s="137"/>
      <c r="T8" s="137"/>
      <c r="V8">
        <f t="shared" si="6"/>
        <v>0</v>
      </c>
      <c r="W8" t="s">
        <v>164</v>
      </c>
      <c r="X8">
        <v>162</v>
      </c>
    </row>
    <row r="9" spans="1:24" x14ac:dyDescent="0.25">
      <c r="A9" s="9" t="s">
        <v>16</v>
      </c>
      <c r="B9" s="10">
        <v>238</v>
      </c>
      <c r="C9" s="4">
        <v>30</v>
      </c>
      <c r="D9" s="11">
        <f t="shared" si="0"/>
        <v>71.400000000000006</v>
      </c>
      <c r="E9" s="368">
        <f t="shared" si="1"/>
        <v>1.1802101567497607</v>
      </c>
      <c r="F9" s="314" t="s">
        <v>17</v>
      </c>
      <c r="G9" s="367">
        <v>100</v>
      </c>
      <c r="H9" s="13">
        <v>30</v>
      </c>
      <c r="I9" s="11">
        <f t="shared" si="2"/>
        <v>30</v>
      </c>
      <c r="J9" s="131">
        <f t="shared" si="4"/>
        <v>3.1933578157432541</v>
      </c>
      <c r="K9" s="132">
        <v>94800</v>
      </c>
      <c r="L9" s="370" t="s">
        <v>17</v>
      </c>
      <c r="M9" s="372">
        <v>260</v>
      </c>
      <c r="N9" s="13">
        <v>30</v>
      </c>
      <c r="O9" s="11">
        <f t="shared" si="3"/>
        <v>78</v>
      </c>
      <c r="P9" s="176">
        <f t="shared" si="5"/>
        <v>0.65324444742219689</v>
      </c>
      <c r="Q9" s="14">
        <v>241800</v>
      </c>
      <c r="R9" s="135"/>
      <c r="S9" s="137"/>
      <c r="T9" s="137"/>
      <c r="V9">
        <f t="shared" si="6"/>
        <v>0</v>
      </c>
      <c r="W9" t="s">
        <v>31</v>
      </c>
      <c r="X9">
        <v>4675</v>
      </c>
    </row>
    <row r="10" spans="1:24" x14ac:dyDescent="0.25">
      <c r="A10" s="9" t="s">
        <v>18</v>
      </c>
      <c r="B10" s="10">
        <v>534</v>
      </c>
      <c r="C10" s="4">
        <v>50</v>
      </c>
      <c r="D10" s="11">
        <f t="shared" si="0"/>
        <v>267</v>
      </c>
      <c r="E10" s="368">
        <f t="shared" si="1"/>
        <v>4.4133909222995253</v>
      </c>
      <c r="F10" s="132" t="s">
        <v>19</v>
      </c>
      <c r="G10" s="367">
        <v>35</v>
      </c>
      <c r="H10" s="13">
        <v>50</v>
      </c>
      <c r="I10" s="11">
        <f t="shared" si="2"/>
        <v>17.5</v>
      </c>
      <c r="J10" s="131">
        <f t="shared" si="4"/>
        <v>1.8627920591835647</v>
      </c>
      <c r="K10" s="132">
        <v>53900</v>
      </c>
      <c r="L10" s="314" t="s">
        <v>19</v>
      </c>
      <c r="M10" s="372">
        <v>555</v>
      </c>
      <c r="N10" s="13">
        <v>50</v>
      </c>
      <c r="O10" s="11">
        <f t="shared" si="3"/>
        <v>277.5</v>
      </c>
      <c r="P10" s="176">
        <f t="shared" si="5"/>
        <v>2.3240427456366621</v>
      </c>
      <c r="Q10" s="14">
        <v>868925</v>
      </c>
      <c r="R10" s="135">
        <v>0</v>
      </c>
      <c r="S10" s="137"/>
      <c r="T10" s="137"/>
      <c r="V10">
        <f t="shared" si="6"/>
        <v>0</v>
      </c>
      <c r="W10" t="s">
        <v>12</v>
      </c>
      <c r="X10">
        <v>450</v>
      </c>
    </row>
    <row r="11" spans="1:24" x14ac:dyDescent="0.25">
      <c r="A11" s="9" t="s">
        <v>20</v>
      </c>
      <c r="B11" s="10">
        <v>97</v>
      </c>
      <c r="C11" s="4">
        <v>30</v>
      </c>
      <c r="D11" s="11">
        <f t="shared" si="0"/>
        <v>29.1</v>
      </c>
      <c r="E11" s="368">
        <f t="shared" si="1"/>
        <v>0.48101002186859992</v>
      </c>
      <c r="F11" s="314" t="s">
        <v>21</v>
      </c>
      <c r="G11" s="367">
        <v>0</v>
      </c>
      <c r="H11" s="13">
        <v>30</v>
      </c>
      <c r="I11" s="11">
        <f t="shared" si="2"/>
        <v>0</v>
      </c>
      <c r="J11" s="131">
        <f t="shared" si="4"/>
        <v>0</v>
      </c>
      <c r="K11" s="132">
        <v>0</v>
      </c>
      <c r="L11" s="314" t="s">
        <v>21</v>
      </c>
      <c r="M11" s="372"/>
      <c r="N11" s="13">
        <v>30</v>
      </c>
      <c r="O11" s="11">
        <f t="shared" si="3"/>
        <v>0</v>
      </c>
      <c r="P11" s="176">
        <f t="shared" si="5"/>
        <v>0</v>
      </c>
      <c r="Q11" s="14">
        <v>0</v>
      </c>
      <c r="R11" s="135"/>
      <c r="S11" s="137"/>
      <c r="T11" s="137"/>
      <c r="V11">
        <f t="shared" si="6"/>
        <v>0</v>
      </c>
      <c r="W11" t="s">
        <v>10</v>
      </c>
      <c r="X11">
        <v>10255</v>
      </c>
    </row>
    <row r="12" spans="1:24" x14ac:dyDescent="0.25">
      <c r="A12" s="9" t="s">
        <v>22</v>
      </c>
      <c r="B12" s="10">
        <v>182</v>
      </c>
      <c r="C12" s="4">
        <v>50</v>
      </c>
      <c r="D12" s="11">
        <f t="shared" si="0"/>
        <v>91</v>
      </c>
      <c r="E12" s="368">
        <f t="shared" si="1"/>
        <v>1.5041894154653812</v>
      </c>
      <c r="F12" s="314" t="s">
        <v>23</v>
      </c>
      <c r="G12" s="367">
        <v>0</v>
      </c>
      <c r="H12" s="13">
        <v>50</v>
      </c>
      <c r="I12" s="11">
        <f t="shared" si="2"/>
        <v>0</v>
      </c>
      <c r="J12" s="131">
        <f t="shared" si="4"/>
        <v>0</v>
      </c>
      <c r="K12" s="132"/>
      <c r="L12" s="314" t="s">
        <v>23</v>
      </c>
      <c r="M12" s="372"/>
      <c r="N12" s="13">
        <v>50</v>
      </c>
      <c r="O12" s="11">
        <f t="shared" si="3"/>
        <v>0</v>
      </c>
      <c r="P12" s="176">
        <f t="shared" si="5"/>
        <v>0</v>
      </c>
      <c r="Q12" s="14">
        <v>143100</v>
      </c>
      <c r="R12" s="135">
        <v>0</v>
      </c>
      <c r="S12" s="137"/>
      <c r="V12">
        <f t="shared" si="6"/>
        <v>0</v>
      </c>
      <c r="W12" t="s">
        <v>171</v>
      </c>
      <c r="X12">
        <v>11.85</v>
      </c>
    </row>
    <row r="13" spans="1:24" x14ac:dyDescent="0.25">
      <c r="A13" s="9" t="s">
        <v>24</v>
      </c>
      <c r="B13" s="10">
        <v>0</v>
      </c>
      <c r="C13" s="4">
        <v>50</v>
      </c>
      <c r="D13" s="11">
        <f t="shared" si="0"/>
        <v>0</v>
      </c>
      <c r="E13" s="368">
        <f t="shared" si="1"/>
        <v>0</v>
      </c>
      <c r="F13" s="250" t="s">
        <v>24</v>
      </c>
      <c r="G13" s="367">
        <v>0</v>
      </c>
      <c r="H13" s="13">
        <v>50</v>
      </c>
      <c r="I13" s="11">
        <f t="shared" si="2"/>
        <v>0</v>
      </c>
      <c r="J13" s="131">
        <f t="shared" si="4"/>
        <v>0</v>
      </c>
      <c r="K13" s="132"/>
      <c r="L13" s="149" t="s">
        <v>24</v>
      </c>
      <c r="M13" s="372"/>
      <c r="N13" s="13">
        <v>50</v>
      </c>
      <c r="O13" s="11">
        <f>+M13*N13/100</f>
        <v>0</v>
      </c>
      <c r="P13" s="176">
        <f t="shared" ref="P13" si="7">+O13/$O$22*100</f>
        <v>0</v>
      </c>
      <c r="Q13" s="14">
        <v>0</v>
      </c>
      <c r="R13" s="135"/>
      <c r="S13" s="137"/>
      <c r="T13" s="137"/>
      <c r="V13">
        <f t="shared" si="6"/>
        <v>0</v>
      </c>
      <c r="W13" t="s">
        <v>21</v>
      </c>
      <c r="X13">
        <v>1113</v>
      </c>
    </row>
    <row r="14" spans="1:24" x14ac:dyDescent="0.25">
      <c r="A14" s="9" t="s">
        <v>25</v>
      </c>
      <c r="B14" s="10">
        <v>0</v>
      </c>
      <c r="C14" s="4">
        <v>30</v>
      </c>
      <c r="D14" s="11">
        <f t="shared" si="0"/>
        <v>0</v>
      </c>
      <c r="E14" s="368">
        <f t="shared" si="1"/>
        <v>0</v>
      </c>
      <c r="F14" s="250" t="s">
        <v>25</v>
      </c>
      <c r="G14" s="367">
        <v>0</v>
      </c>
      <c r="H14" s="13">
        <v>30</v>
      </c>
      <c r="I14" s="11">
        <f t="shared" si="2"/>
        <v>0</v>
      </c>
      <c r="J14" s="131">
        <f t="shared" si="4"/>
        <v>0</v>
      </c>
      <c r="K14" s="132"/>
      <c r="L14" s="149" t="s">
        <v>25</v>
      </c>
      <c r="M14" s="372"/>
      <c r="N14" s="13">
        <v>50</v>
      </c>
      <c r="O14" s="11">
        <f t="shared" si="3"/>
        <v>0</v>
      </c>
      <c r="P14" s="176">
        <f t="shared" si="5"/>
        <v>0</v>
      </c>
      <c r="Q14" s="14">
        <v>0</v>
      </c>
      <c r="R14" s="135"/>
      <c r="S14" s="137"/>
      <c r="V14">
        <f t="shared" si="6"/>
        <v>0</v>
      </c>
      <c r="W14" t="s">
        <v>19</v>
      </c>
      <c r="X14">
        <v>410</v>
      </c>
    </row>
    <row r="15" spans="1:24" x14ac:dyDescent="0.25">
      <c r="A15" s="9" t="s">
        <v>257</v>
      </c>
      <c r="B15" s="10">
        <v>0</v>
      </c>
      <c r="C15" s="4">
        <v>40</v>
      </c>
      <c r="D15" s="11">
        <f t="shared" si="0"/>
        <v>0</v>
      </c>
      <c r="E15" s="368">
        <f t="shared" si="1"/>
        <v>0</v>
      </c>
      <c r="F15" s="9" t="s">
        <v>257</v>
      </c>
      <c r="G15" s="367">
        <v>0</v>
      </c>
      <c r="H15" s="13">
        <v>40</v>
      </c>
      <c r="I15" s="11">
        <f t="shared" si="2"/>
        <v>0</v>
      </c>
      <c r="J15" s="131">
        <f t="shared" si="4"/>
        <v>0</v>
      </c>
      <c r="K15" s="132"/>
      <c r="L15" s="314"/>
      <c r="M15" s="372"/>
      <c r="N15" s="13">
        <v>50</v>
      </c>
      <c r="O15" s="11">
        <f t="shared" si="3"/>
        <v>0</v>
      </c>
      <c r="P15" s="176">
        <f t="shared" si="5"/>
        <v>0</v>
      </c>
      <c r="Q15" s="14">
        <v>0</v>
      </c>
      <c r="V15">
        <f t="shared" si="6"/>
        <v>0</v>
      </c>
      <c r="W15" t="s">
        <v>17</v>
      </c>
      <c r="X15">
        <v>684</v>
      </c>
    </row>
    <row r="16" spans="1:24" x14ac:dyDescent="0.25">
      <c r="A16" s="9" t="s">
        <v>129</v>
      </c>
      <c r="B16" s="10">
        <v>6</v>
      </c>
      <c r="C16" s="15">
        <v>39</v>
      </c>
      <c r="D16" s="11">
        <f>+B16*C16/100</f>
        <v>2.34</v>
      </c>
      <c r="E16" s="12">
        <f t="shared" si="1"/>
        <v>3.8679156397681234E-2</v>
      </c>
      <c r="F16" s="371" t="s">
        <v>164</v>
      </c>
      <c r="G16" s="10">
        <v>0</v>
      </c>
      <c r="H16" s="13">
        <v>39</v>
      </c>
      <c r="I16" s="11">
        <f>+G16*0.39</f>
        <v>0</v>
      </c>
      <c r="J16" s="131">
        <f t="shared" si="4"/>
        <v>0</v>
      </c>
      <c r="K16" s="132"/>
      <c r="L16" s="132" t="s">
        <v>164</v>
      </c>
      <c r="M16" s="372"/>
      <c r="N16" s="13">
        <v>39</v>
      </c>
      <c r="O16" s="11">
        <f t="shared" si="3"/>
        <v>0</v>
      </c>
      <c r="P16" s="176">
        <f>+O16/$O$22*100</f>
        <v>0</v>
      </c>
      <c r="Q16" s="14">
        <v>0</v>
      </c>
      <c r="T16" s="137"/>
      <c r="V16">
        <f>SUM(V6:V15)</f>
        <v>0</v>
      </c>
      <c r="W16" t="s">
        <v>165</v>
      </c>
      <c r="X16">
        <v>1089</v>
      </c>
    </row>
    <row r="17" spans="1:24" x14ac:dyDescent="0.25">
      <c r="A17" s="9" t="s">
        <v>28</v>
      </c>
      <c r="B17" s="10">
        <v>2007</v>
      </c>
      <c r="C17" s="4">
        <v>49</v>
      </c>
      <c r="D17" s="11">
        <f t="shared" si="0"/>
        <v>983.43</v>
      </c>
      <c r="E17" s="12">
        <f t="shared" si="1"/>
        <v>16.255659306056263</v>
      </c>
      <c r="F17" s="101" t="s">
        <v>29</v>
      </c>
      <c r="G17" s="10">
        <v>0</v>
      </c>
      <c r="H17" s="13">
        <v>49</v>
      </c>
      <c r="I17" s="11">
        <f>+G17*H17/100</f>
        <v>0</v>
      </c>
      <c r="J17" s="131">
        <f t="shared" si="4"/>
        <v>0</v>
      </c>
      <c r="K17" s="132"/>
      <c r="L17" s="314" t="s">
        <v>29</v>
      </c>
      <c r="M17" s="372">
        <v>810</v>
      </c>
      <c r="N17" s="13">
        <v>49</v>
      </c>
      <c r="O17" s="11">
        <f t="shared" si="3"/>
        <v>396.9</v>
      </c>
      <c r="P17" s="176">
        <f t="shared" si="5"/>
        <v>3.3240092459214097</v>
      </c>
      <c r="Q17" s="14">
        <v>825000</v>
      </c>
      <c r="W17" t="s">
        <v>23</v>
      </c>
      <c r="X17">
        <v>279</v>
      </c>
    </row>
    <row r="18" spans="1:24" x14ac:dyDescent="0.25">
      <c r="A18" s="9" t="s">
        <v>30</v>
      </c>
      <c r="B18" s="10">
        <v>6110</v>
      </c>
      <c r="C18" s="4">
        <v>49</v>
      </c>
      <c r="D18" s="11">
        <f>+B18*C18/100</f>
        <v>2993.9</v>
      </c>
      <c r="E18" s="12">
        <f t="shared" si="1"/>
        <v>49.487831768811041</v>
      </c>
      <c r="F18" s="102" t="s">
        <v>31</v>
      </c>
      <c r="G18" s="10">
        <v>305</v>
      </c>
      <c r="H18" s="13">
        <v>49</v>
      </c>
      <c r="I18" s="11">
        <f>+G18*H18/100</f>
        <v>149.44999999999999</v>
      </c>
      <c r="J18" s="131">
        <f t="shared" si="4"/>
        <v>15.908244185427641</v>
      </c>
      <c r="K18" s="132">
        <v>347700</v>
      </c>
      <c r="L18" s="314" t="s">
        <v>31</v>
      </c>
      <c r="M18" s="372"/>
      <c r="N18" s="13">
        <v>49</v>
      </c>
      <c r="O18" s="11">
        <f t="shared" si="3"/>
        <v>0</v>
      </c>
      <c r="P18" s="176">
        <f t="shared" si="5"/>
        <v>0</v>
      </c>
      <c r="Q18" s="14">
        <v>0</v>
      </c>
      <c r="T18" s="118"/>
    </row>
    <row r="19" spans="1:24" x14ac:dyDescent="0.25">
      <c r="A19" s="9" t="s">
        <v>279</v>
      </c>
      <c r="B19" s="10">
        <v>80</v>
      </c>
      <c r="C19" s="4">
        <v>50</v>
      </c>
      <c r="D19" s="11">
        <f>+B19*C19/100</f>
        <v>40</v>
      </c>
      <c r="E19" s="12">
        <f>(D19*100)/$D$22</f>
        <v>0.66118216064412361</v>
      </c>
      <c r="F19" s="9" t="s">
        <v>279</v>
      </c>
      <c r="G19" s="10">
        <v>0</v>
      </c>
      <c r="H19" s="4">
        <v>50</v>
      </c>
      <c r="I19" s="11">
        <f>+G19*H19/100</f>
        <v>0</v>
      </c>
      <c r="J19" s="131">
        <f t="shared" si="4"/>
        <v>0</v>
      </c>
      <c r="K19" s="132"/>
      <c r="L19" s="132" t="s">
        <v>259</v>
      </c>
      <c r="M19" s="372"/>
      <c r="N19" s="13">
        <v>40</v>
      </c>
      <c r="O19" s="13">
        <f>+M19*0.4</f>
        <v>0</v>
      </c>
      <c r="P19" s="176">
        <f t="shared" si="5"/>
        <v>0</v>
      </c>
      <c r="Q19" s="14">
        <v>0</v>
      </c>
      <c r="T19" s="118"/>
    </row>
    <row r="20" spans="1:24" x14ac:dyDescent="0.25">
      <c r="A20" s="254"/>
      <c r="B20" s="255"/>
      <c r="C20" s="4"/>
      <c r="D20" s="256"/>
      <c r="E20" s="257"/>
      <c r="F20" s="254"/>
      <c r="G20" s="10"/>
      <c r="H20" s="258"/>
      <c r="I20" s="256"/>
      <c r="J20" s="259"/>
      <c r="K20" s="132"/>
      <c r="L20" s="132"/>
      <c r="M20" s="372">
        <v>0</v>
      </c>
      <c r="N20" s="258"/>
      <c r="O20" s="258"/>
      <c r="P20" s="176"/>
      <c r="Q20" s="179"/>
      <c r="T20" s="118"/>
    </row>
    <row r="21" spans="1:24" x14ac:dyDescent="0.25">
      <c r="A21" s="254"/>
      <c r="B21" s="255"/>
      <c r="C21" s="4"/>
      <c r="D21" s="256"/>
      <c r="E21" s="257"/>
      <c r="F21" s="254"/>
      <c r="G21" s="10"/>
      <c r="H21" s="258"/>
      <c r="I21" s="256"/>
      <c r="J21" s="259"/>
      <c r="K21" s="150"/>
      <c r="L21" s="250"/>
      <c r="M21" s="372">
        <v>0</v>
      </c>
      <c r="N21" s="258"/>
      <c r="O21" s="258"/>
      <c r="P21" s="176"/>
      <c r="Q21" s="179">
        <v>0</v>
      </c>
    </row>
    <row r="22" spans="1:24" ht="15.75" thickBot="1" x14ac:dyDescent="0.3">
      <c r="A22" s="18" t="s">
        <v>32</v>
      </c>
      <c r="B22" s="19">
        <f>SUM(B4:B19)</f>
        <v>12600</v>
      </c>
      <c r="C22" s="20"/>
      <c r="D22" s="21">
        <f>SUM(D4:D19)</f>
        <v>6049.77</v>
      </c>
      <c r="E22" s="21">
        <f>SUM(E4:E19)</f>
        <v>99.999999999999986</v>
      </c>
      <c r="F22" s="18" t="s">
        <v>32</v>
      </c>
      <c r="G22" s="19">
        <f>SUM(G4:G19)</f>
        <v>1925</v>
      </c>
      <c r="H22" s="19"/>
      <c r="I22" s="103">
        <f>SUM(I4:I19)</f>
        <v>939.45</v>
      </c>
      <c r="J22" s="375">
        <f>SUM(J3:J19)</f>
        <v>100</v>
      </c>
      <c r="K22" s="266">
        <f>SUM(K4:K19)</f>
        <v>2613950</v>
      </c>
      <c r="L22" s="149" t="s">
        <v>32</v>
      </c>
      <c r="M22" s="373">
        <f>+M21+M20+M19+M18+M17+M16+M15+M14+M13+M12+M11+M10+M9+M8+M7+M6+M5+M4</f>
        <v>24061</v>
      </c>
      <c r="N22" s="19">
        <f>SUM(N4:N21)</f>
        <v>717</v>
      </c>
      <c r="O22" s="19">
        <f>SUM(O4:O19)</f>
        <v>11940.4</v>
      </c>
      <c r="P22" s="326">
        <f>SUM(P4:P19)</f>
        <v>100</v>
      </c>
      <c r="Q22" s="121">
        <f>SUM(Q4:Q19)</f>
        <v>28918105</v>
      </c>
    </row>
    <row r="23" spans="1:24" ht="15.75" customHeight="1" thickTop="1" x14ac:dyDescent="0.25">
      <c r="A23" s="23"/>
      <c r="I23" s="24" t="s">
        <v>33</v>
      </c>
      <c r="J23" s="242">
        <f>+K22/I22</f>
        <v>2782.4258874873594</v>
      </c>
      <c r="L23" s="118"/>
      <c r="M23" s="168" t="s">
        <v>187</v>
      </c>
      <c r="O23" s="197">
        <f>+Q22/O22</f>
        <v>2421.8707078489833</v>
      </c>
      <c r="R23">
        <v>11911</v>
      </c>
      <c r="S23">
        <f>+M22-R23</f>
        <v>12150</v>
      </c>
    </row>
    <row r="24" spans="1:24" ht="26.25" customHeight="1" thickBot="1" x14ac:dyDescent="0.3">
      <c r="K24" s="449"/>
      <c r="L24" s="450"/>
      <c r="M24" s="450"/>
      <c r="N24" s="450"/>
      <c r="O24" s="450"/>
      <c r="P24" s="450"/>
    </row>
    <row r="25" spans="1:24" ht="24" thickTop="1" x14ac:dyDescent="0.35">
      <c r="A25" s="25" t="s">
        <v>34</v>
      </c>
      <c r="B25" s="26"/>
      <c r="C25" s="26"/>
      <c r="D25" s="27"/>
      <c r="E25" s="366" t="s">
        <v>242</v>
      </c>
      <c r="F25" s="313" t="s">
        <v>243</v>
      </c>
      <c r="G25" s="162"/>
      <c r="H25" s="162"/>
      <c r="I25" s="312"/>
      <c r="J25" s="1"/>
      <c r="K25" s="451" t="s">
        <v>35</v>
      </c>
      <c r="L25" s="452"/>
      <c r="M25" s="452"/>
      <c r="N25" s="452"/>
      <c r="O25" s="452"/>
      <c r="P25" s="452"/>
      <c r="Q25" s="431"/>
    </row>
    <row r="26" spans="1:24" ht="15.75" customHeight="1" x14ac:dyDescent="0.25">
      <c r="A26" s="16"/>
      <c r="B26" s="14"/>
      <c r="C26" s="14"/>
      <c r="D26" s="14"/>
      <c r="E26" s="427" t="s">
        <v>36</v>
      </c>
      <c r="F26" s="2" t="s">
        <v>3</v>
      </c>
      <c r="G26" s="3" t="s">
        <v>4</v>
      </c>
      <c r="H26" s="5"/>
      <c r="I26" s="5" t="s">
        <v>5</v>
      </c>
      <c r="J26" s="358" t="s">
        <v>7</v>
      </c>
      <c r="K26" s="378" t="s">
        <v>168</v>
      </c>
      <c r="L26" s="359" t="s">
        <v>172</v>
      </c>
      <c r="M26" s="359" t="s">
        <v>173</v>
      </c>
      <c r="N26" s="359" t="s">
        <v>213</v>
      </c>
      <c r="O26" s="359" t="s">
        <v>213</v>
      </c>
      <c r="P26" s="445" t="s">
        <v>32</v>
      </c>
      <c r="Q26" s="422"/>
    </row>
    <row r="27" spans="1:24" ht="15.75" customHeight="1" x14ac:dyDescent="0.25">
      <c r="A27" s="16" t="s">
        <v>37</v>
      </c>
      <c r="B27" s="14">
        <f>I43</f>
        <v>719.35</v>
      </c>
      <c r="C27" s="14"/>
      <c r="D27" s="14" t="s">
        <v>38</v>
      </c>
      <c r="E27" s="428"/>
      <c r="F27" s="9" t="s">
        <v>9</v>
      </c>
      <c r="G27" s="10">
        <v>873</v>
      </c>
      <c r="H27" s="13">
        <v>50</v>
      </c>
      <c r="I27" s="11">
        <f>G27*50/100</f>
        <v>436.5</v>
      </c>
      <c r="J27" s="357">
        <f>I27/I43*100</f>
        <v>60.679780357266978</v>
      </c>
      <c r="K27" s="377" t="s">
        <v>10</v>
      </c>
      <c r="L27" s="132"/>
      <c r="M27" s="132"/>
      <c r="N27" s="132"/>
      <c r="O27" s="199"/>
      <c r="P27" s="421">
        <f>O27+M27+L27</f>
        <v>0</v>
      </c>
      <c r="Q27" s="422"/>
    </row>
    <row r="28" spans="1:24" ht="15.75" customHeight="1" x14ac:dyDescent="0.25">
      <c r="A28" s="16" t="s">
        <v>39</v>
      </c>
      <c r="B28" s="14">
        <v>0</v>
      </c>
      <c r="C28" s="14"/>
      <c r="D28" s="14" t="s">
        <v>38</v>
      </c>
      <c r="E28" s="428"/>
      <c r="F28" s="9" t="s">
        <v>11</v>
      </c>
      <c r="G28" s="10"/>
      <c r="H28" s="13">
        <v>30</v>
      </c>
      <c r="I28" s="11">
        <f>G28*30/100</f>
        <v>0</v>
      </c>
      <c r="J28" s="376">
        <f>I28/I43*100</f>
        <v>0</v>
      </c>
      <c r="K28" s="132" t="s">
        <v>12</v>
      </c>
      <c r="L28" s="132"/>
      <c r="M28" s="132"/>
      <c r="N28" s="132"/>
      <c r="O28" s="199"/>
      <c r="P28" s="421">
        <f t="shared" ref="P28:P41" si="8">O28+M28+L28</f>
        <v>0</v>
      </c>
      <c r="Q28" s="422"/>
    </row>
    <row r="29" spans="1:24" ht="15.75" customHeight="1" x14ac:dyDescent="0.25">
      <c r="A29" s="16" t="s">
        <v>40</v>
      </c>
      <c r="B29" s="14">
        <v>0</v>
      </c>
      <c r="C29" s="14"/>
      <c r="D29" s="14" t="s">
        <v>38</v>
      </c>
      <c r="E29" s="428"/>
      <c r="F29" s="395" t="s">
        <v>269</v>
      </c>
      <c r="G29" s="10">
        <v>0</v>
      </c>
      <c r="H29" s="13">
        <v>50</v>
      </c>
      <c r="I29" s="11">
        <f>G29*50/100</f>
        <v>0</v>
      </c>
      <c r="J29" s="376">
        <f>I29/I43*100</f>
        <v>0</v>
      </c>
      <c r="K29" s="132" t="s">
        <v>14</v>
      </c>
      <c r="L29" s="132"/>
      <c r="M29" s="132"/>
      <c r="N29" s="132"/>
      <c r="O29" s="199"/>
      <c r="P29" s="421">
        <f t="shared" si="8"/>
        <v>0</v>
      </c>
      <c r="Q29" s="422"/>
    </row>
    <row r="30" spans="1:24" ht="15.75" customHeight="1" x14ac:dyDescent="0.25">
      <c r="A30" s="16" t="s">
        <v>41</v>
      </c>
      <c r="B30" s="14">
        <v>0</v>
      </c>
      <c r="C30" s="14"/>
      <c r="D30" s="14" t="s">
        <v>38</v>
      </c>
      <c r="E30" s="428"/>
      <c r="F30" s="121" t="s">
        <v>14</v>
      </c>
      <c r="G30" s="10">
        <v>0</v>
      </c>
      <c r="H30" s="13">
        <v>50</v>
      </c>
      <c r="I30" s="11">
        <f>G30*50/100</f>
        <v>0</v>
      </c>
      <c r="J30" s="376">
        <f>I30/I43*100</f>
        <v>0</v>
      </c>
      <c r="K30" s="370" t="s">
        <v>260</v>
      </c>
      <c r="L30" s="132"/>
      <c r="M30" s="132"/>
      <c r="N30" s="183"/>
      <c r="O30" s="199"/>
      <c r="P30" s="421">
        <f t="shared" si="8"/>
        <v>0</v>
      </c>
      <c r="Q30" s="422"/>
      <c r="S30" s="132">
        <v>0</v>
      </c>
      <c r="T30" s="132">
        <v>0</v>
      </c>
      <c r="U30" s="132"/>
      <c r="V30" s="199" t="e">
        <f>+VLOOKUP(R30,'june 6'!$A$25:$B$32,2,0)</f>
        <v>#N/A</v>
      </c>
      <c r="W30" s="121">
        <v>0</v>
      </c>
      <c r="X30" s="199" t="e">
        <f>+W30+V30+T30+S30</f>
        <v>#N/A</v>
      </c>
    </row>
    <row r="31" spans="1:24" ht="15.75" customHeight="1" x14ac:dyDescent="0.25">
      <c r="A31" s="16" t="s">
        <v>42</v>
      </c>
      <c r="B31" s="14">
        <f>G48</f>
        <v>719.35</v>
      </c>
      <c r="C31" s="14"/>
      <c r="D31" s="14" t="s">
        <v>38</v>
      </c>
      <c r="E31" s="428"/>
      <c r="F31" s="9" t="s">
        <v>15</v>
      </c>
      <c r="G31" s="10">
        <v>61</v>
      </c>
      <c r="H31" s="13">
        <v>50</v>
      </c>
      <c r="I31" s="11">
        <f>G31*50/100</f>
        <v>30.5</v>
      </c>
      <c r="J31" s="376">
        <f>I31/I43*100</f>
        <v>4.2399388336692843</v>
      </c>
      <c r="K31" s="132" t="s">
        <v>165</v>
      </c>
      <c r="L31" s="132"/>
      <c r="M31" s="402"/>
      <c r="N31" s="183"/>
      <c r="O31" s="199"/>
      <c r="P31" s="421">
        <f t="shared" si="8"/>
        <v>0</v>
      </c>
      <c r="Q31" s="422"/>
    </row>
    <row r="32" spans="1:24" ht="15.75" customHeight="1" x14ac:dyDescent="0.25">
      <c r="A32" s="9" t="s">
        <v>43</v>
      </c>
      <c r="B32" s="30">
        <f>B31/28</f>
        <v>25.69107142857143</v>
      </c>
      <c r="C32" s="30"/>
      <c r="D32" s="14" t="s">
        <v>44</v>
      </c>
      <c r="E32" s="429"/>
      <c r="F32" s="9" t="s">
        <v>16</v>
      </c>
      <c r="G32" s="10"/>
      <c r="H32" s="13">
        <v>30</v>
      </c>
      <c r="I32" s="11">
        <f>G32*30/100</f>
        <v>0</v>
      </c>
      <c r="J32" s="376">
        <f>I32/I43*100</f>
        <v>0</v>
      </c>
      <c r="K32" s="314" t="s">
        <v>17</v>
      </c>
      <c r="L32" s="132"/>
      <c r="M32" s="132"/>
      <c r="N32" s="132"/>
      <c r="O32" s="199"/>
      <c r="P32" s="421">
        <f t="shared" si="8"/>
        <v>0</v>
      </c>
      <c r="Q32" s="422"/>
    </row>
    <row r="33" spans="1:19" ht="15.75" customHeight="1" x14ac:dyDescent="0.25">
      <c r="A33" s="9" t="s">
        <v>45</v>
      </c>
      <c r="B33" s="14">
        <v>0</v>
      </c>
      <c r="C33" s="14"/>
      <c r="D33" s="14" t="s">
        <v>44</v>
      </c>
      <c r="E33" s="31">
        <f>B32*30</f>
        <v>770.73214285714289</v>
      </c>
      <c r="F33" s="9" t="s">
        <v>18</v>
      </c>
      <c r="G33" s="10">
        <v>87</v>
      </c>
      <c r="H33" s="13">
        <v>50</v>
      </c>
      <c r="I33" s="11">
        <f>G33*50/100</f>
        <v>43.5</v>
      </c>
      <c r="J33" s="376">
        <f>I33/I43*100</f>
        <v>6.0471258775283241</v>
      </c>
      <c r="K33" s="132" t="s">
        <v>19</v>
      </c>
      <c r="L33" s="132"/>
      <c r="M33" s="132"/>
      <c r="N33" s="132"/>
      <c r="O33" s="199"/>
      <c r="P33" s="421">
        <f t="shared" si="8"/>
        <v>0</v>
      </c>
      <c r="Q33" s="422"/>
    </row>
    <row r="34" spans="1:19" ht="15.75" customHeight="1" x14ac:dyDescent="0.25">
      <c r="A34" s="16" t="s">
        <v>46</v>
      </c>
      <c r="B34" s="117">
        <f>J40</f>
        <v>8.7189824146799175</v>
      </c>
      <c r="C34" s="14"/>
      <c r="D34" s="14"/>
      <c r="E34" s="327"/>
      <c r="F34" s="9" t="s">
        <v>20</v>
      </c>
      <c r="G34" s="10"/>
      <c r="H34" s="13">
        <v>30</v>
      </c>
      <c r="I34" s="11">
        <f>G34*30/100</f>
        <v>0</v>
      </c>
      <c r="J34" s="376">
        <f>I34/I43*100</f>
        <v>0</v>
      </c>
      <c r="K34" s="314" t="s">
        <v>21</v>
      </c>
      <c r="L34" s="132"/>
      <c r="M34" s="132"/>
      <c r="N34" s="132"/>
      <c r="O34" s="199"/>
      <c r="P34" s="421">
        <f t="shared" si="8"/>
        <v>0</v>
      </c>
      <c r="Q34" s="422"/>
    </row>
    <row r="35" spans="1:19" ht="15.75" customHeight="1" x14ac:dyDescent="0.25">
      <c r="A35" s="16" t="s">
        <v>155</v>
      </c>
      <c r="B35" s="117">
        <f>J42</f>
        <v>0</v>
      </c>
      <c r="C35" s="14"/>
      <c r="D35" s="14"/>
      <c r="E35" s="327"/>
      <c r="F35" s="9" t="s">
        <v>22</v>
      </c>
      <c r="G35" s="10">
        <v>11</v>
      </c>
      <c r="H35" s="13">
        <v>50</v>
      </c>
      <c r="I35" s="11">
        <f>G35*50/100</f>
        <v>5.5</v>
      </c>
      <c r="J35" s="376">
        <f>I35/I43*100</f>
        <v>0.76457913394036281</v>
      </c>
      <c r="K35" s="314" t="s">
        <v>23</v>
      </c>
      <c r="L35" s="132"/>
      <c r="M35" s="132"/>
      <c r="N35" s="132"/>
      <c r="O35" s="199"/>
      <c r="P35" s="421">
        <f t="shared" si="8"/>
        <v>0</v>
      </c>
      <c r="Q35" s="422"/>
    </row>
    <row r="36" spans="1:19" ht="15.75" customHeight="1" x14ac:dyDescent="0.25">
      <c r="A36" s="16" t="s">
        <v>47</v>
      </c>
      <c r="B36" s="117">
        <f>J41</f>
        <v>19.54959338291513</v>
      </c>
      <c r="C36" s="14"/>
      <c r="D36" s="14"/>
      <c r="E36" s="327"/>
      <c r="F36" s="9" t="s">
        <v>24</v>
      </c>
      <c r="G36" s="10"/>
      <c r="H36" s="13">
        <v>50</v>
      </c>
      <c r="I36" s="11">
        <f>G36*50/100</f>
        <v>0</v>
      </c>
      <c r="J36" s="376">
        <v>0</v>
      </c>
      <c r="K36" s="250" t="s">
        <v>24</v>
      </c>
      <c r="L36" s="132"/>
      <c r="M36" s="132"/>
      <c r="N36" s="121"/>
      <c r="O36" s="199"/>
      <c r="P36" s="421">
        <f t="shared" si="8"/>
        <v>0</v>
      </c>
      <c r="Q36" s="422"/>
    </row>
    <row r="37" spans="1:19" ht="15.75" customHeight="1" x14ac:dyDescent="0.25">
      <c r="A37" s="16" t="s">
        <v>48</v>
      </c>
      <c r="B37" s="117">
        <f>J39</f>
        <v>0</v>
      </c>
      <c r="C37" s="14"/>
      <c r="D37" s="14"/>
      <c r="E37" s="32"/>
      <c r="F37" s="9" t="s">
        <v>25</v>
      </c>
      <c r="G37" s="10"/>
      <c r="H37" s="13">
        <v>30</v>
      </c>
      <c r="I37" s="11">
        <f>G37*30/100</f>
        <v>0</v>
      </c>
      <c r="J37" s="376">
        <v>0</v>
      </c>
      <c r="K37" s="250" t="s">
        <v>25</v>
      </c>
      <c r="L37" s="132"/>
      <c r="M37" s="132"/>
      <c r="N37" s="121"/>
      <c r="O37" s="199"/>
      <c r="P37" s="421">
        <f t="shared" si="8"/>
        <v>0</v>
      </c>
      <c r="Q37" s="422"/>
    </row>
    <row r="38" spans="1:19" ht="15.75" customHeight="1" x14ac:dyDescent="0.25">
      <c r="A38" s="9" t="s">
        <v>49</v>
      </c>
      <c r="B38" s="116">
        <f>SUM(B34:B37)</f>
        <v>28.268575797595048</v>
      </c>
      <c r="C38" s="14"/>
      <c r="D38" s="14"/>
      <c r="E38" s="328"/>
      <c r="F38" s="101" t="s">
        <v>258</v>
      </c>
      <c r="G38" s="10"/>
      <c r="H38" s="13">
        <v>40</v>
      </c>
      <c r="I38" s="11">
        <f>G38*40/100</f>
        <v>0</v>
      </c>
      <c r="J38" s="376">
        <f>I38/I43*100</f>
        <v>0</v>
      </c>
      <c r="K38" s="316" t="s">
        <v>258</v>
      </c>
      <c r="L38" s="132"/>
      <c r="M38" s="132"/>
      <c r="N38" s="121"/>
      <c r="O38" s="199"/>
      <c r="P38" s="421">
        <f t="shared" si="8"/>
        <v>0</v>
      </c>
      <c r="Q38" s="422"/>
    </row>
    <row r="39" spans="1:19" ht="15.75" customHeight="1" x14ac:dyDescent="0.25">
      <c r="A39" s="16" t="s">
        <v>50</v>
      </c>
      <c r="B39" s="14">
        <v>0</v>
      </c>
      <c r="C39" s="14"/>
      <c r="D39" s="14"/>
      <c r="E39" s="33"/>
      <c r="F39" s="9" t="s">
        <v>129</v>
      </c>
      <c r="G39" s="10"/>
      <c r="H39" s="13">
        <v>39</v>
      </c>
      <c r="I39" s="11">
        <f>G39*39/100</f>
        <v>0</v>
      </c>
      <c r="J39" s="376">
        <f>I39/I43*100</f>
        <v>0</v>
      </c>
      <c r="K39" s="121" t="s">
        <v>164</v>
      </c>
      <c r="L39" s="132"/>
      <c r="M39" s="132"/>
      <c r="N39" s="121"/>
      <c r="O39" s="199"/>
      <c r="P39" s="421">
        <f t="shared" si="8"/>
        <v>0</v>
      </c>
      <c r="Q39" s="422"/>
      <c r="S39" s="109"/>
    </row>
    <row r="40" spans="1:19" ht="15.75" customHeight="1" x14ac:dyDescent="0.25">
      <c r="A40" s="16" t="s">
        <v>51</v>
      </c>
      <c r="B40" s="329">
        <f>+B27/G52</f>
        <v>112.3984375</v>
      </c>
      <c r="C40" s="14"/>
      <c r="D40" s="14"/>
      <c r="E40" s="33"/>
      <c r="F40" s="9" t="s">
        <v>28</v>
      </c>
      <c r="G40" s="10">
        <v>128</v>
      </c>
      <c r="H40" s="13">
        <v>49</v>
      </c>
      <c r="I40" s="11">
        <f>G40*49/100</f>
        <v>62.72</v>
      </c>
      <c r="J40" s="376">
        <f>I40/I43*100</f>
        <v>8.7189824146799175</v>
      </c>
      <c r="K40" s="316" t="s">
        <v>29</v>
      </c>
      <c r="L40" s="132"/>
      <c r="M40" s="132"/>
      <c r="N40" s="360"/>
      <c r="O40" s="199">
        <v>0</v>
      </c>
      <c r="P40" s="421">
        <f t="shared" si="8"/>
        <v>0</v>
      </c>
      <c r="Q40" s="422"/>
      <c r="R40" s="233">
        <f>+G22-Q42</f>
        <v>1925</v>
      </c>
    </row>
    <row r="41" spans="1:19" ht="15.75" customHeight="1" x14ac:dyDescent="0.25">
      <c r="A41" s="16" t="s">
        <v>53</v>
      </c>
      <c r="B41" s="14">
        <v>0</v>
      </c>
      <c r="C41" s="14"/>
      <c r="D41" s="14">
        <v>0</v>
      </c>
      <c r="E41" s="33"/>
      <c r="F41" s="9" t="s">
        <v>30</v>
      </c>
      <c r="G41" s="10">
        <v>287</v>
      </c>
      <c r="H41" s="13">
        <v>49</v>
      </c>
      <c r="I41" s="11">
        <f>G41*49/100</f>
        <v>140.63</v>
      </c>
      <c r="J41" s="376">
        <f>I41/I43*100</f>
        <v>19.54959338291513</v>
      </c>
      <c r="K41" s="317" t="s">
        <v>31</v>
      </c>
      <c r="L41" s="132"/>
      <c r="M41" s="361">
        <v>1</v>
      </c>
      <c r="N41" s="361"/>
      <c r="O41" s="199"/>
      <c r="P41" s="421">
        <f t="shared" si="8"/>
        <v>1</v>
      </c>
      <c r="Q41" s="422"/>
      <c r="R41">
        <v>2051</v>
      </c>
      <c r="S41" s="233">
        <f>+Q42-R41</f>
        <v>-2051</v>
      </c>
    </row>
    <row r="42" spans="1:19" ht="15.75" customHeight="1" thickBot="1" x14ac:dyDescent="0.3">
      <c r="A42" s="16" t="s">
        <v>54</v>
      </c>
      <c r="B42" s="14">
        <v>0</v>
      </c>
      <c r="C42" s="14"/>
      <c r="D42" s="14"/>
      <c r="E42" s="33" t="s">
        <v>55</v>
      </c>
      <c r="F42" s="9" t="s">
        <v>131</v>
      </c>
      <c r="G42" s="10"/>
      <c r="H42" s="13">
        <v>49</v>
      </c>
      <c r="I42" s="11">
        <f>G42*49/100</f>
        <v>0</v>
      </c>
      <c r="J42" s="29">
        <f>I42/I43*100</f>
        <v>0</v>
      </c>
      <c r="K42" s="2"/>
      <c r="L42">
        <f>SUM(L27:L41)</f>
        <v>0</v>
      </c>
      <c r="M42">
        <f>SUM(M27:M41)</f>
        <v>1</v>
      </c>
      <c r="O42" s="233">
        <f>SUM(O27:O41)</f>
        <v>0</v>
      </c>
      <c r="P42" s="421">
        <f>SUM(P27:Q41)</f>
        <v>1</v>
      </c>
      <c r="Q42" s="422"/>
    </row>
    <row r="43" spans="1:19" ht="15.75" customHeight="1" thickTop="1" thickBot="1" x14ac:dyDescent="0.3">
      <c r="A43" s="16" t="s">
        <v>56</v>
      </c>
      <c r="B43" s="14">
        <v>0</v>
      </c>
      <c r="C43" s="14"/>
      <c r="D43" s="14"/>
      <c r="E43" s="33" t="s">
        <v>55</v>
      </c>
      <c r="F43" s="18" t="s">
        <v>32</v>
      </c>
      <c r="G43" s="19">
        <f>SUM(G27:G42)</f>
        <v>1447</v>
      </c>
      <c r="H43" s="19"/>
      <c r="I43" s="19">
        <f>SUM(I27:I42)</f>
        <v>719.35</v>
      </c>
      <c r="J43" s="103">
        <f>SUM(J27:J42)</f>
        <v>100</v>
      </c>
      <c r="K43" s="457"/>
      <c r="L43" s="452"/>
      <c r="M43" s="452"/>
      <c r="N43" s="452"/>
      <c r="O43" s="452"/>
      <c r="P43" s="452"/>
      <c r="Q43" s="431"/>
    </row>
    <row r="44" spans="1:19" ht="15.75" customHeight="1" thickTop="1" thickBot="1" x14ac:dyDescent="0.3">
      <c r="A44" s="34"/>
      <c r="B44" s="35"/>
      <c r="C44" s="35"/>
      <c r="D44" s="22"/>
      <c r="E44" s="36"/>
      <c r="F44" s="34"/>
      <c r="G44" s="35"/>
      <c r="H44" s="35"/>
      <c r="I44" s="35"/>
      <c r="J44" s="35"/>
      <c r="K44" s="454"/>
      <c r="L44" s="455"/>
      <c r="M44" s="455"/>
      <c r="N44" s="455"/>
      <c r="O44" s="455"/>
      <c r="P44" s="455"/>
      <c r="Q44" s="456"/>
    </row>
    <row r="45" spans="1:19" ht="15.75" customHeight="1" thickTop="1" x14ac:dyDescent="0.25">
      <c r="A45" s="40" t="s">
        <v>57</v>
      </c>
      <c r="B45" s="41" t="s">
        <v>58</v>
      </c>
      <c r="C45" s="42" t="s">
        <v>59</v>
      </c>
      <c r="D45" s="43" t="s">
        <v>60</v>
      </c>
      <c r="E45" s="28"/>
      <c r="F45" s="458" t="s">
        <v>61</v>
      </c>
      <c r="G45" s="459"/>
      <c r="H45" s="44"/>
      <c r="I45" s="45" t="s">
        <v>62</v>
      </c>
      <c r="J45" s="276"/>
      <c r="K45" s="437"/>
      <c r="L45" s="438"/>
      <c r="M45" s="278" t="s">
        <v>65</v>
      </c>
      <c r="N45" s="278"/>
      <c r="O45" s="278" t="s">
        <v>320</v>
      </c>
      <c r="P45" s="108" t="s">
        <v>135</v>
      </c>
      <c r="Q45" s="39"/>
      <c r="R45" s="118"/>
    </row>
    <row r="46" spans="1:19" ht="15.75" customHeight="1" x14ac:dyDescent="0.25">
      <c r="A46" s="16" t="s">
        <v>9</v>
      </c>
      <c r="B46" s="59">
        <v>0.1431</v>
      </c>
      <c r="C46" s="14"/>
      <c r="D46" s="46">
        <f>+B46*J27/100</f>
        <v>8.683276569124905E-2</v>
      </c>
      <c r="E46" s="47"/>
      <c r="F46" s="9" t="s">
        <v>63</v>
      </c>
      <c r="G46" s="48"/>
      <c r="I46" s="99">
        <f>13999+3050</f>
        <v>17049</v>
      </c>
      <c r="J46" s="52" t="s">
        <v>64</v>
      </c>
      <c r="K46" s="467" t="s">
        <v>174</v>
      </c>
      <c r="L46" s="467"/>
      <c r="M46" s="126">
        <f>I22</f>
        <v>939.45</v>
      </c>
      <c r="N46" s="119"/>
      <c r="O46" s="126">
        <v>939.45</v>
      </c>
      <c r="P46" s="277">
        <f>O46/12</f>
        <v>78.287500000000009</v>
      </c>
      <c r="Q46" s="379">
        <f>+P46*31</f>
        <v>2426.9125000000004</v>
      </c>
      <c r="R46" s="197"/>
    </row>
    <row r="47" spans="1:19" ht="15.75" customHeight="1" x14ac:dyDescent="0.25">
      <c r="A47" s="16" t="s">
        <v>13</v>
      </c>
      <c r="B47" s="59">
        <v>0.13880000000000001</v>
      </c>
      <c r="C47" s="14"/>
      <c r="D47" s="46">
        <f>+B47*J30/100</f>
        <v>0</v>
      </c>
      <c r="E47" s="47"/>
      <c r="F47" s="9" t="s">
        <v>65</v>
      </c>
      <c r="G47" s="8">
        <f>I43</f>
        <v>719.35</v>
      </c>
      <c r="I47" s="128">
        <f>M56</f>
        <v>1323.85</v>
      </c>
      <c r="J47" s="52" t="s">
        <v>66</v>
      </c>
      <c r="K47" s="467" t="s">
        <v>132</v>
      </c>
      <c r="L47" s="467"/>
      <c r="M47" s="126">
        <f>K22</f>
        <v>2613950</v>
      </c>
      <c r="N47" s="119"/>
      <c r="O47" s="126">
        <v>2613950</v>
      </c>
      <c r="P47" s="277">
        <f>O47/12</f>
        <v>217829.16666666666</v>
      </c>
      <c r="Q47" s="379">
        <f>+P47*31</f>
        <v>6752704.166666666</v>
      </c>
    </row>
    <row r="48" spans="1:19" ht="15.75" customHeight="1" thickBot="1" x14ac:dyDescent="0.3">
      <c r="A48" s="16" t="s">
        <v>67</v>
      </c>
      <c r="B48" s="59">
        <v>0.14799999999999999</v>
      </c>
      <c r="C48" s="14"/>
      <c r="D48" s="46">
        <f>+B48*J31/100</f>
        <v>6.27510947383054E-3</v>
      </c>
      <c r="E48" s="47"/>
      <c r="F48" s="50" t="s">
        <v>68</v>
      </c>
      <c r="G48" s="51">
        <f>SUM(G46:G47)</f>
        <v>719.35</v>
      </c>
      <c r="I48" s="100">
        <f>SUM(I46:I47)</f>
        <v>18372.849999999999</v>
      </c>
      <c r="J48" s="49">
        <v>0</v>
      </c>
      <c r="K48" s="467" t="s">
        <v>133</v>
      </c>
      <c r="L48" s="467"/>
      <c r="M48" s="225">
        <f>M47/M46</f>
        <v>2782.4258874873594</v>
      </c>
      <c r="N48" s="126"/>
      <c r="O48" s="225">
        <f>O47/O46</f>
        <v>2782.4258874873594</v>
      </c>
      <c r="P48" s="277">
        <f>O48</f>
        <v>2782.4258874873594</v>
      </c>
      <c r="Q48" s="39">
        <f>+Q47/Q46</f>
        <v>2782.425887487359</v>
      </c>
    </row>
    <row r="49" spans="1:19" ht="15.75" customHeight="1" thickTop="1" thickBot="1" x14ac:dyDescent="0.3">
      <c r="A49" s="16" t="s">
        <v>18</v>
      </c>
      <c r="B49" s="59">
        <v>0.14760000000000001</v>
      </c>
      <c r="C49" s="14"/>
      <c r="D49" s="46">
        <f>+B49*J33/100</f>
        <v>8.9255577952318064E-3</v>
      </c>
      <c r="E49" s="47"/>
      <c r="F49" s="52"/>
      <c r="I49" s="100">
        <f>G47</f>
        <v>719.35</v>
      </c>
      <c r="J49" s="49" t="s">
        <v>69</v>
      </c>
      <c r="K49" s="435" t="s">
        <v>134</v>
      </c>
      <c r="L49" s="436"/>
      <c r="M49" s="279"/>
      <c r="N49" s="279"/>
      <c r="O49" s="280">
        <f>+Q49/O46</f>
        <v>0</v>
      </c>
      <c r="P49" s="104"/>
      <c r="Q49" s="175"/>
    </row>
    <row r="50" spans="1:19" ht="15.75" customHeight="1" thickTop="1" thickBot="1" x14ac:dyDescent="0.3">
      <c r="A50" s="16" t="s">
        <v>22</v>
      </c>
      <c r="B50" s="59">
        <v>0.1462</v>
      </c>
      <c r="C50" s="14"/>
      <c r="D50" s="46">
        <f>+B50*J35/100</f>
        <v>1.1178146938208104E-3</v>
      </c>
      <c r="E50" s="47"/>
      <c r="F50" s="460" t="s">
        <v>70</v>
      </c>
      <c r="G50" s="431"/>
      <c r="I50" s="362">
        <f>I48-I49</f>
        <v>17653.5</v>
      </c>
      <c r="J50" s="49" t="s">
        <v>71</v>
      </c>
      <c r="K50" s="165" t="s">
        <v>185</v>
      </c>
      <c r="L50" s="166"/>
      <c r="M50" s="134">
        <f>+M48*2/100</f>
        <v>55.648517749747185</v>
      </c>
      <c r="N50" s="104"/>
      <c r="O50" s="105">
        <f>+O48*2/100</f>
        <v>55.648517749747185</v>
      </c>
      <c r="P50" s="104"/>
      <c r="Q50" s="39"/>
      <c r="S50" s="118"/>
    </row>
    <row r="51" spans="1:19" ht="15.75" customHeight="1" thickTop="1" thickBot="1" x14ac:dyDescent="0.3">
      <c r="A51" s="16" t="s">
        <v>27</v>
      </c>
      <c r="B51" s="59">
        <v>0.1416</v>
      </c>
      <c r="C51" s="14"/>
      <c r="D51" s="53">
        <f>+B51*J39/100</f>
        <v>0</v>
      </c>
      <c r="E51" s="47"/>
      <c r="F51" s="54" t="s">
        <v>72</v>
      </c>
      <c r="G51" s="127">
        <v>17.2</v>
      </c>
      <c r="H51">
        <v>17</v>
      </c>
      <c r="I51" s="55" t="s">
        <v>177</v>
      </c>
      <c r="J51" s="52"/>
      <c r="K51" s="165" t="s">
        <v>186</v>
      </c>
      <c r="L51" s="166"/>
      <c r="M51" s="190">
        <f>+M48-M50</f>
        <v>2726.7773697376124</v>
      </c>
      <c r="N51" s="146"/>
      <c r="O51" s="190">
        <f>+O48-O50</f>
        <v>2726.7773697376124</v>
      </c>
      <c r="P51" s="104"/>
      <c r="Q51" s="39"/>
      <c r="S51" s="137"/>
    </row>
    <row r="52" spans="1:19" ht="15.75" customHeight="1" thickTop="1" thickBot="1" x14ac:dyDescent="0.3">
      <c r="A52" s="16" t="s">
        <v>73</v>
      </c>
      <c r="B52" s="59">
        <v>0.1358</v>
      </c>
      <c r="C52" s="13"/>
      <c r="D52" s="53">
        <f>+B52*J40/100</f>
        <v>1.1840378119135329E-2</v>
      </c>
      <c r="E52" s="47"/>
      <c r="F52" s="50" t="s">
        <v>74</v>
      </c>
      <c r="G52" s="127">
        <v>6.4</v>
      </c>
      <c r="H52">
        <v>8.3000000000000007</v>
      </c>
      <c r="I52" s="363">
        <v>17653</v>
      </c>
      <c r="J52" s="144" t="s">
        <v>75</v>
      </c>
      <c r="K52" s="468" t="s">
        <v>169</v>
      </c>
      <c r="L52" s="468"/>
      <c r="M52" s="119">
        <v>0</v>
      </c>
      <c r="N52" s="119"/>
      <c r="O52" s="191">
        <v>0</v>
      </c>
      <c r="P52" s="189"/>
      <c r="Q52" s="39"/>
    </row>
    <row r="53" spans="1:19" ht="15.75" customHeight="1" thickTop="1" thickBot="1" x14ac:dyDescent="0.3">
      <c r="A53" s="16" t="s">
        <v>76</v>
      </c>
      <c r="B53" s="59">
        <v>0.1416</v>
      </c>
      <c r="C53" s="14"/>
      <c r="D53" s="53">
        <f>+B53*J41/100</f>
        <v>2.7682224230207827E-2</v>
      </c>
      <c r="E53" s="47"/>
      <c r="F53" s="56"/>
      <c r="G53" s="136"/>
      <c r="H53" s="57"/>
      <c r="I53" s="58" t="s">
        <v>261</v>
      </c>
      <c r="J53" s="145"/>
      <c r="K53" s="469" t="s">
        <v>193</v>
      </c>
      <c r="L53" s="469"/>
      <c r="M53" s="293">
        <v>0</v>
      </c>
      <c r="N53" s="293"/>
      <c r="O53" s="293">
        <v>0</v>
      </c>
      <c r="P53" s="143"/>
      <c r="Q53" s="167"/>
    </row>
    <row r="54" spans="1:19" ht="15.75" customHeight="1" thickTop="1" x14ac:dyDescent="0.25">
      <c r="A54" s="16" t="s">
        <v>32</v>
      </c>
      <c r="B54" s="59">
        <f>SUM(B46:B53)</f>
        <v>1.1427</v>
      </c>
      <c r="C54" s="14"/>
      <c r="D54" s="59">
        <f>SUM(D46:D53)</f>
        <v>0.14267385000347538</v>
      </c>
      <c r="E54" s="60"/>
      <c r="F54" s="461" t="s">
        <v>77</v>
      </c>
      <c r="G54" s="462"/>
      <c r="H54" s="462"/>
      <c r="I54" s="462"/>
      <c r="J54" s="459"/>
      <c r="K54" s="119" t="s">
        <v>228</v>
      </c>
      <c r="L54" s="119"/>
      <c r="M54" s="119">
        <v>0</v>
      </c>
      <c r="N54" s="119"/>
      <c r="O54" s="119">
        <v>0</v>
      </c>
      <c r="P54" s="121"/>
      <c r="Q54" s="121"/>
      <c r="R54" s="118">
        <v>0</v>
      </c>
    </row>
    <row r="55" spans="1:19" ht="15.75" customHeight="1" x14ac:dyDescent="0.25">
      <c r="A55" s="9" t="s">
        <v>79</v>
      </c>
      <c r="B55" s="141">
        <v>0.10299999999999999</v>
      </c>
      <c r="C55" s="14"/>
      <c r="D55" s="14"/>
      <c r="E55" s="61"/>
      <c r="F55" s="9" t="s">
        <v>80</v>
      </c>
      <c r="G55" s="62">
        <v>0.6</v>
      </c>
      <c r="H55" s="14"/>
      <c r="I55" s="17" t="s">
        <v>81</v>
      </c>
      <c r="J55" s="275">
        <v>0.91</v>
      </c>
      <c r="K55" s="143"/>
      <c r="L55" s="173"/>
      <c r="M55" s="174"/>
      <c r="N55" s="174"/>
      <c r="O55" s="174"/>
      <c r="P55" s="143"/>
      <c r="Q55" s="294"/>
      <c r="R55" s="118">
        <f>+M56+O56</f>
        <v>2647.7</v>
      </c>
    </row>
    <row r="56" spans="1:19" ht="15.75" customHeight="1" x14ac:dyDescent="0.25">
      <c r="A56" s="9" t="s">
        <v>83</v>
      </c>
      <c r="B56" s="140">
        <f>+D54-B55</f>
        <v>3.9673850003475383E-2</v>
      </c>
      <c r="C56" s="14"/>
      <c r="D56" s="14"/>
      <c r="E56" s="60"/>
      <c r="F56" s="9" t="s">
        <v>125</v>
      </c>
      <c r="G56" s="63">
        <v>9.7900000000000001E-2</v>
      </c>
      <c r="H56" s="14"/>
      <c r="I56" s="17" t="s">
        <v>84</v>
      </c>
      <c r="J56" s="275">
        <v>27</v>
      </c>
      <c r="K56" s="434" t="s">
        <v>136</v>
      </c>
      <c r="L56" s="434"/>
      <c r="M56" s="126">
        <v>1323.85</v>
      </c>
      <c r="N56" s="119">
        <v>0</v>
      </c>
      <c r="O56" s="126">
        <v>1323.85</v>
      </c>
      <c r="P56" s="277">
        <f>O56/12</f>
        <v>110.32083333333333</v>
      </c>
      <c r="Q56" s="39">
        <f>+P56*31</f>
        <v>3419.9458333333332</v>
      </c>
      <c r="R56" s="118">
        <f>+M57+O57</f>
        <v>7180054</v>
      </c>
    </row>
    <row r="57" spans="1:19" ht="15.75" customHeight="1" thickBot="1" x14ac:dyDescent="0.3">
      <c r="A57" s="64"/>
      <c r="B57" s="65"/>
      <c r="C57" s="65"/>
      <c r="D57" s="65"/>
      <c r="E57" s="66"/>
      <c r="F57" s="67" t="s">
        <v>124</v>
      </c>
      <c r="G57" s="68">
        <v>130</v>
      </c>
      <c r="H57" s="69"/>
      <c r="I57" s="74" t="s">
        <v>86</v>
      </c>
      <c r="J57" s="74"/>
      <c r="K57" s="434" t="s">
        <v>137</v>
      </c>
      <c r="L57" s="434"/>
      <c r="M57" s="126">
        <v>3590027</v>
      </c>
      <c r="N57" s="119"/>
      <c r="O57" s="126">
        <v>3590027</v>
      </c>
      <c r="P57" s="277">
        <f>O57/12</f>
        <v>299168.91666666669</v>
      </c>
      <c r="Q57" s="39">
        <f>+P57*31</f>
        <v>9274236.4166666679</v>
      </c>
      <c r="R57" s="73"/>
    </row>
    <row r="58" spans="1:19" ht="15.75" customHeight="1" thickTop="1" thickBot="1" x14ac:dyDescent="0.3">
      <c r="A58" s="463" t="s">
        <v>88</v>
      </c>
      <c r="B58" s="464"/>
      <c r="C58" s="74"/>
      <c r="D58" s="74" t="s">
        <v>8</v>
      </c>
      <c r="E58" s="74"/>
      <c r="F58" s="74"/>
      <c r="G58" s="74"/>
      <c r="H58" s="75"/>
      <c r="I58" s="194" t="s">
        <v>182</v>
      </c>
      <c r="J58" s="273" t="s">
        <v>254</v>
      </c>
      <c r="K58" s="434" t="s">
        <v>138</v>
      </c>
      <c r="L58" s="434"/>
      <c r="M58" s="225">
        <f>M57/M56</f>
        <v>2711.8079842882503</v>
      </c>
      <c r="N58" s="126"/>
      <c r="O58" s="225">
        <f>O57/O56</f>
        <v>2711.8079842882503</v>
      </c>
      <c r="P58" s="277">
        <f>O58</f>
        <v>2711.8079842882503</v>
      </c>
      <c r="Q58" s="39">
        <f>+Q57/Q56</f>
        <v>2711.8079842882507</v>
      </c>
    </row>
    <row r="59" spans="1:19" ht="15.75" customHeight="1" thickTop="1" x14ac:dyDescent="0.25">
      <c r="A59" s="76" t="s">
        <v>126</v>
      </c>
      <c r="B59" s="1">
        <f>D22</f>
        <v>6049.77</v>
      </c>
      <c r="D59" s="132"/>
      <c r="I59" s="195" t="s">
        <v>191</v>
      </c>
      <c r="J59" s="274">
        <v>0</v>
      </c>
      <c r="K59" s="192"/>
      <c r="L59" s="193"/>
      <c r="M59" s="142"/>
      <c r="N59" s="142" t="s">
        <v>78</v>
      </c>
      <c r="O59" s="142"/>
      <c r="P59" s="142"/>
      <c r="Q59" s="39"/>
    </row>
    <row r="60" spans="1:19" ht="15.75" customHeight="1" x14ac:dyDescent="0.25">
      <c r="A60" s="37" t="s">
        <v>94</v>
      </c>
      <c r="B60" s="7">
        <f>I22</f>
        <v>939.45</v>
      </c>
      <c r="C60" s="81"/>
      <c r="D60" s="178">
        <f>+K22</f>
        <v>2613950</v>
      </c>
      <c r="I60" s="196" t="s">
        <v>183</v>
      </c>
      <c r="J60" s="274">
        <v>0</v>
      </c>
      <c r="K60" s="439" t="s">
        <v>208</v>
      </c>
      <c r="L60" s="440"/>
      <c r="M60" s="106">
        <f>+M51-M58</f>
        <v>14.969385449362107</v>
      </c>
      <c r="N60" s="107" t="s">
        <v>82</v>
      </c>
      <c r="O60" s="106">
        <f>+O51-O58</f>
        <v>14.969385449362107</v>
      </c>
      <c r="P60" s="243">
        <f>+P48-P58</f>
        <v>70.617903199109151</v>
      </c>
      <c r="Q60" s="39">
        <f>+Q48-Q58</f>
        <v>70.617903199108241</v>
      </c>
    </row>
    <row r="61" spans="1:19" ht="15.75" customHeight="1" x14ac:dyDescent="0.25">
      <c r="A61" s="37" t="s">
        <v>127</v>
      </c>
      <c r="B61" s="7">
        <f>G47</f>
        <v>719.35</v>
      </c>
      <c r="C61" s="81"/>
      <c r="D61" s="177"/>
      <c r="I61" s="196" t="s">
        <v>184</v>
      </c>
      <c r="J61" s="274">
        <v>0</v>
      </c>
      <c r="K61" s="439" t="s">
        <v>209</v>
      </c>
      <c r="L61" s="440"/>
      <c r="M61" s="226">
        <f>+M48-M58</f>
        <v>70.617903199109151</v>
      </c>
      <c r="N61" s="38" t="s">
        <v>85</v>
      </c>
      <c r="O61" s="244">
        <f>+O48-O58</f>
        <v>70.617903199109151</v>
      </c>
      <c r="P61" s="38"/>
      <c r="Q61" s="39"/>
    </row>
    <row r="62" spans="1:19" ht="15.75" customHeight="1" thickBot="1" x14ac:dyDescent="0.3">
      <c r="A62" s="37" t="s">
        <v>128</v>
      </c>
      <c r="B62" s="7">
        <f>+O22</f>
        <v>11940.4</v>
      </c>
      <c r="C62" s="81"/>
      <c r="D62" s="177">
        <f>+Q22</f>
        <v>28918105</v>
      </c>
      <c r="I62" s="74"/>
      <c r="J62" s="74"/>
      <c r="K62" s="432"/>
      <c r="L62" s="433"/>
      <c r="M62" s="70"/>
      <c r="N62" s="71" t="s">
        <v>87</v>
      </c>
      <c r="O62" s="71"/>
      <c r="P62" s="71"/>
      <c r="Q62" s="72"/>
    </row>
    <row r="63" spans="1:19" ht="15.75" customHeight="1" thickTop="1" x14ac:dyDescent="0.3">
      <c r="A63" s="180" t="s">
        <v>98</v>
      </c>
      <c r="B63" s="181">
        <f>B31</f>
        <v>719.35</v>
      </c>
      <c r="C63" s="179"/>
      <c r="D63" s="182"/>
      <c r="I63" s="163" t="s">
        <v>89</v>
      </c>
      <c r="J63" s="162"/>
      <c r="K63" s="161"/>
      <c r="L63" s="430"/>
      <c r="M63" s="431"/>
      <c r="N63" s="24"/>
      <c r="O63" s="453"/>
      <c r="P63" s="452"/>
      <c r="Q63" s="431"/>
      <c r="R63">
        <v>130860810</v>
      </c>
    </row>
    <row r="64" spans="1:19" ht="15.75" customHeight="1" x14ac:dyDescent="0.25">
      <c r="A64" s="183" t="s">
        <v>188</v>
      </c>
      <c r="B64" s="149">
        <f>+I50</f>
        <v>17653.5</v>
      </c>
      <c r="C64" s="149"/>
      <c r="D64" s="177"/>
      <c r="I64" s="77" t="s">
        <v>90</v>
      </c>
      <c r="J64" s="78" t="s">
        <v>91</v>
      </c>
      <c r="K64" s="79" t="s">
        <v>92</v>
      </c>
      <c r="L64" s="296" t="s">
        <v>192</v>
      </c>
      <c r="M64" s="295"/>
      <c r="N64" s="24"/>
      <c r="O64" s="465"/>
      <c r="P64" s="450"/>
      <c r="Q64" s="466"/>
      <c r="R64" s="118">
        <f>+R63-O57</f>
        <v>127270783</v>
      </c>
    </row>
    <row r="65" spans="1:17" ht="15.75" customHeight="1" x14ac:dyDescent="0.25">
      <c r="A65" s="183" t="s">
        <v>189</v>
      </c>
      <c r="B65" s="184">
        <f>+O56</f>
        <v>1323.85</v>
      </c>
      <c r="C65" s="149"/>
      <c r="D65" s="177">
        <f>+O57</f>
        <v>3590027</v>
      </c>
      <c r="I65" s="77" t="s">
        <v>95</v>
      </c>
      <c r="J65" s="83">
        <v>0</v>
      </c>
      <c r="K65" s="79"/>
      <c r="L65" s="291" t="s">
        <v>221</v>
      </c>
      <c r="M65" s="292">
        <v>0</v>
      </c>
      <c r="N65" s="289">
        <v>2863.04</v>
      </c>
      <c r="O65" s="290"/>
      <c r="P65" s="197"/>
      <c r="Q65" s="164"/>
    </row>
    <row r="66" spans="1:17" ht="15.75" customHeight="1" x14ac:dyDescent="0.25">
      <c r="A66" s="183" t="s">
        <v>190</v>
      </c>
      <c r="B66" s="149">
        <f>+O46</f>
        <v>939.45</v>
      </c>
      <c r="C66" s="149"/>
      <c r="D66" s="177">
        <f>+O47</f>
        <v>2613950</v>
      </c>
      <c r="I66" s="77" t="s">
        <v>96</v>
      </c>
      <c r="J66" s="83">
        <v>376</v>
      </c>
      <c r="K66" s="185">
        <f>J66*50</f>
        <v>18800</v>
      </c>
      <c r="L66" s="291" t="s">
        <v>222</v>
      </c>
      <c r="M66" s="292">
        <v>0</v>
      </c>
      <c r="N66" s="289">
        <v>2795.74</v>
      </c>
      <c r="O66" s="290"/>
      <c r="P66" s="249"/>
      <c r="Q66" s="164"/>
    </row>
    <row r="67" spans="1:17" ht="15.75" customHeight="1" thickBot="1" x14ac:dyDescent="0.3">
      <c r="A67" s="81"/>
      <c r="B67" s="82"/>
      <c r="C67" s="81"/>
      <c r="D67" s="82"/>
      <c r="I67" s="77" t="s">
        <v>97</v>
      </c>
      <c r="J67" s="83">
        <v>13</v>
      </c>
      <c r="K67" s="185">
        <f>J67*50</f>
        <v>650</v>
      </c>
      <c r="L67" s="291" t="s">
        <v>223</v>
      </c>
      <c r="M67" s="292">
        <v>0</v>
      </c>
      <c r="N67" s="289">
        <v>2731.38</v>
      </c>
      <c r="O67" s="290"/>
      <c r="P67" s="118"/>
      <c r="Q67" s="164"/>
    </row>
    <row r="68" spans="1:17" ht="15.75" customHeight="1" thickTop="1" x14ac:dyDescent="0.25">
      <c r="A68" s="453" t="s">
        <v>101</v>
      </c>
      <c r="B68" s="452"/>
      <c r="C68" s="452"/>
      <c r="D68" s="431"/>
      <c r="I68" s="77" t="s">
        <v>99</v>
      </c>
      <c r="J68" s="83">
        <v>0</v>
      </c>
      <c r="K68" s="185">
        <f>J68*100</f>
        <v>0</v>
      </c>
      <c r="L68" s="291" t="s">
        <v>224</v>
      </c>
      <c r="M68" s="292">
        <v>0</v>
      </c>
      <c r="N68" s="289">
        <v>2789.81</v>
      </c>
      <c r="O68" s="290"/>
      <c r="P68" s="84"/>
      <c r="Q68" s="85"/>
    </row>
    <row r="69" spans="1:17" ht="15.75" customHeight="1" x14ac:dyDescent="0.25">
      <c r="A69" s="454"/>
      <c r="B69" s="455"/>
      <c r="C69" s="455"/>
      <c r="D69" s="456"/>
      <c r="I69" s="77"/>
      <c r="J69" s="83"/>
      <c r="K69" s="185">
        <v>0</v>
      </c>
      <c r="L69" s="291" t="s">
        <v>225</v>
      </c>
      <c r="M69" s="292">
        <v>0</v>
      </c>
      <c r="N69" s="289">
        <v>2789.81</v>
      </c>
      <c r="O69" s="290"/>
      <c r="P69" s="84"/>
      <c r="Q69" s="85"/>
    </row>
    <row r="70" spans="1:17" ht="15.75" customHeight="1" x14ac:dyDescent="0.3">
      <c r="A70" s="87" t="s">
        <v>104</v>
      </c>
      <c r="B70" s="88" t="s">
        <v>65</v>
      </c>
      <c r="C70" s="88" t="s">
        <v>105</v>
      </c>
      <c r="D70" s="89" t="s">
        <v>93</v>
      </c>
      <c r="I70" s="77"/>
      <c r="J70" s="83"/>
      <c r="K70" s="185">
        <v>0</v>
      </c>
      <c r="L70" s="291" t="s">
        <v>226</v>
      </c>
      <c r="M70" s="292">
        <v>0</v>
      </c>
      <c r="N70" s="289">
        <v>2730.46</v>
      </c>
      <c r="O70" s="290"/>
      <c r="P70" s="84"/>
      <c r="Q70" s="85"/>
    </row>
    <row r="71" spans="1:17" ht="15.75" customHeight="1" x14ac:dyDescent="0.25">
      <c r="A71" s="77" t="s">
        <v>107</v>
      </c>
      <c r="B71" s="90">
        <v>9870</v>
      </c>
      <c r="C71" s="88">
        <v>252000</v>
      </c>
      <c r="D71" s="89">
        <v>9870</v>
      </c>
      <c r="I71" s="77"/>
      <c r="J71" s="83"/>
      <c r="K71" s="185">
        <v>0</v>
      </c>
      <c r="L71" s="291" t="s">
        <v>227</v>
      </c>
      <c r="M71" s="292">
        <v>0</v>
      </c>
      <c r="N71" s="289">
        <v>2822.52</v>
      </c>
      <c r="O71" s="290"/>
      <c r="P71" s="84"/>
      <c r="Q71" s="85"/>
    </row>
    <row r="72" spans="1:17" ht="15.75" customHeight="1" x14ac:dyDescent="0.25">
      <c r="A72" s="77" t="s">
        <v>69</v>
      </c>
      <c r="B72" s="91">
        <f>+G47</f>
        <v>719.35</v>
      </c>
      <c r="C72" s="88">
        <v>35721.51</v>
      </c>
      <c r="D72" s="89">
        <f>+G48</f>
        <v>719.35</v>
      </c>
      <c r="I72" s="77" t="s">
        <v>100</v>
      </c>
      <c r="J72" s="83">
        <v>0</v>
      </c>
      <c r="K72" s="185">
        <f>J72*100</f>
        <v>0</v>
      </c>
      <c r="L72" s="291" t="s">
        <v>280</v>
      </c>
      <c r="M72" s="292">
        <v>0</v>
      </c>
      <c r="N72" s="289">
        <v>2804.82</v>
      </c>
      <c r="O72" s="290"/>
      <c r="P72" s="84"/>
      <c r="Q72" s="85"/>
    </row>
    <row r="73" spans="1:17" ht="15.75" customHeight="1" x14ac:dyDescent="0.35">
      <c r="A73" s="77" t="s">
        <v>110</v>
      </c>
      <c r="B73" s="91">
        <f>+B71/B72</f>
        <v>13.720720094529783</v>
      </c>
      <c r="C73" s="88">
        <v>7.0545730009733623</v>
      </c>
      <c r="D73" s="91">
        <f>+D71/D72</f>
        <v>13.720720094529783</v>
      </c>
      <c r="F73" s="95"/>
      <c r="G73" s="95"/>
      <c r="I73" s="77" t="s">
        <v>102</v>
      </c>
      <c r="J73" s="83">
        <v>7</v>
      </c>
      <c r="K73" s="185">
        <f>+J72*100</f>
        <v>0</v>
      </c>
      <c r="L73" s="291" t="s">
        <v>229</v>
      </c>
      <c r="M73" s="292">
        <f>I52</f>
        <v>17653</v>
      </c>
      <c r="O73" s="86"/>
      <c r="P73" s="169"/>
      <c r="Q73" s="170"/>
    </row>
    <row r="74" spans="1:17" ht="15.75" customHeight="1" x14ac:dyDescent="0.35">
      <c r="A74" s="77" t="s">
        <v>111</v>
      </c>
      <c r="B74" s="91">
        <v>8</v>
      </c>
      <c r="C74" s="88">
        <v>8.5</v>
      </c>
      <c r="D74" s="88">
        <v>8</v>
      </c>
      <c r="F74" s="95"/>
      <c r="G74" s="95"/>
      <c r="I74" s="77" t="s">
        <v>103</v>
      </c>
      <c r="J74" s="83">
        <v>12</v>
      </c>
      <c r="K74" s="185">
        <f>J74*100</f>
        <v>1200</v>
      </c>
      <c r="L74" s="297" t="s">
        <v>32</v>
      </c>
      <c r="M74" s="380">
        <f>SUM(M65:M73)</f>
        <v>17653</v>
      </c>
      <c r="O74" s="171"/>
      <c r="P74" s="132"/>
      <c r="Q74" s="132"/>
    </row>
    <row r="75" spans="1:17" ht="15.75" customHeight="1" thickBot="1" x14ac:dyDescent="0.4">
      <c r="A75" s="92" t="s">
        <v>112</v>
      </c>
      <c r="B75" s="94">
        <f>+B73*B74</f>
        <v>109.76576075623827</v>
      </c>
      <c r="C75" s="94">
        <v>59.96387050827358</v>
      </c>
      <c r="D75" s="94">
        <f>+D73*D74</f>
        <v>109.76576075623827</v>
      </c>
      <c r="E75" s="143"/>
      <c r="F75" s="426"/>
      <c r="G75" s="426"/>
      <c r="H75" s="95"/>
      <c r="I75" s="77" t="s">
        <v>106</v>
      </c>
      <c r="J75" s="83">
        <v>12</v>
      </c>
      <c r="K75" s="185">
        <f>+J75*100</f>
        <v>1200</v>
      </c>
      <c r="L75" s="441"/>
      <c r="M75" s="441"/>
      <c r="O75" s="171"/>
      <c r="P75" s="132"/>
      <c r="Q75" s="132"/>
    </row>
    <row r="76" spans="1:17" ht="15.75" customHeight="1" thickTop="1" x14ac:dyDescent="0.35">
      <c r="A76" s="187"/>
      <c r="B76" s="188"/>
      <c r="C76" s="188"/>
      <c r="D76" s="188"/>
      <c r="E76" s="143"/>
      <c r="F76" s="160"/>
      <c r="G76" s="160"/>
      <c r="H76" s="95"/>
      <c r="I76" s="77" t="s">
        <v>108</v>
      </c>
      <c r="J76" s="83">
        <v>0</v>
      </c>
      <c r="K76" s="185">
        <f>+J76*100</f>
        <v>0</v>
      </c>
      <c r="L76" s="159"/>
      <c r="M76" s="132"/>
      <c r="O76" s="171"/>
      <c r="P76" s="132"/>
      <c r="Q76" s="132"/>
    </row>
    <row r="77" spans="1:17" s="155" customFormat="1" ht="15.75" customHeight="1" thickBot="1" x14ac:dyDescent="0.4">
      <c r="A77" s="187"/>
      <c r="B77" s="188"/>
      <c r="C77" s="188"/>
      <c r="D77" s="188"/>
      <c r="E77" s="143"/>
      <c r="F77" s="160"/>
      <c r="G77" s="160"/>
      <c r="H77" s="95"/>
      <c r="I77" s="92" t="s">
        <v>109</v>
      </c>
      <c r="J77" s="93">
        <v>28</v>
      </c>
      <c r="K77" s="186">
        <f>+J76*100</f>
        <v>0</v>
      </c>
      <c r="L77" s="159"/>
      <c r="M77" s="132"/>
      <c r="N77"/>
      <c r="O77"/>
      <c r="P77"/>
      <c r="Q77"/>
    </row>
    <row r="78" spans="1:17" ht="15.75" customHeight="1" thickTop="1" x14ac:dyDescent="0.3">
      <c r="A78" s="298" t="s">
        <v>113</v>
      </c>
      <c r="B78" s="155"/>
      <c r="C78" s="155"/>
      <c r="D78" s="155"/>
      <c r="E78" s="299"/>
      <c r="F78" s="300"/>
      <c r="G78" s="301"/>
      <c r="H78" s="155"/>
      <c r="I78" s="302"/>
      <c r="J78" s="303"/>
      <c r="K78" s="198">
        <f>SUM(K66:K77)</f>
        <v>21850</v>
      </c>
      <c r="L78" s="172"/>
      <c r="M78" s="132"/>
    </row>
    <row r="79" spans="1:17" ht="15.75" customHeight="1" thickBot="1" x14ac:dyDescent="0.3">
      <c r="E79" s="143"/>
      <c r="F79" s="159"/>
      <c r="G79" s="132"/>
      <c r="H79" s="24">
        <v>6</v>
      </c>
      <c r="I79" s="132"/>
      <c r="J79" s="132"/>
      <c r="K79" s="301"/>
      <c r="L79" s="301"/>
      <c r="M79" s="301"/>
      <c r="N79" s="301"/>
      <c r="O79" s="301"/>
      <c r="P79" s="301"/>
      <c r="Q79" s="301"/>
    </row>
    <row r="80" spans="1:17" ht="15.75" customHeight="1" thickTop="1" x14ac:dyDescent="0.25">
      <c r="A80" s="96" t="s">
        <v>113</v>
      </c>
      <c r="B80" s="97" t="s">
        <v>32</v>
      </c>
      <c r="C80" s="97"/>
      <c r="D80" s="97" t="s">
        <v>114</v>
      </c>
      <c r="E80" s="157" t="s">
        <v>115</v>
      </c>
      <c r="F80" s="132"/>
      <c r="G80" s="132"/>
      <c r="H80" s="24">
        <v>9</v>
      </c>
      <c r="I80" s="151"/>
      <c r="J80" s="151"/>
      <c r="K80" s="151"/>
      <c r="L80" s="151"/>
      <c r="M80" s="151"/>
      <c r="N80" s="151"/>
      <c r="O80" s="151"/>
      <c r="P80" s="151"/>
      <c r="Q80" s="151"/>
    </row>
    <row r="81" spans="1:17" ht="15.75" customHeight="1" x14ac:dyDescent="0.25">
      <c r="A81" s="80" t="s">
        <v>116</v>
      </c>
      <c r="B81" s="38"/>
      <c r="C81" s="38"/>
      <c r="D81" s="38">
        <v>0</v>
      </c>
      <c r="E81" s="158"/>
      <c r="F81" s="159"/>
      <c r="G81" s="132"/>
      <c r="I81" s="132"/>
      <c r="J81" s="132"/>
      <c r="K81" s="132"/>
      <c r="L81" s="132"/>
      <c r="M81" s="132"/>
      <c r="N81" s="132"/>
      <c r="O81" s="132"/>
      <c r="P81" s="132"/>
      <c r="Q81" s="132"/>
    </row>
    <row r="82" spans="1:17" ht="15.75" customHeight="1" x14ac:dyDescent="0.25">
      <c r="A82" s="80" t="s">
        <v>117</v>
      </c>
      <c r="B82" s="38"/>
      <c r="C82" s="38"/>
      <c r="D82" s="38">
        <v>6</v>
      </c>
      <c r="E82" s="158"/>
      <c r="F82" s="132"/>
      <c r="G82" s="132"/>
      <c r="I82" s="132"/>
      <c r="J82" s="132"/>
      <c r="K82" s="132"/>
      <c r="L82" s="132"/>
      <c r="M82" s="132"/>
      <c r="N82" s="132"/>
      <c r="O82" s="132"/>
      <c r="P82" s="132"/>
      <c r="Q82" s="132"/>
    </row>
    <row r="83" spans="1:17" ht="15.75" customHeight="1" x14ac:dyDescent="0.25">
      <c r="A83" s="80" t="s">
        <v>118</v>
      </c>
      <c r="B83" s="38"/>
      <c r="C83" s="38"/>
      <c r="D83" s="38">
        <v>19</v>
      </c>
      <c r="E83" s="158"/>
      <c r="F83" s="159"/>
      <c r="G83" s="132"/>
      <c r="I83" s="132"/>
      <c r="J83" s="132"/>
      <c r="K83" s="132"/>
      <c r="L83" s="132"/>
      <c r="M83" s="132"/>
      <c r="N83" s="132"/>
      <c r="O83" s="132"/>
      <c r="P83" s="132"/>
      <c r="Q83" s="132"/>
    </row>
    <row r="84" spans="1:17" ht="15.75" customHeight="1" x14ac:dyDescent="0.25">
      <c r="A84" s="80" t="s">
        <v>119</v>
      </c>
      <c r="B84" s="38"/>
      <c r="C84" s="38"/>
      <c r="D84" s="38">
        <v>4</v>
      </c>
      <c r="E84" s="158"/>
      <c r="F84" s="132"/>
      <c r="G84" s="132"/>
      <c r="I84" s="132"/>
      <c r="J84" s="132"/>
      <c r="K84" s="132"/>
      <c r="L84" s="132"/>
      <c r="M84" s="132"/>
      <c r="N84" s="132"/>
      <c r="O84" s="132"/>
      <c r="P84" s="132"/>
      <c r="Q84" s="132"/>
    </row>
    <row r="85" spans="1:17" ht="15.75" customHeight="1" x14ac:dyDescent="0.25">
      <c r="A85" s="80" t="s">
        <v>120</v>
      </c>
      <c r="B85" s="38"/>
      <c r="C85" s="38"/>
      <c r="D85" s="38">
        <v>20</v>
      </c>
      <c r="E85" s="158"/>
      <c r="I85" s="132"/>
      <c r="J85" s="132"/>
      <c r="K85" s="132"/>
      <c r="L85" s="132"/>
      <c r="M85" s="132"/>
      <c r="N85" s="132"/>
      <c r="O85" s="132"/>
      <c r="P85" s="132"/>
      <c r="Q85" s="132"/>
    </row>
    <row r="86" spans="1:17" ht="15.75" customHeight="1" x14ac:dyDescent="0.25">
      <c r="A86" s="80" t="s">
        <v>121</v>
      </c>
      <c r="B86" s="38"/>
      <c r="C86" s="38"/>
      <c r="D86" s="38">
        <v>10</v>
      </c>
      <c r="E86" s="158"/>
      <c r="I86" s="132"/>
      <c r="J86" s="132"/>
      <c r="K86" s="132"/>
      <c r="L86" s="132"/>
      <c r="M86" s="132"/>
      <c r="N86" s="132"/>
      <c r="O86" s="132"/>
      <c r="P86" s="132"/>
      <c r="Q86" s="132"/>
    </row>
    <row r="87" spans="1:17" ht="15.75" customHeight="1" x14ac:dyDescent="0.25">
      <c r="A87" s="80" t="s">
        <v>122</v>
      </c>
      <c r="B87" s="38"/>
      <c r="C87" s="38"/>
      <c r="D87" s="38">
        <v>11</v>
      </c>
      <c r="E87" s="39"/>
      <c r="I87" s="132"/>
      <c r="J87" s="132"/>
      <c r="K87" s="132"/>
      <c r="L87" s="132"/>
      <c r="M87" s="132"/>
      <c r="N87" s="132"/>
      <c r="O87" s="132"/>
      <c r="P87" s="132"/>
      <c r="Q87" s="132"/>
    </row>
    <row r="88" spans="1:17" ht="15.75" customHeight="1" x14ac:dyDescent="0.25">
      <c r="A88" s="80" t="s">
        <v>123</v>
      </c>
      <c r="B88" s="38"/>
      <c r="C88" s="38"/>
      <c r="D88" s="38"/>
      <c r="E88" s="39"/>
      <c r="I88" s="132"/>
      <c r="J88" s="132"/>
      <c r="K88" s="132"/>
      <c r="L88" s="132"/>
      <c r="M88" s="132"/>
      <c r="N88" s="132"/>
      <c r="O88" s="132"/>
      <c r="P88" s="132"/>
      <c r="Q88" s="132"/>
    </row>
    <row r="89" spans="1:17" ht="15.75" customHeight="1" thickBot="1" x14ac:dyDescent="0.3">
      <c r="A89" s="98"/>
      <c r="B89" s="70"/>
      <c r="C89" s="70"/>
      <c r="D89" s="70"/>
      <c r="E89" s="167"/>
      <c r="I89" s="132"/>
      <c r="J89" s="132"/>
      <c r="K89" s="132"/>
      <c r="L89" s="132"/>
      <c r="M89" s="132"/>
      <c r="N89" s="132"/>
      <c r="O89" s="132"/>
      <c r="P89" s="132"/>
      <c r="Q89" s="132"/>
    </row>
    <row r="90" spans="1:17" ht="15.75" customHeight="1" thickTop="1" thickBot="1" x14ac:dyDescent="0.3">
      <c r="A90" s="143"/>
      <c r="B90" s="132" t="s">
        <v>218</v>
      </c>
      <c r="C90" s="132"/>
      <c r="D90" s="132" t="s">
        <v>219</v>
      </c>
      <c r="E90" s="132" t="s">
        <v>220</v>
      </c>
      <c r="I90" s="132"/>
      <c r="J90" s="132"/>
      <c r="K90" s="132"/>
      <c r="L90" s="132"/>
      <c r="M90" s="132"/>
      <c r="N90" s="132"/>
      <c r="O90" s="132"/>
      <c r="P90" s="132"/>
      <c r="Q90" s="132"/>
    </row>
    <row r="91" spans="1:17" ht="15.75" customHeight="1" thickTop="1" x14ac:dyDescent="0.25">
      <c r="A91" s="262" t="s">
        <v>126</v>
      </c>
      <c r="B91" s="149">
        <f>+B59</f>
        <v>6049.77</v>
      </c>
      <c r="C91" s="132"/>
      <c r="D91" s="132">
        <f>+E91*3</f>
        <v>604.97700000000009</v>
      </c>
      <c r="E91" s="132">
        <f>+B91/30</f>
        <v>201.65900000000002</v>
      </c>
      <c r="G91" t="s">
        <v>177</v>
      </c>
      <c r="I91" s="132"/>
      <c r="J91" s="132"/>
      <c r="K91" s="132"/>
      <c r="L91" s="132"/>
      <c r="M91" s="132"/>
      <c r="N91" s="132"/>
      <c r="O91" s="132"/>
      <c r="P91" s="132"/>
      <c r="Q91" s="132"/>
    </row>
    <row r="92" spans="1:17" ht="15.75" customHeight="1" x14ac:dyDescent="0.25">
      <c r="A92" s="263" t="s">
        <v>94</v>
      </c>
      <c r="B92" s="149">
        <f>+M46</f>
        <v>939.45</v>
      </c>
      <c r="C92" s="132"/>
      <c r="D92" s="132">
        <f>+Q46</f>
        <v>2426.9125000000004</v>
      </c>
      <c r="E92" s="132">
        <f>+O46</f>
        <v>939.45</v>
      </c>
      <c r="I92" s="132"/>
      <c r="J92" s="132"/>
      <c r="K92" s="132"/>
      <c r="L92" s="132"/>
      <c r="M92" s="132"/>
      <c r="N92" s="132"/>
      <c r="O92" s="132"/>
      <c r="P92" s="132"/>
      <c r="Q92" s="132"/>
    </row>
    <row r="93" spans="1:17" ht="15.75" customHeight="1" x14ac:dyDescent="0.25">
      <c r="A93" s="263" t="s">
        <v>127</v>
      </c>
      <c r="B93" s="266">
        <f>+B32</f>
        <v>25.69107142857143</v>
      </c>
      <c r="C93" s="132"/>
      <c r="D93" s="132">
        <f>+E33</f>
        <v>770.73214285714289</v>
      </c>
      <c r="E93" s="132"/>
    </row>
    <row r="94" spans="1:17" ht="15.75" customHeight="1" x14ac:dyDescent="0.25">
      <c r="A94" s="263" t="s">
        <v>128</v>
      </c>
      <c r="B94" s="149">
        <f>+B62</f>
        <v>11940.4</v>
      </c>
      <c r="C94" s="132"/>
      <c r="D94" s="132"/>
      <c r="E94" s="132"/>
    </row>
    <row r="95" spans="1:17" ht="15.75" customHeight="1" x14ac:dyDescent="0.25">
      <c r="A95" s="264" t="s">
        <v>98</v>
      </c>
      <c r="B95" s="149">
        <f>B63</f>
        <v>719.35</v>
      </c>
      <c r="C95" s="132"/>
      <c r="D95" s="132"/>
      <c r="E95" s="132"/>
    </row>
    <row r="96" spans="1:17" ht="15.75" customHeight="1" x14ac:dyDescent="0.25">
      <c r="A96" s="265" t="s">
        <v>188</v>
      </c>
      <c r="B96" s="149">
        <f>+B64</f>
        <v>17653.5</v>
      </c>
      <c r="C96" s="132"/>
      <c r="D96" s="132"/>
      <c r="E96" s="132"/>
    </row>
    <row r="97" spans="1:11" ht="15.75" customHeight="1" x14ac:dyDescent="0.25">
      <c r="A97" s="265" t="s">
        <v>189</v>
      </c>
      <c r="B97" s="184">
        <f>+P56</f>
        <v>110.32083333333333</v>
      </c>
      <c r="C97" s="132"/>
      <c r="D97" s="267">
        <f>+Q56</f>
        <v>3419.9458333333332</v>
      </c>
      <c r="E97" s="132"/>
    </row>
    <row r="98" spans="1:11" ht="15.75" customHeight="1" x14ac:dyDescent="0.25">
      <c r="A98" s="265" t="s">
        <v>190</v>
      </c>
      <c r="B98" s="149">
        <f>+O78</f>
        <v>0</v>
      </c>
      <c r="C98" s="132"/>
      <c r="D98" s="132"/>
      <c r="E98" s="132"/>
    </row>
    <row r="99" spans="1:11" ht="15.75" customHeight="1" x14ac:dyDescent="0.25"/>
    <row r="100" spans="1:11" ht="15.75" customHeight="1" x14ac:dyDescent="0.25"/>
    <row r="101" spans="1:11" ht="15.75" customHeight="1" x14ac:dyDescent="0.25">
      <c r="I101" s="343" t="s">
        <v>168</v>
      </c>
      <c r="J101" s="343" t="s">
        <v>251</v>
      </c>
      <c r="K101" s="343" t="s">
        <v>252</v>
      </c>
    </row>
    <row r="102" spans="1:11" ht="15.75" customHeight="1" x14ac:dyDescent="0.25">
      <c r="I102" s="343" t="s">
        <v>29</v>
      </c>
      <c r="J102" s="343">
        <v>510</v>
      </c>
      <c r="K102" s="343">
        <v>413610</v>
      </c>
    </row>
    <row r="103" spans="1:11" ht="15.75" customHeight="1" x14ac:dyDescent="0.25">
      <c r="I103" s="343" t="s">
        <v>31</v>
      </c>
      <c r="J103" s="343">
        <v>950</v>
      </c>
      <c r="K103" s="343">
        <v>1010660</v>
      </c>
    </row>
    <row r="104" spans="1:11" ht="15.75" customHeight="1" x14ac:dyDescent="0.25">
      <c r="I104" s="343" t="s">
        <v>12</v>
      </c>
      <c r="J104" s="343">
        <v>70</v>
      </c>
      <c r="K104" s="343">
        <v>68880</v>
      </c>
    </row>
    <row r="105" spans="1:11" ht="15.75" customHeight="1" x14ac:dyDescent="0.25">
      <c r="I105" s="343" t="s">
        <v>10</v>
      </c>
      <c r="J105" s="343">
        <v>430</v>
      </c>
      <c r="K105" s="343">
        <v>711950</v>
      </c>
    </row>
    <row r="106" spans="1:11" ht="15.75" customHeight="1" x14ac:dyDescent="0.25">
      <c r="I106" s="343" t="s">
        <v>21</v>
      </c>
      <c r="J106" s="343">
        <v>70</v>
      </c>
      <c r="K106" s="343">
        <v>73140</v>
      </c>
    </row>
    <row r="107" spans="1:11" ht="15.75" customHeight="1" x14ac:dyDescent="0.25">
      <c r="I107" s="343" t="s">
        <v>19</v>
      </c>
      <c r="J107" s="343">
        <v>50</v>
      </c>
      <c r="K107" s="343">
        <v>71100</v>
      </c>
    </row>
    <row r="108" spans="1:11" ht="15.75" customHeight="1" x14ac:dyDescent="0.25">
      <c r="I108" s="343" t="s">
        <v>17</v>
      </c>
      <c r="J108" s="343">
        <v>220</v>
      </c>
      <c r="K108" s="343">
        <v>228360</v>
      </c>
    </row>
    <row r="109" spans="1:11" ht="15.75" customHeight="1" x14ac:dyDescent="0.25">
      <c r="I109" s="343" t="s">
        <v>165</v>
      </c>
      <c r="J109" s="343">
        <v>67</v>
      </c>
      <c r="K109" s="343">
        <v>116900</v>
      </c>
    </row>
    <row r="110" spans="1:11" ht="15.75" customHeight="1" x14ac:dyDescent="0.25">
      <c r="I110" s="343" t="s">
        <v>23</v>
      </c>
      <c r="J110" s="343">
        <v>117</v>
      </c>
      <c r="K110" s="343">
        <v>203680</v>
      </c>
    </row>
    <row r="111" spans="1:11" ht="15.75" customHeight="1" x14ac:dyDescent="0.25">
      <c r="I111" s="343" t="s">
        <v>250</v>
      </c>
      <c r="J111" s="343">
        <v>50</v>
      </c>
      <c r="K111" s="343">
        <v>79500</v>
      </c>
    </row>
    <row r="112" spans="1:11" ht="15.75" customHeight="1" x14ac:dyDescent="0.25">
      <c r="I112" s="343" t="s">
        <v>52</v>
      </c>
      <c r="J112" s="343">
        <v>2534</v>
      </c>
      <c r="K112" s="343">
        <v>2977780</v>
      </c>
    </row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47">
    <mergeCell ref="A1:P1"/>
    <mergeCell ref="K24:P24"/>
    <mergeCell ref="K25:Q25"/>
    <mergeCell ref="A68:D69"/>
    <mergeCell ref="K43:Q44"/>
    <mergeCell ref="F45:G45"/>
    <mergeCell ref="F50:G50"/>
    <mergeCell ref="F54:J54"/>
    <mergeCell ref="A58:B58"/>
    <mergeCell ref="O63:Q64"/>
    <mergeCell ref="K46:L46"/>
    <mergeCell ref="K47:L47"/>
    <mergeCell ref="K48:L48"/>
    <mergeCell ref="K52:L52"/>
    <mergeCell ref="K53:L53"/>
    <mergeCell ref="F2:I2"/>
    <mergeCell ref="L2:P2"/>
    <mergeCell ref="F75:G75"/>
    <mergeCell ref="E26:E32"/>
    <mergeCell ref="L63:M63"/>
    <mergeCell ref="K62:L62"/>
    <mergeCell ref="K56:L56"/>
    <mergeCell ref="K57:L57"/>
    <mergeCell ref="K58:L58"/>
    <mergeCell ref="K49:L49"/>
    <mergeCell ref="K45:L45"/>
    <mergeCell ref="K60:L60"/>
    <mergeCell ref="K61:L61"/>
    <mergeCell ref="L75:M75"/>
    <mergeCell ref="A2:E2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</mergeCells>
  <pageMargins left="0.7" right="0.7" top="0.75" bottom="0.75" header="0" footer="0"/>
  <pageSetup scale="25" orientation="portrait" r:id="rId1"/>
  <headerFooter>
    <oddHeader>&amp;CDT.03-02-2025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I22"/>
  <sheetViews>
    <sheetView workbookViewId="0">
      <selection activeCell="E25" sqref="E25"/>
    </sheetView>
  </sheetViews>
  <sheetFormatPr defaultRowHeight="15" x14ac:dyDescent="0.25"/>
  <cols>
    <col min="5" max="5" width="33.7109375" customWidth="1"/>
    <col min="7" max="7" width="7" customWidth="1"/>
  </cols>
  <sheetData>
    <row r="1" spans="5:9" ht="15.75" thickBot="1" x14ac:dyDescent="0.3"/>
    <row r="2" spans="5:9" ht="24" thickTop="1" x14ac:dyDescent="0.35">
      <c r="E2" s="442" t="s">
        <v>0</v>
      </c>
      <c r="F2" s="443"/>
      <c r="G2" s="443"/>
      <c r="H2" s="443"/>
      <c r="I2" s="444"/>
    </row>
    <row r="3" spans="5:9" x14ac:dyDescent="0.25">
      <c r="E3" s="2" t="s">
        <v>3</v>
      </c>
      <c r="F3" s="3" t="s">
        <v>4</v>
      </c>
      <c r="G3" s="4"/>
      <c r="H3" s="5" t="s">
        <v>5</v>
      </c>
      <c r="I3" s="6" t="s">
        <v>6</v>
      </c>
    </row>
    <row r="4" spans="5:9" x14ac:dyDescent="0.25">
      <c r="E4" s="9" t="s">
        <v>248</v>
      </c>
      <c r="F4" s="10">
        <v>1033</v>
      </c>
      <c r="G4" s="4">
        <v>50</v>
      </c>
      <c r="H4" s="11">
        <f t="shared" ref="H4:H12" si="0">+F4*G4/100</f>
        <v>516.5</v>
      </c>
      <c r="I4" s="368" t="e">
        <f t="shared" ref="I4:I18" si="1">(H4*100)/$D$21</f>
        <v>#DIV/0!</v>
      </c>
    </row>
    <row r="5" spans="5:9" x14ac:dyDescent="0.25">
      <c r="E5" s="9" t="s">
        <v>11</v>
      </c>
      <c r="F5" s="10">
        <v>405</v>
      </c>
      <c r="G5" s="4">
        <v>30</v>
      </c>
      <c r="H5" s="11">
        <f t="shared" si="0"/>
        <v>121.5</v>
      </c>
      <c r="I5" s="368" t="e">
        <f t="shared" si="1"/>
        <v>#DIV/0!</v>
      </c>
    </row>
    <row r="6" spans="5:9" x14ac:dyDescent="0.25">
      <c r="E6" s="418" t="s">
        <v>269</v>
      </c>
      <c r="F6" s="10">
        <v>524</v>
      </c>
      <c r="G6" s="4">
        <v>50</v>
      </c>
      <c r="H6" s="11">
        <f t="shared" si="0"/>
        <v>262</v>
      </c>
      <c r="I6" s="368" t="e">
        <f t="shared" si="1"/>
        <v>#DIV/0!</v>
      </c>
    </row>
    <row r="7" spans="5:9" x14ac:dyDescent="0.25">
      <c r="E7" s="121" t="s">
        <v>14</v>
      </c>
      <c r="F7" s="10">
        <v>1049</v>
      </c>
      <c r="G7" s="4">
        <v>50</v>
      </c>
      <c r="H7" s="11">
        <f t="shared" si="0"/>
        <v>524.5</v>
      </c>
      <c r="I7" s="368" t="e">
        <f t="shared" si="1"/>
        <v>#DIV/0!</v>
      </c>
    </row>
    <row r="8" spans="5:9" x14ac:dyDescent="0.25">
      <c r="E8" s="9" t="s">
        <v>15</v>
      </c>
      <c r="F8" s="10">
        <v>123</v>
      </c>
      <c r="G8" s="4">
        <v>50</v>
      </c>
      <c r="H8" s="11">
        <f t="shared" si="0"/>
        <v>61.5</v>
      </c>
      <c r="I8" s="368" t="e">
        <f t="shared" si="1"/>
        <v>#DIV/0!</v>
      </c>
    </row>
    <row r="9" spans="5:9" x14ac:dyDescent="0.25">
      <c r="E9" s="9" t="s">
        <v>16</v>
      </c>
      <c r="F9" s="10">
        <v>96</v>
      </c>
      <c r="G9" s="4">
        <v>30</v>
      </c>
      <c r="H9" s="11">
        <f t="shared" si="0"/>
        <v>28.8</v>
      </c>
      <c r="I9" s="368" t="e">
        <f t="shared" si="1"/>
        <v>#DIV/0!</v>
      </c>
    </row>
    <row r="10" spans="5:9" x14ac:dyDescent="0.25">
      <c r="E10" s="9" t="s">
        <v>18</v>
      </c>
      <c r="F10" s="10">
        <v>31</v>
      </c>
      <c r="G10" s="4">
        <v>50</v>
      </c>
      <c r="H10" s="11">
        <f t="shared" si="0"/>
        <v>15.5</v>
      </c>
      <c r="I10" s="368" t="e">
        <f t="shared" si="1"/>
        <v>#DIV/0!</v>
      </c>
    </row>
    <row r="11" spans="5:9" x14ac:dyDescent="0.25">
      <c r="E11" s="9" t="s">
        <v>20</v>
      </c>
      <c r="F11" s="10">
        <v>101</v>
      </c>
      <c r="G11" s="4">
        <v>30</v>
      </c>
      <c r="H11" s="11">
        <f t="shared" si="0"/>
        <v>30.3</v>
      </c>
      <c r="I11" s="368" t="e">
        <f t="shared" si="1"/>
        <v>#DIV/0!</v>
      </c>
    </row>
    <row r="12" spans="5:9" x14ac:dyDescent="0.25">
      <c r="E12" s="9" t="s">
        <v>22</v>
      </c>
      <c r="F12" s="10">
        <v>181</v>
      </c>
      <c r="G12" s="4">
        <v>50</v>
      </c>
      <c r="H12" s="11">
        <f t="shared" si="0"/>
        <v>90.5</v>
      </c>
      <c r="I12" s="368" t="e">
        <f t="shared" si="1"/>
        <v>#DIV/0!</v>
      </c>
    </row>
    <row r="13" spans="5:9" x14ac:dyDescent="0.25">
      <c r="E13" s="9" t="s">
        <v>24</v>
      </c>
      <c r="F13" s="10">
        <v>59</v>
      </c>
      <c r="G13" s="4">
        <v>50</v>
      </c>
      <c r="H13" s="11">
        <f t="shared" ref="H13:H17" si="2">+F13*G13/100</f>
        <v>29.5</v>
      </c>
      <c r="I13" s="368" t="e">
        <f t="shared" si="1"/>
        <v>#DIV/0!</v>
      </c>
    </row>
    <row r="14" spans="5:9" x14ac:dyDescent="0.25">
      <c r="E14" s="9" t="s">
        <v>25</v>
      </c>
      <c r="F14" s="10">
        <v>24</v>
      </c>
      <c r="G14" s="4">
        <v>30</v>
      </c>
      <c r="H14" s="11">
        <f t="shared" si="2"/>
        <v>7.2</v>
      </c>
      <c r="I14" s="368" t="e">
        <f t="shared" si="1"/>
        <v>#DIV/0!</v>
      </c>
    </row>
    <row r="15" spans="5:9" x14ac:dyDescent="0.25">
      <c r="E15" s="9" t="s">
        <v>257</v>
      </c>
      <c r="F15" s="10">
        <v>0</v>
      </c>
      <c r="G15" s="4">
        <v>40</v>
      </c>
      <c r="H15" s="11">
        <f t="shared" si="2"/>
        <v>0</v>
      </c>
      <c r="I15" s="368" t="e">
        <f t="shared" si="1"/>
        <v>#DIV/0!</v>
      </c>
    </row>
    <row r="16" spans="5:9" x14ac:dyDescent="0.25">
      <c r="E16" s="9" t="s">
        <v>129</v>
      </c>
      <c r="F16" s="10">
        <f>55+9</f>
        <v>64</v>
      </c>
      <c r="G16" s="15">
        <v>39</v>
      </c>
      <c r="H16" s="11">
        <f>+F16*G16/100</f>
        <v>24.96</v>
      </c>
      <c r="I16" s="12" t="e">
        <f t="shared" si="1"/>
        <v>#DIV/0!</v>
      </c>
    </row>
    <row r="17" spans="5:9" x14ac:dyDescent="0.25">
      <c r="E17" s="9" t="s">
        <v>28</v>
      </c>
      <c r="F17" s="10">
        <v>188</v>
      </c>
      <c r="G17" s="4">
        <v>49</v>
      </c>
      <c r="H17" s="11">
        <f t="shared" si="2"/>
        <v>92.12</v>
      </c>
      <c r="I17" s="12" t="e">
        <f t="shared" si="1"/>
        <v>#DIV/0!</v>
      </c>
    </row>
    <row r="18" spans="5:9" x14ac:dyDescent="0.25">
      <c r="E18" s="9" t="s">
        <v>30</v>
      </c>
      <c r="F18" s="10">
        <v>530</v>
      </c>
      <c r="G18" s="4">
        <v>49</v>
      </c>
      <c r="H18" s="11">
        <f>+F18*G18/100</f>
        <v>259.7</v>
      </c>
      <c r="I18" s="12" t="e">
        <f t="shared" si="1"/>
        <v>#DIV/0!</v>
      </c>
    </row>
    <row r="19" spans="5:9" x14ac:dyDescent="0.25">
      <c r="E19" s="254"/>
      <c r="F19" s="255"/>
      <c r="G19" s="4"/>
      <c r="H19" s="256"/>
      <c r="I19" s="257"/>
    </row>
    <row r="20" spans="5:9" x14ac:dyDescent="0.25">
      <c r="E20" s="254"/>
      <c r="F20" s="255"/>
      <c r="G20" s="4"/>
      <c r="H20" s="256"/>
      <c r="I20" s="257"/>
    </row>
    <row r="21" spans="5:9" ht="15.75" thickBot="1" x14ac:dyDescent="0.3">
      <c r="E21" s="18" t="s">
        <v>32</v>
      </c>
      <c r="F21" s="19">
        <f>SUM(F4:F18)</f>
        <v>4408</v>
      </c>
      <c r="G21" s="20"/>
      <c r="H21" s="21">
        <f>SUM(H4:H18)</f>
        <v>2064.58</v>
      </c>
      <c r="I21" s="21" t="e">
        <f>SUM(I4:I18)</f>
        <v>#DIV/0!</v>
      </c>
    </row>
    <row r="22" spans="5:9" ht="15.75" thickTop="1" x14ac:dyDescent="0.25"/>
  </sheetData>
  <mergeCells count="1">
    <mergeCell ref="E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8"/>
  <sheetViews>
    <sheetView workbookViewId="0">
      <selection activeCell="B15" sqref="B15"/>
    </sheetView>
  </sheetViews>
  <sheetFormatPr defaultRowHeight="15" x14ac:dyDescent="0.25"/>
  <cols>
    <col min="1" max="1" width="5.85546875" customWidth="1"/>
    <col min="2" max="2" width="72.140625" customWidth="1"/>
  </cols>
  <sheetData>
    <row r="3" spans="2:2" ht="23.25" x14ac:dyDescent="0.35">
      <c r="B3" s="416" t="s">
        <v>303</v>
      </c>
    </row>
    <row r="4" spans="2:2" ht="26.25" x14ac:dyDescent="0.4">
      <c r="B4" s="415" t="s">
        <v>299</v>
      </c>
    </row>
    <row r="5" spans="2:2" ht="26.25" x14ac:dyDescent="0.4">
      <c r="B5" s="415" t="s">
        <v>300</v>
      </c>
    </row>
    <row r="6" spans="2:2" ht="26.25" x14ac:dyDescent="0.4">
      <c r="B6" s="415" t="s">
        <v>302</v>
      </c>
    </row>
    <row r="7" spans="2:2" ht="26.25" x14ac:dyDescent="0.4">
      <c r="B7" s="415" t="s">
        <v>301</v>
      </c>
    </row>
    <row r="9" spans="2:2" s="414" customFormat="1" x14ac:dyDescent="0.25"/>
    <row r="10" spans="2:2" s="414" customFormat="1" x14ac:dyDescent="0.25"/>
    <row r="14" spans="2:2" ht="26.25" x14ac:dyDescent="0.4">
      <c r="B14" s="417" t="s">
        <v>304</v>
      </c>
    </row>
    <row r="15" spans="2:2" ht="26.25" x14ac:dyDescent="0.4">
      <c r="B15" s="415" t="s">
        <v>305</v>
      </c>
    </row>
    <row r="16" spans="2:2" ht="26.25" x14ac:dyDescent="0.4">
      <c r="B16" s="415" t="s">
        <v>306</v>
      </c>
    </row>
    <row r="17" spans="2:2" ht="26.25" x14ac:dyDescent="0.4">
      <c r="B17" s="415" t="s">
        <v>307</v>
      </c>
    </row>
    <row r="18" spans="2:2" ht="26.25" x14ac:dyDescent="0.4">
      <c r="B18" s="415" t="s">
        <v>308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6" sqref="L16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workbookViewId="0">
      <selection activeCell="C26" sqref="C26"/>
    </sheetView>
  </sheetViews>
  <sheetFormatPr defaultRowHeight="15" x14ac:dyDescent="0.25"/>
  <cols>
    <col min="1" max="1" width="35.7109375" bestFit="1" customWidth="1"/>
    <col min="2" max="2" width="10.7109375" style="405" customWidth="1"/>
    <col min="3" max="3" width="11.5703125" customWidth="1"/>
    <col min="4" max="4" width="11.5703125" style="405" customWidth="1"/>
    <col min="5" max="5" width="9.85546875" hidden="1" customWidth="1"/>
    <col min="6" max="6" width="7.7109375" hidden="1" customWidth="1"/>
    <col min="7" max="7" width="6.28515625" hidden="1" customWidth="1"/>
    <col min="8" max="8" width="7.5703125" customWidth="1"/>
    <col min="9" max="9" width="35.140625" bestFit="1" customWidth="1"/>
    <col min="11" max="11" width="9.140625" hidden="1" customWidth="1"/>
    <col min="12" max="12" width="10.5703125" hidden="1" customWidth="1"/>
    <col min="13" max="13" width="9.5703125" hidden="1" customWidth="1"/>
  </cols>
  <sheetData>
    <row r="2" spans="1:13" ht="21" x14ac:dyDescent="0.35">
      <c r="A2" s="472" t="s">
        <v>276</v>
      </c>
      <c r="B2" s="472"/>
      <c r="C2" s="472"/>
      <c r="D2" s="472"/>
      <c r="E2" s="412"/>
      <c r="F2" s="412"/>
      <c r="G2" s="412"/>
      <c r="H2" s="412"/>
      <c r="I2" s="412"/>
      <c r="J2" s="412"/>
    </row>
    <row r="3" spans="1:13" x14ac:dyDescent="0.25">
      <c r="I3" s="403"/>
      <c r="J3" s="403"/>
      <c r="K3" s="403"/>
      <c r="L3" s="403"/>
      <c r="M3" s="403"/>
    </row>
    <row r="4" spans="1:13" ht="23.25" x14ac:dyDescent="0.35">
      <c r="A4" s="410" t="s">
        <v>0</v>
      </c>
      <c r="B4" s="411" t="s">
        <v>277</v>
      </c>
      <c r="C4" s="411" t="s">
        <v>278</v>
      </c>
      <c r="D4" s="411" t="s">
        <v>198</v>
      </c>
      <c r="E4" s="410"/>
      <c r="F4" s="410"/>
      <c r="G4" s="410"/>
      <c r="I4" s="471" t="s">
        <v>275</v>
      </c>
      <c r="J4" s="471"/>
      <c r="K4" s="471"/>
      <c r="L4" s="471"/>
      <c r="M4" s="471"/>
    </row>
    <row r="5" spans="1:13" x14ac:dyDescent="0.25">
      <c r="A5" s="250" t="s">
        <v>3</v>
      </c>
      <c r="B5" s="251" t="s">
        <v>4</v>
      </c>
      <c r="C5" s="251" t="s">
        <v>4</v>
      </c>
      <c r="D5" s="251" t="s">
        <v>4</v>
      </c>
      <c r="E5" s="252"/>
      <c r="F5" s="252" t="s">
        <v>5</v>
      </c>
      <c r="G5" s="251" t="s">
        <v>6</v>
      </c>
      <c r="I5" s="250" t="s">
        <v>3</v>
      </c>
      <c r="J5" s="251" t="s">
        <v>4</v>
      </c>
      <c r="K5" s="252"/>
      <c r="L5" s="252" t="s">
        <v>5</v>
      </c>
      <c r="M5" s="250" t="s">
        <v>7</v>
      </c>
    </row>
    <row r="6" spans="1:13" x14ac:dyDescent="0.25">
      <c r="A6" s="250" t="s">
        <v>248</v>
      </c>
      <c r="B6" s="251">
        <v>623</v>
      </c>
      <c r="C6" s="252">
        <v>673</v>
      </c>
      <c r="D6" s="252">
        <f>B6-C6</f>
        <v>-50</v>
      </c>
      <c r="E6" s="252">
        <v>50</v>
      </c>
      <c r="F6" s="253">
        <f t="shared" ref="F6:F19" si="0">+C6*E6/100</f>
        <v>336.5</v>
      </c>
      <c r="G6" s="406" t="e">
        <f t="shared" ref="G6:G21" si="1">(F6*100)/$E$22</f>
        <v>#DIV/0!</v>
      </c>
      <c r="I6" s="250" t="s">
        <v>248</v>
      </c>
      <c r="J6" s="149">
        <v>673</v>
      </c>
      <c r="K6" s="252">
        <v>50</v>
      </c>
      <c r="L6" s="253">
        <f>+J6*K6/100</f>
        <v>336.5</v>
      </c>
      <c r="M6" s="408" t="e">
        <f>+L6/$P$22*100</f>
        <v>#DIV/0!</v>
      </c>
    </row>
    <row r="7" spans="1:13" x14ac:dyDescent="0.25">
      <c r="A7" s="250" t="s">
        <v>11</v>
      </c>
      <c r="B7" s="251">
        <v>0</v>
      </c>
      <c r="C7" s="252">
        <v>150</v>
      </c>
      <c r="D7" s="252">
        <f t="shared" ref="D7:D23" si="2">B7-C7</f>
        <v>-150</v>
      </c>
      <c r="E7" s="252">
        <v>30</v>
      </c>
      <c r="F7" s="253">
        <f>+C7*E7/100</f>
        <v>45</v>
      </c>
      <c r="G7" s="406" t="e">
        <f t="shared" si="1"/>
        <v>#DIV/0!</v>
      </c>
      <c r="I7" s="317" t="s">
        <v>12</v>
      </c>
      <c r="J7" s="149">
        <v>150</v>
      </c>
      <c r="K7" s="252">
        <v>30</v>
      </c>
      <c r="L7" s="253">
        <f t="shared" ref="L7:L20" si="3">+J7*K7/100</f>
        <v>45</v>
      </c>
      <c r="M7" s="408" t="e">
        <f>+L7/$P$22*100</f>
        <v>#DIV/0!</v>
      </c>
    </row>
    <row r="8" spans="1:13" x14ac:dyDescent="0.25">
      <c r="A8" s="404" t="s">
        <v>269</v>
      </c>
      <c r="B8" s="251">
        <v>309</v>
      </c>
      <c r="C8" s="252">
        <v>920</v>
      </c>
      <c r="D8" s="252">
        <f t="shared" si="2"/>
        <v>-611</v>
      </c>
      <c r="E8" s="252"/>
      <c r="F8" s="253">
        <f>+C8*0.5</f>
        <v>460</v>
      </c>
      <c r="G8" s="406" t="e">
        <f t="shared" si="1"/>
        <v>#DIV/0!</v>
      </c>
      <c r="I8" s="404" t="s">
        <v>269</v>
      </c>
      <c r="J8" s="149">
        <v>920</v>
      </c>
      <c r="K8" s="252">
        <v>50</v>
      </c>
      <c r="L8" s="253">
        <f>+J8*K8/100</f>
        <v>460</v>
      </c>
      <c r="M8" s="408" t="e">
        <f>+L8/$P$22*100</f>
        <v>#DIV/0!</v>
      </c>
    </row>
    <row r="9" spans="1:13" x14ac:dyDescent="0.25">
      <c r="A9" s="121" t="s">
        <v>14</v>
      </c>
      <c r="B9" s="251">
        <v>89</v>
      </c>
      <c r="C9" s="252">
        <v>0</v>
      </c>
      <c r="D9" s="252">
        <f t="shared" si="2"/>
        <v>89</v>
      </c>
      <c r="E9" s="252">
        <v>50</v>
      </c>
      <c r="F9" s="253">
        <f t="shared" si="0"/>
        <v>0</v>
      </c>
      <c r="G9" s="406" t="e">
        <f t="shared" si="1"/>
        <v>#DIV/0!</v>
      </c>
      <c r="I9" s="317" t="s">
        <v>14</v>
      </c>
      <c r="J9" s="149">
        <v>0</v>
      </c>
      <c r="K9" s="252">
        <v>50</v>
      </c>
      <c r="L9" s="253">
        <f t="shared" si="3"/>
        <v>0</v>
      </c>
      <c r="M9" s="408" t="e">
        <f t="shared" ref="M9:M21" si="4">+L9/$P$22*100</f>
        <v>#DIV/0!</v>
      </c>
    </row>
    <row r="10" spans="1:13" x14ac:dyDescent="0.25">
      <c r="A10" s="250" t="s">
        <v>15</v>
      </c>
      <c r="B10" s="251">
        <v>14</v>
      </c>
      <c r="C10" s="252">
        <v>210</v>
      </c>
      <c r="D10" s="252">
        <f t="shared" si="2"/>
        <v>-196</v>
      </c>
      <c r="E10" s="252">
        <v>50</v>
      </c>
      <c r="F10" s="253">
        <f t="shared" si="0"/>
        <v>105</v>
      </c>
      <c r="G10" s="406" t="e">
        <f t="shared" si="1"/>
        <v>#DIV/0!</v>
      </c>
      <c r="I10" s="404" t="s">
        <v>165</v>
      </c>
      <c r="J10" s="149">
        <v>210</v>
      </c>
      <c r="K10" s="252">
        <v>50</v>
      </c>
      <c r="L10" s="253">
        <f t="shared" si="3"/>
        <v>105</v>
      </c>
      <c r="M10" s="408" t="e">
        <f t="shared" si="4"/>
        <v>#DIV/0!</v>
      </c>
    </row>
    <row r="11" spans="1:13" x14ac:dyDescent="0.25">
      <c r="A11" s="250" t="s">
        <v>16</v>
      </c>
      <c r="B11" s="251">
        <v>140</v>
      </c>
      <c r="C11" s="252">
        <v>270</v>
      </c>
      <c r="D11" s="252">
        <f t="shared" si="2"/>
        <v>-130</v>
      </c>
      <c r="E11" s="252">
        <v>30</v>
      </c>
      <c r="F11" s="253">
        <f t="shared" si="0"/>
        <v>81</v>
      </c>
      <c r="G11" s="406" t="e">
        <f t="shared" si="1"/>
        <v>#DIV/0!</v>
      </c>
      <c r="I11" s="404" t="s">
        <v>17</v>
      </c>
      <c r="J11" s="149">
        <v>270</v>
      </c>
      <c r="K11" s="252">
        <v>30</v>
      </c>
      <c r="L11" s="253">
        <f t="shared" si="3"/>
        <v>81</v>
      </c>
      <c r="M11" s="408" t="e">
        <f t="shared" si="4"/>
        <v>#DIV/0!</v>
      </c>
    </row>
    <row r="12" spans="1:13" x14ac:dyDescent="0.25">
      <c r="A12" s="250" t="s">
        <v>18</v>
      </c>
      <c r="B12" s="251">
        <v>292</v>
      </c>
      <c r="C12" s="252">
        <v>20</v>
      </c>
      <c r="D12" s="252">
        <f t="shared" si="2"/>
        <v>272</v>
      </c>
      <c r="E12" s="252">
        <v>50</v>
      </c>
      <c r="F12" s="253">
        <f t="shared" si="0"/>
        <v>10</v>
      </c>
      <c r="G12" s="406" t="e">
        <f t="shared" si="1"/>
        <v>#DIV/0!</v>
      </c>
      <c r="I12" s="317" t="s">
        <v>19</v>
      </c>
      <c r="J12" s="149">
        <v>20</v>
      </c>
      <c r="K12" s="252">
        <v>50</v>
      </c>
      <c r="L12" s="253">
        <f t="shared" si="3"/>
        <v>10</v>
      </c>
      <c r="M12" s="408" t="e">
        <f t="shared" si="4"/>
        <v>#DIV/0!</v>
      </c>
    </row>
    <row r="13" spans="1:13" x14ac:dyDescent="0.25">
      <c r="A13" s="250" t="s">
        <v>20</v>
      </c>
      <c r="B13" s="251">
        <v>111</v>
      </c>
      <c r="C13" s="252">
        <v>0</v>
      </c>
      <c r="D13" s="252">
        <f t="shared" si="2"/>
        <v>111</v>
      </c>
      <c r="E13" s="252">
        <v>30</v>
      </c>
      <c r="F13" s="253">
        <f t="shared" si="0"/>
        <v>0</v>
      </c>
      <c r="G13" s="406" t="e">
        <f t="shared" si="1"/>
        <v>#DIV/0!</v>
      </c>
      <c r="I13" s="317" t="s">
        <v>21</v>
      </c>
      <c r="J13" s="149">
        <v>0</v>
      </c>
      <c r="K13" s="252">
        <v>30</v>
      </c>
      <c r="L13" s="253">
        <f t="shared" si="3"/>
        <v>0</v>
      </c>
      <c r="M13" s="408" t="e">
        <f t="shared" si="4"/>
        <v>#DIV/0!</v>
      </c>
    </row>
    <row r="14" spans="1:13" x14ac:dyDescent="0.25">
      <c r="A14" s="317" t="s">
        <v>23</v>
      </c>
      <c r="B14" s="251">
        <v>1</v>
      </c>
      <c r="C14" s="252">
        <v>0</v>
      </c>
      <c r="D14" s="252">
        <f t="shared" si="2"/>
        <v>1</v>
      </c>
      <c r="E14" s="252">
        <v>50</v>
      </c>
      <c r="F14" s="253">
        <f t="shared" si="0"/>
        <v>0</v>
      </c>
      <c r="G14" s="406" t="e">
        <f t="shared" si="1"/>
        <v>#DIV/0!</v>
      </c>
      <c r="I14" s="317" t="s">
        <v>23</v>
      </c>
      <c r="J14" s="149">
        <v>0</v>
      </c>
      <c r="K14" s="252">
        <v>50</v>
      </c>
      <c r="L14" s="253">
        <f t="shared" si="3"/>
        <v>0</v>
      </c>
      <c r="M14" s="408" t="e">
        <f t="shared" si="4"/>
        <v>#DIV/0!</v>
      </c>
    </row>
    <row r="15" spans="1:13" x14ac:dyDescent="0.25">
      <c r="A15" s="250" t="s">
        <v>24</v>
      </c>
      <c r="B15" s="251">
        <v>0</v>
      </c>
      <c r="C15" s="252"/>
      <c r="D15" s="252">
        <f t="shared" si="2"/>
        <v>0</v>
      </c>
      <c r="E15" s="252">
        <v>50</v>
      </c>
      <c r="F15" s="253">
        <f t="shared" si="0"/>
        <v>0</v>
      </c>
      <c r="G15" s="406" t="e">
        <f t="shared" si="1"/>
        <v>#DIV/0!</v>
      </c>
      <c r="I15" s="317" t="s">
        <v>24</v>
      </c>
      <c r="J15" s="149"/>
      <c r="K15" s="252">
        <v>50</v>
      </c>
      <c r="L15" s="253">
        <f t="shared" si="3"/>
        <v>0</v>
      </c>
      <c r="M15" s="408" t="e">
        <f t="shared" si="4"/>
        <v>#DIV/0!</v>
      </c>
    </row>
    <row r="16" spans="1:13" x14ac:dyDescent="0.25">
      <c r="A16" s="250" t="s">
        <v>25</v>
      </c>
      <c r="B16" s="251">
        <v>0</v>
      </c>
      <c r="C16" s="252"/>
      <c r="D16" s="252">
        <f t="shared" si="2"/>
        <v>0</v>
      </c>
      <c r="E16" s="252">
        <v>30</v>
      </c>
      <c r="F16" s="253">
        <f t="shared" si="0"/>
        <v>0</v>
      </c>
      <c r="G16" s="406" t="e">
        <f t="shared" si="1"/>
        <v>#DIV/0!</v>
      </c>
      <c r="I16" s="317" t="s">
        <v>25</v>
      </c>
      <c r="J16" s="149"/>
      <c r="K16" s="252">
        <v>30</v>
      </c>
      <c r="L16" s="253">
        <f t="shared" si="3"/>
        <v>0</v>
      </c>
      <c r="M16" s="408" t="e">
        <f t="shared" si="4"/>
        <v>#DIV/0!</v>
      </c>
    </row>
    <row r="17" spans="1:13" x14ac:dyDescent="0.25">
      <c r="A17" s="250" t="s">
        <v>257</v>
      </c>
      <c r="B17" s="251">
        <v>0</v>
      </c>
      <c r="C17" s="252"/>
      <c r="D17" s="252">
        <f t="shared" si="2"/>
        <v>0</v>
      </c>
      <c r="E17" s="252">
        <v>40</v>
      </c>
      <c r="F17" s="253">
        <f t="shared" si="0"/>
        <v>0</v>
      </c>
      <c r="G17" s="406" t="e">
        <f t="shared" si="1"/>
        <v>#DIV/0!</v>
      </c>
      <c r="I17" s="250" t="s">
        <v>257</v>
      </c>
      <c r="J17" s="149"/>
      <c r="K17" s="252">
        <v>5</v>
      </c>
      <c r="L17" s="253">
        <f t="shared" si="3"/>
        <v>0</v>
      </c>
      <c r="M17" s="408" t="e">
        <f t="shared" si="4"/>
        <v>#DIV/0!</v>
      </c>
    </row>
    <row r="18" spans="1:13" x14ac:dyDescent="0.25">
      <c r="A18" s="250" t="s">
        <v>129</v>
      </c>
      <c r="B18" s="251">
        <v>229</v>
      </c>
      <c r="C18" s="252">
        <v>200</v>
      </c>
      <c r="D18" s="252">
        <f t="shared" si="2"/>
        <v>29</v>
      </c>
      <c r="E18" s="407">
        <v>39</v>
      </c>
      <c r="F18" s="253">
        <f>+C18*E18/100</f>
        <v>78</v>
      </c>
      <c r="G18" s="406" t="e">
        <f t="shared" si="1"/>
        <v>#DIV/0!</v>
      </c>
      <c r="I18" s="250" t="s">
        <v>129</v>
      </c>
      <c r="J18" s="149">
        <v>200</v>
      </c>
      <c r="K18" s="252">
        <v>39</v>
      </c>
      <c r="L18" s="253">
        <f t="shared" si="3"/>
        <v>78</v>
      </c>
      <c r="M18" s="408" t="e">
        <f>+L18/$P$22*100</f>
        <v>#DIV/0!</v>
      </c>
    </row>
    <row r="19" spans="1:13" x14ac:dyDescent="0.25">
      <c r="A19" s="317" t="s">
        <v>29</v>
      </c>
      <c r="B19" s="251">
        <v>2167</v>
      </c>
      <c r="C19" s="252">
        <v>0</v>
      </c>
      <c r="D19" s="252">
        <f t="shared" si="2"/>
        <v>2167</v>
      </c>
      <c r="E19" s="252">
        <v>49</v>
      </c>
      <c r="F19" s="253">
        <f t="shared" si="0"/>
        <v>0</v>
      </c>
      <c r="G19" s="406" t="e">
        <f t="shared" si="1"/>
        <v>#DIV/0!</v>
      </c>
      <c r="I19" s="317" t="s">
        <v>29</v>
      </c>
      <c r="J19" s="149">
        <v>0</v>
      </c>
      <c r="K19" s="252">
        <v>49</v>
      </c>
      <c r="L19" s="253">
        <f t="shared" si="3"/>
        <v>0</v>
      </c>
      <c r="M19" s="408" t="e">
        <f t="shared" si="4"/>
        <v>#DIV/0!</v>
      </c>
    </row>
    <row r="20" spans="1:13" x14ac:dyDescent="0.25">
      <c r="A20" s="250" t="s">
        <v>30</v>
      </c>
      <c r="B20" s="251">
        <v>1215</v>
      </c>
      <c r="C20" s="252">
        <v>0</v>
      </c>
      <c r="D20" s="252">
        <f t="shared" si="2"/>
        <v>1215</v>
      </c>
      <c r="E20" s="252">
        <v>49</v>
      </c>
      <c r="F20" s="253">
        <f>+C20*E20/100</f>
        <v>0</v>
      </c>
      <c r="G20" s="406" t="e">
        <f t="shared" si="1"/>
        <v>#DIV/0!</v>
      </c>
      <c r="I20" s="317" t="s">
        <v>31</v>
      </c>
      <c r="J20" s="149">
        <v>0</v>
      </c>
      <c r="K20" s="252">
        <v>49</v>
      </c>
      <c r="L20" s="253">
        <f t="shared" si="3"/>
        <v>0</v>
      </c>
      <c r="M20" s="408" t="e">
        <f t="shared" si="4"/>
        <v>#DIV/0!</v>
      </c>
    </row>
    <row r="21" spans="1:13" x14ac:dyDescent="0.25">
      <c r="A21" s="250" t="s">
        <v>130</v>
      </c>
      <c r="B21" s="251">
        <v>0</v>
      </c>
      <c r="C21" s="252">
        <v>0</v>
      </c>
      <c r="D21" s="252">
        <f t="shared" si="2"/>
        <v>0</v>
      </c>
      <c r="E21" s="252">
        <v>49</v>
      </c>
      <c r="F21" s="253">
        <f>+C21*E21/100</f>
        <v>0</v>
      </c>
      <c r="G21" s="406" t="e">
        <f t="shared" si="1"/>
        <v>#DIV/0!</v>
      </c>
      <c r="I21" s="250" t="s">
        <v>130</v>
      </c>
      <c r="J21" s="149">
        <v>0</v>
      </c>
      <c r="K21" s="252">
        <v>40</v>
      </c>
      <c r="L21" s="252">
        <f>+J21*0.4</f>
        <v>0</v>
      </c>
      <c r="M21" s="408" t="e">
        <f t="shared" si="4"/>
        <v>#DIV/0!</v>
      </c>
    </row>
    <row r="22" spans="1:13" x14ac:dyDescent="0.25">
      <c r="A22" s="250"/>
      <c r="B22" s="251"/>
      <c r="C22" s="252">
        <v>0</v>
      </c>
      <c r="D22" s="252">
        <f t="shared" si="2"/>
        <v>0</v>
      </c>
      <c r="E22" s="252"/>
      <c r="F22" s="253"/>
      <c r="G22" s="406"/>
      <c r="I22" s="132"/>
      <c r="J22" s="149">
        <v>0</v>
      </c>
      <c r="K22" s="252"/>
      <c r="L22" s="252"/>
      <c r="M22" s="408"/>
    </row>
    <row r="23" spans="1:13" x14ac:dyDescent="0.25">
      <c r="A23" s="250"/>
      <c r="B23" s="251"/>
      <c r="C23" s="252">
        <v>0</v>
      </c>
      <c r="D23" s="252">
        <f t="shared" si="2"/>
        <v>0</v>
      </c>
      <c r="E23" s="252"/>
      <c r="F23" s="253"/>
      <c r="G23" s="406"/>
      <c r="I23" s="250"/>
      <c r="J23" s="149">
        <v>0</v>
      </c>
      <c r="K23" s="252"/>
      <c r="L23" s="252"/>
      <c r="M23" s="408"/>
    </row>
    <row r="24" spans="1:13" x14ac:dyDescent="0.25">
      <c r="A24" s="149" t="s">
        <v>32</v>
      </c>
      <c r="B24" s="251">
        <f>SUM(B6:B21)</f>
        <v>5190</v>
      </c>
      <c r="C24" s="251">
        <f>SUM(C6:C21)</f>
        <v>2443</v>
      </c>
      <c r="D24" s="251"/>
      <c r="E24" s="251"/>
      <c r="F24" s="253">
        <f>SUM(F6:F21)</f>
        <v>1115.5</v>
      </c>
      <c r="G24" s="253" t="e">
        <f>SUM(G6:G21)</f>
        <v>#DIV/0!</v>
      </c>
      <c r="I24" s="149" t="s">
        <v>32</v>
      </c>
      <c r="J24" s="251">
        <f>SUM(J6:J21)</f>
        <v>2443</v>
      </c>
      <c r="K24" s="251"/>
      <c r="L24" s="251">
        <f>SUM(L6:L21)</f>
        <v>1115.5</v>
      </c>
      <c r="M24" s="409" t="e">
        <f>SUM(M6:M21)</f>
        <v>#DIV/0!</v>
      </c>
    </row>
  </sheetData>
  <mergeCells count="2">
    <mergeCell ref="I4:M4"/>
    <mergeCell ref="A2:D2"/>
  </mergeCells>
  <pageMargins left="0.19685039370078741" right="0.19685039370078741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0" sqref="F30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topLeftCell="A3" workbookViewId="0">
      <selection activeCell="E26" sqref="E26"/>
    </sheetView>
  </sheetViews>
  <sheetFormatPr defaultRowHeight="15" x14ac:dyDescent="0.25"/>
  <cols>
    <col min="2" max="2" width="26.7109375" customWidth="1"/>
  </cols>
  <sheetData>
    <row r="2" spans="2:16" ht="15.75" thickBot="1" x14ac:dyDescent="0.3"/>
    <row r="3" spans="2:16" ht="24" thickTop="1" x14ac:dyDescent="0.35">
      <c r="B3" s="313" t="s">
        <v>243</v>
      </c>
      <c r="C3" s="397"/>
      <c r="D3" s="397"/>
      <c r="E3" s="312"/>
      <c r="F3" s="1"/>
    </row>
    <row r="4" spans="2:16" x14ac:dyDescent="0.25">
      <c r="B4" s="2" t="s">
        <v>3</v>
      </c>
      <c r="C4" s="3" t="s">
        <v>4</v>
      </c>
      <c r="D4" s="5"/>
      <c r="E4" s="5" t="s">
        <v>5</v>
      </c>
      <c r="F4" s="358" t="s">
        <v>7</v>
      </c>
    </row>
    <row r="5" spans="2:16" x14ac:dyDescent="0.25">
      <c r="B5" s="9" t="s">
        <v>9</v>
      </c>
      <c r="C5" s="10">
        <v>0</v>
      </c>
      <c r="D5" s="13">
        <v>50</v>
      </c>
      <c r="E5" s="11">
        <f>C5*50/100</f>
        <v>0</v>
      </c>
      <c r="F5" s="357">
        <f>E5/E21*100</f>
        <v>0</v>
      </c>
    </row>
    <row r="6" spans="2:16" x14ac:dyDescent="0.25">
      <c r="B6" s="9" t="s">
        <v>11</v>
      </c>
      <c r="C6" s="10">
        <v>0</v>
      </c>
      <c r="D6" s="13">
        <v>30</v>
      </c>
      <c r="E6" s="11">
        <f>C6*30/100</f>
        <v>0</v>
      </c>
      <c r="F6" s="376">
        <f>E6/E21*100</f>
        <v>0</v>
      </c>
      <c r="K6" t="s">
        <v>270</v>
      </c>
      <c r="L6" t="s">
        <v>271</v>
      </c>
      <c r="M6" t="s">
        <v>272</v>
      </c>
    </row>
    <row r="7" spans="2:16" x14ac:dyDescent="0.25">
      <c r="B7" s="398" t="s">
        <v>269</v>
      </c>
      <c r="C7" s="10">
        <v>0</v>
      </c>
      <c r="D7" s="13">
        <v>50</v>
      </c>
      <c r="E7" s="11">
        <f>C7*50/100</f>
        <v>0</v>
      </c>
      <c r="F7" s="376">
        <f>E7/E21*100</f>
        <v>0</v>
      </c>
      <c r="J7">
        <v>16.12</v>
      </c>
      <c r="K7">
        <v>1274</v>
      </c>
      <c r="L7">
        <v>32</v>
      </c>
      <c r="M7">
        <v>649.48</v>
      </c>
    </row>
    <row r="8" spans="2:16" x14ac:dyDescent="0.25">
      <c r="B8" s="9" t="s">
        <v>13</v>
      </c>
      <c r="C8" s="10">
        <v>0</v>
      </c>
      <c r="D8" s="13">
        <v>50</v>
      </c>
      <c r="E8" s="11">
        <f>C8*50/100</f>
        <v>0</v>
      </c>
      <c r="F8" s="376">
        <f>E8/E21*100</f>
        <v>0</v>
      </c>
      <c r="J8">
        <v>17.12</v>
      </c>
      <c r="K8">
        <v>1495</v>
      </c>
      <c r="L8">
        <v>39</v>
      </c>
      <c r="M8">
        <v>762.32</v>
      </c>
    </row>
    <row r="9" spans="2:16" x14ac:dyDescent="0.25">
      <c r="B9" s="9" t="s">
        <v>15</v>
      </c>
      <c r="C9" s="10">
        <v>0</v>
      </c>
      <c r="D9" s="13">
        <v>50</v>
      </c>
      <c r="E9" s="11">
        <f>C9*50/100</f>
        <v>0</v>
      </c>
      <c r="F9" s="376">
        <f>E9/E21*100</f>
        <v>0</v>
      </c>
    </row>
    <row r="10" spans="2:16" x14ac:dyDescent="0.25">
      <c r="B10" s="9" t="s">
        <v>16</v>
      </c>
      <c r="C10" s="10">
        <v>0</v>
      </c>
      <c r="D10" s="13">
        <v>30</v>
      </c>
      <c r="E10" s="11">
        <f>C10*30/100</f>
        <v>0</v>
      </c>
      <c r="F10" s="376">
        <f>E10/E21*100</f>
        <v>0</v>
      </c>
      <c r="J10">
        <v>20.12</v>
      </c>
      <c r="K10">
        <v>985</v>
      </c>
      <c r="L10">
        <v>25</v>
      </c>
      <c r="M10">
        <v>502.25</v>
      </c>
    </row>
    <row r="11" spans="2:16" x14ac:dyDescent="0.25">
      <c r="B11" s="9" t="s">
        <v>24</v>
      </c>
      <c r="C11" s="10">
        <v>608</v>
      </c>
      <c r="D11" s="13">
        <v>50</v>
      </c>
      <c r="E11" s="11">
        <f>C11*50/100</f>
        <v>304</v>
      </c>
      <c r="F11" s="376">
        <f>E11/E21*100</f>
        <v>97.988653945332644</v>
      </c>
      <c r="J11">
        <v>22.12</v>
      </c>
      <c r="K11">
        <v>880</v>
      </c>
      <c r="L11">
        <v>22</v>
      </c>
      <c r="M11">
        <v>448.48</v>
      </c>
      <c r="N11">
        <f>M11+M10</f>
        <v>950.73</v>
      </c>
      <c r="O11">
        <v>950</v>
      </c>
      <c r="P11">
        <f>N11-O11</f>
        <v>0.73000000000001819</v>
      </c>
    </row>
    <row r="12" spans="2:16" x14ac:dyDescent="0.25">
      <c r="B12" s="9" t="s">
        <v>20</v>
      </c>
      <c r="C12" s="10">
        <v>0</v>
      </c>
      <c r="D12" s="13">
        <v>30</v>
      </c>
      <c r="E12" s="11">
        <f>C12*30/100</f>
        <v>0</v>
      </c>
      <c r="F12" s="376">
        <f>E12/E21*100</f>
        <v>0</v>
      </c>
      <c r="J12">
        <v>23.12</v>
      </c>
      <c r="K12">
        <v>434</v>
      </c>
      <c r="L12">
        <v>11</v>
      </c>
      <c r="M12">
        <v>221.29</v>
      </c>
    </row>
    <row r="13" spans="2:16" x14ac:dyDescent="0.25">
      <c r="B13" s="9" t="s">
        <v>22</v>
      </c>
      <c r="C13" s="10">
        <v>0</v>
      </c>
      <c r="D13" s="13">
        <v>50</v>
      </c>
      <c r="E13" s="11">
        <f>C13*50/100</f>
        <v>0</v>
      </c>
      <c r="F13" s="376">
        <f>E13/E21*100</f>
        <v>0</v>
      </c>
    </row>
    <row r="14" spans="2:16" x14ac:dyDescent="0.25">
      <c r="B14" s="9" t="s">
        <v>24</v>
      </c>
      <c r="C14" s="10">
        <v>0</v>
      </c>
      <c r="D14" s="13">
        <v>50</v>
      </c>
      <c r="E14" s="11">
        <f>C14*50/100</f>
        <v>0</v>
      </c>
      <c r="F14" s="376">
        <v>0</v>
      </c>
      <c r="J14" s="396">
        <v>28.12</v>
      </c>
      <c r="K14" s="396">
        <v>1285</v>
      </c>
      <c r="L14" s="396">
        <v>33</v>
      </c>
      <c r="M14" s="396">
        <v>655.37</v>
      </c>
    </row>
    <row r="15" spans="2:16" x14ac:dyDescent="0.25">
      <c r="B15" s="9" t="s">
        <v>25</v>
      </c>
      <c r="C15" s="10">
        <v>0</v>
      </c>
      <c r="D15" s="13">
        <v>30</v>
      </c>
      <c r="E15" s="11">
        <v>0</v>
      </c>
      <c r="F15" s="376">
        <v>0</v>
      </c>
      <c r="J15" s="396">
        <v>29.12</v>
      </c>
      <c r="K15" s="396">
        <v>970</v>
      </c>
      <c r="L15" s="396">
        <v>25</v>
      </c>
      <c r="M15" s="396">
        <v>494.75</v>
      </c>
    </row>
    <row r="16" spans="2:16" x14ac:dyDescent="0.25">
      <c r="B16" s="101" t="s">
        <v>258</v>
      </c>
      <c r="C16" s="10">
        <v>0</v>
      </c>
      <c r="D16" s="13">
        <v>40</v>
      </c>
      <c r="E16" s="11">
        <f>C16*40/100</f>
        <v>0</v>
      </c>
      <c r="F16" s="376">
        <f>E16/E21*100</f>
        <v>0</v>
      </c>
      <c r="J16" s="396">
        <v>29.12</v>
      </c>
      <c r="K16" s="396"/>
      <c r="L16" s="396"/>
      <c r="M16" s="396"/>
    </row>
    <row r="17" spans="2:18" x14ac:dyDescent="0.25">
      <c r="B17" s="9" t="s">
        <v>129</v>
      </c>
      <c r="C17" s="10">
        <v>16</v>
      </c>
      <c r="D17" s="13">
        <v>39</v>
      </c>
      <c r="E17" s="11">
        <f>C17*39/100</f>
        <v>6.24</v>
      </c>
      <c r="F17" s="376">
        <f>E17/E21*100</f>
        <v>2.0113460546673543</v>
      </c>
      <c r="J17">
        <v>30.12</v>
      </c>
      <c r="K17">
        <v>1350</v>
      </c>
      <c r="L17">
        <v>35</v>
      </c>
      <c r="M17">
        <v>688.65</v>
      </c>
    </row>
    <row r="18" spans="2:18" x14ac:dyDescent="0.25">
      <c r="B18" s="9" t="s">
        <v>28</v>
      </c>
      <c r="C18" s="10">
        <v>0</v>
      </c>
      <c r="D18" s="13">
        <v>49</v>
      </c>
      <c r="E18" s="11">
        <f>C18*49/100</f>
        <v>0</v>
      </c>
      <c r="F18" s="376">
        <f>E18/E21*100</f>
        <v>0</v>
      </c>
      <c r="J18">
        <v>31.12</v>
      </c>
      <c r="K18">
        <v>970</v>
      </c>
      <c r="L18">
        <v>25</v>
      </c>
      <c r="M18">
        <v>494.75</v>
      </c>
    </row>
    <row r="19" spans="2:18" x14ac:dyDescent="0.25">
      <c r="B19" s="9" t="s">
        <v>30</v>
      </c>
      <c r="C19" s="10">
        <v>0</v>
      </c>
      <c r="D19" s="13">
        <v>49</v>
      </c>
      <c r="E19" s="11">
        <f>C19*49/100</f>
        <v>0</v>
      </c>
      <c r="F19" s="376">
        <f>E19/E21*100</f>
        <v>0</v>
      </c>
      <c r="J19">
        <v>1.1000000000000001</v>
      </c>
      <c r="K19">
        <v>866</v>
      </c>
      <c r="L19">
        <v>21</v>
      </c>
      <c r="M19">
        <v>441.19</v>
      </c>
      <c r="P19">
        <v>778</v>
      </c>
      <c r="Q19">
        <v>31</v>
      </c>
      <c r="R19">
        <v>401</v>
      </c>
    </row>
    <row r="20" spans="2:18" x14ac:dyDescent="0.25">
      <c r="B20" s="9" t="s">
        <v>131</v>
      </c>
      <c r="C20" s="10">
        <v>0</v>
      </c>
      <c r="D20" s="13">
        <v>49</v>
      </c>
      <c r="E20" s="11">
        <f>C20*49/100</f>
        <v>0</v>
      </c>
      <c r="F20" s="29">
        <f>E20/E21*100</f>
        <v>0</v>
      </c>
      <c r="O20" s="396">
        <v>23.12</v>
      </c>
      <c r="P20">
        <v>424</v>
      </c>
      <c r="Q20">
        <v>11</v>
      </c>
      <c r="R20">
        <v>221.29</v>
      </c>
    </row>
    <row r="21" spans="2:18" ht="15.75" thickBot="1" x14ac:dyDescent="0.3">
      <c r="B21" s="18" t="s">
        <v>32</v>
      </c>
      <c r="C21" s="19">
        <f>SUM(C5:C20)</f>
        <v>624</v>
      </c>
      <c r="D21" s="19"/>
      <c r="E21" s="19">
        <f>SUM(E5:E20)</f>
        <v>310.24</v>
      </c>
      <c r="F21" s="103">
        <f>SUM(F5:F20)</f>
        <v>100</v>
      </c>
      <c r="P21">
        <f>SUM(P19:P20)</f>
        <v>1202</v>
      </c>
      <c r="Q21">
        <f>SUM(Q19:Q20)</f>
        <v>42</v>
      </c>
      <c r="R21">
        <f>SUM(R19:R20)</f>
        <v>622.29</v>
      </c>
    </row>
    <row r="22" spans="2:18" ht="15.75" thickTop="1" x14ac:dyDescent="0.25">
      <c r="K22">
        <v>608</v>
      </c>
      <c r="L22">
        <v>16</v>
      </c>
      <c r="M22">
        <v>310.24</v>
      </c>
    </row>
    <row r="23" spans="2:18" x14ac:dyDescent="0.25">
      <c r="J23">
        <v>16.12</v>
      </c>
      <c r="K23">
        <v>1274</v>
      </c>
      <c r="L23">
        <v>32</v>
      </c>
      <c r="M23">
        <v>649.48</v>
      </c>
    </row>
    <row r="24" spans="2:18" x14ac:dyDescent="0.25">
      <c r="K24">
        <f>SUM(K22:K23)</f>
        <v>1882</v>
      </c>
      <c r="L24">
        <f>SUM(L22:L23)</f>
        <v>48</v>
      </c>
      <c r="M24">
        <f>SUM(M22:M23)</f>
        <v>959.72</v>
      </c>
    </row>
    <row r="25" spans="2:18" x14ac:dyDescent="0.25">
      <c r="P25">
        <v>699</v>
      </c>
      <c r="Q25">
        <v>24</v>
      </c>
      <c r="R25">
        <v>359</v>
      </c>
    </row>
    <row r="26" spans="2:18" x14ac:dyDescent="0.25">
      <c r="K26">
        <v>598</v>
      </c>
      <c r="L26">
        <v>15</v>
      </c>
      <c r="M26">
        <v>304.85000000000002</v>
      </c>
      <c r="O26" s="396">
        <v>28.12</v>
      </c>
      <c r="P26">
        <v>1285</v>
      </c>
      <c r="Q26">
        <v>33</v>
      </c>
      <c r="R26">
        <v>655.37</v>
      </c>
    </row>
    <row r="27" spans="2:18" x14ac:dyDescent="0.25">
      <c r="J27">
        <v>17.12</v>
      </c>
      <c r="K27">
        <v>1495</v>
      </c>
      <c r="L27">
        <v>39</v>
      </c>
      <c r="M27">
        <v>762.32</v>
      </c>
      <c r="P27">
        <f>SUM(P25:P26)</f>
        <v>1984</v>
      </c>
      <c r="Q27">
        <f>SUM(Q25:Q26)</f>
        <v>57</v>
      </c>
      <c r="R27">
        <f>SUM(R25:R26)</f>
        <v>1014.37</v>
      </c>
    </row>
    <row r="28" spans="2:18" x14ac:dyDescent="0.25">
      <c r="K28">
        <f>SUM(K26:K27)</f>
        <v>2093</v>
      </c>
      <c r="L28">
        <f>SUM(L26:L27)</f>
        <v>54</v>
      </c>
      <c r="M28">
        <f>SUM(M26:M27)</f>
        <v>1067.17</v>
      </c>
    </row>
    <row r="29" spans="2:18" x14ac:dyDescent="0.25">
      <c r="P29">
        <v>818</v>
      </c>
      <c r="Q29">
        <v>26</v>
      </c>
      <c r="R29">
        <v>419</v>
      </c>
    </row>
    <row r="30" spans="2:18" x14ac:dyDescent="0.25">
      <c r="O30">
        <v>29.12</v>
      </c>
      <c r="P30">
        <v>970</v>
      </c>
      <c r="Q30">
        <v>25</v>
      </c>
      <c r="R30">
        <v>494.75</v>
      </c>
    </row>
    <row r="31" spans="2:18" x14ac:dyDescent="0.25">
      <c r="K31">
        <v>825</v>
      </c>
      <c r="L31">
        <v>26</v>
      </c>
      <c r="M31">
        <v>421</v>
      </c>
      <c r="P31">
        <f>SUM(P29:P30)</f>
        <v>1788</v>
      </c>
      <c r="Q31">
        <f>SUM(Q29:Q30)</f>
        <v>51</v>
      </c>
      <c r="R31">
        <f>SUM(R29:R30)</f>
        <v>913.75</v>
      </c>
    </row>
    <row r="32" spans="2:18" x14ac:dyDescent="0.25">
      <c r="J32">
        <v>22.12</v>
      </c>
      <c r="K32">
        <v>880</v>
      </c>
      <c r="L32">
        <v>22</v>
      </c>
      <c r="M32">
        <v>448.48</v>
      </c>
    </row>
    <row r="33" spans="11:18" x14ac:dyDescent="0.25">
      <c r="K33">
        <f>SUM(K31:K32)</f>
        <v>1705</v>
      </c>
      <c r="L33">
        <f>SUM(L31:L32)</f>
        <v>48</v>
      </c>
      <c r="M33">
        <f>SUM(M31:M32)</f>
        <v>869.48</v>
      </c>
    </row>
    <row r="34" spans="11:18" x14ac:dyDescent="0.25">
      <c r="P34">
        <v>322</v>
      </c>
      <c r="Q34">
        <v>13</v>
      </c>
      <c r="R34">
        <v>166</v>
      </c>
    </row>
    <row r="35" spans="11:18" x14ac:dyDescent="0.25">
      <c r="O35" s="399">
        <v>31.12</v>
      </c>
      <c r="P35">
        <v>970</v>
      </c>
      <c r="Q35">
        <v>25</v>
      </c>
      <c r="R35">
        <v>494.75</v>
      </c>
    </row>
    <row r="36" spans="11:18" x14ac:dyDescent="0.25">
      <c r="P36">
        <f>SUM(P34:P35)</f>
        <v>1292</v>
      </c>
      <c r="Q36">
        <f>SUM(Q34:Q35)</f>
        <v>38</v>
      </c>
      <c r="R36">
        <f>SUM(R34:R35)</f>
        <v>660.75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:G2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F12" sqref="F12"/>
    </sheetView>
  </sheetViews>
  <sheetFormatPr defaultRowHeight="15" x14ac:dyDescent="0.25"/>
  <cols>
    <col min="1" max="1" width="33.140625" customWidth="1"/>
    <col min="2" max="2" width="12.7109375" customWidth="1"/>
    <col min="3" max="3" width="11.42578125" customWidth="1"/>
    <col min="4" max="4" width="19.28515625" customWidth="1"/>
    <col min="5" max="5" width="5.42578125" style="387" customWidth="1"/>
    <col min="6" max="6" width="35.140625" bestFit="1" customWidth="1"/>
    <col min="7" max="7" width="9.85546875" customWidth="1"/>
    <col min="8" max="8" width="14.140625" customWidth="1"/>
    <col min="9" max="9" width="16.85546875" bestFit="1" customWidth="1"/>
  </cols>
  <sheetData>
    <row r="1" spans="1:11" ht="23.25" x14ac:dyDescent="0.35">
      <c r="A1" s="475" t="s">
        <v>35</v>
      </c>
      <c r="B1" s="476"/>
      <c r="C1" s="476"/>
      <c r="D1" s="476"/>
      <c r="E1" s="388"/>
      <c r="F1" s="475" t="s">
        <v>35</v>
      </c>
      <c r="G1" s="476"/>
      <c r="H1" s="476"/>
      <c r="I1" s="476"/>
    </row>
    <row r="2" spans="1:11" s="386" customFormat="1" ht="23.25" x14ac:dyDescent="0.35">
      <c r="A2" s="473" t="s">
        <v>264</v>
      </c>
      <c r="B2" s="474"/>
      <c r="C2" s="474"/>
      <c r="D2" s="474"/>
      <c r="E2" s="388"/>
      <c r="F2" s="473" t="s">
        <v>265</v>
      </c>
      <c r="G2" s="474"/>
      <c r="H2" s="474"/>
      <c r="I2" s="474"/>
    </row>
    <row r="3" spans="1:11" ht="19.5" customHeight="1" x14ac:dyDescent="0.25">
      <c r="A3" s="390" t="s">
        <v>266</v>
      </c>
      <c r="B3" s="391" t="s">
        <v>172</v>
      </c>
      <c r="C3" s="391" t="s">
        <v>213</v>
      </c>
      <c r="D3" s="391" t="s">
        <v>173</v>
      </c>
      <c r="F3" s="391" t="s">
        <v>266</v>
      </c>
      <c r="G3" s="391" t="s">
        <v>172</v>
      </c>
      <c r="H3" s="391" t="s">
        <v>213</v>
      </c>
      <c r="I3" s="391" t="s">
        <v>173</v>
      </c>
    </row>
    <row r="4" spans="1:11" x14ac:dyDescent="0.25">
      <c r="A4" s="121" t="s">
        <v>29</v>
      </c>
      <c r="B4" s="389">
        <v>1593</v>
      </c>
      <c r="C4" s="389">
        <v>482</v>
      </c>
      <c r="D4" s="389">
        <v>65</v>
      </c>
      <c r="F4" s="389" t="s">
        <v>29</v>
      </c>
      <c r="G4" s="389">
        <v>510</v>
      </c>
      <c r="H4" s="389"/>
      <c r="I4" s="389">
        <v>510</v>
      </c>
      <c r="K4">
        <f>(G4-B4)/B4</f>
        <v>-0.67984934086629001</v>
      </c>
    </row>
    <row r="5" spans="1:11" x14ac:dyDescent="0.25">
      <c r="A5" s="121" t="s">
        <v>164</v>
      </c>
      <c r="B5" s="389">
        <v>0</v>
      </c>
      <c r="C5" s="389"/>
      <c r="D5" s="389">
        <v>180</v>
      </c>
      <c r="F5" s="389" t="s">
        <v>31</v>
      </c>
      <c r="G5" s="389">
        <v>510</v>
      </c>
      <c r="H5" s="389"/>
      <c r="I5" s="389">
        <v>510</v>
      </c>
      <c r="K5" s="387">
        <f>(G5-B6)/G5</f>
        <v>-9.4117647058823533</v>
      </c>
    </row>
    <row r="6" spans="1:11" x14ac:dyDescent="0.25">
      <c r="A6" s="121" t="s">
        <v>31</v>
      </c>
      <c r="B6" s="389">
        <v>5310</v>
      </c>
      <c r="C6" s="389"/>
      <c r="D6" s="389">
        <v>430</v>
      </c>
      <c r="F6" s="389" t="s">
        <v>12</v>
      </c>
      <c r="G6" s="389"/>
      <c r="H6" s="389">
        <v>200</v>
      </c>
      <c r="I6" s="389">
        <v>200</v>
      </c>
    </row>
    <row r="7" spans="1:11" x14ac:dyDescent="0.25">
      <c r="A7" s="121" t="s">
        <v>257</v>
      </c>
      <c r="B7" s="389">
        <v>0</v>
      </c>
      <c r="C7" s="389"/>
      <c r="D7" s="389">
        <v>80</v>
      </c>
      <c r="F7" s="389" t="s">
        <v>10</v>
      </c>
      <c r="G7" s="389"/>
      <c r="H7" s="389">
        <v>2239</v>
      </c>
      <c r="I7" s="389">
        <v>2239</v>
      </c>
    </row>
    <row r="8" spans="1:11" x14ac:dyDescent="0.25">
      <c r="A8" s="121" t="s">
        <v>12</v>
      </c>
      <c r="B8" s="389">
        <v>195</v>
      </c>
      <c r="C8" s="389"/>
      <c r="D8" s="389">
        <v>1725</v>
      </c>
      <c r="F8" s="389" t="s">
        <v>21</v>
      </c>
      <c r="G8" s="389">
        <v>10</v>
      </c>
      <c r="H8" s="389">
        <v>55</v>
      </c>
      <c r="I8" s="389">
        <v>65</v>
      </c>
    </row>
    <row r="9" spans="1:11" x14ac:dyDescent="0.25">
      <c r="A9" s="121" t="s">
        <v>10</v>
      </c>
      <c r="B9" s="389">
        <v>1005</v>
      </c>
      <c r="C9" s="389"/>
      <c r="D9" s="389">
        <v>10547</v>
      </c>
      <c r="F9" s="389" t="s">
        <v>19</v>
      </c>
      <c r="G9" s="389"/>
      <c r="H9" s="389">
        <v>177</v>
      </c>
      <c r="I9" s="389">
        <v>177</v>
      </c>
    </row>
    <row r="10" spans="1:11" x14ac:dyDescent="0.25">
      <c r="A10" s="121" t="s">
        <v>267</v>
      </c>
      <c r="B10" s="389">
        <v>25</v>
      </c>
      <c r="C10" s="389"/>
      <c r="D10" s="389">
        <v>0</v>
      </c>
      <c r="F10" s="389" t="s">
        <v>17</v>
      </c>
      <c r="G10" s="389">
        <v>10</v>
      </c>
      <c r="H10" s="389">
        <v>120</v>
      </c>
      <c r="I10" s="389">
        <v>130</v>
      </c>
    </row>
    <row r="11" spans="1:11" x14ac:dyDescent="0.25">
      <c r="A11" s="121" t="s">
        <v>21</v>
      </c>
      <c r="B11" s="389">
        <v>10</v>
      </c>
      <c r="C11" s="389"/>
      <c r="D11" s="389">
        <v>512</v>
      </c>
      <c r="F11" s="389" t="s">
        <v>165</v>
      </c>
      <c r="G11" s="389"/>
      <c r="H11" s="389">
        <v>70</v>
      </c>
      <c r="I11" s="389">
        <v>70</v>
      </c>
    </row>
    <row r="12" spans="1:11" x14ac:dyDescent="0.25">
      <c r="A12" s="121" t="s">
        <v>19</v>
      </c>
      <c r="B12" s="389">
        <v>0</v>
      </c>
      <c r="C12" s="389"/>
      <c r="D12" s="389">
        <v>927</v>
      </c>
      <c r="F12" s="389" t="s">
        <v>23</v>
      </c>
      <c r="G12" s="389"/>
      <c r="H12" s="389">
        <v>247</v>
      </c>
      <c r="I12" s="389">
        <v>247</v>
      </c>
    </row>
    <row r="13" spans="1:11" x14ac:dyDescent="0.25">
      <c r="A13" s="121" t="s">
        <v>17</v>
      </c>
      <c r="B13" s="389">
        <v>10</v>
      </c>
      <c r="C13" s="389"/>
      <c r="D13" s="389">
        <v>408</v>
      </c>
      <c r="F13" s="394" t="s">
        <v>268</v>
      </c>
      <c r="G13" s="389">
        <v>1216</v>
      </c>
      <c r="H13" s="389">
        <v>288</v>
      </c>
      <c r="I13" s="389">
        <v>1504</v>
      </c>
    </row>
    <row r="14" spans="1:11" x14ac:dyDescent="0.25">
      <c r="A14" s="121" t="s">
        <v>165</v>
      </c>
      <c r="B14" s="389">
        <v>40</v>
      </c>
      <c r="C14" s="389"/>
      <c r="D14" s="389">
        <v>847</v>
      </c>
      <c r="F14" s="393" t="s">
        <v>52</v>
      </c>
      <c r="G14" s="393">
        <f>SUM(G3:G13)</f>
        <v>2256</v>
      </c>
      <c r="H14" s="393">
        <v>482</v>
      </c>
      <c r="I14" s="393">
        <f>SUM(I3:I13)</f>
        <v>5652</v>
      </c>
    </row>
    <row r="15" spans="1:11" x14ac:dyDescent="0.25">
      <c r="A15" s="121" t="s">
        <v>23</v>
      </c>
      <c r="B15" s="389">
        <v>10</v>
      </c>
      <c r="C15" s="389"/>
      <c r="D15" s="389">
        <v>793</v>
      </c>
    </row>
    <row r="16" spans="1:11" x14ac:dyDescent="0.25">
      <c r="A16" s="121" t="s">
        <v>250</v>
      </c>
      <c r="B16" s="389">
        <v>3736</v>
      </c>
      <c r="C16" s="389"/>
      <c r="D16" s="389">
        <v>3993</v>
      </c>
    </row>
    <row r="17" spans="1:4" ht="20.25" customHeight="1" x14ac:dyDescent="0.25">
      <c r="A17" s="392" t="s">
        <v>52</v>
      </c>
      <c r="B17" s="393">
        <f>SUM(B4:B16)</f>
        <v>11934</v>
      </c>
      <c r="C17" s="393">
        <v>482</v>
      </c>
      <c r="D17" s="393">
        <f>SUM(D4:D16)</f>
        <v>20507</v>
      </c>
    </row>
  </sheetData>
  <mergeCells count="4">
    <mergeCell ref="A2:D2"/>
    <mergeCell ref="F1:I1"/>
    <mergeCell ref="F2:I2"/>
    <mergeCell ref="A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M53"/>
  <sheetViews>
    <sheetView topLeftCell="A25" zoomScaleNormal="100" workbookViewId="0">
      <selection activeCell="B42" sqref="B42"/>
    </sheetView>
  </sheetViews>
  <sheetFormatPr defaultColWidth="8.85546875" defaultRowHeight="15" x14ac:dyDescent="0.25"/>
  <cols>
    <col min="1" max="1" width="37.28515625" style="201" bestFit="1" customWidth="1"/>
    <col min="2" max="2" width="20.7109375" style="201" bestFit="1" customWidth="1"/>
    <col min="3" max="3" width="14.42578125" style="201" bestFit="1" customWidth="1"/>
    <col min="4" max="4" width="11.5703125" style="201" bestFit="1" customWidth="1"/>
    <col min="5" max="6" width="8.85546875" style="201"/>
    <col min="7" max="7" width="9.7109375" style="201" bestFit="1" customWidth="1"/>
    <col min="8" max="16384" width="8.85546875" style="201"/>
  </cols>
  <sheetData>
    <row r="3" spans="1:13" ht="21" x14ac:dyDescent="0.35">
      <c r="A3" s="477" t="s">
        <v>207</v>
      </c>
      <c r="B3" s="478"/>
      <c r="C3" s="478"/>
      <c r="D3" s="478"/>
      <c r="E3" s="478"/>
      <c r="F3" s="478"/>
      <c r="G3" s="478"/>
      <c r="H3" s="478"/>
    </row>
    <row r="4" spans="1:13" x14ac:dyDescent="0.25">
      <c r="A4" s="479" t="s">
        <v>202</v>
      </c>
      <c r="B4" s="480"/>
      <c r="C4" s="480"/>
      <c r="D4" s="480"/>
      <c r="E4" s="480"/>
      <c r="F4" s="480"/>
      <c r="G4" s="480"/>
      <c r="H4" s="481"/>
    </row>
    <row r="5" spans="1:13" s="211" customFormat="1" x14ac:dyDescent="0.25">
      <c r="A5" s="207" t="s">
        <v>3</v>
      </c>
      <c r="B5" s="208" t="s">
        <v>201</v>
      </c>
      <c r="C5" s="209" t="s">
        <v>8</v>
      </c>
      <c r="D5" s="210" t="s">
        <v>194</v>
      </c>
      <c r="E5" s="210" t="s">
        <v>195</v>
      </c>
      <c r="F5" s="210" t="s">
        <v>196</v>
      </c>
      <c r="G5" s="210" t="s">
        <v>197</v>
      </c>
      <c r="H5" s="236" t="s">
        <v>198</v>
      </c>
      <c r="I5" s="210" t="s">
        <v>4</v>
      </c>
    </row>
    <row r="6" spans="1:13" x14ac:dyDescent="0.25">
      <c r="A6" s="232" t="s">
        <v>11</v>
      </c>
      <c r="B6" s="233">
        <v>30</v>
      </c>
      <c r="C6" s="137">
        <v>28770</v>
      </c>
      <c r="D6" s="200">
        <v>30</v>
      </c>
      <c r="E6" s="200">
        <f>+B6*D6/100</f>
        <v>9</v>
      </c>
      <c r="F6" s="223">
        <f>+C6/E6</f>
        <v>3196.6666666666665</v>
      </c>
      <c r="G6" s="223">
        <f>+'REPORT DATA SHEET'!M58</f>
        <v>2711.8079842882503</v>
      </c>
      <c r="H6" s="223">
        <f>+F6-G6</f>
        <v>484.85868237841623</v>
      </c>
      <c r="I6" s="205">
        <f>+C6/B6</f>
        <v>959</v>
      </c>
    </row>
    <row r="7" spans="1:13" x14ac:dyDescent="0.25">
      <c r="A7" s="232" t="s">
        <v>250</v>
      </c>
      <c r="B7" s="233">
        <v>470</v>
      </c>
      <c r="C7" s="137">
        <v>747550</v>
      </c>
      <c r="D7" s="200">
        <v>50</v>
      </c>
      <c r="E7" s="200">
        <f>+B7*D7/100</f>
        <v>235</v>
      </c>
      <c r="F7" s="223">
        <f>+C7/E7</f>
        <v>3181.0638297872342</v>
      </c>
      <c r="G7" s="223">
        <f>+'REPORT DATA SHEET'!M58</f>
        <v>2711.8079842882503</v>
      </c>
      <c r="H7" s="223">
        <f>+F7-G7</f>
        <v>469.25584549898394</v>
      </c>
      <c r="I7" s="205">
        <f>+C7/B7</f>
        <v>1590.5319148936171</v>
      </c>
    </row>
    <row r="8" spans="1:13" x14ac:dyDescent="0.25">
      <c r="A8" s="232" t="s">
        <v>18</v>
      </c>
      <c r="B8" s="233">
        <v>10</v>
      </c>
      <c r="C8" s="137">
        <v>16710</v>
      </c>
      <c r="D8" s="200">
        <v>50</v>
      </c>
      <c r="E8" s="200">
        <f>+B8*D8/100</f>
        <v>5</v>
      </c>
      <c r="F8" s="223">
        <f>+C8/E8</f>
        <v>3342</v>
      </c>
      <c r="G8" s="223">
        <f>+'REPORT DATA SHEET'!M58</f>
        <v>2711.8079842882503</v>
      </c>
      <c r="H8" s="223">
        <f>+F8-G8</f>
        <v>630.19201571174972</v>
      </c>
      <c r="I8" s="205">
        <f>+C8/B8</f>
        <v>1671</v>
      </c>
    </row>
    <row r="9" spans="1:13" x14ac:dyDescent="0.25">
      <c r="A9" s="346"/>
      <c r="B9" s="347"/>
      <c r="C9" s="348"/>
      <c r="D9" s="200"/>
      <c r="E9" s="200"/>
      <c r="F9" s="223"/>
      <c r="G9" s="223"/>
      <c r="H9" s="200"/>
      <c r="I9" s="205"/>
    </row>
    <row r="10" spans="1:13" x14ac:dyDescent="0.25">
      <c r="A10" s="310"/>
      <c r="B10" s="311"/>
      <c r="C10" s="234"/>
      <c r="D10" s="235"/>
      <c r="E10" s="246"/>
      <c r="F10" s="235"/>
      <c r="G10" s="235"/>
      <c r="H10" s="237"/>
      <c r="I10" s="235"/>
    </row>
    <row r="11" spans="1:13" x14ac:dyDescent="0.25">
      <c r="A11" s="212" t="s">
        <v>32</v>
      </c>
      <c r="B11" s="215">
        <f>SUM(B6:B10)</f>
        <v>510</v>
      </c>
      <c r="C11" s="215">
        <f>SUM(C6:C10)</f>
        <v>793030</v>
      </c>
      <c r="D11" s="213"/>
      <c r="E11" s="215">
        <f>SUM(E6:E10)</f>
        <v>249</v>
      </c>
      <c r="F11" s="222">
        <f>+C11/E11</f>
        <v>3184.859437751004</v>
      </c>
      <c r="G11" s="222">
        <f>+G6</f>
        <v>2711.8079842882503</v>
      </c>
      <c r="H11" s="248">
        <f>+F11-G11</f>
        <v>473.05145346275367</v>
      </c>
      <c r="I11" s="200"/>
    </row>
    <row r="12" spans="1:13" x14ac:dyDescent="0.25">
      <c r="A12" s="202"/>
      <c r="B12" s="203"/>
      <c r="C12" s="204"/>
      <c r="D12" s="200"/>
      <c r="E12" s="200"/>
      <c r="F12" s="200"/>
      <c r="G12" s="200"/>
      <c r="H12" s="202"/>
      <c r="I12" s="200"/>
    </row>
    <row r="13" spans="1:13" x14ac:dyDescent="0.25">
      <c r="A13" s="479" t="s">
        <v>203</v>
      </c>
      <c r="B13" s="480"/>
      <c r="C13" s="480"/>
      <c r="D13" s="480"/>
      <c r="E13" s="480"/>
      <c r="F13" s="480"/>
      <c r="G13" s="480"/>
      <c r="H13" s="480"/>
      <c r="I13" s="200"/>
      <c r="M13" s="201">
        <v>130</v>
      </c>
    </row>
    <row r="14" spans="1:13" x14ac:dyDescent="0.25">
      <c r="A14" s="207" t="s">
        <v>3</v>
      </c>
      <c r="B14" s="208" t="s">
        <v>201</v>
      </c>
      <c r="C14" s="209" t="s">
        <v>8</v>
      </c>
      <c r="D14" s="210" t="s">
        <v>194</v>
      </c>
      <c r="E14" s="210" t="s">
        <v>195</v>
      </c>
      <c r="F14" s="210" t="s">
        <v>196</v>
      </c>
      <c r="G14" s="210" t="s">
        <v>197</v>
      </c>
      <c r="H14" s="236" t="s">
        <v>198</v>
      </c>
      <c r="I14" s="210" t="s">
        <v>4</v>
      </c>
      <c r="M14" s="201">
        <v>80</v>
      </c>
    </row>
    <row r="15" spans="1:13" x14ac:dyDescent="0.25">
      <c r="A15" s="216"/>
      <c r="B15" s="199"/>
      <c r="C15" s="150"/>
      <c r="D15" s="200">
        <v>50</v>
      </c>
      <c r="E15" s="200">
        <f>+B15*D15/100</f>
        <v>0</v>
      </c>
      <c r="F15" s="223" t="e">
        <f>+C15/E15</f>
        <v>#DIV/0!</v>
      </c>
      <c r="G15" s="223">
        <f>+G11</f>
        <v>2711.8079842882503</v>
      </c>
      <c r="H15" s="200" t="e">
        <f>+F15-G15</f>
        <v>#DIV/0!</v>
      </c>
      <c r="I15" s="205" t="e">
        <f>+C15/B15</f>
        <v>#DIV/0!</v>
      </c>
      <c r="M15" s="201">
        <f>+M13*M14</f>
        <v>10400</v>
      </c>
    </row>
    <row r="16" spans="1:13" x14ac:dyDescent="0.25">
      <c r="A16" s="310"/>
      <c r="B16" s="311"/>
      <c r="C16" s="234"/>
      <c r="D16" s="235"/>
      <c r="E16" s="235"/>
      <c r="F16" s="261"/>
      <c r="G16" s="261"/>
      <c r="H16" s="235"/>
      <c r="I16" s="324"/>
    </row>
    <row r="17" spans="1:11" x14ac:dyDescent="0.25">
      <c r="A17" s="216"/>
      <c r="B17" s="199"/>
      <c r="C17" s="150"/>
      <c r="D17" s="200"/>
      <c r="E17" s="200"/>
      <c r="F17" s="223"/>
      <c r="G17" s="223"/>
      <c r="H17" s="200"/>
      <c r="I17" s="223"/>
    </row>
    <row r="18" spans="1:11" x14ac:dyDescent="0.25">
      <c r="A18" s="216"/>
      <c r="B18" s="199"/>
      <c r="C18" s="150"/>
      <c r="D18" s="200"/>
      <c r="E18" s="200"/>
      <c r="F18" s="223"/>
      <c r="G18" s="223"/>
      <c r="H18" s="200"/>
      <c r="I18" s="223"/>
    </row>
    <row r="19" spans="1:11" x14ac:dyDescent="0.25">
      <c r="A19" s="216"/>
      <c r="B19" s="199"/>
      <c r="C19" s="150"/>
      <c r="D19" s="200"/>
      <c r="E19" s="200"/>
      <c r="F19" s="223"/>
      <c r="G19" s="223"/>
      <c r="H19" s="200"/>
      <c r="I19" s="223"/>
    </row>
    <row r="20" spans="1:11" x14ac:dyDescent="0.25">
      <c r="A20" s="310"/>
      <c r="B20" s="311"/>
      <c r="C20" s="234"/>
      <c r="D20" s="235"/>
      <c r="E20" s="325"/>
      <c r="F20" s="261"/>
      <c r="G20" s="261"/>
      <c r="H20" s="237"/>
      <c r="I20" s="261"/>
    </row>
    <row r="21" spans="1:11" x14ac:dyDescent="0.25">
      <c r="A21" s="212" t="s">
        <v>32</v>
      </c>
      <c r="B21" s="247">
        <f>SUM(B15:B19)</f>
        <v>0</v>
      </c>
      <c r="C21" s="247">
        <f>SUM(C15:C19)</f>
        <v>0</v>
      </c>
      <c r="D21" s="213">
        <v>0</v>
      </c>
      <c r="E21" s="247">
        <f>SUM(E15:E19)</f>
        <v>0</v>
      </c>
      <c r="F21" s="222" t="e">
        <f>+C21/E21</f>
        <v>#DIV/0!</v>
      </c>
      <c r="G21" s="222">
        <f>+G11</f>
        <v>2711.8079842882503</v>
      </c>
      <c r="H21" s="248" t="e">
        <f>+F21-G21</f>
        <v>#DIV/0!</v>
      </c>
      <c r="I21" s="200"/>
      <c r="J21" s="201">
        <v>1321</v>
      </c>
      <c r="K21" s="201">
        <f>+B21-J21</f>
        <v>-1321</v>
      </c>
    </row>
    <row r="22" spans="1:11" x14ac:dyDescent="0.25">
      <c r="A22" s="202"/>
      <c r="B22" s="203"/>
      <c r="C22" s="204"/>
      <c r="D22" s="200"/>
      <c r="E22" s="200"/>
      <c r="F22" s="200"/>
      <c r="G22" s="200"/>
      <c r="H22" s="202"/>
      <c r="I22" s="200"/>
    </row>
    <row r="23" spans="1:11" x14ac:dyDescent="0.25">
      <c r="A23" s="479" t="s">
        <v>204</v>
      </c>
      <c r="B23" s="480"/>
      <c r="C23" s="480"/>
      <c r="D23" s="480"/>
      <c r="E23" s="480"/>
      <c r="F23" s="480"/>
      <c r="G23" s="480"/>
      <c r="H23" s="480"/>
      <c r="I23" s="200"/>
    </row>
    <row r="24" spans="1:11" x14ac:dyDescent="0.25">
      <c r="A24" s="207" t="s">
        <v>3</v>
      </c>
      <c r="B24" s="208" t="s">
        <v>201</v>
      </c>
      <c r="C24" s="209" t="s">
        <v>8</v>
      </c>
      <c r="D24" s="210" t="s">
        <v>194</v>
      </c>
      <c r="E24" s="210" t="s">
        <v>195</v>
      </c>
      <c r="F24" s="210" t="s">
        <v>196</v>
      </c>
      <c r="G24" s="210" t="s">
        <v>197</v>
      </c>
      <c r="H24" s="236" t="s">
        <v>198</v>
      </c>
      <c r="I24" s="281" t="s">
        <v>4</v>
      </c>
    </row>
    <row r="25" spans="1:11" x14ac:dyDescent="0.25">
      <c r="A25" s="216" t="s">
        <v>12</v>
      </c>
      <c r="B25" s="199">
        <v>120</v>
      </c>
      <c r="C25" s="150">
        <v>117600</v>
      </c>
      <c r="D25" s="200">
        <v>30</v>
      </c>
      <c r="E25" s="200">
        <f t="shared" ref="E25:E30" si="0">+B25*D25/100</f>
        <v>36</v>
      </c>
      <c r="F25" s="223">
        <f t="shared" ref="F25:F30" si="1">+C25/E25</f>
        <v>3266.6666666666665</v>
      </c>
      <c r="G25" s="223">
        <f>+G11</f>
        <v>2711.8079842882503</v>
      </c>
      <c r="H25" s="205">
        <f t="shared" ref="H25:H30" si="2">+F25-G25</f>
        <v>554.85868237841623</v>
      </c>
      <c r="I25" s="223">
        <f>+C25/B25</f>
        <v>980</v>
      </c>
    </row>
    <row r="26" spans="1:11" x14ac:dyDescent="0.25">
      <c r="A26" s="216" t="s">
        <v>10</v>
      </c>
      <c r="B26" s="199">
        <v>255</v>
      </c>
      <c r="C26" s="150">
        <v>417900</v>
      </c>
      <c r="D26" s="200">
        <v>50</v>
      </c>
      <c r="E26" s="200">
        <f t="shared" si="0"/>
        <v>127.5</v>
      </c>
      <c r="F26" s="223">
        <f t="shared" si="1"/>
        <v>3277.6470588235293</v>
      </c>
      <c r="G26" s="223">
        <f>+G25</f>
        <v>2711.8079842882503</v>
      </c>
      <c r="H26" s="205">
        <f t="shared" si="2"/>
        <v>565.839074535279</v>
      </c>
      <c r="I26" s="223">
        <f>+C26/B26</f>
        <v>1638.8235294117646</v>
      </c>
    </row>
    <row r="27" spans="1:11" x14ac:dyDescent="0.25">
      <c r="A27" s="216" t="s">
        <v>21</v>
      </c>
      <c r="B27" s="199">
        <v>82</v>
      </c>
      <c r="C27" s="150">
        <v>85140</v>
      </c>
      <c r="D27" s="200">
        <v>30</v>
      </c>
      <c r="E27" s="200">
        <f t="shared" si="0"/>
        <v>24.6</v>
      </c>
      <c r="F27" s="223">
        <f t="shared" si="1"/>
        <v>3460.9756097560976</v>
      </c>
      <c r="G27" s="223">
        <f>+G26</f>
        <v>2711.8079842882503</v>
      </c>
      <c r="H27" s="205">
        <f t="shared" si="2"/>
        <v>749.1676254678473</v>
      </c>
      <c r="I27" s="223">
        <f>+C27/B27</f>
        <v>1038.2926829268292</v>
      </c>
    </row>
    <row r="28" spans="1:11" x14ac:dyDescent="0.25">
      <c r="A28" s="216" t="s">
        <v>19</v>
      </c>
      <c r="B28" s="199">
        <v>250</v>
      </c>
      <c r="C28" s="150">
        <v>435000</v>
      </c>
      <c r="D28" s="200">
        <v>50</v>
      </c>
      <c r="E28" s="200">
        <f t="shared" si="0"/>
        <v>125</v>
      </c>
      <c r="F28" s="223">
        <f t="shared" si="1"/>
        <v>3480</v>
      </c>
      <c r="G28" s="223">
        <f>+G27</f>
        <v>2711.8079842882503</v>
      </c>
      <c r="H28" s="205">
        <f t="shared" si="2"/>
        <v>768.19201571174972</v>
      </c>
      <c r="I28" s="223"/>
    </row>
    <row r="29" spans="1:11" x14ac:dyDescent="0.25">
      <c r="A29" s="216" t="s">
        <v>17</v>
      </c>
      <c r="B29" s="199">
        <v>12</v>
      </c>
      <c r="C29" s="150">
        <v>12600</v>
      </c>
      <c r="D29" s="200">
        <v>30</v>
      </c>
      <c r="E29" s="200">
        <f t="shared" si="0"/>
        <v>3.6</v>
      </c>
      <c r="F29" s="223">
        <f t="shared" si="1"/>
        <v>3500</v>
      </c>
      <c r="G29" s="223">
        <f>+G28</f>
        <v>2711.8079842882503</v>
      </c>
      <c r="H29" s="205">
        <f t="shared" si="2"/>
        <v>788.19201571174972</v>
      </c>
      <c r="I29" s="223"/>
    </row>
    <row r="30" spans="1:11" x14ac:dyDescent="0.25">
      <c r="A30" s="216" t="s">
        <v>23</v>
      </c>
      <c r="B30" s="199">
        <v>45</v>
      </c>
      <c r="C30" s="150">
        <v>79200</v>
      </c>
      <c r="D30" s="200">
        <v>50</v>
      </c>
      <c r="E30" s="200">
        <f t="shared" si="0"/>
        <v>22.5</v>
      </c>
      <c r="F30" s="223">
        <f t="shared" si="1"/>
        <v>3520</v>
      </c>
      <c r="G30" s="223">
        <f>+G29</f>
        <v>2711.8079842882503</v>
      </c>
      <c r="H30" s="205">
        <f t="shared" si="2"/>
        <v>808.19201571174972</v>
      </c>
      <c r="I30" s="223"/>
    </row>
    <row r="31" spans="1:11" x14ac:dyDescent="0.25">
      <c r="A31" s="310"/>
      <c r="B31" s="311"/>
      <c r="C31" s="234"/>
      <c r="D31" s="235"/>
      <c r="E31" s="235"/>
      <c r="F31" s="261"/>
      <c r="G31" s="261"/>
      <c r="H31" s="324"/>
      <c r="I31" s="261"/>
    </row>
    <row r="32" spans="1:11" x14ac:dyDescent="0.25">
      <c r="A32" s="213" t="s">
        <v>32</v>
      </c>
      <c r="B32" s="231">
        <f>SUM(B25:B31)</f>
        <v>764</v>
      </c>
      <c r="C32" s="231">
        <f>SUM(C25:C31)</f>
        <v>1147440</v>
      </c>
      <c r="D32" s="213">
        <v>0</v>
      </c>
      <c r="E32" s="231">
        <f>SUM(E25:E31)</f>
        <v>339.20000000000005</v>
      </c>
      <c r="F32" s="222">
        <f>+C32/E32</f>
        <v>3382.7830188679241</v>
      </c>
      <c r="G32" s="222">
        <f>+G21</f>
        <v>2711.8079842882503</v>
      </c>
      <c r="H32" s="212">
        <f>+F32-G32</f>
        <v>670.97503457967377</v>
      </c>
      <c r="I32" s="200">
        <f>+C32/B32</f>
        <v>1501.8848167539268</v>
      </c>
    </row>
    <row r="33" spans="1:9" s="219" customFormat="1" x14ac:dyDescent="0.25">
      <c r="A33" s="217"/>
      <c r="B33" s="217"/>
      <c r="C33" s="217"/>
      <c r="D33" s="217"/>
      <c r="E33" s="217"/>
      <c r="F33" s="217"/>
      <c r="G33" s="218"/>
      <c r="H33" s="218"/>
      <c r="I33" s="238"/>
    </row>
    <row r="34" spans="1:9" s="219" customFormat="1" x14ac:dyDescent="0.25">
      <c r="A34" s="217"/>
      <c r="B34" s="217"/>
      <c r="C34" s="217"/>
      <c r="D34" s="217"/>
      <c r="E34" s="217"/>
      <c r="F34" s="217"/>
      <c r="G34" s="218"/>
      <c r="H34" s="218"/>
      <c r="I34" s="238"/>
    </row>
    <row r="35" spans="1:9" s="219" customFormat="1" x14ac:dyDescent="0.25">
      <c r="A35" s="479" t="s">
        <v>210</v>
      </c>
      <c r="B35" s="480"/>
      <c r="C35" s="480"/>
      <c r="D35" s="480"/>
      <c r="E35" s="480"/>
      <c r="F35" s="480"/>
      <c r="G35" s="480"/>
      <c r="H35" s="480"/>
      <c r="I35" s="238"/>
    </row>
    <row r="36" spans="1:9" s="219" customFormat="1" x14ac:dyDescent="0.25">
      <c r="A36" s="207" t="s">
        <v>3</v>
      </c>
      <c r="B36" s="208" t="s">
        <v>201</v>
      </c>
      <c r="C36" s="209" t="s">
        <v>8</v>
      </c>
      <c r="D36" s="210" t="s">
        <v>194</v>
      </c>
      <c r="E36" s="210" t="s">
        <v>195</v>
      </c>
      <c r="F36" s="210" t="s">
        <v>196</v>
      </c>
      <c r="G36" s="210" t="s">
        <v>197</v>
      </c>
      <c r="H36" s="236" t="s">
        <v>198</v>
      </c>
      <c r="I36" s="282" t="s">
        <v>201</v>
      </c>
    </row>
    <row r="37" spans="1:9" s="219" customFormat="1" x14ac:dyDescent="0.25">
      <c r="A37" s="232"/>
      <c r="B37" s="233"/>
      <c r="C37" s="137"/>
      <c r="D37" s="200">
        <v>49</v>
      </c>
      <c r="E37" s="200">
        <f>+B37*D37/100</f>
        <v>0</v>
      </c>
      <c r="F37" s="200" t="e">
        <f>+C37/E37</f>
        <v>#DIV/0!</v>
      </c>
      <c r="G37" s="283">
        <f>+G32</f>
        <v>2711.8079842882503</v>
      </c>
      <c r="H37" s="268" t="e">
        <f>+F37-G37</f>
        <v>#DIV/0!</v>
      </c>
      <c r="I37" s="223" t="e">
        <f>+C37/B37</f>
        <v>#DIV/0!</v>
      </c>
    </row>
    <row r="38" spans="1:9" s="219" customFormat="1" x14ac:dyDescent="0.25">
      <c r="A38" s="232"/>
      <c r="B38" s="233"/>
      <c r="C38" s="137"/>
      <c r="D38" s="200">
        <v>49</v>
      </c>
      <c r="E38" s="200">
        <f>+B38*D38/100</f>
        <v>0</v>
      </c>
      <c r="F38" s="200" t="e">
        <f>+C38/E38</f>
        <v>#DIV/0!</v>
      </c>
      <c r="G38" s="283">
        <f>+G37</f>
        <v>2711.8079842882503</v>
      </c>
      <c r="H38" s="268" t="e">
        <f>+F38-G38</f>
        <v>#DIV/0!</v>
      </c>
      <c r="I38" s="223" t="e">
        <f>+C38/B38</f>
        <v>#DIV/0!</v>
      </c>
    </row>
    <row r="39" spans="1:9" s="219" customFormat="1" x14ac:dyDescent="0.25">
      <c r="A39" s="216"/>
      <c r="B39" s="199"/>
      <c r="C39" s="150"/>
      <c r="D39" s="200"/>
      <c r="E39" s="200"/>
      <c r="F39" s="200"/>
      <c r="G39" s="200"/>
      <c r="H39" s="202"/>
      <c r="I39" s="238"/>
    </row>
    <row r="40" spans="1:9" s="219" customFormat="1" x14ac:dyDescent="0.25">
      <c r="A40" s="212" t="s">
        <v>32</v>
      </c>
      <c r="B40" s="215">
        <f>SUM(B37:B38)</f>
        <v>0</v>
      </c>
      <c r="C40" s="215">
        <f>SUM(C37:C38)</f>
        <v>0</v>
      </c>
      <c r="D40" s="213"/>
      <c r="E40" s="213">
        <f>SUM(E37:E38)</f>
        <v>0</v>
      </c>
      <c r="F40" s="213" t="e">
        <f>+C40/E40</f>
        <v>#DIV/0!</v>
      </c>
      <c r="G40" s="222">
        <f>+G32</f>
        <v>2711.8079842882503</v>
      </c>
      <c r="H40" s="212" t="e">
        <f>+F40-G40</f>
        <v>#DIV/0!</v>
      </c>
      <c r="I40" s="238"/>
    </row>
    <row r="41" spans="1:9" s="219" customFormat="1" x14ac:dyDescent="0.25">
      <c r="A41" s="217"/>
      <c r="B41" s="217"/>
      <c r="C41" s="217"/>
      <c r="D41" s="217"/>
      <c r="E41" s="217"/>
      <c r="F41" s="217"/>
      <c r="G41" s="218"/>
      <c r="H41" s="218"/>
    </row>
    <row r="42" spans="1:9" x14ac:dyDescent="0.25">
      <c r="A42" s="200"/>
      <c r="B42" s="200"/>
      <c r="C42" s="200"/>
    </row>
    <row r="44" spans="1:9" x14ac:dyDescent="0.25">
      <c r="A44" s="214" t="s">
        <v>199</v>
      </c>
      <c r="B44" s="214" t="s">
        <v>212</v>
      </c>
      <c r="C44" s="214" t="s">
        <v>195</v>
      </c>
      <c r="D44" s="214" t="s">
        <v>200</v>
      </c>
      <c r="E44" s="214" t="s">
        <v>33</v>
      </c>
      <c r="F44" s="214" t="s">
        <v>197</v>
      </c>
      <c r="G44" s="214" t="s">
        <v>198</v>
      </c>
      <c r="H44" s="281" t="s">
        <v>212</v>
      </c>
    </row>
    <row r="45" spans="1:9" x14ac:dyDescent="0.25">
      <c r="A45" s="281" t="s">
        <v>205</v>
      </c>
      <c r="B45" s="284">
        <f>+B11</f>
        <v>510</v>
      </c>
      <c r="C45" s="200">
        <f>+E11</f>
        <v>249</v>
      </c>
      <c r="D45" s="220">
        <f>+C11</f>
        <v>793030</v>
      </c>
      <c r="E45" s="223">
        <f>+D45/C45</f>
        <v>3184.859437751004</v>
      </c>
      <c r="F45" s="223">
        <f>+G40</f>
        <v>2711.8079842882503</v>
      </c>
      <c r="G45" s="200">
        <f>+E45-F45</f>
        <v>473.05145346275367</v>
      </c>
      <c r="H45" s="200">
        <f>+D45/B45</f>
        <v>1554.9607843137255</v>
      </c>
    </row>
    <row r="46" spans="1:9" x14ac:dyDescent="0.25">
      <c r="A46" s="281" t="s">
        <v>204</v>
      </c>
      <c r="B46" s="281">
        <f>+B32</f>
        <v>764</v>
      </c>
      <c r="C46" s="200">
        <f>+E32</f>
        <v>339.20000000000005</v>
      </c>
      <c r="D46" s="200">
        <f>+C32</f>
        <v>1147440</v>
      </c>
      <c r="E46" s="223">
        <f>+D46/C46</f>
        <v>3382.7830188679241</v>
      </c>
      <c r="F46" s="223">
        <f>+F45</f>
        <v>2711.8079842882503</v>
      </c>
      <c r="G46" s="200">
        <f>+E46-F46</f>
        <v>670.97503457967377</v>
      </c>
      <c r="H46" s="200">
        <f>+D46/B46</f>
        <v>1501.8848167539268</v>
      </c>
    </row>
    <row r="47" spans="1:9" x14ac:dyDescent="0.25">
      <c r="A47" s="281" t="s">
        <v>206</v>
      </c>
      <c r="B47" s="281">
        <f>+B21</f>
        <v>0</v>
      </c>
      <c r="C47" s="200">
        <f>+E21</f>
        <v>0</v>
      </c>
      <c r="D47" s="200">
        <f>+C21</f>
        <v>0</v>
      </c>
      <c r="E47" s="223" t="e">
        <f>+D47/C47</f>
        <v>#DIV/0!</v>
      </c>
      <c r="F47" s="223">
        <f>+F46</f>
        <v>2711.8079842882503</v>
      </c>
      <c r="G47" s="200" t="e">
        <f>+E47-F47</f>
        <v>#DIV/0!</v>
      </c>
      <c r="H47" s="200" t="e">
        <f>+D47/B47</f>
        <v>#DIV/0!</v>
      </c>
    </row>
    <row r="48" spans="1:9" x14ac:dyDescent="0.25">
      <c r="A48" s="281" t="s">
        <v>211</v>
      </c>
      <c r="B48" s="285">
        <f>+B40</f>
        <v>0</v>
      </c>
      <c r="C48" s="200">
        <f>+E40</f>
        <v>0</v>
      </c>
      <c r="D48" s="220">
        <f>+C40</f>
        <v>0</v>
      </c>
      <c r="E48" s="223" t="e">
        <f>+D48/C48</f>
        <v>#DIV/0!</v>
      </c>
      <c r="F48" s="223">
        <f>+F47</f>
        <v>2711.8079842882503</v>
      </c>
      <c r="G48" s="200" t="e">
        <f>+E48-F48</f>
        <v>#DIV/0!</v>
      </c>
      <c r="H48" s="200" t="e">
        <f>+D48/B48</f>
        <v>#DIV/0!</v>
      </c>
    </row>
    <row r="49" spans="1:8" x14ac:dyDescent="0.25">
      <c r="A49" s="213" t="s">
        <v>32</v>
      </c>
      <c r="B49" s="221">
        <f>+B45+B46+B47+B48</f>
        <v>1274</v>
      </c>
      <c r="C49" s="213">
        <f>SUM(C45:C48)</f>
        <v>588.20000000000005</v>
      </c>
      <c r="D49" s="221">
        <f>SUM(D45:D48)</f>
        <v>1940470</v>
      </c>
      <c r="E49" s="222">
        <f>+D49/C49</f>
        <v>3298.9969398163889</v>
      </c>
      <c r="F49" s="222">
        <f>+F45</f>
        <v>2711.8079842882503</v>
      </c>
      <c r="G49" s="222">
        <f>+E49-F49</f>
        <v>587.18895552813865</v>
      </c>
      <c r="H49" s="200"/>
    </row>
    <row r="50" spans="1:8" x14ac:dyDescent="0.25">
      <c r="C50" s="286"/>
      <c r="D50" s="206"/>
    </row>
    <row r="51" spans="1:8" x14ac:dyDescent="0.25">
      <c r="B51" s="224">
        <f>+'REPORT DATA SHEET'!G22</f>
        <v>1925</v>
      </c>
      <c r="C51" s="287">
        <f>+'REPORT DATA SHEET'!I22</f>
        <v>939.45</v>
      </c>
      <c r="D51" s="304">
        <f>+'REPORT DATA SHEET'!K22</f>
        <v>2613950</v>
      </c>
    </row>
    <row r="52" spans="1:8" x14ac:dyDescent="0.25">
      <c r="B52" s="224">
        <f>+B49-B51</f>
        <v>-651</v>
      </c>
      <c r="C52" s="224">
        <f>+C49-C51</f>
        <v>-351.25</v>
      </c>
      <c r="D52" s="224">
        <f>+D49-D51</f>
        <v>-673480</v>
      </c>
      <c r="G52" s="201">
        <v>27</v>
      </c>
    </row>
    <row r="53" spans="1:8" x14ac:dyDescent="0.25">
      <c r="B53" s="224"/>
    </row>
  </sheetData>
  <mergeCells count="5">
    <mergeCell ref="A3:H3"/>
    <mergeCell ref="A4:H4"/>
    <mergeCell ref="A13:H13"/>
    <mergeCell ref="A23:H23"/>
    <mergeCell ref="A35:H35"/>
  </mergeCells>
  <pageMargins left="0.70866141732283472" right="0.70866141732283472" top="0.74803149606299213" bottom="0.74803149606299213" header="0.31496062992125984" footer="0.31496062992125984"/>
  <pageSetup scale="6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1002"/>
  <sheetViews>
    <sheetView tabSelected="1" zoomScale="115" zoomScaleNormal="115" workbookViewId="0">
      <selection activeCell="G19" sqref="G19"/>
    </sheetView>
  </sheetViews>
  <sheetFormatPr defaultColWidth="14.42578125" defaultRowHeight="15" customHeight="1" x14ac:dyDescent="0.25"/>
  <cols>
    <col min="1" max="1" width="8.7109375" customWidth="1"/>
    <col min="2" max="2" width="15.85546875" customWidth="1"/>
    <col min="3" max="3" width="15.42578125" customWidth="1"/>
    <col min="4" max="4" width="13.5703125" bestFit="1" customWidth="1"/>
    <col min="5" max="5" width="14" customWidth="1"/>
    <col min="6" max="6" width="12.42578125" customWidth="1"/>
    <col min="7" max="7" width="16.5703125" bestFit="1" customWidth="1"/>
    <col min="8" max="8" width="8.7109375" customWidth="1"/>
    <col min="9" max="9" width="8.7109375" style="413" customWidth="1"/>
    <col min="10" max="10" width="13" style="413" customWidth="1"/>
    <col min="11" max="11" width="28.140625" style="413" bestFit="1" customWidth="1"/>
    <col min="12" max="12" width="12.28515625" style="413" customWidth="1"/>
    <col min="13" max="17" width="8.7109375" style="413" customWidth="1"/>
    <col min="18" max="20" width="8.7109375" customWidth="1"/>
    <col min="21" max="21" width="38.28515625" bestFit="1" customWidth="1"/>
    <col min="22" max="22" width="8.7109375" customWidth="1"/>
    <col min="23" max="23" width="0" hidden="1" customWidth="1"/>
    <col min="25" max="25" width="5.7109375" customWidth="1"/>
    <col min="26" max="26" width="17.5703125" bestFit="1" customWidth="1"/>
    <col min="27" max="27" width="0" hidden="1" customWidth="1"/>
    <col min="29" max="29" width="5.7109375" bestFit="1" customWidth="1"/>
  </cols>
  <sheetData>
    <row r="1" spans="2:29" ht="15" customHeight="1" thickTop="1" x14ac:dyDescent="0.35">
      <c r="B1" s="485" t="s">
        <v>319</v>
      </c>
      <c r="C1" s="485"/>
      <c r="D1" s="485"/>
      <c r="E1" s="485"/>
      <c r="F1" s="485"/>
      <c r="G1" s="485"/>
      <c r="U1" s="342" t="s">
        <v>0</v>
      </c>
      <c r="V1" s="350"/>
      <c r="W1" s="350"/>
      <c r="X1" s="350"/>
      <c r="Y1" s="132"/>
      <c r="Z1" s="351" t="s">
        <v>2</v>
      </c>
      <c r="AA1" s="351"/>
      <c r="AB1" s="351"/>
      <c r="AC1" s="351" t="s">
        <v>245</v>
      </c>
    </row>
    <row r="2" spans="2:29" ht="15" customHeight="1" x14ac:dyDescent="0.25">
      <c r="B2" s="482" t="s">
        <v>139</v>
      </c>
      <c r="C2" s="483"/>
      <c r="D2" s="110" t="s">
        <v>145</v>
      </c>
      <c r="E2" s="110" t="s">
        <v>141</v>
      </c>
      <c r="F2" s="110" t="s">
        <v>142</v>
      </c>
      <c r="G2" s="110" t="s">
        <v>140</v>
      </c>
      <c r="U2" s="2" t="s">
        <v>3</v>
      </c>
      <c r="V2" s="3" t="s">
        <v>4</v>
      </c>
      <c r="W2" s="4"/>
      <c r="X2" s="5" t="s">
        <v>5</v>
      </c>
      <c r="Y2" s="2"/>
      <c r="Z2" s="3" t="s">
        <v>4</v>
      </c>
      <c r="AA2" s="4"/>
      <c r="AB2" s="352" t="s">
        <v>5</v>
      </c>
      <c r="AC2" s="132"/>
    </row>
    <row r="3" spans="2:29" x14ac:dyDescent="0.25">
      <c r="B3" s="486" t="s">
        <v>147</v>
      </c>
      <c r="C3" s="487"/>
      <c r="D3" s="111">
        <v>60.68</v>
      </c>
      <c r="E3" s="110">
        <v>1418.94</v>
      </c>
      <c r="F3" s="115">
        <f t="shared" ref="F3:F8" si="0">E3/50</f>
        <v>28.378800000000002</v>
      </c>
      <c r="G3" s="112">
        <f>D3*F3</f>
        <v>1722.0255840000002</v>
      </c>
      <c r="U3" s="132" t="s">
        <v>10</v>
      </c>
      <c r="V3" s="10">
        <v>2258</v>
      </c>
      <c r="W3" s="4">
        <v>50</v>
      </c>
      <c r="X3" s="11">
        <f>V3*0.5</f>
        <v>1129</v>
      </c>
      <c r="Y3" s="9"/>
      <c r="Z3" s="10" t="e">
        <f>+VLOOKUP(U3,#REF!,2,0)</f>
        <v>#REF!</v>
      </c>
      <c r="AA3" s="4">
        <v>50</v>
      </c>
      <c r="AB3" s="353" t="e">
        <f>+Z3*AA3/100</f>
        <v>#REF!</v>
      </c>
      <c r="AC3" s="132" t="e">
        <f t="shared" ref="AC3:AC18" si="1">+V3-Z3</f>
        <v>#REF!</v>
      </c>
    </row>
    <row r="4" spans="2:29" s="400" customFormat="1" x14ac:dyDescent="0.25">
      <c r="B4" s="486" t="s">
        <v>274</v>
      </c>
      <c r="C4" s="487"/>
      <c r="D4" s="111">
        <v>0</v>
      </c>
      <c r="E4" s="401">
        <v>0</v>
      </c>
      <c r="F4" s="113">
        <f t="shared" si="0"/>
        <v>0</v>
      </c>
      <c r="G4" s="112">
        <f t="shared" ref="G4" si="2">D4*F4</f>
        <v>0</v>
      </c>
      <c r="I4" s="413"/>
      <c r="J4" s="413"/>
      <c r="K4" s="413"/>
      <c r="L4" s="413"/>
      <c r="M4" s="413"/>
      <c r="N4" s="413"/>
      <c r="O4" s="413"/>
      <c r="P4" s="413"/>
      <c r="Q4" s="413"/>
      <c r="U4" s="143"/>
      <c r="V4" s="10"/>
      <c r="W4" s="4"/>
      <c r="X4" s="11"/>
      <c r="Y4" s="9"/>
      <c r="Z4" s="10"/>
      <c r="AA4" s="4"/>
      <c r="AB4" s="353"/>
      <c r="AC4" s="132"/>
    </row>
    <row r="5" spans="2:29" ht="15" customHeight="1" x14ac:dyDescent="0.25">
      <c r="B5" s="486" t="s">
        <v>273</v>
      </c>
      <c r="C5" s="487"/>
      <c r="D5" s="111">
        <v>0</v>
      </c>
      <c r="E5" s="110">
        <v>0</v>
      </c>
      <c r="F5" s="113">
        <f t="shared" si="0"/>
        <v>0</v>
      </c>
      <c r="G5" s="112">
        <f t="shared" ref="G5:G12" si="3">D5*F5</f>
        <v>0</v>
      </c>
      <c r="U5" s="9" t="s">
        <v>11</v>
      </c>
      <c r="V5" s="10">
        <v>166</v>
      </c>
      <c r="W5" s="4">
        <v>30</v>
      </c>
      <c r="X5" s="11">
        <f>+V5*W5/100</f>
        <v>49.8</v>
      </c>
      <c r="Y5" s="9"/>
      <c r="Z5" s="10">
        <v>0</v>
      </c>
      <c r="AA5" s="4">
        <v>30</v>
      </c>
      <c r="AB5" s="353">
        <f>+Z5*AA5/100</f>
        <v>0</v>
      </c>
      <c r="AC5" s="132">
        <f t="shared" si="1"/>
        <v>166</v>
      </c>
    </row>
    <row r="6" spans="2:29" ht="15" customHeight="1" x14ac:dyDescent="0.25">
      <c r="B6" s="486" t="s">
        <v>149</v>
      </c>
      <c r="C6" s="487"/>
      <c r="D6" s="111">
        <v>4.24</v>
      </c>
      <c r="E6" s="110">
        <v>1579.76</v>
      </c>
      <c r="F6" s="113">
        <f t="shared" si="0"/>
        <v>31.595199999999998</v>
      </c>
      <c r="G6" s="112">
        <f t="shared" si="3"/>
        <v>133.96364800000001</v>
      </c>
      <c r="U6" s="132" t="s">
        <v>250</v>
      </c>
      <c r="V6" s="10">
        <v>5282</v>
      </c>
      <c r="W6" s="4"/>
      <c r="X6" s="11">
        <f>+V6*0.5</f>
        <v>2641</v>
      </c>
      <c r="Y6" s="135"/>
      <c r="Z6" s="10" t="e">
        <f>+VLOOKUP(U6,#REF!,2,0)</f>
        <v>#REF!</v>
      </c>
      <c r="AA6" s="4"/>
      <c r="AB6" s="353" t="e">
        <f>+Z6*0.5</f>
        <v>#REF!</v>
      </c>
      <c r="AC6" s="132" t="e">
        <f t="shared" si="1"/>
        <v>#REF!</v>
      </c>
    </row>
    <row r="7" spans="2:29" ht="15" customHeight="1" x14ac:dyDescent="0.25">
      <c r="B7" s="486" t="s">
        <v>150</v>
      </c>
      <c r="C7" s="487"/>
      <c r="D7" s="111">
        <v>6.05</v>
      </c>
      <c r="E7" s="110">
        <v>1540</v>
      </c>
      <c r="F7" s="113">
        <f t="shared" si="0"/>
        <v>30.8</v>
      </c>
      <c r="G7" s="112">
        <f t="shared" si="3"/>
        <v>186.34</v>
      </c>
      <c r="K7" s="488">
        <v>46023</v>
      </c>
      <c r="L7" s="489"/>
      <c r="U7" s="132" t="s">
        <v>14</v>
      </c>
      <c r="V7" s="10"/>
      <c r="W7" s="4">
        <v>50</v>
      </c>
      <c r="X7" s="11">
        <f t="shared" ref="X7:X17" si="4">+V7*W7/100</f>
        <v>0</v>
      </c>
      <c r="Y7" s="9"/>
      <c r="Z7" s="10" t="e">
        <f>+VLOOKUP(U7,#REF!,2,0)</f>
        <v>#REF!</v>
      </c>
      <c r="AA7" s="4">
        <v>50</v>
      </c>
      <c r="AB7" s="353" t="e">
        <f t="shared" ref="AB7:AB15" si="5">+Z7*AA7/100</f>
        <v>#REF!</v>
      </c>
      <c r="AC7" s="132" t="e">
        <f t="shared" si="1"/>
        <v>#REF!</v>
      </c>
    </row>
    <row r="8" spans="2:29" ht="15" customHeight="1" x14ac:dyDescent="0.25">
      <c r="B8" s="486" t="s">
        <v>151</v>
      </c>
      <c r="C8" s="487"/>
      <c r="D8" s="111">
        <v>0.76</v>
      </c>
      <c r="E8" s="110">
        <v>1533.56</v>
      </c>
      <c r="F8" s="113">
        <f t="shared" si="0"/>
        <v>30.671199999999999</v>
      </c>
      <c r="G8" s="112">
        <f t="shared" si="3"/>
        <v>23.310112</v>
      </c>
      <c r="K8" s="132" t="s">
        <v>281</v>
      </c>
      <c r="L8" s="132">
        <v>1238703</v>
      </c>
      <c r="U8" s="132" t="s">
        <v>165</v>
      </c>
      <c r="V8" s="10">
        <v>378</v>
      </c>
      <c r="W8" s="4">
        <v>50</v>
      </c>
      <c r="X8" s="11">
        <f t="shared" si="4"/>
        <v>189</v>
      </c>
      <c r="Y8" s="9"/>
      <c r="Z8" s="10" t="e">
        <f>+VLOOKUP(U8,#REF!,2,0)</f>
        <v>#REF!</v>
      </c>
      <c r="AA8" s="4">
        <v>50</v>
      </c>
      <c r="AB8" s="353" t="e">
        <f t="shared" si="5"/>
        <v>#REF!</v>
      </c>
      <c r="AC8" s="132" t="e">
        <f t="shared" si="1"/>
        <v>#REF!</v>
      </c>
    </row>
    <row r="9" spans="2:29" ht="15" customHeight="1" x14ac:dyDescent="0.25">
      <c r="B9" s="486" t="s">
        <v>152</v>
      </c>
      <c r="C9" s="487"/>
      <c r="D9" s="111">
        <v>0</v>
      </c>
      <c r="E9" s="110">
        <v>1009.32</v>
      </c>
      <c r="F9" s="113">
        <f>E9/39</f>
        <v>25.880000000000003</v>
      </c>
      <c r="G9" s="112">
        <f t="shared" si="3"/>
        <v>0</v>
      </c>
      <c r="K9" s="132" t="s">
        <v>282</v>
      </c>
      <c r="L9" s="132">
        <v>2200000</v>
      </c>
      <c r="U9" s="132" t="s">
        <v>17</v>
      </c>
      <c r="V9" s="10">
        <v>356</v>
      </c>
      <c r="W9" s="4">
        <v>30</v>
      </c>
      <c r="X9" s="11">
        <f t="shared" si="4"/>
        <v>106.8</v>
      </c>
      <c r="Y9" s="9"/>
      <c r="Z9" s="10" t="e">
        <f>+VLOOKUP(U9,#REF!,2,0)</f>
        <v>#REF!</v>
      </c>
      <c r="AA9" s="4">
        <v>30</v>
      </c>
      <c r="AB9" s="353" t="e">
        <f t="shared" si="5"/>
        <v>#REF!</v>
      </c>
      <c r="AC9" s="132" t="e">
        <f t="shared" si="1"/>
        <v>#REF!</v>
      </c>
    </row>
    <row r="10" spans="2:29" ht="15" customHeight="1" x14ac:dyDescent="0.25">
      <c r="B10" s="486" t="s">
        <v>153</v>
      </c>
      <c r="C10" s="487"/>
      <c r="D10" s="111">
        <v>8.7200000000000006</v>
      </c>
      <c r="E10" s="110">
        <v>965.79</v>
      </c>
      <c r="F10" s="113">
        <f>E10/49</f>
        <v>19.71</v>
      </c>
      <c r="G10" s="112">
        <f t="shared" si="3"/>
        <v>171.87120000000002</v>
      </c>
      <c r="K10" s="132" t="s">
        <v>283</v>
      </c>
      <c r="L10" s="132">
        <v>1100000</v>
      </c>
      <c r="S10">
        <v>110</v>
      </c>
      <c r="U10" s="132" t="s">
        <v>19</v>
      </c>
      <c r="V10" s="10">
        <v>845</v>
      </c>
      <c r="W10" s="4">
        <v>50</v>
      </c>
      <c r="X10" s="11">
        <f t="shared" si="4"/>
        <v>422.5</v>
      </c>
      <c r="Y10" s="9"/>
      <c r="Z10" s="10" t="e">
        <f>+VLOOKUP(U10,#REF!,2,0)</f>
        <v>#REF!</v>
      </c>
      <c r="AA10" s="4">
        <v>50</v>
      </c>
      <c r="AB10" s="353" t="e">
        <f t="shared" si="5"/>
        <v>#REF!</v>
      </c>
      <c r="AC10" s="132" t="e">
        <f t="shared" si="1"/>
        <v>#REF!</v>
      </c>
    </row>
    <row r="11" spans="2:29" ht="15" customHeight="1" x14ac:dyDescent="0.25">
      <c r="B11" s="486" t="s">
        <v>156</v>
      </c>
      <c r="C11" s="487"/>
      <c r="D11" s="111">
        <v>0</v>
      </c>
      <c r="E11" s="110">
        <v>1087</v>
      </c>
      <c r="F11" s="113">
        <f>E11/49</f>
        <v>22.183673469387756</v>
      </c>
      <c r="G11" s="112">
        <f t="shared" si="3"/>
        <v>0</v>
      </c>
      <c r="K11" s="132" t="s">
        <v>284</v>
      </c>
      <c r="L11" s="132">
        <v>1000000</v>
      </c>
      <c r="S11">
        <f>+S10*8</f>
        <v>880</v>
      </c>
      <c r="U11" s="132" t="s">
        <v>21</v>
      </c>
      <c r="V11" s="10">
        <v>285</v>
      </c>
      <c r="W11" s="4">
        <v>30</v>
      </c>
      <c r="X11" s="11">
        <f t="shared" si="4"/>
        <v>85.5</v>
      </c>
      <c r="Y11" s="9"/>
      <c r="Z11" s="10" t="e">
        <f>+VLOOKUP(U11,#REF!,2,0)</f>
        <v>#REF!</v>
      </c>
      <c r="AA11" s="4">
        <v>30</v>
      </c>
      <c r="AB11" s="353" t="e">
        <f t="shared" si="5"/>
        <v>#REF!</v>
      </c>
      <c r="AC11" s="132" t="e">
        <f t="shared" si="1"/>
        <v>#REF!</v>
      </c>
    </row>
    <row r="12" spans="2:29" ht="15" customHeight="1" x14ac:dyDescent="0.25">
      <c r="B12" s="486" t="s">
        <v>154</v>
      </c>
      <c r="C12" s="487"/>
      <c r="D12" s="111">
        <v>19.55</v>
      </c>
      <c r="E12" s="110">
        <v>1139.74</v>
      </c>
      <c r="F12" s="113">
        <f>E12/49</f>
        <v>23.26</v>
      </c>
      <c r="G12" s="112">
        <f t="shared" si="3"/>
        <v>454.73300000000006</v>
      </c>
      <c r="K12" s="132" t="s">
        <v>285</v>
      </c>
      <c r="L12" s="132">
        <v>590000</v>
      </c>
      <c r="U12" s="132" t="s">
        <v>23</v>
      </c>
      <c r="V12" s="10">
        <v>673</v>
      </c>
      <c r="W12" s="4">
        <v>50</v>
      </c>
      <c r="X12" s="11">
        <f t="shared" si="4"/>
        <v>336.5</v>
      </c>
      <c r="Y12" s="9"/>
      <c r="Z12" s="10" t="e">
        <f>+VLOOKUP(U12,#REF!,2,0)</f>
        <v>#REF!</v>
      </c>
      <c r="AA12" s="4">
        <v>50</v>
      </c>
      <c r="AB12" s="353" t="e">
        <f t="shared" si="5"/>
        <v>#REF!</v>
      </c>
      <c r="AC12" s="132" t="e">
        <f t="shared" si="1"/>
        <v>#REF!</v>
      </c>
    </row>
    <row r="13" spans="2:29" ht="15" customHeight="1" x14ac:dyDescent="0.25">
      <c r="B13" s="482"/>
      <c r="C13" s="483"/>
      <c r="D13" s="111">
        <f>SUM(D3:D12)</f>
        <v>100</v>
      </c>
      <c r="E13" s="482" t="s">
        <v>143</v>
      </c>
      <c r="F13" s="483"/>
      <c r="G13" s="113">
        <f>SUM(G3:G12)</f>
        <v>2692.2435440000004</v>
      </c>
      <c r="K13" s="132" t="s">
        <v>286</v>
      </c>
      <c r="L13" s="132">
        <v>230000</v>
      </c>
      <c r="U13" s="9" t="s">
        <v>24</v>
      </c>
      <c r="V13" s="10">
        <v>0</v>
      </c>
      <c r="W13" s="4">
        <v>50</v>
      </c>
      <c r="X13" s="11">
        <f t="shared" si="4"/>
        <v>0</v>
      </c>
      <c r="Y13" s="9"/>
      <c r="Z13" s="10">
        <v>0</v>
      </c>
      <c r="AA13" s="4">
        <v>50</v>
      </c>
      <c r="AB13" s="353">
        <f t="shared" si="5"/>
        <v>0</v>
      </c>
      <c r="AC13" s="132">
        <f t="shared" si="1"/>
        <v>0</v>
      </c>
    </row>
    <row r="14" spans="2:29" ht="15" customHeight="1" x14ac:dyDescent="0.25">
      <c r="B14" s="114" t="s">
        <v>256</v>
      </c>
      <c r="C14" s="364"/>
      <c r="D14" s="364"/>
      <c r="E14" s="482" t="s">
        <v>255</v>
      </c>
      <c r="F14" s="483"/>
      <c r="G14" s="115">
        <f>'REPORT DATA SHEET'!P58</f>
        <v>2711.8079842882503</v>
      </c>
      <c r="K14" s="132" t="s">
        <v>287</v>
      </c>
      <c r="L14" s="132">
        <v>150000</v>
      </c>
      <c r="U14" s="9" t="s">
        <v>25</v>
      </c>
      <c r="V14" s="10">
        <v>0</v>
      </c>
      <c r="W14" s="4">
        <v>30</v>
      </c>
      <c r="X14" s="11">
        <f t="shared" si="4"/>
        <v>0</v>
      </c>
      <c r="Y14" s="9"/>
      <c r="Z14" s="10">
        <v>0</v>
      </c>
      <c r="AA14" s="4">
        <v>30</v>
      </c>
      <c r="AB14" s="353">
        <f t="shared" si="5"/>
        <v>0</v>
      </c>
      <c r="AC14" s="132">
        <f t="shared" si="1"/>
        <v>0</v>
      </c>
    </row>
    <row r="15" spans="2:29" ht="15" customHeight="1" x14ac:dyDescent="0.25">
      <c r="B15" s="114" t="s">
        <v>318</v>
      </c>
      <c r="C15" s="130"/>
      <c r="D15" s="114"/>
      <c r="E15" s="482" t="s">
        <v>144</v>
      </c>
      <c r="F15" s="483"/>
      <c r="G15" s="129">
        <f>+G13-G14</f>
        <v>-19.564440288249898</v>
      </c>
      <c r="K15" s="132" t="s">
        <v>288</v>
      </c>
      <c r="L15" s="132">
        <v>27140</v>
      </c>
      <c r="U15" s="9" t="s">
        <v>26</v>
      </c>
      <c r="V15" s="10">
        <v>0</v>
      </c>
      <c r="W15" s="4">
        <v>5</v>
      </c>
      <c r="X15" s="11">
        <f t="shared" si="4"/>
        <v>0</v>
      </c>
      <c r="Y15" s="9"/>
      <c r="Z15" s="10">
        <v>0</v>
      </c>
      <c r="AA15" s="4">
        <v>5</v>
      </c>
      <c r="AB15" s="353">
        <f t="shared" si="5"/>
        <v>0</v>
      </c>
      <c r="AC15" s="132">
        <f t="shared" si="1"/>
        <v>0</v>
      </c>
    </row>
    <row r="16" spans="2:29" ht="15" customHeight="1" x14ac:dyDescent="0.25">
      <c r="B16" s="114"/>
      <c r="C16" s="114"/>
      <c r="D16" s="260"/>
      <c r="E16" s="482" t="s">
        <v>146</v>
      </c>
      <c r="F16" s="483"/>
      <c r="G16" s="115">
        <v>250</v>
      </c>
      <c r="K16" s="132" t="s">
        <v>289</v>
      </c>
      <c r="L16" s="132">
        <v>400000</v>
      </c>
      <c r="U16" s="9" t="s">
        <v>129</v>
      </c>
      <c r="V16" s="10">
        <v>218</v>
      </c>
      <c r="W16" s="15">
        <v>39</v>
      </c>
      <c r="X16" s="11">
        <f>+V16*W16/100</f>
        <v>85.02</v>
      </c>
      <c r="Y16" s="9"/>
      <c r="Z16" s="10">
        <v>0</v>
      </c>
      <c r="AA16" s="15">
        <v>39</v>
      </c>
      <c r="AB16" s="353">
        <f>+Z16*AA16/100</f>
        <v>0</v>
      </c>
      <c r="AC16" s="132">
        <f t="shared" si="1"/>
        <v>218</v>
      </c>
    </row>
    <row r="17" spans="2:29" ht="15" customHeight="1" x14ac:dyDescent="0.25">
      <c r="B17" s="114"/>
      <c r="C17" s="114"/>
      <c r="D17" s="114"/>
      <c r="E17" s="482" t="s">
        <v>166</v>
      </c>
      <c r="F17" s="483"/>
      <c r="G17" s="113">
        <f>+G14*0.03</f>
        <v>81.354239528647511</v>
      </c>
      <c r="K17" s="132" t="s">
        <v>290</v>
      </c>
      <c r="L17" s="132">
        <v>300000</v>
      </c>
      <c r="U17" s="132" t="s">
        <v>29</v>
      </c>
      <c r="V17" s="10">
        <v>2840</v>
      </c>
      <c r="W17" s="4">
        <v>49</v>
      </c>
      <c r="X17" s="11">
        <f t="shared" si="4"/>
        <v>1391.6</v>
      </c>
      <c r="Y17" s="9"/>
      <c r="Z17" s="10" t="e">
        <f>+VLOOKUP(U17,#REF!,2,0)</f>
        <v>#REF!</v>
      </c>
      <c r="AA17" s="4">
        <v>49</v>
      </c>
      <c r="AB17" s="353" t="e">
        <f>+Z17*AA17/100</f>
        <v>#REF!</v>
      </c>
      <c r="AC17" s="132" t="e">
        <f t="shared" si="1"/>
        <v>#REF!</v>
      </c>
    </row>
    <row r="18" spans="2:29" ht="15" customHeight="1" x14ac:dyDescent="0.25">
      <c r="B18" s="114"/>
      <c r="C18" s="114"/>
      <c r="D18" s="114"/>
      <c r="E18" s="482" t="s">
        <v>157</v>
      </c>
      <c r="F18" s="483"/>
      <c r="G18" s="138">
        <f>+G15+G17-G16</f>
        <v>-188.2102007596024</v>
      </c>
      <c r="K18" s="132" t="s">
        <v>291</v>
      </c>
      <c r="L18" s="132">
        <v>15000</v>
      </c>
      <c r="R18">
        <v>117</v>
      </c>
      <c r="S18">
        <f>+H18*R18</f>
        <v>0</v>
      </c>
      <c r="U18" s="132" t="s">
        <v>31</v>
      </c>
      <c r="V18" s="10">
        <v>5785</v>
      </c>
      <c r="W18" s="4">
        <v>49</v>
      </c>
      <c r="X18" s="11">
        <f>+V18*W18/100</f>
        <v>2834.65</v>
      </c>
      <c r="Y18" s="9"/>
      <c r="Z18" s="10" t="e">
        <f>+VLOOKUP(U18,#REF!,2,0)</f>
        <v>#REF!</v>
      </c>
      <c r="AA18" s="4">
        <v>49</v>
      </c>
      <c r="AB18" s="353" t="e">
        <f>+Z18*AA18/100</f>
        <v>#REF!</v>
      </c>
      <c r="AC18" s="132" t="e">
        <f t="shared" si="1"/>
        <v>#REF!</v>
      </c>
    </row>
    <row r="19" spans="2:29" ht="15" customHeight="1" x14ac:dyDescent="0.25">
      <c r="E19" s="482"/>
      <c r="F19" s="483"/>
      <c r="G19" s="113"/>
      <c r="K19" s="132" t="s">
        <v>292</v>
      </c>
      <c r="L19" s="132">
        <v>8000</v>
      </c>
      <c r="S19">
        <f>+S18/7</f>
        <v>0</v>
      </c>
      <c r="U19" s="9" t="s">
        <v>130</v>
      </c>
      <c r="V19" s="10">
        <v>345</v>
      </c>
      <c r="W19" s="4">
        <v>49</v>
      </c>
      <c r="X19" s="11">
        <f>+V19*W19/100</f>
        <v>169.05</v>
      </c>
      <c r="Y19" s="9"/>
      <c r="Z19" s="10">
        <v>0</v>
      </c>
      <c r="AA19" s="4">
        <v>49</v>
      </c>
      <c r="AB19" s="353">
        <f>+Z19*AA19/100</f>
        <v>0</v>
      </c>
      <c r="AC19" s="132"/>
    </row>
    <row r="20" spans="2:29" ht="15" customHeight="1" x14ac:dyDescent="0.25">
      <c r="G20" s="109"/>
      <c r="K20" s="132" t="s">
        <v>293</v>
      </c>
      <c r="L20" s="132">
        <v>70000</v>
      </c>
      <c r="U20" s="254"/>
      <c r="V20" s="255"/>
      <c r="W20" s="4"/>
      <c r="X20" s="256"/>
      <c r="Y20" s="254"/>
      <c r="Z20" s="255"/>
      <c r="AA20" s="4"/>
      <c r="AB20" s="354"/>
      <c r="AC20" s="132"/>
    </row>
    <row r="21" spans="2:29" ht="15" customHeight="1" x14ac:dyDescent="0.25">
      <c r="K21" s="132" t="s">
        <v>294</v>
      </c>
      <c r="L21" s="132">
        <v>400000</v>
      </c>
      <c r="R21">
        <v>2000</v>
      </c>
      <c r="U21" s="254"/>
      <c r="V21" s="255"/>
      <c r="W21" s="4"/>
      <c r="X21" s="256"/>
      <c r="Y21" s="254"/>
      <c r="Z21" s="255"/>
      <c r="AA21" s="4"/>
      <c r="AB21" s="354"/>
      <c r="AC21" s="132"/>
    </row>
    <row r="22" spans="2:29" ht="15" customHeight="1" thickBot="1" x14ac:dyDescent="0.3">
      <c r="K22" s="132" t="s">
        <v>295</v>
      </c>
      <c r="L22" s="132">
        <v>155000</v>
      </c>
      <c r="U22" s="18" t="s">
        <v>32</v>
      </c>
      <c r="V22" s="19">
        <f>SUM(V3:V19)</f>
        <v>19431</v>
      </c>
      <c r="W22" s="355"/>
      <c r="X22" s="21">
        <f>SUM(X3:X19)</f>
        <v>9440.42</v>
      </c>
      <c r="Y22" s="18"/>
      <c r="Z22" s="19" t="e">
        <f>SUM(Z3:Z19)</f>
        <v>#REF!</v>
      </c>
      <c r="AA22" s="355"/>
      <c r="AB22" s="356" t="e">
        <f>SUM(AB3:AB19)</f>
        <v>#REF!</v>
      </c>
      <c r="AC22" s="132" t="e">
        <f>SUM(AC3:AC21)</f>
        <v>#REF!</v>
      </c>
    </row>
    <row r="23" spans="2:29" ht="15.75" customHeight="1" thickTop="1" x14ac:dyDescent="0.25">
      <c r="B23" s="485" t="s">
        <v>247</v>
      </c>
      <c r="C23" s="485"/>
      <c r="D23" s="485"/>
      <c r="E23" s="485"/>
      <c r="F23" s="485"/>
      <c r="G23" s="485"/>
      <c r="K23" s="132" t="s">
        <v>296</v>
      </c>
      <c r="L23" s="132">
        <v>70000</v>
      </c>
    </row>
    <row r="24" spans="2:29" ht="15.75" customHeight="1" x14ac:dyDescent="0.25">
      <c r="B24" s="484" t="s">
        <v>139</v>
      </c>
      <c r="C24" s="484"/>
      <c r="D24" s="110" t="s">
        <v>145</v>
      </c>
      <c r="E24" s="110" t="s">
        <v>141</v>
      </c>
      <c r="F24" s="110" t="s">
        <v>142</v>
      </c>
      <c r="G24" s="110" t="s">
        <v>140</v>
      </c>
      <c r="K24" s="132" t="s">
        <v>228</v>
      </c>
      <c r="L24" s="132">
        <v>102000</v>
      </c>
    </row>
    <row r="25" spans="2:29" ht="15.75" customHeight="1" x14ac:dyDescent="0.25">
      <c r="B25" s="484" t="s">
        <v>147</v>
      </c>
      <c r="C25" s="484"/>
      <c r="D25" s="111">
        <v>22.1</v>
      </c>
      <c r="E25" s="332">
        <f>+'AUG TILL DATE '!T7</f>
        <v>1644.4511076764554</v>
      </c>
      <c r="F25" s="115">
        <f>E25/50</f>
        <v>32.889022153529112</v>
      </c>
      <c r="G25" s="112">
        <f t="shared" ref="G25:G33" si="6">D25*F25</f>
        <v>726.84738959299341</v>
      </c>
      <c r="K25" s="132" t="s">
        <v>297</v>
      </c>
      <c r="L25" s="132">
        <v>580000</v>
      </c>
    </row>
    <row r="26" spans="2:29" ht="15.75" customHeight="1" x14ac:dyDescent="0.25">
      <c r="B26" s="484" t="s">
        <v>148</v>
      </c>
      <c r="C26" s="484"/>
      <c r="D26" s="111">
        <v>33.700000000000003</v>
      </c>
      <c r="E26" s="332">
        <f>+'AUG TILL DATE '!T9</f>
        <v>1526.8302945301543</v>
      </c>
      <c r="F26" s="113">
        <f>E26/50</f>
        <v>30.536605890603088</v>
      </c>
      <c r="G26" s="112">
        <f t="shared" si="6"/>
        <v>1029.0836185133242</v>
      </c>
      <c r="K26" s="132" t="s">
        <v>298</v>
      </c>
      <c r="L26" s="132">
        <f>SUM(L8:L25)</f>
        <v>8635843</v>
      </c>
    </row>
    <row r="27" spans="2:29" ht="15.75" customHeight="1" x14ac:dyDescent="0.25">
      <c r="B27" s="484" t="s">
        <v>149</v>
      </c>
      <c r="C27" s="484"/>
      <c r="D27" s="111">
        <v>5.3</v>
      </c>
      <c r="E27" s="332">
        <f>+'AUG TILL DATE '!AB10</f>
        <v>1739.0857142857142</v>
      </c>
      <c r="F27" s="113">
        <f>E27/50</f>
        <v>34.781714285714287</v>
      </c>
      <c r="G27" s="112">
        <f t="shared" si="6"/>
        <v>184.34308571428571</v>
      </c>
    </row>
    <row r="28" spans="2:29" ht="15.75" customHeight="1" x14ac:dyDescent="0.25">
      <c r="B28" s="484" t="s">
        <v>150</v>
      </c>
      <c r="C28" s="484"/>
      <c r="D28" s="111">
        <v>5.7</v>
      </c>
      <c r="E28" s="332">
        <f>+'AUG TILL DATE '!T13</f>
        <v>1716.0408878504672</v>
      </c>
      <c r="F28" s="113">
        <f>E28/50</f>
        <v>34.320817757009344</v>
      </c>
      <c r="G28" s="112">
        <f t="shared" si="6"/>
        <v>195.62866121495327</v>
      </c>
    </row>
    <row r="29" spans="2:29" ht="15.75" customHeight="1" x14ac:dyDescent="0.25">
      <c r="B29" s="484" t="s">
        <v>151</v>
      </c>
      <c r="C29" s="484"/>
      <c r="D29" s="111">
        <v>3.1</v>
      </c>
      <c r="E29" s="332">
        <f>+'AUG TILL DATE '!T15</f>
        <v>1750.0756302521008</v>
      </c>
      <c r="F29" s="113">
        <f>E29/50</f>
        <v>35.001512605042016</v>
      </c>
      <c r="G29" s="112">
        <f t="shared" si="6"/>
        <v>108.50468907563025</v>
      </c>
    </row>
    <row r="30" spans="2:29" ht="15.75" customHeight="1" x14ac:dyDescent="0.25">
      <c r="B30" s="484" t="s">
        <v>152</v>
      </c>
      <c r="C30" s="484"/>
      <c r="D30" s="111">
        <v>0</v>
      </c>
      <c r="E30" s="332">
        <f>+'AUG TILL DATE '!T19</f>
        <v>849.99999999999989</v>
      </c>
      <c r="F30" s="113">
        <f>E30/39</f>
        <v>21.794871794871792</v>
      </c>
      <c r="G30" s="112">
        <f t="shared" si="6"/>
        <v>0</v>
      </c>
    </row>
    <row r="31" spans="2:29" ht="15.75" customHeight="1" x14ac:dyDescent="0.25">
      <c r="B31" s="484" t="s">
        <v>153</v>
      </c>
      <c r="C31" s="484"/>
      <c r="D31" s="111">
        <v>5</v>
      </c>
      <c r="E31" s="332">
        <f>+'AUG TILL DATE '!T20</f>
        <v>777.02519975414873</v>
      </c>
      <c r="F31" s="113">
        <f>E31/49</f>
        <v>15.857657137839769</v>
      </c>
      <c r="G31" s="112">
        <f t="shared" si="6"/>
        <v>79.288285689198844</v>
      </c>
    </row>
    <row r="32" spans="2:29" ht="15.75" customHeight="1" x14ac:dyDescent="0.25">
      <c r="B32" s="484" t="s">
        <v>156</v>
      </c>
      <c r="C32" s="484"/>
      <c r="D32" s="111">
        <v>0</v>
      </c>
      <c r="E32" s="110">
        <v>1300</v>
      </c>
      <c r="F32" s="113">
        <f>E32/49</f>
        <v>26.530612244897959</v>
      </c>
      <c r="G32" s="112">
        <f t="shared" si="6"/>
        <v>0</v>
      </c>
    </row>
    <row r="33" spans="2:7" ht="15.75" customHeight="1" x14ac:dyDescent="0.25">
      <c r="B33" s="484" t="s">
        <v>154</v>
      </c>
      <c r="C33" s="484"/>
      <c r="D33" s="111">
        <v>25.1</v>
      </c>
      <c r="E33" s="332">
        <f>+'AUG TILL DATE '!T21</f>
        <v>1050.6327630653857</v>
      </c>
      <c r="F33" s="113">
        <f>E33/49</f>
        <v>21.441484960518075</v>
      </c>
      <c r="G33" s="112">
        <f t="shared" si="6"/>
        <v>538.18127250900375</v>
      </c>
    </row>
    <row r="34" spans="2:7" ht="15.75" customHeight="1" x14ac:dyDescent="0.25">
      <c r="B34" s="482"/>
      <c r="C34" s="483"/>
      <c r="D34" s="111">
        <f>SUM(D25:D33)</f>
        <v>100</v>
      </c>
      <c r="E34" s="482" t="s">
        <v>143</v>
      </c>
      <c r="F34" s="483"/>
      <c r="G34" s="113">
        <f>SUM(G25:G33)</f>
        <v>2861.8770023093894</v>
      </c>
    </row>
    <row r="35" spans="2:7" ht="15.75" customHeight="1" x14ac:dyDescent="0.25">
      <c r="B35" s="114"/>
      <c r="C35" s="114" t="s">
        <v>167</v>
      </c>
      <c r="D35" s="139">
        <v>2875</v>
      </c>
      <c r="E35" s="482" t="s">
        <v>158</v>
      </c>
      <c r="F35" s="483"/>
      <c r="G35" s="115">
        <f>+'AUG TILL DATE '!P35</f>
        <v>2711.8079842882503</v>
      </c>
    </row>
    <row r="36" spans="2:7" ht="15.75" customHeight="1" x14ac:dyDescent="0.25">
      <c r="B36" s="114"/>
      <c r="C36" s="130">
        <v>0.04</v>
      </c>
      <c r="D36" s="114">
        <f>+D35*4/100</f>
        <v>115</v>
      </c>
      <c r="E36" s="482" t="s">
        <v>144</v>
      </c>
      <c r="F36" s="483"/>
      <c r="G36" s="129">
        <f>+G34-G35</f>
        <v>150.06901802113907</v>
      </c>
    </row>
    <row r="37" spans="2:7" ht="15.75" customHeight="1" x14ac:dyDescent="0.25">
      <c r="B37" s="114"/>
      <c r="C37" s="114"/>
      <c r="D37" s="114"/>
      <c r="E37" s="482" t="s">
        <v>146</v>
      </c>
      <c r="F37" s="483"/>
      <c r="G37" s="115">
        <v>250</v>
      </c>
    </row>
    <row r="38" spans="2:7" ht="15.75" customHeight="1" x14ac:dyDescent="0.25">
      <c r="B38" s="114"/>
      <c r="C38" s="114"/>
      <c r="D38" s="114"/>
      <c r="E38" s="482" t="s">
        <v>166</v>
      </c>
      <c r="F38" s="483"/>
      <c r="G38" s="113">
        <f>+G35*0.03</f>
        <v>81.354239528647511</v>
      </c>
    </row>
    <row r="39" spans="2:7" ht="15.75" customHeight="1" x14ac:dyDescent="0.25">
      <c r="B39" s="114"/>
      <c r="C39" s="114"/>
      <c r="D39" s="114"/>
      <c r="E39" s="482" t="s">
        <v>157</v>
      </c>
      <c r="F39" s="483"/>
      <c r="G39" s="138">
        <f>+G36+G38-G37</f>
        <v>-18.57674245021343</v>
      </c>
    </row>
    <row r="40" spans="2:7" ht="15.75" customHeight="1" x14ac:dyDescent="0.25">
      <c r="E40" s="482"/>
      <c r="F40" s="483"/>
      <c r="G40" s="113"/>
    </row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0">
    <mergeCell ref="K7:L7"/>
    <mergeCell ref="E19:F19"/>
    <mergeCell ref="E16:F16"/>
    <mergeCell ref="E17:F17"/>
    <mergeCell ref="E18:F18"/>
    <mergeCell ref="B13:C13"/>
    <mergeCell ref="E15:F15"/>
    <mergeCell ref="E14:F14"/>
    <mergeCell ref="E13:F13"/>
    <mergeCell ref="B12:C12"/>
    <mergeCell ref="B1:G1"/>
    <mergeCell ref="B8:C8"/>
    <mergeCell ref="B11:C11"/>
    <mergeCell ref="B9:C9"/>
    <mergeCell ref="B10:C10"/>
    <mergeCell ref="B2:C2"/>
    <mergeCell ref="B3:C3"/>
    <mergeCell ref="B5:C5"/>
    <mergeCell ref="B6:C6"/>
    <mergeCell ref="B7:C7"/>
    <mergeCell ref="B4:C4"/>
    <mergeCell ref="B23:G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E37:F37"/>
    <mergeCell ref="E38:F38"/>
    <mergeCell ref="E39:F39"/>
    <mergeCell ref="E40:F40"/>
    <mergeCell ref="B33:C33"/>
    <mergeCell ref="B34:C34"/>
    <mergeCell ref="E34:F34"/>
    <mergeCell ref="E35:F35"/>
    <mergeCell ref="E36:F36"/>
  </mergeCells>
  <pageMargins left="0.70866141732283472" right="0.70866141732283472" top="0.74803149606299213" bottom="0.74803149606299213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9:H32"/>
  <sheetViews>
    <sheetView topLeftCell="A21" workbookViewId="0">
      <selection activeCell="D28" sqref="D28:G33"/>
    </sheetView>
  </sheetViews>
  <sheetFormatPr defaultRowHeight="15" x14ac:dyDescent="0.25"/>
  <cols>
    <col min="4" max="4" width="18.7109375" customWidth="1"/>
  </cols>
  <sheetData>
    <row r="29" spans="4:8" ht="23.25" x14ac:dyDescent="0.35">
      <c r="D29" s="419" t="s">
        <v>310</v>
      </c>
      <c r="E29" s="419" t="s">
        <v>309</v>
      </c>
      <c r="F29" s="419"/>
      <c r="G29" s="419"/>
      <c r="H29" s="419"/>
    </row>
    <row r="30" spans="4:8" ht="23.25" x14ac:dyDescent="0.35">
      <c r="D30" s="419" t="s">
        <v>311</v>
      </c>
      <c r="E30" s="420" t="s">
        <v>312</v>
      </c>
      <c r="F30" s="419"/>
      <c r="G30" s="419"/>
      <c r="H30" s="419"/>
    </row>
    <row r="31" spans="4:8" ht="23.25" x14ac:dyDescent="0.35">
      <c r="D31" s="419" t="s">
        <v>313</v>
      </c>
      <c r="E31" s="419" t="s">
        <v>314</v>
      </c>
      <c r="F31" s="419"/>
      <c r="G31" s="419"/>
      <c r="H31" s="419"/>
    </row>
    <row r="32" spans="4:8" ht="23.25" x14ac:dyDescent="0.35">
      <c r="D32" s="419" t="s">
        <v>315</v>
      </c>
      <c r="E32" s="419" t="s">
        <v>316</v>
      </c>
      <c r="F32" s="419"/>
      <c r="G32" s="419"/>
      <c r="H32" s="419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D4" sqref="D4"/>
    </sheetView>
  </sheetViews>
  <sheetFormatPr defaultRowHeight="15" x14ac:dyDescent="0.25"/>
  <sheetData/>
  <pageMargins left="0.19685039370078741" right="0.19685039370078741" top="0.74803149606299213" bottom="0.74803149606299213" header="0.31496062992125984" footer="0.31496062992125984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D86"/>
  <sheetViews>
    <sheetView zoomScaleNormal="100" workbookViewId="0">
      <selection activeCell="F10" sqref="F10"/>
    </sheetView>
  </sheetViews>
  <sheetFormatPr defaultColWidth="8.85546875" defaultRowHeight="15" x14ac:dyDescent="0.25"/>
  <cols>
    <col min="1" max="1" width="37.28515625" style="201" bestFit="1" customWidth="1"/>
    <col min="2" max="2" width="20.7109375" style="201" bestFit="1" customWidth="1"/>
    <col min="3" max="3" width="14.42578125" style="201" bestFit="1" customWidth="1"/>
    <col min="4" max="4" width="12.5703125" style="201" bestFit="1" customWidth="1"/>
    <col min="5" max="5" width="11.5703125" style="201" bestFit="1" customWidth="1"/>
    <col min="6" max="6" width="8.85546875" style="201"/>
    <col min="7" max="7" width="9.7109375" style="201" bestFit="1" customWidth="1"/>
    <col min="8" max="8" width="8.85546875" style="201"/>
    <col min="9" max="9" width="11.7109375" style="201" bestFit="1" customWidth="1"/>
    <col min="10" max="10" width="10" style="201" bestFit="1" customWidth="1"/>
    <col min="11" max="11" width="11" style="201" bestFit="1" customWidth="1"/>
    <col min="12" max="12" width="8.85546875" style="201"/>
    <col min="13" max="13" width="33.140625" style="201" bestFit="1" customWidth="1"/>
    <col min="14" max="17" width="8.85546875" style="201"/>
    <col min="18" max="18" width="11.5703125" style="201" bestFit="1" customWidth="1"/>
    <col min="19" max="16384" width="8.85546875" style="201"/>
  </cols>
  <sheetData>
    <row r="3" spans="1:30" ht="21" x14ac:dyDescent="0.35">
      <c r="A3" s="477" t="s">
        <v>253</v>
      </c>
      <c r="B3" s="478"/>
      <c r="C3" s="478"/>
      <c r="D3" s="478"/>
      <c r="E3" s="478"/>
      <c r="F3" s="478"/>
      <c r="G3" s="478"/>
      <c r="H3" s="478"/>
    </row>
    <row r="4" spans="1:30" x14ac:dyDescent="0.25">
      <c r="A4" s="479" t="s">
        <v>202</v>
      </c>
      <c r="B4" s="480"/>
      <c r="C4" s="480"/>
      <c r="D4" s="480"/>
      <c r="E4" s="480"/>
      <c r="F4" s="480"/>
      <c r="G4" s="480"/>
      <c r="H4" s="480"/>
      <c r="I4" s="200"/>
    </row>
    <row r="5" spans="1:30" s="211" customFormat="1" ht="23.25" x14ac:dyDescent="0.35">
      <c r="A5" s="330" t="s">
        <v>3</v>
      </c>
      <c r="B5" s="330" t="s">
        <v>201</v>
      </c>
      <c r="C5" s="330" t="s">
        <v>8</v>
      </c>
      <c r="D5" s="210" t="s">
        <v>194</v>
      </c>
      <c r="E5" s="210" t="s">
        <v>195</v>
      </c>
      <c r="F5" s="210" t="s">
        <v>196</v>
      </c>
      <c r="G5" s="210" t="s">
        <v>197</v>
      </c>
      <c r="H5" s="210" t="s">
        <v>198</v>
      </c>
      <c r="I5" s="240" t="s">
        <v>214</v>
      </c>
      <c r="M5" s="490" t="s">
        <v>1</v>
      </c>
      <c r="N5" s="491"/>
      <c r="O5" s="491"/>
      <c r="P5" s="491"/>
      <c r="Q5" s="491"/>
      <c r="R5" s="491"/>
      <c r="S5" s="492"/>
      <c r="T5" s="210"/>
    </row>
    <row r="6" spans="1:30" x14ac:dyDescent="0.25">
      <c r="A6" s="216" t="s">
        <v>29</v>
      </c>
      <c r="B6" s="199">
        <v>4001</v>
      </c>
      <c r="C6" s="150">
        <v>3161760</v>
      </c>
      <c r="D6" s="200">
        <v>49</v>
      </c>
      <c r="E6" s="200">
        <f>+B6*D6/100</f>
        <v>1960.49</v>
      </c>
      <c r="F6" s="223">
        <f>+C6/E6</f>
        <v>1612.7396722248009</v>
      </c>
      <c r="G6" s="223">
        <f>+'REPORT DATA SHEET'!O58</f>
        <v>2711.8079842882503</v>
      </c>
      <c r="H6" s="200">
        <f t="shared" ref="H6:H16" si="0">+F6-G6</f>
        <v>-1099.0683120634494</v>
      </c>
      <c r="I6" s="223">
        <f t="shared" ref="I6:I16" si="1">+C6/B6</f>
        <v>790.24243939015241</v>
      </c>
      <c r="M6" s="250" t="s">
        <v>3</v>
      </c>
      <c r="N6" s="251" t="s">
        <v>4</v>
      </c>
      <c r="O6" s="252"/>
      <c r="P6" s="252" t="s">
        <v>5</v>
      </c>
      <c r="Q6" s="149" t="s">
        <v>7</v>
      </c>
      <c r="R6" s="149" t="s">
        <v>8</v>
      </c>
      <c r="S6" s="210" t="s">
        <v>241</v>
      </c>
      <c r="T6" s="323" t="s">
        <v>246</v>
      </c>
    </row>
    <row r="7" spans="1:30" x14ac:dyDescent="0.25">
      <c r="A7" s="216" t="s">
        <v>31</v>
      </c>
      <c r="B7" s="199">
        <v>6510</v>
      </c>
      <c r="C7" s="150">
        <v>6863170</v>
      </c>
      <c r="D7" s="200">
        <v>49</v>
      </c>
      <c r="E7" s="200">
        <f t="shared" ref="E7:E18" si="2">+B7*D7/100</f>
        <v>3189.9</v>
      </c>
      <c r="F7" s="223">
        <f t="shared" ref="F7:F16" si="3">+C7/E7</f>
        <v>2151.5313959685254</v>
      </c>
      <c r="G7" s="223">
        <f t="shared" ref="G7:G13" si="4">+G6</f>
        <v>2711.8079842882503</v>
      </c>
      <c r="H7" s="200">
        <f t="shared" si="0"/>
        <v>-560.27658831972485</v>
      </c>
      <c r="I7" s="223">
        <f t="shared" si="1"/>
        <v>1054.2503840245777</v>
      </c>
      <c r="M7" s="314" t="s">
        <v>10</v>
      </c>
      <c r="N7" s="251">
        <v>9705</v>
      </c>
      <c r="O7" s="252">
        <v>50</v>
      </c>
      <c r="P7" s="253">
        <f t="shared" ref="P7:P18" si="5">+N7*O7/100</f>
        <v>4852.5</v>
      </c>
      <c r="Q7" s="315">
        <f t="shared" ref="Q7:Q22" si="6">(P7*100)/$P$24</f>
        <v>29.162359672107506</v>
      </c>
      <c r="R7" s="132">
        <v>15959398</v>
      </c>
      <c r="S7" s="223">
        <f>+R7/P7</f>
        <v>3288.9022153529108</v>
      </c>
      <c r="T7" s="223">
        <f>+S7/2</f>
        <v>1644.4511076764554</v>
      </c>
      <c r="U7" s="201">
        <v>2845</v>
      </c>
      <c r="V7" s="227">
        <f>+S7-U7</f>
        <v>443.90221535291084</v>
      </c>
    </row>
    <row r="8" spans="1:30" x14ac:dyDescent="0.25">
      <c r="A8" s="216" t="s">
        <v>12</v>
      </c>
      <c r="B8" s="199">
        <v>377</v>
      </c>
      <c r="C8" s="150">
        <v>367198</v>
      </c>
      <c r="D8" s="200">
        <v>30</v>
      </c>
      <c r="E8" s="200">
        <f t="shared" si="2"/>
        <v>113.1</v>
      </c>
      <c r="F8" s="223">
        <f t="shared" si="3"/>
        <v>3246.666666666667</v>
      </c>
      <c r="G8" s="223">
        <f t="shared" si="4"/>
        <v>2711.8079842882503</v>
      </c>
      <c r="H8" s="200">
        <f t="shared" si="0"/>
        <v>534.85868237841669</v>
      </c>
      <c r="I8" s="223">
        <f t="shared" si="1"/>
        <v>974</v>
      </c>
      <c r="M8" s="132" t="s">
        <v>12</v>
      </c>
      <c r="N8" s="251">
        <v>1457</v>
      </c>
      <c r="O8" s="252">
        <v>30</v>
      </c>
      <c r="P8" s="253">
        <f t="shared" si="5"/>
        <v>437.1</v>
      </c>
      <c r="Q8" s="315">
        <f t="shared" si="6"/>
        <v>2.6268660304334239</v>
      </c>
      <c r="R8" s="132">
        <v>1430018</v>
      </c>
      <c r="S8" s="223">
        <f>+R8/P8</f>
        <v>3271.6037520018299</v>
      </c>
      <c r="T8" s="223">
        <f>+S8/100*30</f>
        <v>981.48112560054892</v>
      </c>
      <c r="U8" s="201">
        <v>2845</v>
      </c>
      <c r="V8" s="227">
        <f>+S8-U8</f>
        <v>426.60375200182989</v>
      </c>
    </row>
    <row r="9" spans="1:30" x14ac:dyDescent="0.25">
      <c r="A9" s="216" t="s">
        <v>10</v>
      </c>
      <c r="B9" s="199">
        <v>3626</v>
      </c>
      <c r="C9" s="150">
        <v>5899160</v>
      </c>
      <c r="D9" s="200">
        <v>50</v>
      </c>
      <c r="E9" s="200">
        <f t="shared" si="2"/>
        <v>1813</v>
      </c>
      <c r="F9" s="223">
        <f t="shared" si="3"/>
        <v>3253.8113623827908</v>
      </c>
      <c r="G9" s="223">
        <f t="shared" si="4"/>
        <v>2711.8079842882503</v>
      </c>
      <c r="H9" s="200">
        <f t="shared" si="0"/>
        <v>542.00337809454049</v>
      </c>
      <c r="I9" s="223">
        <f t="shared" si="1"/>
        <v>1626.9056811913954</v>
      </c>
      <c r="M9" s="132" t="s">
        <v>14</v>
      </c>
      <c r="N9" s="251">
        <v>3565</v>
      </c>
      <c r="O9" s="252">
        <v>50</v>
      </c>
      <c r="P9" s="253">
        <f t="shared" si="5"/>
        <v>1782.5</v>
      </c>
      <c r="Q9" s="315">
        <f t="shared" si="6"/>
        <v>10.712396932618573</v>
      </c>
      <c r="R9" s="132">
        <v>5443150</v>
      </c>
      <c r="S9" s="223">
        <f>+R9/P9</f>
        <v>3053.6605890603087</v>
      </c>
      <c r="T9" s="223">
        <f>+S9/2</f>
        <v>1526.8302945301543</v>
      </c>
      <c r="U9" s="201">
        <v>2845</v>
      </c>
      <c r="V9" s="227">
        <f>+S9-U9</f>
        <v>208.66058906030867</v>
      </c>
    </row>
    <row r="10" spans="1:30" x14ac:dyDescent="0.25">
      <c r="A10" s="216" t="s">
        <v>21</v>
      </c>
      <c r="B10" s="199">
        <v>10</v>
      </c>
      <c r="C10" s="150">
        <v>10100</v>
      </c>
      <c r="D10" s="200">
        <v>30</v>
      </c>
      <c r="E10" s="200">
        <f t="shared" si="2"/>
        <v>3</v>
      </c>
      <c r="F10" s="223">
        <f t="shared" si="3"/>
        <v>3366.6666666666665</v>
      </c>
      <c r="G10" s="223">
        <f t="shared" si="4"/>
        <v>2711.8079842882503</v>
      </c>
      <c r="H10" s="200">
        <f t="shared" si="0"/>
        <v>654.85868237841623</v>
      </c>
      <c r="I10" s="223">
        <f t="shared" si="1"/>
        <v>1010</v>
      </c>
      <c r="M10" s="132" t="s">
        <v>250</v>
      </c>
      <c r="N10" s="251">
        <v>1184</v>
      </c>
      <c r="O10" s="201">
        <v>50</v>
      </c>
      <c r="P10" s="253">
        <f t="shared" si="5"/>
        <v>592</v>
      </c>
      <c r="Q10" s="315">
        <f t="shared" si="6"/>
        <v>3.5577778311978658</v>
      </c>
      <c r="R10" s="132">
        <v>1933395</v>
      </c>
      <c r="S10" s="223">
        <f>+R10/P10</f>
        <v>3265.8699324324325</v>
      </c>
      <c r="T10" s="223">
        <f>+S10/2</f>
        <v>1632.9349662162163</v>
      </c>
      <c r="U10" s="132" t="s">
        <v>165</v>
      </c>
      <c r="V10" s="251">
        <f>+VLOOKUP(U10,[1]Sheet3!$A$4:$B$14,2,0)</f>
        <v>525</v>
      </c>
      <c r="W10" s="252">
        <v>50</v>
      </c>
      <c r="X10" s="253">
        <f>+V10*W10/100</f>
        <v>262.5</v>
      </c>
      <c r="Y10" s="315">
        <f>(X10*100)/$P$24</f>
        <v>1.5775619606240536</v>
      </c>
      <c r="Z10" s="132">
        <f>+VLOOKUP(U10,[1]Sheet3!$A$4:$C$14,3,0)</f>
        <v>913020</v>
      </c>
      <c r="AA10" s="223">
        <f>+Z10/X10</f>
        <v>3478.1714285714284</v>
      </c>
      <c r="AB10" s="223">
        <f>+AA10/2</f>
        <v>1739.0857142857142</v>
      </c>
      <c r="AC10" s="201">
        <v>2845</v>
      </c>
      <c r="AD10" s="227">
        <f>+AA10-AC10</f>
        <v>633.17142857142835</v>
      </c>
    </row>
    <row r="11" spans="1:30" x14ac:dyDescent="0.25">
      <c r="A11" s="216" t="s">
        <v>19</v>
      </c>
      <c r="B11" s="199">
        <v>170</v>
      </c>
      <c r="C11" s="150">
        <v>285450</v>
      </c>
      <c r="D11" s="200">
        <v>50</v>
      </c>
      <c r="E11" s="200">
        <f t="shared" si="2"/>
        <v>85</v>
      </c>
      <c r="F11" s="223">
        <f t="shared" si="3"/>
        <v>3358.2352941176468</v>
      </c>
      <c r="G11" s="223">
        <f t="shared" si="4"/>
        <v>2711.8079842882503</v>
      </c>
      <c r="H11" s="200">
        <f t="shared" si="0"/>
        <v>646.42730982939656</v>
      </c>
      <c r="I11" s="223">
        <f t="shared" si="1"/>
        <v>1679.1176470588234</v>
      </c>
      <c r="M11" s="135" t="s">
        <v>165</v>
      </c>
      <c r="N11" s="251">
        <v>867</v>
      </c>
      <c r="O11" s="201">
        <v>50</v>
      </c>
      <c r="P11" s="253">
        <f t="shared" si="5"/>
        <v>433.5</v>
      </c>
      <c r="Q11" s="315">
        <f t="shared" si="6"/>
        <v>2.6052308949734373</v>
      </c>
      <c r="R11" s="132">
        <v>1503920</v>
      </c>
      <c r="S11" s="223"/>
      <c r="T11" s="223"/>
      <c r="U11" s="143"/>
      <c r="V11" s="227">
        <f>+S12-U12</f>
        <v>628.34894613583128</v>
      </c>
    </row>
    <row r="12" spans="1:30" x14ac:dyDescent="0.25">
      <c r="A12" s="216" t="s">
        <v>14</v>
      </c>
      <c r="B12" s="199">
        <v>3025</v>
      </c>
      <c r="C12" s="150">
        <v>4599500</v>
      </c>
      <c r="D12" s="200">
        <v>50</v>
      </c>
      <c r="E12" s="200">
        <f t="shared" si="2"/>
        <v>1512.5</v>
      </c>
      <c r="F12" s="223">
        <f t="shared" si="3"/>
        <v>3040.9917355371899</v>
      </c>
      <c r="G12" s="223">
        <f t="shared" si="4"/>
        <v>2711.8079842882503</v>
      </c>
      <c r="H12" s="200">
        <f t="shared" si="0"/>
        <v>329.18375124893964</v>
      </c>
      <c r="I12" s="223">
        <f t="shared" si="1"/>
        <v>1520.495867768595</v>
      </c>
      <c r="M12" s="314" t="s">
        <v>17</v>
      </c>
      <c r="N12" s="251">
        <v>1281</v>
      </c>
      <c r="O12" s="252">
        <v>30</v>
      </c>
      <c r="P12" s="253">
        <f t="shared" si="5"/>
        <v>384.3</v>
      </c>
      <c r="Q12" s="315">
        <f t="shared" si="6"/>
        <v>2.3095507103536144</v>
      </c>
      <c r="R12" s="132">
        <v>1334808</v>
      </c>
      <c r="S12" s="223">
        <f>+R12/P12</f>
        <v>3473.3489461358313</v>
      </c>
      <c r="T12" s="223">
        <f>+S12/100*30</f>
        <v>1042.0046838407493</v>
      </c>
      <c r="U12" s="201">
        <v>2845</v>
      </c>
      <c r="V12" s="227">
        <f>+S13-U13</f>
        <v>587.08177570093449</v>
      </c>
    </row>
    <row r="13" spans="1:30" x14ac:dyDescent="0.25">
      <c r="A13" s="216" t="s">
        <v>17</v>
      </c>
      <c r="B13" s="199">
        <v>10</v>
      </c>
      <c r="C13" s="150">
        <v>10100</v>
      </c>
      <c r="D13" s="200">
        <v>30</v>
      </c>
      <c r="E13" s="200">
        <f t="shared" si="2"/>
        <v>3</v>
      </c>
      <c r="F13" s="223">
        <f t="shared" si="3"/>
        <v>3366.6666666666665</v>
      </c>
      <c r="G13" s="223">
        <f t="shared" si="4"/>
        <v>2711.8079842882503</v>
      </c>
      <c r="H13" s="200">
        <f t="shared" si="0"/>
        <v>654.85868237841623</v>
      </c>
      <c r="I13" s="223">
        <f t="shared" si="1"/>
        <v>1010</v>
      </c>
      <c r="M13" s="132" t="s">
        <v>19</v>
      </c>
      <c r="N13" s="251">
        <v>1712</v>
      </c>
      <c r="O13" s="252">
        <v>50</v>
      </c>
      <c r="P13" s="253">
        <f t="shared" si="5"/>
        <v>856</v>
      </c>
      <c r="Q13" s="315">
        <f t="shared" si="6"/>
        <v>5.1443544315969136</v>
      </c>
      <c r="R13" s="132">
        <v>2937862</v>
      </c>
      <c r="S13" s="223">
        <f>+R13/P13</f>
        <v>3432.0817757009345</v>
      </c>
      <c r="T13" s="223">
        <f>+S13/2</f>
        <v>1716.0408878504672</v>
      </c>
      <c r="U13" s="201">
        <v>2845</v>
      </c>
      <c r="V13" s="227">
        <f>+S14-U18</f>
        <v>635.3921568627452</v>
      </c>
    </row>
    <row r="14" spans="1:30" x14ac:dyDescent="0.25">
      <c r="A14" s="216" t="s">
        <v>165</v>
      </c>
      <c r="B14" s="199">
        <v>105</v>
      </c>
      <c r="C14" s="150">
        <v>177400</v>
      </c>
      <c r="D14" s="200">
        <v>50</v>
      </c>
      <c r="E14" s="200">
        <f t="shared" si="2"/>
        <v>52.5</v>
      </c>
      <c r="F14" s="223">
        <f t="shared" si="3"/>
        <v>3379.0476190476193</v>
      </c>
      <c r="G14" s="223">
        <f>+G13</f>
        <v>2711.8079842882503</v>
      </c>
      <c r="H14" s="200">
        <f t="shared" si="0"/>
        <v>667.23963475936898</v>
      </c>
      <c r="I14" s="223">
        <f t="shared" si="1"/>
        <v>1689.5238095238096</v>
      </c>
      <c r="M14" s="314" t="s">
        <v>21</v>
      </c>
      <c r="N14" s="251">
        <v>425</v>
      </c>
      <c r="O14" s="252">
        <v>30</v>
      </c>
      <c r="P14" s="253">
        <f t="shared" si="5"/>
        <v>127.5</v>
      </c>
      <c r="Q14" s="315">
        <f t="shared" si="6"/>
        <v>0.76624438087454028</v>
      </c>
      <c r="R14" s="132">
        <v>443750</v>
      </c>
      <c r="S14" s="223">
        <f>+R14/P14</f>
        <v>3480.3921568627452</v>
      </c>
      <c r="T14" s="223">
        <f>+S14/100*30</f>
        <v>1044.1176470588236</v>
      </c>
      <c r="V14" s="227"/>
    </row>
    <row r="15" spans="1:30" x14ac:dyDescent="0.25">
      <c r="A15" s="216" t="s">
        <v>23</v>
      </c>
      <c r="B15" s="199">
        <v>70</v>
      </c>
      <c r="C15" s="150">
        <v>117850</v>
      </c>
      <c r="D15" s="200">
        <v>50</v>
      </c>
      <c r="E15" s="200">
        <f t="shared" si="2"/>
        <v>35</v>
      </c>
      <c r="F15" s="223">
        <f t="shared" si="3"/>
        <v>3367.1428571428573</v>
      </c>
      <c r="G15" s="223">
        <f>+G14</f>
        <v>2711.8079842882503</v>
      </c>
      <c r="H15" s="200">
        <f t="shared" si="0"/>
        <v>655.33487285460706</v>
      </c>
      <c r="I15" s="223">
        <f t="shared" si="1"/>
        <v>1683.5714285714287</v>
      </c>
      <c r="M15" s="314" t="s">
        <v>23</v>
      </c>
      <c r="N15" s="251">
        <v>1190</v>
      </c>
      <c r="O15" s="252">
        <v>50</v>
      </c>
      <c r="P15" s="253">
        <f t="shared" si="5"/>
        <v>595</v>
      </c>
      <c r="Q15" s="315">
        <f t="shared" si="6"/>
        <v>3.5758071107478546</v>
      </c>
      <c r="R15" s="132">
        <v>2082590</v>
      </c>
      <c r="S15" s="223">
        <f>+R15/P15</f>
        <v>3500.1512605042017</v>
      </c>
      <c r="T15" s="223">
        <f>+S15/2</f>
        <v>1750.0756302521008</v>
      </c>
      <c r="V15" s="227"/>
    </row>
    <row r="16" spans="1:30" x14ac:dyDescent="0.25">
      <c r="A16" s="216" t="s">
        <v>250</v>
      </c>
      <c r="B16" s="199">
        <v>469</v>
      </c>
      <c r="C16" s="150">
        <v>749395</v>
      </c>
      <c r="D16" s="200">
        <v>50</v>
      </c>
      <c r="E16" s="200">
        <f t="shared" si="2"/>
        <v>234.5</v>
      </c>
      <c r="F16" s="223">
        <f t="shared" si="3"/>
        <v>3195.7142857142858</v>
      </c>
      <c r="G16" s="223">
        <f>+G15</f>
        <v>2711.8079842882503</v>
      </c>
      <c r="H16" s="200">
        <f t="shared" si="0"/>
        <v>483.9063014260355</v>
      </c>
      <c r="I16" s="223">
        <f t="shared" si="1"/>
        <v>1597.8571428571429</v>
      </c>
      <c r="M16" s="250" t="s">
        <v>24</v>
      </c>
      <c r="N16" s="251">
        <v>0</v>
      </c>
      <c r="O16" s="252">
        <v>50</v>
      </c>
      <c r="P16" s="253">
        <f t="shared" si="5"/>
        <v>0</v>
      </c>
      <c r="Q16" s="315">
        <f t="shared" si="6"/>
        <v>0</v>
      </c>
      <c r="R16" s="132">
        <v>0</v>
      </c>
      <c r="S16" s="223">
        <v>0</v>
      </c>
      <c r="T16" s="223"/>
      <c r="V16" s="227"/>
    </row>
    <row r="17" spans="1:22" x14ac:dyDescent="0.25">
      <c r="A17" s="216"/>
      <c r="B17" s="199"/>
      <c r="C17" s="150"/>
      <c r="D17" s="200"/>
      <c r="E17" s="200"/>
      <c r="F17" s="223"/>
      <c r="G17" s="223"/>
      <c r="H17" s="200"/>
      <c r="I17" s="223"/>
      <c r="M17" s="250" t="s">
        <v>25</v>
      </c>
      <c r="N17" s="251">
        <v>0</v>
      </c>
      <c r="O17" s="252">
        <v>30</v>
      </c>
      <c r="P17" s="253">
        <f t="shared" si="5"/>
        <v>0</v>
      </c>
      <c r="Q17" s="315">
        <f t="shared" si="6"/>
        <v>0</v>
      </c>
      <c r="R17" s="132">
        <v>0</v>
      </c>
      <c r="S17" s="223">
        <v>0</v>
      </c>
      <c r="T17" s="223"/>
      <c r="V17" s="227"/>
    </row>
    <row r="18" spans="1:22" x14ac:dyDescent="0.25">
      <c r="A18" s="216"/>
      <c r="B18" s="199"/>
      <c r="C18" s="150"/>
      <c r="D18" s="200"/>
      <c r="E18" s="200">
        <f t="shared" si="2"/>
        <v>0</v>
      </c>
      <c r="F18" s="223"/>
      <c r="G18" s="223"/>
      <c r="H18" s="200"/>
      <c r="I18" s="223"/>
      <c r="M18" s="250" t="s">
        <v>26</v>
      </c>
      <c r="N18" s="251">
        <v>0</v>
      </c>
      <c r="O18" s="252">
        <v>5</v>
      </c>
      <c r="P18" s="253">
        <f t="shared" si="5"/>
        <v>0</v>
      </c>
      <c r="Q18" s="315">
        <f t="shared" si="6"/>
        <v>0</v>
      </c>
      <c r="R18" s="132">
        <v>0</v>
      </c>
      <c r="S18" s="223">
        <v>0</v>
      </c>
      <c r="T18" s="223"/>
      <c r="U18" s="201">
        <v>2845</v>
      </c>
      <c r="V18" s="227">
        <f t="shared" ref="V18:V24" si="7">+S15-U19</f>
        <v>655.15126050420167</v>
      </c>
    </row>
    <row r="19" spans="1:22" x14ac:dyDescent="0.25">
      <c r="A19" s="310"/>
      <c r="B19" s="143"/>
      <c r="C19" s="234"/>
      <c r="D19" s="235"/>
      <c r="E19" s="235"/>
      <c r="F19" s="235"/>
      <c r="G19" s="235"/>
      <c r="H19" s="235"/>
      <c r="I19" s="235"/>
      <c r="M19" s="132" t="s">
        <v>164</v>
      </c>
      <c r="N19" s="251">
        <v>15</v>
      </c>
      <c r="O19" s="252">
        <v>39</v>
      </c>
      <c r="P19" s="253">
        <f>+N19*0.39</f>
        <v>5.8500000000000005</v>
      </c>
      <c r="Q19" s="315">
        <f t="shared" si="6"/>
        <v>3.5157095122478908E-2</v>
      </c>
      <c r="R19" s="132">
        <v>12750</v>
      </c>
      <c r="S19" s="223">
        <f>+R19/P19</f>
        <v>2179.4871794871792</v>
      </c>
      <c r="T19" s="223">
        <f>+S19/100*39</f>
        <v>849.99999999999989</v>
      </c>
      <c r="U19" s="201">
        <v>2845</v>
      </c>
      <c r="V19" s="227">
        <f t="shared" si="7"/>
        <v>0</v>
      </c>
    </row>
    <row r="20" spans="1:22" x14ac:dyDescent="0.25">
      <c r="A20" s="212" t="s">
        <v>32</v>
      </c>
      <c r="B20" s="215">
        <f>SUM(B6:B19)</f>
        <v>18373</v>
      </c>
      <c r="C20" s="215">
        <f>SUM(C6:C18)</f>
        <v>22241083</v>
      </c>
      <c r="D20" s="213"/>
      <c r="E20" s="213">
        <f>SUM(E6:E19)</f>
        <v>9001.9900000000016</v>
      </c>
      <c r="F20" s="213">
        <f>+C20/E20</f>
        <v>2470.685148506052</v>
      </c>
      <c r="G20" s="222">
        <f>+G6</f>
        <v>2711.8079842882503</v>
      </c>
      <c r="H20" s="222">
        <f>+F20-G20</f>
        <v>-241.12283578219831</v>
      </c>
      <c r="I20" s="223">
        <f>+C20/B20</f>
        <v>1210.530833287977</v>
      </c>
      <c r="M20" s="316" t="s">
        <v>29</v>
      </c>
      <c r="N20" s="251">
        <v>4881</v>
      </c>
      <c r="O20" s="252">
        <v>49</v>
      </c>
      <c r="P20" s="253">
        <f>+N20*O20/100</f>
        <v>2391.69</v>
      </c>
      <c r="Q20" s="315">
        <f t="shared" si="6"/>
        <v>14.373482535637876</v>
      </c>
      <c r="R20" s="132">
        <v>3792660</v>
      </c>
      <c r="S20" s="223">
        <f>+R20/P20</f>
        <v>1585.7657137839769</v>
      </c>
      <c r="T20" s="223">
        <f>+S20/100*49</f>
        <v>777.02519975414873</v>
      </c>
      <c r="U20" s="201">
        <v>0</v>
      </c>
      <c r="V20" s="227">
        <f t="shared" si="7"/>
        <v>0</v>
      </c>
    </row>
    <row r="21" spans="1:22" x14ac:dyDescent="0.25">
      <c r="A21" s="202"/>
      <c r="B21" s="203"/>
      <c r="C21" s="204"/>
      <c r="D21" s="200"/>
      <c r="E21" s="200"/>
      <c r="F21" s="200"/>
      <c r="G21" s="200"/>
      <c r="H21" s="200"/>
      <c r="M21" s="317" t="s">
        <v>31</v>
      </c>
      <c r="N21" s="251">
        <v>8534</v>
      </c>
      <c r="O21" s="252">
        <v>49</v>
      </c>
      <c r="P21" s="253">
        <f>+N21*O21/100</f>
        <v>4181.66</v>
      </c>
      <c r="Q21" s="315">
        <f t="shared" si="6"/>
        <v>25.130772374335923</v>
      </c>
      <c r="R21" s="132">
        <v>8966100</v>
      </c>
      <c r="S21" s="223">
        <f>+R21/P21</f>
        <v>2144.1484960518073</v>
      </c>
      <c r="T21" s="223">
        <f>+S21/100*49</f>
        <v>1050.6327630653857</v>
      </c>
      <c r="U21" s="201">
        <v>0</v>
      </c>
      <c r="V21" s="227">
        <f t="shared" si="7"/>
        <v>0</v>
      </c>
    </row>
    <row r="22" spans="1:22" ht="14.45" customHeight="1" x14ac:dyDescent="0.25">
      <c r="A22" s="202"/>
      <c r="B22" s="203"/>
      <c r="C22" s="204"/>
      <c r="D22" s="200"/>
      <c r="E22" s="200"/>
      <c r="F22" s="200"/>
      <c r="G22" s="200"/>
      <c r="H22" s="200"/>
      <c r="M22" s="250" t="s">
        <v>130</v>
      </c>
      <c r="N22" s="251">
        <v>0</v>
      </c>
      <c r="O22" s="252">
        <v>49</v>
      </c>
      <c r="P22" s="253">
        <f>+N22*O22/100</f>
        <v>0</v>
      </c>
      <c r="Q22" s="315">
        <f t="shared" si="6"/>
        <v>0</v>
      </c>
      <c r="R22" s="132">
        <v>0</v>
      </c>
      <c r="S22" s="200">
        <v>0</v>
      </c>
      <c r="T22" s="200"/>
      <c r="U22" s="201">
        <v>0</v>
      </c>
      <c r="V22" s="227">
        <f t="shared" si="7"/>
        <v>2179.4871794871792</v>
      </c>
    </row>
    <row r="23" spans="1:22" ht="14.45" customHeight="1" x14ac:dyDescent="0.25">
      <c r="A23" s="228" t="s">
        <v>204</v>
      </c>
      <c r="B23" s="229"/>
      <c r="C23" s="229"/>
      <c r="D23" s="229"/>
      <c r="E23" s="229"/>
      <c r="F23" s="229"/>
      <c r="G23" s="229"/>
      <c r="H23" s="230"/>
      <c r="M23" s="250"/>
      <c r="N23" s="251"/>
      <c r="O23" s="252"/>
      <c r="P23" s="253"/>
      <c r="Q23" s="315"/>
      <c r="R23" s="132">
        <v>0</v>
      </c>
      <c r="S23" s="200"/>
      <c r="T23" s="200"/>
      <c r="U23" s="201">
        <v>0</v>
      </c>
      <c r="V23" s="227">
        <f t="shared" si="7"/>
        <v>-1259.2342862160231</v>
      </c>
    </row>
    <row r="24" spans="1:22" ht="14.45" customHeight="1" x14ac:dyDescent="0.25">
      <c r="A24" s="207" t="s">
        <v>3</v>
      </c>
      <c r="B24" s="208" t="s">
        <v>201</v>
      </c>
      <c r="C24" s="209" t="s">
        <v>8</v>
      </c>
      <c r="D24" s="210" t="s">
        <v>194</v>
      </c>
      <c r="E24" s="210" t="s">
        <v>195</v>
      </c>
      <c r="F24" s="210" t="s">
        <v>196</v>
      </c>
      <c r="G24" s="210" t="s">
        <v>197</v>
      </c>
      <c r="H24" s="210" t="s">
        <v>198</v>
      </c>
      <c r="I24" s="240" t="s">
        <v>214</v>
      </c>
      <c r="M24" s="149" t="s">
        <v>32</v>
      </c>
      <c r="N24" s="251">
        <f>SUM(N7:N23)</f>
        <v>34816</v>
      </c>
      <c r="O24" s="251"/>
      <c r="P24" s="318">
        <f>SUM(P7:P22)</f>
        <v>16639.599999999999</v>
      </c>
      <c r="Q24" s="266">
        <f>SUM(Q6:Q22)</f>
        <v>100</v>
      </c>
      <c r="R24" s="318">
        <f>SUM(R7:R22)</f>
        <v>45840401</v>
      </c>
      <c r="S24" s="319">
        <f>+R24/P24</f>
        <v>2754.8980143753456</v>
      </c>
      <c r="T24" s="200"/>
      <c r="U24" s="201">
        <v>2845</v>
      </c>
      <c r="V24" s="227">
        <f t="shared" si="7"/>
        <v>-700.85150394819266</v>
      </c>
    </row>
    <row r="25" spans="1:22" ht="14.45" customHeight="1" x14ac:dyDescent="0.25">
      <c r="A25" s="216" t="s">
        <v>29</v>
      </c>
      <c r="B25" s="199">
        <v>530</v>
      </c>
      <c r="C25" s="150">
        <v>373650</v>
      </c>
      <c r="D25" s="200">
        <v>49</v>
      </c>
      <c r="E25" s="200">
        <f t="shared" ref="E25:E36" si="8">+B25*D25/100</f>
        <v>259.7</v>
      </c>
      <c r="F25" s="223">
        <f>+C25/E25</f>
        <v>1438.7755102040817</v>
      </c>
      <c r="G25" s="223">
        <f>+G20</f>
        <v>2711.8079842882503</v>
      </c>
      <c r="H25" s="205">
        <f>+F25-G25</f>
        <v>-1273.0324740841686</v>
      </c>
      <c r="I25" s="239">
        <f t="shared" ref="I25:I36" si="9">+C25/B25</f>
        <v>705</v>
      </c>
      <c r="N25" s="201">
        <v>0</v>
      </c>
      <c r="P25" s="201">
        <f>+R24/P24</f>
        <v>2754.8980143753456</v>
      </c>
      <c r="R25" s="132">
        <v>0</v>
      </c>
      <c r="U25" s="201">
        <v>2845</v>
      </c>
    </row>
    <row r="26" spans="1:22" ht="14.45" customHeight="1" x14ac:dyDescent="0.25">
      <c r="A26" s="216" t="s">
        <v>164</v>
      </c>
      <c r="B26" s="199">
        <v>15</v>
      </c>
      <c r="C26" s="150">
        <v>12750</v>
      </c>
      <c r="D26" s="200">
        <v>39</v>
      </c>
      <c r="E26" s="200">
        <f t="shared" si="8"/>
        <v>5.85</v>
      </c>
      <c r="F26" s="223">
        <f t="shared" ref="F26:F36" si="10">+C26/E26</f>
        <v>2179.4871794871797</v>
      </c>
      <c r="G26" s="223">
        <f>+G25</f>
        <v>2711.8079842882503</v>
      </c>
      <c r="H26" s="205">
        <f t="shared" ref="H26:H32" si="11">+F26-G26</f>
        <v>-532.32080480107061</v>
      </c>
      <c r="I26" s="239">
        <f t="shared" si="9"/>
        <v>850</v>
      </c>
      <c r="N26" s="201">
        <v>0</v>
      </c>
      <c r="Q26" s="321"/>
      <c r="R26" s="132"/>
      <c r="S26" s="321" t="s">
        <v>245</v>
      </c>
    </row>
    <row r="27" spans="1:22" ht="14.45" customHeight="1" x14ac:dyDescent="0.25">
      <c r="A27" s="216" t="s">
        <v>31</v>
      </c>
      <c r="B27" s="199">
        <v>104</v>
      </c>
      <c r="C27" s="150">
        <v>114430</v>
      </c>
      <c r="D27" s="200">
        <v>49</v>
      </c>
      <c r="E27" s="200">
        <f t="shared" si="8"/>
        <v>50.96</v>
      </c>
      <c r="F27" s="223">
        <f t="shared" si="10"/>
        <v>2245.486656200942</v>
      </c>
      <c r="G27" s="223">
        <f>+G26</f>
        <v>2711.8079842882503</v>
      </c>
      <c r="H27" s="205">
        <f t="shared" si="11"/>
        <v>-466.3213280873083</v>
      </c>
      <c r="I27" s="239">
        <f t="shared" si="9"/>
        <v>1100.2884615384614</v>
      </c>
      <c r="M27" s="337" t="s">
        <v>9</v>
      </c>
      <c r="N27" s="338">
        <f>+P7+P8+P9+P10+P11+P12+P13+P14+P15</f>
        <v>10060.4</v>
      </c>
      <c r="O27" s="338">
        <f>+R7+R8+R9+R10+R11+R12+R13+R14+R15</f>
        <v>33068891</v>
      </c>
      <c r="P27" s="339">
        <f>+O27/N27</f>
        <v>3287.0354061468729</v>
      </c>
      <c r="Q27" s="227"/>
      <c r="R27" s="331"/>
      <c r="V27" s="227">
        <f>SUM(V7:V26)</f>
        <v>4329.542084941726</v>
      </c>
    </row>
    <row r="28" spans="1:22" ht="14.45" customHeight="1" x14ac:dyDescent="0.25">
      <c r="A28" s="216" t="s">
        <v>12</v>
      </c>
      <c r="B28" s="199">
        <v>1080</v>
      </c>
      <c r="C28" s="150">
        <v>1062820</v>
      </c>
      <c r="D28" s="200">
        <v>30</v>
      </c>
      <c r="E28" s="200">
        <f t="shared" si="8"/>
        <v>324</v>
      </c>
      <c r="F28" s="223">
        <f t="shared" si="10"/>
        <v>3280.3086419753085</v>
      </c>
      <c r="G28" s="223">
        <f t="shared" ref="G28:G35" si="12">+G27</f>
        <v>2711.8079842882503</v>
      </c>
      <c r="H28" s="205">
        <f t="shared" si="11"/>
        <v>568.50065768705826</v>
      </c>
      <c r="I28" s="239">
        <f t="shared" si="9"/>
        <v>984.09259259259261</v>
      </c>
      <c r="M28" s="335" t="s">
        <v>249</v>
      </c>
      <c r="N28" s="200">
        <f>+P19</f>
        <v>5.8500000000000005</v>
      </c>
      <c r="O28" s="200">
        <f>+R19</f>
        <v>12750</v>
      </c>
      <c r="P28" s="223">
        <f>+O28/N28</f>
        <v>2179.4871794871792</v>
      </c>
      <c r="Q28" s="223"/>
      <c r="R28" s="336"/>
    </row>
    <row r="29" spans="1:22" ht="14.45" customHeight="1" x14ac:dyDescent="0.25">
      <c r="A29" s="216" t="s">
        <v>10</v>
      </c>
      <c r="B29" s="199">
        <v>6079</v>
      </c>
      <c r="C29" s="150">
        <v>10060238</v>
      </c>
      <c r="D29" s="200">
        <v>50</v>
      </c>
      <c r="E29" s="200">
        <f t="shared" si="8"/>
        <v>3039.5</v>
      </c>
      <c r="F29" s="223">
        <f t="shared" si="10"/>
        <v>3309.833196249383</v>
      </c>
      <c r="G29" s="223">
        <f t="shared" si="12"/>
        <v>2711.8079842882503</v>
      </c>
      <c r="H29" s="205">
        <f t="shared" si="11"/>
        <v>598.02521196113275</v>
      </c>
      <c r="I29" s="239">
        <f t="shared" si="9"/>
        <v>1654.9165981246915</v>
      </c>
      <c r="M29" s="335" t="s">
        <v>28</v>
      </c>
      <c r="N29" s="200">
        <f>+P20</f>
        <v>2391.69</v>
      </c>
      <c r="O29" s="200">
        <f>+R20</f>
        <v>3792660</v>
      </c>
      <c r="P29" s="223">
        <f>+O29/N29</f>
        <v>1585.7657137839769</v>
      </c>
      <c r="Q29" s="200"/>
    </row>
    <row r="30" spans="1:22" ht="14.45" customHeight="1" x14ac:dyDescent="0.25">
      <c r="A30" s="216" t="s">
        <v>21</v>
      </c>
      <c r="B30" s="199">
        <v>415</v>
      </c>
      <c r="C30" s="150">
        <v>433650</v>
      </c>
      <c r="D30" s="200">
        <v>30</v>
      </c>
      <c r="E30" s="200">
        <f t="shared" si="8"/>
        <v>124.5</v>
      </c>
      <c r="F30" s="223">
        <f t="shared" si="10"/>
        <v>3483.132530120482</v>
      </c>
      <c r="G30" s="223">
        <f t="shared" si="12"/>
        <v>2711.8079842882503</v>
      </c>
      <c r="H30" s="205">
        <f t="shared" si="11"/>
        <v>771.32454583223171</v>
      </c>
      <c r="I30" s="239">
        <f t="shared" si="9"/>
        <v>1044.9397590361446</v>
      </c>
      <c r="M30" s="335" t="s">
        <v>31</v>
      </c>
      <c r="N30" s="200">
        <f>+P21</f>
        <v>4181.66</v>
      </c>
      <c r="O30" s="200">
        <f>+R21</f>
        <v>8966100</v>
      </c>
      <c r="P30" s="223">
        <f>+O30/N30</f>
        <v>2144.1484960518073</v>
      </c>
      <c r="Q30" s="200"/>
      <c r="R30" s="227"/>
    </row>
    <row r="31" spans="1:22" ht="14.45" customHeight="1" x14ac:dyDescent="0.25">
      <c r="A31" s="216" t="s">
        <v>19</v>
      </c>
      <c r="B31" s="199">
        <v>1542</v>
      </c>
      <c r="C31" s="150">
        <v>2652412</v>
      </c>
      <c r="D31" s="200">
        <v>50</v>
      </c>
      <c r="E31" s="200">
        <f t="shared" si="8"/>
        <v>771</v>
      </c>
      <c r="F31" s="223">
        <f t="shared" si="10"/>
        <v>3440.2230869001296</v>
      </c>
      <c r="G31" s="223">
        <f t="shared" si="12"/>
        <v>2711.8079842882503</v>
      </c>
      <c r="H31" s="205">
        <f t="shared" si="11"/>
        <v>728.41510261187932</v>
      </c>
      <c r="I31" s="239">
        <f t="shared" si="9"/>
        <v>1720.1115434500648</v>
      </c>
      <c r="M31" s="341"/>
      <c r="N31" s="235"/>
      <c r="O31" s="235"/>
      <c r="P31" s="261"/>
    </row>
    <row r="32" spans="1:22" ht="14.45" customHeight="1" x14ac:dyDescent="0.25">
      <c r="A32" s="216" t="s">
        <v>14</v>
      </c>
      <c r="B32" s="199">
        <v>540</v>
      </c>
      <c r="C32" s="150">
        <v>843650</v>
      </c>
      <c r="D32" s="200">
        <v>50</v>
      </c>
      <c r="E32" s="200">
        <f t="shared" si="8"/>
        <v>270</v>
      </c>
      <c r="F32" s="223">
        <f t="shared" si="10"/>
        <v>3124.6296296296296</v>
      </c>
      <c r="G32" s="223">
        <f t="shared" si="12"/>
        <v>2711.8079842882503</v>
      </c>
      <c r="H32" s="205">
        <f t="shared" si="11"/>
        <v>412.82164534137928</v>
      </c>
      <c r="I32" s="239">
        <f t="shared" si="9"/>
        <v>1562.3148148148148</v>
      </c>
      <c r="M32" s="340" t="s">
        <v>32</v>
      </c>
      <c r="N32" s="235">
        <f>+N27+N28+N29+N30</f>
        <v>16639.599999999999</v>
      </c>
      <c r="O32" s="235">
        <f>+O27+O28+O29+O30</f>
        <v>45840401</v>
      </c>
      <c r="P32" s="261">
        <f>+O32/N32</f>
        <v>2754.8980143753456</v>
      </c>
      <c r="Q32" s="227"/>
      <c r="R32" s="227"/>
    </row>
    <row r="33" spans="1:17" ht="14.45" customHeight="1" x14ac:dyDescent="0.25">
      <c r="A33" s="216" t="s">
        <v>17</v>
      </c>
      <c r="B33" s="199">
        <v>1271</v>
      </c>
      <c r="C33" s="150">
        <v>1324708</v>
      </c>
      <c r="D33" s="200">
        <v>30</v>
      </c>
      <c r="E33" s="200">
        <f t="shared" si="8"/>
        <v>381.3</v>
      </c>
      <c r="F33" s="223">
        <f t="shared" si="10"/>
        <v>3474.1883031733541</v>
      </c>
      <c r="G33" s="223">
        <f t="shared" si="12"/>
        <v>2711.8079842882503</v>
      </c>
      <c r="H33" s="205">
        <f>+F33-G33</f>
        <v>762.38031888510386</v>
      </c>
      <c r="I33" s="239">
        <f t="shared" si="9"/>
        <v>1042.2564909520063</v>
      </c>
      <c r="Q33" s="227"/>
    </row>
    <row r="34" spans="1:17" ht="14.45" customHeight="1" x14ac:dyDescent="0.25">
      <c r="A34" s="216" t="s">
        <v>165</v>
      </c>
      <c r="B34" s="199">
        <v>762</v>
      </c>
      <c r="C34" s="150">
        <v>1326520</v>
      </c>
      <c r="D34" s="200">
        <v>50</v>
      </c>
      <c r="E34" s="200">
        <f t="shared" si="8"/>
        <v>381</v>
      </c>
      <c r="F34" s="223">
        <f t="shared" si="10"/>
        <v>3481.6797900262468</v>
      </c>
      <c r="G34" s="223">
        <f t="shared" si="12"/>
        <v>2711.8079842882503</v>
      </c>
      <c r="H34" s="205">
        <f>+F34-G34</f>
        <v>769.87180573799651</v>
      </c>
      <c r="I34" s="239">
        <f t="shared" si="9"/>
        <v>1740.8398950131234</v>
      </c>
      <c r="Q34" s="227"/>
    </row>
    <row r="35" spans="1:17" ht="14.45" customHeight="1" x14ac:dyDescent="0.25">
      <c r="A35" s="216" t="s">
        <v>23</v>
      </c>
      <c r="B35" s="199">
        <v>1120</v>
      </c>
      <c r="C35" s="150">
        <v>1964740</v>
      </c>
      <c r="D35" s="200">
        <v>50</v>
      </c>
      <c r="E35" s="200">
        <f t="shared" si="8"/>
        <v>560</v>
      </c>
      <c r="F35" s="223">
        <f t="shared" si="10"/>
        <v>3508.4642857142858</v>
      </c>
      <c r="G35" s="223">
        <f t="shared" si="12"/>
        <v>2711.8079842882503</v>
      </c>
      <c r="H35" s="205">
        <f>+F35-G35</f>
        <v>796.6563014260355</v>
      </c>
      <c r="I35" s="239">
        <f t="shared" si="9"/>
        <v>1754.2321428571429</v>
      </c>
      <c r="M35" s="320" t="s">
        <v>244</v>
      </c>
      <c r="N35" s="200"/>
      <c r="O35" s="200"/>
      <c r="P35" s="223">
        <f>+G38</f>
        <v>2711.8079842882503</v>
      </c>
    </row>
    <row r="36" spans="1:17" x14ac:dyDescent="0.25">
      <c r="A36" s="216" t="s">
        <v>250</v>
      </c>
      <c r="B36" s="199">
        <v>715</v>
      </c>
      <c r="C36" s="150">
        <v>1184000</v>
      </c>
      <c r="D36" s="200">
        <v>50</v>
      </c>
      <c r="E36" s="235">
        <f t="shared" si="8"/>
        <v>357.5</v>
      </c>
      <c r="F36" s="235">
        <f t="shared" si="10"/>
        <v>3311.8881118881118</v>
      </c>
      <c r="G36" s="223">
        <f>+G35</f>
        <v>2711.8079842882503</v>
      </c>
      <c r="H36" s="200">
        <f>+F36-G36</f>
        <v>600.0801275998615</v>
      </c>
      <c r="I36" s="239">
        <f t="shared" si="9"/>
        <v>1655.9440559440559</v>
      </c>
      <c r="M36" s="200"/>
      <c r="N36" s="200"/>
      <c r="O36" s="200"/>
      <c r="P36" s="200"/>
    </row>
    <row r="37" spans="1:17" x14ac:dyDescent="0.25">
      <c r="A37" s="216"/>
      <c r="B37" s="199"/>
      <c r="C37" s="150"/>
      <c r="D37" s="200"/>
      <c r="E37" s="235"/>
      <c r="F37" s="235"/>
      <c r="G37" s="200"/>
      <c r="H37" s="200"/>
      <c r="M37" s="322" t="s">
        <v>245</v>
      </c>
      <c r="N37" s="200"/>
      <c r="O37" s="200"/>
      <c r="P37" s="223">
        <f>+P32-P35</f>
        <v>43.090030087095329</v>
      </c>
    </row>
    <row r="38" spans="1:17" x14ac:dyDescent="0.25">
      <c r="A38" s="213" t="s">
        <v>32</v>
      </c>
      <c r="B38" s="221">
        <f>SUM(B25:B36)</f>
        <v>14173</v>
      </c>
      <c r="C38" s="221">
        <f>SUM(C25:C36)</f>
        <v>21353568</v>
      </c>
      <c r="D38" s="213">
        <v>0</v>
      </c>
      <c r="E38" s="221">
        <f>SUM(E25:E36)</f>
        <v>6525.31</v>
      </c>
      <c r="F38" s="213">
        <f>+C38/E38</f>
        <v>3272.4219998743351</v>
      </c>
      <c r="G38" s="222">
        <f>+G35</f>
        <v>2711.8079842882503</v>
      </c>
      <c r="H38" s="222">
        <f>+F38-G38</f>
        <v>560.61401558608486</v>
      </c>
      <c r="I38" s="222">
        <f>+C38/B38</f>
        <v>1506.6371269314895</v>
      </c>
    </row>
    <row r="39" spans="1:17" x14ac:dyDescent="0.25">
      <c r="A39" s="217"/>
      <c r="B39" s="217"/>
      <c r="C39" s="217"/>
      <c r="D39" s="217"/>
      <c r="E39" s="217"/>
      <c r="F39" s="217"/>
      <c r="G39" s="218"/>
      <c r="H39" s="218"/>
      <c r="I39" s="219"/>
      <c r="J39" s="219"/>
    </row>
    <row r="40" spans="1:17" x14ac:dyDescent="0.25">
      <c r="A40" s="217"/>
      <c r="B40" s="217"/>
      <c r="C40" s="217"/>
      <c r="D40" s="217"/>
      <c r="E40" s="217"/>
      <c r="F40" s="217"/>
      <c r="G40" s="218"/>
      <c r="H40" s="218"/>
      <c r="I40" s="219"/>
      <c r="J40" s="219"/>
    </row>
    <row r="41" spans="1:17" x14ac:dyDescent="0.25">
      <c r="A41" s="228" t="s">
        <v>210</v>
      </c>
      <c r="B41" s="229"/>
      <c r="C41" s="229"/>
      <c r="D41" s="229"/>
      <c r="E41" s="229"/>
      <c r="F41" s="229"/>
      <c r="G41" s="229"/>
      <c r="H41" s="230"/>
      <c r="I41" s="219"/>
      <c r="J41" s="219"/>
    </row>
    <row r="42" spans="1:17" x14ac:dyDescent="0.25">
      <c r="A42" s="207" t="s">
        <v>3</v>
      </c>
      <c r="B42" s="208" t="s">
        <v>201</v>
      </c>
      <c r="C42" s="209" t="s">
        <v>8</v>
      </c>
      <c r="D42" s="210" t="s">
        <v>194</v>
      </c>
      <c r="E42" s="210" t="s">
        <v>195</v>
      </c>
      <c r="F42" s="210" t="s">
        <v>196</v>
      </c>
      <c r="G42" s="210" t="s">
        <v>197</v>
      </c>
      <c r="H42" s="210" t="s">
        <v>198</v>
      </c>
      <c r="I42" s="240" t="s">
        <v>214</v>
      </c>
      <c r="J42" s="219"/>
    </row>
    <row r="43" spans="1:17" x14ac:dyDescent="0.25">
      <c r="A43" s="232" t="s">
        <v>29</v>
      </c>
      <c r="B43" s="233">
        <v>350</v>
      </c>
      <c r="C43" s="137">
        <v>257250</v>
      </c>
      <c r="D43" s="200">
        <v>49</v>
      </c>
      <c r="E43" s="200">
        <f>+B43*D43/100</f>
        <v>171.5</v>
      </c>
      <c r="F43" s="200">
        <f>+C43/E43</f>
        <v>1500</v>
      </c>
      <c r="G43" s="223">
        <f>+G38</f>
        <v>2711.8079842882503</v>
      </c>
      <c r="H43" s="200">
        <f>+F43-G43</f>
        <v>-1211.8079842882503</v>
      </c>
      <c r="I43" s="239">
        <f>+C43/B43</f>
        <v>735</v>
      </c>
      <c r="J43" s="219"/>
    </row>
    <row r="44" spans="1:17" x14ac:dyDescent="0.25">
      <c r="A44" s="232" t="s">
        <v>31</v>
      </c>
      <c r="B44" s="233">
        <v>1920</v>
      </c>
      <c r="C44" s="137">
        <v>1988500</v>
      </c>
      <c r="D44" s="200">
        <v>49</v>
      </c>
      <c r="E44" s="200">
        <f>+B44*D44/100</f>
        <v>940.8</v>
      </c>
      <c r="F44" s="200">
        <f>+C44/E44</f>
        <v>2113.6267006802723</v>
      </c>
      <c r="G44" s="223">
        <f>+G43</f>
        <v>2711.8079842882503</v>
      </c>
      <c r="H44" s="200">
        <f>+F44-G44</f>
        <v>-598.181283607978</v>
      </c>
      <c r="I44" s="239">
        <f>+C44/B44</f>
        <v>1035.6770833333333</v>
      </c>
      <c r="J44" s="219"/>
    </row>
    <row r="45" spans="1:17" x14ac:dyDescent="0.25">
      <c r="A45" s="216"/>
      <c r="B45" s="132"/>
      <c r="C45" s="150"/>
      <c r="D45" s="200"/>
      <c r="E45" s="200"/>
      <c r="F45" s="200"/>
      <c r="G45" s="200"/>
      <c r="H45" s="200"/>
      <c r="I45" s="238"/>
      <c r="J45" s="219"/>
    </row>
    <row r="46" spans="1:17" x14ac:dyDescent="0.25">
      <c r="A46" s="212" t="s">
        <v>32</v>
      </c>
      <c r="B46" s="231">
        <f>SUM(B43:B45)</f>
        <v>2270</v>
      </c>
      <c r="C46" s="221">
        <f>SUM(C43:C45)</f>
        <v>2245750</v>
      </c>
      <c r="D46" s="213"/>
      <c r="E46" s="213">
        <f>SUM(E43:E45)</f>
        <v>1112.3</v>
      </c>
      <c r="F46" s="213">
        <f>+C46/E46</f>
        <v>2019.0146543198778</v>
      </c>
      <c r="G46" s="222">
        <f>+G38</f>
        <v>2711.8079842882503</v>
      </c>
      <c r="H46" s="213">
        <f>+F46-G46</f>
        <v>-692.79332996837252</v>
      </c>
      <c r="I46" s="213">
        <f>+C46/B46</f>
        <v>989.31718061674007</v>
      </c>
      <c r="J46" s="219"/>
    </row>
    <row r="47" spans="1:17" x14ac:dyDescent="0.25">
      <c r="A47" s="217"/>
      <c r="B47" s="217"/>
      <c r="C47" s="217"/>
      <c r="D47" s="217"/>
      <c r="E47" s="217"/>
      <c r="F47" s="217"/>
      <c r="G47" s="218"/>
      <c r="H47" s="218"/>
      <c r="I47" s="219"/>
      <c r="J47" s="219"/>
    </row>
    <row r="48" spans="1:17" x14ac:dyDescent="0.25">
      <c r="A48" s="200"/>
      <c r="B48" s="200"/>
      <c r="C48" s="200"/>
    </row>
    <row r="50" spans="1:21" x14ac:dyDescent="0.25">
      <c r="A50" s="214" t="s">
        <v>199</v>
      </c>
      <c r="B50" s="214" t="s">
        <v>212</v>
      </c>
      <c r="C50" s="214" t="s">
        <v>195</v>
      </c>
      <c r="D50" s="228" t="s">
        <v>200</v>
      </c>
      <c r="E50" s="230"/>
      <c r="F50" s="214" t="s">
        <v>33</v>
      </c>
      <c r="G50" s="214" t="s">
        <v>197</v>
      </c>
      <c r="H50" s="214" t="s">
        <v>198</v>
      </c>
      <c r="Q50" s="219"/>
      <c r="R50" s="219"/>
      <c r="S50" s="219"/>
      <c r="T50" s="219"/>
    </row>
    <row r="51" spans="1:21" x14ac:dyDescent="0.25">
      <c r="A51" s="281" t="s">
        <v>205</v>
      </c>
      <c r="B51" s="284">
        <f>+B20</f>
        <v>18373</v>
      </c>
      <c r="C51" s="200">
        <f>+E20</f>
        <v>9001.9900000000016</v>
      </c>
      <c r="D51" s="270">
        <f>+C20</f>
        <v>22241083</v>
      </c>
      <c r="E51" s="270"/>
      <c r="F51" s="223">
        <f>+D51/C51</f>
        <v>2470.685148506052</v>
      </c>
      <c r="G51" s="223">
        <f>+G46</f>
        <v>2711.8079842882503</v>
      </c>
      <c r="H51" s="223">
        <f>+F51-G51</f>
        <v>-241.12283578219831</v>
      </c>
      <c r="Q51" s="219"/>
      <c r="R51" s="219"/>
      <c r="S51" s="219"/>
      <c r="T51" s="219"/>
    </row>
    <row r="52" spans="1:21" x14ac:dyDescent="0.25">
      <c r="A52" s="281" t="s">
        <v>204</v>
      </c>
      <c r="B52" s="281">
        <f>+B38</f>
        <v>14173</v>
      </c>
      <c r="C52" s="200">
        <f>+E38</f>
        <v>6525.31</v>
      </c>
      <c r="D52" s="269">
        <f>+C38</f>
        <v>21353568</v>
      </c>
      <c r="E52" s="269"/>
      <c r="F52" s="223">
        <f>+D52/C52</f>
        <v>3272.4219998743351</v>
      </c>
      <c r="G52" s="223">
        <f>+G51</f>
        <v>2711.8079842882503</v>
      </c>
      <c r="H52" s="223">
        <f>+F52-G52</f>
        <v>560.61401558608486</v>
      </c>
      <c r="M52" s="219"/>
      <c r="N52" s="219"/>
      <c r="O52" s="219"/>
      <c r="P52" s="219"/>
      <c r="Q52" s="219"/>
      <c r="R52" s="219"/>
      <c r="S52" s="219"/>
      <c r="T52" s="219"/>
    </row>
    <row r="53" spans="1:21" s="219" customFormat="1" x14ac:dyDescent="0.25">
      <c r="A53" s="281" t="s">
        <v>211</v>
      </c>
      <c r="B53" s="284">
        <f>+B46</f>
        <v>2270</v>
      </c>
      <c r="C53" s="200">
        <f>+E46</f>
        <v>1112.3</v>
      </c>
      <c r="D53" s="270">
        <f>+C46</f>
        <v>2245750</v>
      </c>
      <c r="E53" s="270"/>
      <c r="F53" s="223">
        <f>+D53/C53</f>
        <v>2019.0146543198778</v>
      </c>
      <c r="G53" s="223">
        <f>+G52</f>
        <v>2711.8079842882503</v>
      </c>
      <c r="H53" s="223">
        <f>+F53-G53</f>
        <v>-692.79332996837252</v>
      </c>
      <c r="I53" s="201"/>
      <c r="J53" s="227"/>
      <c r="R53" s="132">
        <v>13254470</v>
      </c>
      <c r="U53" s="201"/>
    </row>
    <row r="54" spans="1:21" s="219" customFormat="1" x14ac:dyDescent="0.25">
      <c r="A54" s="281"/>
      <c r="B54" s="284"/>
      <c r="C54" s="200"/>
      <c r="D54" s="333"/>
      <c r="E54" s="334"/>
      <c r="F54" s="223"/>
      <c r="G54" s="223"/>
      <c r="H54" s="223"/>
      <c r="I54" s="201"/>
      <c r="J54" s="227"/>
      <c r="R54" s="132">
        <v>959988</v>
      </c>
    </row>
    <row r="55" spans="1:21" s="219" customFormat="1" x14ac:dyDescent="0.25">
      <c r="A55" s="213" t="s">
        <v>32</v>
      </c>
      <c r="B55" s="241">
        <f>+B51+B52+B53</f>
        <v>34816</v>
      </c>
      <c r="C55" s="213">
        <f>SUM(C51:C53)</f>
        <v>16639.600000000002</v>
      </c>
      <c r="D55" s="271">
        <f>SUM(D51:E53)</f>
        <v>45840401</v>
      </c>
      <c r="E55" s="272"/>
      <c r="F55" s="222">
        <f>+D55/C55</f>
        <v>2754.8980143753452</v>
      </c>
      <c r="G55" s="222">
        <f>+G51</f>
        <v>2711.8079842882503</v>
      </c>
      <c r="H55" s="222">
        <f>+F55-G55</f>
        <v>43.090030087094874</v>
      </c>
      <c r="I55" s="201"/>
      <c r="J55" s="201">
        <f>+G55*4/100</f>
        <v>108.47231937153001</v>
      </c>
      <c r="R55" s="132">
        <v>5443150</v>
      </c>
    </row>
    <row r="56" spans="1:21" s="219" customFormat="1" x14ac:dyDescent="0.25">
      <c r="A56" s="201"/>
      <c r="B56" s="201">
        <f>+N24</f>
        <v>34816</v>
      </c>
      <c r="C56" s="307">
        <f>+P24</f>
        <v>16639.599999999999</v>
      </c>
      <c r="D56" s="308">
        <f>+R24</f>
        <v>45840401</v>
      </c>
      <c r="E56" s="201"/>
      <c r="F56" s="201"/>
      <c r="G56" s="288" t="s">
        <v>215</v>
      </c>
      <c r="H56" s="201">
        <f>+F55*2/100</f>
        <v>55.097960287506901</v>
      </c>
      <c r="I56" s="201"/>
      <c r="J56" s="201"/>
      <c r="R56" s="132">
        <v>598195</v>
      </c>
    </row>
    <row r="57" spans="1:21" s="219" customFormat="1" x14ac:dyDescent="0.25">
      <c r="A57" s="201"/>
      <c r="B57" s="224">
        <f>+B55-B56</f>
        <v>0</v>
      </c>
      <c r="C57" s="307">
        <f>+C55-C56</f>
        <v>0</v>
      </c>
      <c r="D57" s="309">
        <f>+D55-D56</f>
        <v>0</v>
      </c>
      <c r="E57" s="201"/>
      <c r="F57" s="201"/>
      <c r="G57" s="288" t="s">
        <v>216</v>
      </c>
      <c r="H57" s="227">
        <f>+H55-H56</f>
        <v>-12.007930200412027</v>
      </c>
      <c r="I57" s="201"/>
      <c r="J57" s="201"/>
      <c r="R57" s="132">
        <v>1239670</v>
      </c>
    </row>
    <row r="58" spans="1:21" s="219" customFormat="1" x14ac:dyDescent="0.25">
      <c r="A58" s="201"/>
      <c r="B58" s="201"/>
      <c r="C58" s="224"/>
      <c r="D58" s="245"/>
      <c r="E58" s="245"/>
      <c r="F58" s="201"/>
      <c r="G58" s="201"/>
      <c r="H58" s="201"/>
      <c r="I58" s="201"/>
      <c r="J58" s="201"/>
      <c r="R58" s="132">
        <v>625248</v>
      </c>
    </row>
    <row r="59" spans="1:21" s="219" customFormat="1" x14ac:dyDescent="0.25">
      <c r="A59" s="201"/>
      <c r="B59" s="224"/>
      <c r="C59" s="201"/>
      <c r="D59" s="201"/>
      <c r="E59" s="201"/>
      <c r="F59" s="201"/>
      <c r="G59" s="201"/>
      <c r="H59" s="201"/>
      <c r="I59" s="201"/>
      <c r="J59" s="201"/>
      <c r="Q59" s="201"/>
      <c r="R59" s="132">
        <v>2431762</v>
      </c>
      <c r="S59" s="201"/>
      <c r="T59" s="201"/>
    </row>
    <row r="60" spans="1:21" s="219" customFormat="1" x14ac:dyDescent="0.25">
      <c r="A60" s="210"/>
      <c r="B60" s="210" t="s">
        <v>240</v>
      </c>
      <c r="C60" s="210" t="s">
        <v>8</v>
      </c>
      <c r="D60" s="210" t="s">
        <v>239</v>
      </c>
      <c r="E60" s="305" t="s">
        <v>162</v>
      </c>
      <c r="F60" s="201"/>
      <c r="G60" s="288"/>
      <c r="H60" s="201"/>
      <c r="I60" s="201"/>
      <c r="J60" s="201"/>
      <c r="Q60" s="201"/>
      <c r="R60" s="132">
        <v>238640</v>
      </c>
      <c r="S60" s="201"/>
      <c r="T60" s="201"/>
    </row>
    <row r="61" spans="1:21" s="219" customFormat="1" x14ac:dyDescent="0.25">
      <c r="A61" s="305" t="s">
        <v>232</v>
      </c>
      <c r="B61" s="306">
        <f>+'REPORT DATA SHEET'!P46</f>
        <v>78.287500000000009</v>
      </c>
      <c r="C61" s="306">
        <f>+'REPORT DATA SHEET'!P47</f>
        <v>217829.16666666666</v>
      </c>
      <c r="D61" s="200">
        <f>+B61*30</f>
        <v>2348.6250000000005</v>
      </c>
      <c r="E61" s="200">
        <f>+C61*30</f>
        <v>6534875</v>
      </c>
      <c r="F61" s="201"/>
      <c r="G61" s="201"/>
      <c r="H61" s="201"/>
      <c r="I61" s="201"/>
      <c r="J61" s="201"/>
      <c r="M61" s="201"/>
      <c r="N61" s="201"/>
      <c r="O61" s="201"/>
      <c r="P61" s="201"/>
      <c r="Q61" s="201"/>
      <c r="R61" s="132">
        <v>1476010</v>
      </c>
      <c r="S61" s="201"/>
      <c r="T61" s="201"/>
    </row>
    <row r="62" spans="1:21" x14ac:dyDescent="0.25">
      <c r="A62" s="305" t="s">
        <v>233</v>
      </c>
      <c r="B62" s="306">
        <f>+'REPORT DATA SHEET'!P56</f>
        <v>110.32083333333333</v>
      </c>
      <c r="C62" s="306">
        <f>+'REPORT DATA SHEET'!P57</f>
        <v>299168.91666666669</v>
      </c>
      <c r="D62" s="200">
        <f>+B62*30</f>
        <v>3309.625</v>
      </c>
      <c r="E62" s="200">
        <f>+C62*30</f>
        <v>8975067.5</v>
      </c>
      <c r="R62" s="132">
        <v>0</v>
      </c>
      <c r="U62" s="219"/>
    </row>
    <row r="63" spans="1:21" x14ac:dyDescent="0.25">
      <c r="A63" s="305" t="s">
        <v>234</v>
      </c>
      <c r="B63" s="306">
        <f>+'REPORT DATA SHEET'!B32</f>
        <v>25.69107142857143</v>
      </c>
      <c r="C63" s="200"/>
      <c r="D63" s="200">
        <f>+B63*30</f>
        <v>770.73214285714289</v>
      </c>
      <c r="E63" s="200">
        <f>+C63*31</f>
        <v>0</v>
      </c>
      <c r="R63" s="132">
        <v>0</v>
      </c>
    </row>
    <row r="64" spans="1:21" x14ac:dyDescent="0.25">
      <c r="A64" s="305" t="s">
        <v>235</v>
      </c>
      <c r="B64" s="200"/>
      <c r="C64" s="200"/>
      <c r="D64" s="200"/>
      <c r="E64" s="200"/>
      <c r="R64" s="132">
        <v>0</v>
      </c>
    </row>
    <row r="65" spans="1:18" x14ac:dyDescent="0.25">
      <c r="A65" s="305" t="s">
        <v>205</v>
      </c>
      <c r="B65" s="200">
        <f>+C51/31</f>
        <v>290.38677419354843</v>
      </c>
      <c r="C65" s="200">
        <f>+D51/31</f>
        <v>717454.29032258061</v>
      </c>
      <c r="D65" s="200">
        <f t="shared" ref="D65:E68" si="13">+B65*30</f>
        <v>8711.6032258064533</v>
      </c>
      <c r="E65" s="200">
        <f t="shared" si="13"/>
        <v>21523628.709677417</v>
      </c>
      <c r="R65" s="132">
        <v>12750</v>
      </c>
    </row>
    <row r="66" spans="1:18" x14ac:dyDescent="0.25">
      <c r="A66" s="305" t="s">
        <v>236</v>
      </c>
      <c r="B66" s="200">
        <f>+C52/31</f>
        <v>210.49387096774194</v>
      </c>
      <c r="C66" s="200">
        <f>+D52/31</f>
        <v>688824.77419354836</v>
      </c>
      <c r="D66" s="200">
        <f t="shared" si="13"/>
        <v>6314.8161290322587</v>
      </c>
      <c r="E66" s="200">
        <f t="shared" si="13"/>
        <v>20664743.225806452</v>
      </c>
      <c r="R66" s="132">
        <v>3046540</v>
      </c>
    </row>
    <row r="67" spans="1:18" hidden="1" x14ac:dyDescent="0.25">
      <c r="A67" s="305" t="s">
        <v>237</v>
      </c>
      <c r="B67" s="200" t="e">
        <f>+#REF!/31</f>
        <v>#REF!</v>
      </c>
      <c r="C67" s="200" t="e">
        <f>+#REF!/31</f>
        <v>#REF!</v>
      </c>
      <c r="D67" s="200" t="e">
        <f t="shared" si="13"/>
        <v>#REF!</v>
      </c>
      <c r="E67" s="200" t="e">
        <f t="shared" si="13"/>
        <v>#REF!</v>
      </c>
      <c r="R67" s="132">
        <v>5830360</v>
      </c>
    </row>
    <row r="68" spans="1:18" x14ac:dyDescent="0.25">
      <c r="A68" s="305" t="s">
        <v>238</v>
      </c>
      <c r="B68" s="200">
        <f>+C53/31</f>
        <v>35.880645161290325</v>
      </c>
      <c r="C68" s="200">
        <f>+D53/31</f>
        <v>72443.548387096773</v>
      </c>
      <c r="D68" s="200">
        <f t="shared" si="13"/>
        <v>1076.4193548387098</v>
      </c>
      <c r="E68" s="200">
        <f t="shared" si="13"/>
        <v>2173306.4516129033</v>
      </c>
      <c r="R68" s="132">
        <v>0</v>
      </c>
    </row>
    <row r="69" spans="1:18" x14ac:dyDescent="0.25">
      <c r="K69" s="227">
        <f>+G55+J55</f>
        <v>2820.2803036597802</v>
      </c>
    </row>
    <row r="72" spans="1:18" x14ac:dyDescent="0.25">
      <c r="M72" s="343" t="s">
        <v>168</v>
      </c>
      <c r="N72" s="343" t="s">
        <v>251</v>
      </c>
      <c r="O72" s="343" t="s">
        <v>252</v>
      </c>
      <c r="P72" s="343"/>
    </row>
    <row r="73" spans="1:18" x14ac:dyDescent="0.25">
      <c r="M73" s="349" t="s">
        <v>29</v>
      </c>
      <c r="N73" s="344">
        <v>4471</v>
      </c>
      <c r="O73" s="345">
        <v>3460150</v>
      </c>
      <c r="P73" s="343"/>
    </row>
    <row r="74" spans="1:18" x14ac:dyDescent="0.25">
      <c r="M74" s="349" t="s">
        <v>164</v>
      </c>
      <c r="N74" s="344">
        <v>15</v>
      </c>
      <c r="O74" s="345">
        <v>12750</v>
      </c>
      <c r="P74" s="343"/>
    </row>
    <row r="75" spans="1:18" x14ac:dyDescent="0.25">
      <c r="M75" s="349" t="s">
        <v>31</v>
      </c>
      <c r="N75" s="344">
        <v>6554</v>
      </c>
      <c r="O75" s="345">
        <v>6841020</v>
      </c>
      <c r="P75" s="343"/>
    </row>
    <row r="76" spans="1:18" x14ac:dyDescent="0.25">
      <c r="M76" s="349" t="s">
        <v>12</v>
      </c>
      <c r="N76" s="344">
        <v>1047</v>
      </c>
      <c r="O76" s="345">
        <v>1028868</v>
      </c>
      <c r="P76" s="343"/>
    </row>
    <row r="77" spans="1:18" x14ac:dyDescent="0.25">
      <c r="M77" s="349" t="s">
        <v>10</v>
      </c>
      <c r="N77" s="344">
        <v>8492</v>
      </c>
      <c r="O77" s="345">
        <v>13966420</v>
      </c>
      <c r="P77" s="343"/>
    </row>
    <row r="78" spans="1:18" x14ac:dyDescent="0.25">
      <c r="M78" s="349" t="s">
        <v>21</v>
      </c>
      <c r="N78" s="344">
        <v>298</v>
      </c>
      <c r="O78" s="345">
        <v>311780</v>
      </c>
      <c r="P78" s="343"/>
    </row>
    <row r="79" spans="1:18" x14ac:dyDescent="0.25">
      <c r="M79" s="349" t="s">
        <v>19</v>
      </c>
      <c r="N79" s="344">
        <v>1462</v>
      </c>
      <c r="O79" s="345">
        <v>2502862</v>
      </c>
      <c r="P79" s="343"/>
    </row>
    <row r="80" spans="1:18" x14ac:dyDescent="0.25">
      <c r="M80" s="349" t="s">
        <v>14</v>
      </c>
      <c r="N80" s="344">
        <v>3565</v>
      </c>
      <c r="O80" s="345">
        <v>5443150</v>
      </c>
      <c r="P80" s="343"/>
    </row>
    <row r="81" spans="13:16" x14ac:dyDescent="0.25">
      <c r="M81" s="349" t="s">
        <v>17</v>
      </c>
      <c r="N81" s="344">
        <v>818</v>
      </c>
      <c r="O81" s="345">
        <v>853608</v>
      </c>
      <c r="P81" s="343"/>
    </row>
    <row r="82" spans="13:16" x14ac:dyDescent="0.25">
      <c r="M82" s="349" t="s">
        <v>165</v>
      </c>
      <c r="N82" s="344">
        <v>782</v>
      </c>
      <c r="O82" s="345">
        <v>1356570</v>
      </c>
      <c r="P82" s="343"/>
    </row>
    <row r="83" spans="13:16" x14ac:dyDescent="0.25">
      <c r="M83" s="349" t="s">
        <v>23</v>
      </c>
      <c r="N83" s="344">
        <v>960</v>
      </c>
      <c r="O83" s="345">
        <v>1679690</v>
      </c>
      <c r="P83" s="343"/>
    </row>
    <row r="84" spans="13:16" x14ac:dyDescent="0.25">
      <c r="M84" s="349" t="s">
        <v>250</v>
      </c>
      <c r="N84" s="344">
        <v>419</v>
      </c>
      <c r="O84" s="345">
        <v>677695</v>
      </c>
      <c r="P84" s="343"/>
    </row>
    <row r="85" spans="13:16" x14ac:dyDescent="0.25">
      <c r="M85" s="349" t="s">
        <v>52</v>
      </c>
      <c r="N85" s="344">
        <v>28883</v>
      </c>
      <c r="O85" s="345">
        <v>38134563</v>
      </c>
      <c r="P85" s="343"/>
    </row>
    <row r="86" spans="13:16" x14ac:dyDescent="0.25">
      <c r="M86" s="343"/>
      <c r="N86" s="343"/>
      <c r="O86" s="343"/>
      <c r="P86" s="343"/>
    </row>
  </sheetData>
  <mergeCells count="3">
    <mergeCell ref="A3:H3"/>
    <mergeCell ref="A4:H4"/>
    <mergeCell ref="M5:S5"/>
  </mergeCells>
  <pageMargins left="0.70866141732283472" right="0.70866141732283472" top="0.74803149606299213" bottom="0.74803149606299213" header="0.31496062992125984" footer="0.31496062992125984"/>
  <pageSetup scale="6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selection activeCell="R11" sqref="R11"/>
    </sheetView>
  </sheetViews>
  <sheetFormatPr defaultRowHeight="15" x14ac:dyDescent="0.25"/>
  <cols>
    <col min="2" max="2" width="10" bestFit="1" customWidth="1"/>
    <col min="3" max="3" width="13.85546875" bestFit="1" customWidth="1"/>
    <col min="4" max="4" width="18.7109375" bestFit="1" customWidth="1"/>
    <col min="5" max="5" width="14.7109375" customWidth="1"/>
    <col min="10" max="10" width="10.85546875" customWidth="1"/>
    <col min="11" max="11" width="11.85546875" customWidth="1"/>
    <col min="25" max="25" width="12" bestFit="1" customWidth="1"/>
  </cols>
  <sheetData>
    <row r="1" spans="1:33" x14ac:dyDescent="0.25">
      <c r="B1" s="152">
        <v>42583</v>
      </c>
      <c r="C1" s="152">
        <f>+B1+1</f>
        <v>42584</v>
      </c>
      <c r="D1" s="152">
        <f t="shared" ref="D1:AF1" si="0">+C1+1</f>
        <v>42585</v>
      </c>
      <c r="E1" s="152">
        <f t="shared" si="0"/>
        <v>42586</v>
      </c>
      <c r="F1" s="152">
        <f t="shared" si="0"/>
        <v>42587</v>
      </c>
      <c r="G1" s="152">
        <f t="shared" si="0"/>
        <v>42588</v>
      </c>
      <c r="H1" s="152">
        <f t="shared" si="0"/>
        <v>42589</v>
      </c>
      <c r="I1" s="152">
        <f t="shared" si="0"/>
        <v>42590</v>
      </c>
      <c r="J1" s="152">
        <f t="shared" si="0"/>
        <v>42591</v>
      </c>
      <c r="K1" s="152">
        <f t="shared" si="0"/>
        <v>42592</v>
      </c>
      <c r="L1" s="152">
        <f t="shared" si="0"/>
        <v>42593</v>
      </c>
      <c r="M1" s="152">
        <f t="shared" si="0"/>
        <v>42594</v>
      </c>
      <c r="N1" s="152">
        <f t="shared" si="0"/>
        <v>42595</v>
      </c>
      <c r="O1" s="152">
        <f t="shared" si="0"/>
        <v>42596</v>
      </c>
      <c r="P1" s="152">
        <f t="shared" si="0"/>
        <v>42597</v>
      </c>
      <c r="Q1" s="152">
        <f t="shared" si="0"/>
        <v>42598</v>
      </c>
      <c r="R1" s="152">
        <f t="shared" si="0"/>
        <v>42599</v>
      </c>
      <c r="S1" s="152">
        <f t="shared" si="0"/>
        <v>42600</v>
      </c>
      <c r="T1" s="152">
        <f t="shared" si="0"/>
        <v>42601</v>
      </c>
      <c r="U1" s="152">
        <f t="shared" si="0"/>
        <v>42602</v>
      </c>
      <c r="V1" s="152">
        <f t="shared" si="0"/>
        <v>42603</v>
      </c>
      <c r="W1" s="152">
        <f t="shared" si="0"/>
        <v>42604</v>
      </c>
      <c r="X1" s="152">
        <f t="shared" si="0"/>
        <v>42605</v>
      </c>
      <c r="Y1" s="152">
        <f t="shared" si="0"/>
        <v>42606</v>
      </c>
      <c r="Z1" s="152">
        <f t="shared" si="0"/>
        <v>42607</v>
      </c>
      <c r="AA1" s="152">
        <f t="shared" si="0"/>
        <v>42608</v>
      </c>
      <c r="AB1" s="152">
        <f t="shared" si="0"/>
        <v>42609</v>
      </c>
      <c r="AC1" s="152">
        <f t="shared" si="0"/>
        <v>42610</v>
      </c>
      <c r="AD1" s="152">
        <f t="shared" si="0"/>
        <v>42611</v>
      </c>
      <c r="AE1" s="152">
        <f t="shared" si="0"/>
        <v>42612</v>
      </c>
      <c r="AF1" s="152">
        <f t="shared" si="0"/>
        <v>42613</v>
      </c>
      <c r="AG1" s="121" t="s">
        <v>175</v>
      </c>
    </row>
    <row r="2" spans="1:33" x14ac:dyDescent="0.25">
      <c r="D2" s="153" t="s">
        <v>176</v>
      </c>
      <c r="V2" s="154"/>
    </row>
    <row r="3" spans="1:33" x14ac:dyDescent="0.25">
      <c r="A3">
        <v>2510000</v>
      </c>
      <c r="B3" s="155">
        <v>2510133</v>
      </c>
      <c r="C3" s="155">
        <v>2510805</v>
      </c>
      <c r="D3" s="155">
        <v>2510905</v>
      </c>
      <c r="E3" s="155">
        <v>2511750</v>
      </c>
      <c r="F3" s="155">
        <v>2512155</v>
      </c>
      <c r="G3" s="155">
        <v>2512511</v>
      </c>
      <c r="H3" s="155">
        <v>2512658</v>
      </c>
      <c r="I3" s="155">
        <v>2512758</v>
      </c>
      <c r="J3" s="155">
        <v>2512856</v>
      </c>
      <c r="K3" s="155">
        <v>2512900</v>
      </c>
      <c r="L3" s="155">
        <v>2513210</v>
      </c>
      <c r="M3" s="155">
        <v>2513310</v>
      </c>
      <c r="N3" s="155">
        <v>2514092</v>
      </c>
      <c r="O3" s="155">
        <v>0</v>
      </c>
      <c r="P3" s="155">
        <v>2515843</v>
      </c>
      <c r="Q3" s="155">
        <v>0</v>
      </c>
      <c r="R3" s="155">
        <v>2517228</v>
      </c>
      <c r="S3" s="155">
        <v>0</v>
      </c>
      <c r="T3" s="155">
        <v>0</v>
      </c>
      <c r="U3" s="155">
        <v>0</v>
      </c>
      <c r="V3" s="155">
        <v>0</v>
      </c>
      <c r="W3" s="155">
        <v>0</v>
      </c>
      <c r="X3" s="155">
        <v>0</v>
      </c>
      <c r="Y3" s="155">
        <v>0</v>
      </c>
      <c r="Z3" s="155">
        <v>0</v>
      </c>
      <c r="AA3" s="155">
        <v>0</v>
      </c>
      <c r="AB3" s="155">
        <v>0</v>
      </c>
      <c r="AC3" s="155">
        <v>0</v>
      </c>
      <c r="AD3" s="155">
        <v>0</v>
      </c>
      <c r="AE3" s="155">
        <v>0</v>
      </c>
      <c r="AF3" s="155">
        <v>0</v>
      </c>
    </row>
    <row r="4" spans="1:33" x14ac:dyDescent="0.25">
      <c r="V4" s="154"/>
      <c r="AG4" t="s">
        <v>177</v>
      </c>
    </row>
    <row r="5" spans="1:33" x14ac:dyDescent="0.25">
      <c r="A5" t="s">
        <v>178</v>
      </c>
      <c r="B5">
        <f>+B3-A3</f>
        <v>133</v>
      </c>
      <c r="C5">
        <f>C3-B3</f>
        <v>672</v>
      </c>
      <c r="D5">
        <v>0</v>
      </c>
      <c r="E5">
        <f>E3-D3</f>
        <v>845</v>
      </c>
      <c r="F5">
        <f>F3-E3</f>
        <v>405</v>
      </c>
      <c r="G5">
        <f>G3-F3</f>
        <v>356</v>
      </c>
      <c r="H5">
        <f t="shared" ref="H5:N5" si="1">H3-G3</f>
        <v>147</v>
      </c>
      <c r="I5">
        <v>0</v>
      </c>
      <c r="J5">
        <f t="shared" si="1"/>
        <v>98</v>
      </c>
      <c r="K5">
        <f t="shared" si="1"/>
        <v>44</v>
      </c>
      <c r="L5">
        <f t="shared" si="1"/>
        <v>310</v>
      </c>
      <c r="M5">
        <f t="shared" si="1"/>
        <v>100</v>
      </c>
      <c r="N5">
        <f t="shared" si="1"/>
        <v>782</v>
      </c>
      <c r="O5">
        <v>0</v>
      </c>
      <c r="P5">
        <f t="shared" ref="P5:AF5" si="2">P3-O3</f>
        <v>2515843</v>
      </c>
      <c r="Q5">
        <f t="shared" si="2"/>
        <v>-2515843</v>
      </c>
      <c r="R5">
        <f t="shared" si="2"/>
        <v>2517228</v>
      </c>
      <c r="S5">
        <v>0</v>
      </c>
      <c r="T5">
        <v>0</v>
      </c>
      <c r="U5">
        <f t="shared" si="2"/>
        <v>0</v>
      </c>
      <c r="V5">
        <v>0</v>
      </c>
      <c r="W5">
        <f t="shared" si="2"/>
        <v>0</v>
      </c>
      <c r="X5">
        <f t="shared" si="2"/>
        <v>0</v>
      </c>
      <c r="Y5">
        <f t="shared" si="2"/>
        <v>0</v>
      </c>
      <c r="Z5">
        <f t="shared" si="2"/>
        <v>0</v>
      </c>
      <c r="AA5">
        <f>AA3-Z3</f>
        <v>0</v>
      </c>
      <c r="AB5">
        <f t="shared" si="2"/>
        <v>0</v>
      </c>
      <c r="AC5">
        <f t="shared" si="2"/>
        <v>0</v>
      </c>
      <c r="AD5">
        <v>0</v>
      </c>
      <c r="AE5">
        <f t="shared" si="2"/>
        <v>0</v>
      </c>
      <c r="AF5">
        <f t="shared" si="2"/>
        <v>0</v>
      </c>
      <c r="AG5" s="153" t="s">
        <v>177</v>
      </c>
    </row>
    <row r="6" spans="1:33" x14ac:dyDescent="0.25">
      <c r="A6" t="s">
        <v>179</v>
      </c>
      <c r="B6" s="154">
        <f t="shared" ref="B6:K6" si="3">B5*16</f>
        <v>2128</v>
      </c>
      <c r="C6" s="154">
        <f t="shared" si="3"/>
        <v>10752</v>
      </c>
      <c r="D6" s="154">
        <f t="shared" si="3"/>
        <v>0</v>
      </c>
      <c r="E6" s="154">
        <f t="shared" si="3"/>
        <v>13520</v>
      </c>
      <c r="F6" s="154">
        <f t="shared" si="3"/>
        <v>6480</v>
      </c>
      <c r="G6" s="154">
        <f t="shared" si="3"/>
        <v>5696</v>
      </c>
      <c r="H6" s="154">
        <f t="shared" si="3"/>
        <v>2352</v>
      </c>
      <c r="I6" s="154">
        <f t="shared" si="3"/>
        <v>0</v>
      </c>
      <c r="J6" s="154">
        <f t="shared" si="3"/>
        <v>1568</v>
      </c>
      <c r="K6" s="154">
        <f t="shared" si="3"/>
        <v>704</v>
      </c>
      <c r="L6" s="154">
        <f t="shared" ref="L6:R6" si="4">L5*16</f>
        <v>4960</v>
      </c>
      <c r="M6" s="154">
        <f t="shared" si="4"/>
        <v>1600</v>
      </c>
      <c r="N6" s="154">
        <f t="shared" si="4"/>
        <v>12512</v>
      </c>
      <c r="O6" s="154">
        <f t="shared" si="4"/>
        <v>0</v>
      </c>
      <c r="P6" s="154">
        <f t="shared" si="4"/>
        <v>40253488</v>
      </c>
      <c r="Q6" s="154">
        <f t="shared" si="4"/>
        <v>-40253488</v>
      </c>
      <c r="R6" s="154">
        <f t="shared" si="4"/>
        <v>40275648</v>
      </c>
      <c r="S6" s="154" t="s">
        <v>177</v>
      </c>
      <c r="T6" s="154" t="s">
        <v>177</v>
      </c>
      <c r="U6" s="154" t="s">
        <v>177</v>
      </c>
      <c r="V6" s="155">
        <f t="shared" ref="V6:AF6" si="5">V5*16</f>
        <v>0</v>
      </c>
      <c r="W6" s="155">
        <f t="shared" si="5"/>
        <v>0</v>
      </c>
      <c r="X6" s="155">
        <f t="shared" si="5"/>
        <v>0</v>
      </c>
      <c r="Y6" s="155">
        <f>Y5*16</f>
        <v>0</v>
      </c>
      <c r="Z6" s="154">
        <f t="shared" si="5"/>
        <v>0</v>
      </c>
      <c r="AA6" s="154">
        <f t="shared" si="5"/>
        <v>0</v>
      </c>
      <c r="AB6" s="154">
        <f t="shared" si="5"/>
        <v>0</v>
      </c>
      <c r="AC6" s="154">
        <f t="shared" si="5"/>
        <v>0</v>
      </c>
      <c r="AD6" s="154">
        <f t="shared" si="5"/>
        <v>0</v>
      </c>
      <c r="AE6" s="154">
        <f t="shared" si="5"/>
        <v>0</v>
      </c>
      <c r="AF6" s="154">
        <f t="shared" si="5"/>
        <v>0</v>
      </c>
      <c r="AG6" s="153">
        <f>SUM(B6:AF6)</f>
        <v>40337920</v>
      </c>
    </row>
    <row r="7" spans="1:33" x14ac:dyDescent="0.25">
      <c r="A7" t="s">
        <v>180</v>
      </c>
      <c r="B7" s="155">
        <v>835.6</v>
      </c>
      <c r="C7" s="155">
        <v>1383.3</v>
      </c>
      <c r="D7" s="155">
        <v>1912.2</v>
      </c>
      <c r="E7" s="155">
        <v>329.67</v>
      </c>
      <c r="F7" s="155">
        <v>866.73</v>
      </c>
      <c r="G7" s="155">
        <v>740.84</v>
      </c>
      <c r="H7" s="155">
        <v>250.55</v>
      </c>
      <c r="I7" s="155">
        <v>250.55</v>
      </c>
      <c r="J7" s="155">
        <v>250.55</v>
      </c>
      <c r="K7" s="155">
        <v>250.55</v>
      </c>
      <c r="L7" s="155">
        <v>250.55</v>
      </c>
      <c r="M7" s="155">
        <v>605.54999999999995</v>
      </c>
      <c r="N7" s="155">
        <v>1776.95</v>
      </c>
      <c r="O7" s="155">
        <v>0</v>
      </c>
      <c r="P7" s="155">
        <v>2232.6799999999998</v>
      </c>
      <c r="Q7" s="155">
        <v>0</v>
      </c>
      <c r="R7" s="155">
        <v>1573.26</v>
      </c>
      <c r="S7" s="155">
        <v>0</v>
      </c>
      <c r="T7" s="155">
        <v>0</v>
      </c>
      <c r="U7" s="155">
        <v>0</v>
      </c>
      <c r="V7" s="155">
        <v>0</v>
      </c>
      <c r="W7" s="155">
        <v>0</v>
      </c>
      <c r="X7" s="155">
        <v>0</v>
      </c>
      <c r="Y7" s="155">
        <v>0</v>
      </c>
      <c r="Z7" s="155">
        <v>0</v>
      </c>
      <c r="AA7" s="155">
        <v>0</v>
      </c>
      <c r="AB7" s="155">
        <v>0</v>
      </c>
      <c r="AC7" s="155">
        <v>0</v>
      </c>
      <c r="AD7" s="155">
        <v>0</v>
      </c>
      <c r="AE7" s="155">
        <v>0</v>
      </c>
      <c r="AF7" s="155">
        <v>0</v>
      </c>
      <c r="AG7" s="153">
        <f>SUM(B7:AF7)</f>
        <v>13509.530000000002</v>
      </c>
    </row>
    <row r="8" spans="1:33" x14ac:dyDescent="0.25">
      <c r="A8" t="s">
        <v>181</v>
      </c>
      <c r="B8">
        <f t="shared" ref="B8:AF8" si="6">B6/B7</f>
        <v>2.546673049305888</v>
      </c>
      <c r="C8">
        <f t="shared" si="6"/>
        <v>7.7727174148774676</v>
      </c>
      <c r="D8">
        <f t="shared" si="6"/>
        <v>0</v>
      </c>
      <c r="E8">
        <f t="shared" si="6"/>
        <v>41.010707677374342</v>
      </c>
      <c r="F8">
        <f>F6/F7</f>
        <v>7.476376726316154</v>
      </c>
      <c r="G8">
        <f>G6/G7</f>
        <v>7.6885697316559574</v>
      </c>
      <c r="H8">
        <f t="shared" si="6"/>
        <v>9.3873478347635206</v>
      </c>
      <c r="I8">
        <f t="shared" si="6"/>
        <v>0</v>
      </c>
      <c r="J8">
        <f t="shared" si="6"/>
        <v>6.2582318898423468</v>
      </c>
      <c r="K8">
        <f t="shared" si="6"/>
        <v>2.8098183995210535</v>
      </c>
      <c r="L8">
        <f t="shared" si="6"/>
        <v>19.796447814807422</v>
      </c>
      <c r="M8">
        <f t="shared" si="6"/>
        <v>2.6422260754685825</v>
      </c>
      <c r="N8">
        <f>N6/N7</f>
        <v>7.0412785953459576</v>
      </c>
      <c r="O8" t="e">
        <f t="shared" si="6"/>
        <v>#DIV/0!</v>
      </c>
      <c r="P8">
        <f t="shared" si="6"/>
        <v>18029.224071519431</v>
      </c>
      <c r="Q8" t="e">
        <f t="shared" si="6"/>
        <v>#DIV/0!</v>
      </c>
      <c r="R8">
        <f t="shared" si="6"/>
        <v>25600.122039586589</v>
      </c>
      <c r="S8" t="e">
        <f t="shared" si="6"/>
        <v>#VALUE!</v>
      </c>
      <c r="T8" t="e">
        <f t="shared" si="6"/>
        <v>#VALUE!</v>
      </c>
      <c r="U8" t="e">
        <f t="shared" si="6"/>
        <v>#VALUE!</v>
      </c>
      <c r="V8" t="e">
        <f t="shared" si="6"/>
        <v>#DIV/0!</v>
      </c>
      <c r="W8" t="e">
        <f t="shared" si="6"/>
        <v>#DIV/0!</v>
      </c>
      <c r="X8" t="e">
        <f t="shared" si="6"/>
        <v>#DIV/0!</v>
      </c>
      <c r="Y8" t="e">
        <f t="shared" si="6"/>
        <v>#DIV/0!</v>
      </c>
      <c r="Z8" t="e">
        <f t="shared" si="6"/>
        <v>#DIV/0!</v>
      </c>
      <c r="AA8" s="156" t="e">
        <f t="shared" si="6"/>
        <v>#DIV/0!</v>
      </c>
      <c r="AB8" t="e">
        <f t="shared" si="6"/>
        <v>#DIV/0!</v>
      </c>
      <c r="AC8" t="e">
        <f t="shared" si="6"/>
        <v>#DIV/0!</v>
      </c>
      <c r="AD8" t="e">
        <f t="shared" si="6"/>
        <v>#DIV/0!</v>
      </c>
      <c r="AE8" t="e">
        <f t="shared" si="6"/>
        <v>#DIV/0!</v>
      </c>
      <c r="AF8" t="e">
        <f t="shared" si="6"/>
        <v>#DIV/0!</v>
      </c>
      <c r="AG8" s="155">
        <f>AG6/AG7</f>
        <v>2985.8862595515902</v>
      </c>
    </row>
    <row r="10" spans="1:33" x14ac:dyDescent="0.25">
      <c r="A10" t="s">
        <v>217</v>
      </c>
      <c r="B10">
        <f>+B7*8.33</f>
        <v>6960.5480000000007</v>
      </c>
      <c r="C10">
        <f>+C6*C8</f>
        <v>83572.257644762532</v>
      </c>
      <c r="D10">
        <f t="shared" ref="D10:AF10" si="7">+D6*D8</f>
        <v>0</v>
      </c>
      <c r="E10">
        <f t="shared" si="7"/>
        <v>554464.76779810106</v>
      </c>
      <c r="F10">
        <f>+F6*F8</f>
        <v>48446.921186528678</v>
      </c>
      <c r="G10">
        <f t="shared" si="7"/>
        <v>43794.093191512336</v>
      </c>
      <c r="H10">
        <f t="shared" si="7"/>
        <v>22079.042107363799</v>
      </c>
      <c r="I10">
        <f t="shared" si="7"/>
        <v>0</v>
      </c>
      <c r="J10">
        <f t="shared" si="7"/>
        <v>9812.907603272799</v>
      </c>
      <c r="K10">
        <f t="shared" si="7"/>
        <v>1978.1121532628217</v>
      </c>
      <c r="L10">
        <f t="shared" si="7"/>
        <v>98190.38116144482</v>
      </c>
      <c r="M10">
        <f t="shared" si="7"/>
        <v>4227.5617207497316</v>
      </c>
      <c r="N10">
        <f t="shared" si="7"/>
        <v>88100.477784968622</v>
      </c>
      <c r="O10" t="e">
        <f t="shared" si="7"/>
        <v>#DIV/0!</v>
      </c>
      <c r="P10">
        <f t="shared" si="7"/>
        <v>725739154812.21851</v>
      </c>
      <c r="Q10" t="e">
        <f t="shared" si="7"/>
        <v>#DIV/0!</v>
      </c>
      <c r="R10">
        <f t="shared" si="7"/>
        <v>1031061504023.4315</v>
      </c>
      <c r="S10" t="e">
        <f t="shared" si="7"/>
        <v>#VALUE!</v>
      </c>
      <c r="T10" t="e">
        <f t="shared" si="7"/>
        <v>#VALUE!</v>
      </c>
      <c r="U10" t="e">
        <f t="shared" si="7"/>
        <v>#VALUE!</v>
      </c>
      <c r="V10" t="e">
        <f t="shared" si="7"/>
        <v>#DIV/0!</v>
      </c>
      <c r="W10" t="e">
        <f t="shared" si="7"/>
        <v>#DIV/0!</v>
      </c>
      <c r="X10" t="e">
        <f t="shared" si="7"/>
        <v>#DIV/0!</v>
      </c>
      <c r="Y10" t="e">
        <f t="shared" si="7"/>
        <v>#DIV/0!</v>
      </c>
      <c r="Z10" t="e">
        <f t="shared" si="7"/>
        <v>#DIV/0!</v>
      </c>
      <c r="AA10" t="e">
        <f t="shared" si="7"/>
        <v>#DIV/0!</v>
      </c>
      <c r="AB10" t="e">
        <f t="shared" si="7"/>
        <v>#DIV/0!</v>
      </c>
      <c r="AC10" t="e">
        <f t="shared" si="7"/>
        <v>#DIV/0!</v>
      </c>
      <c r="AD10" t="e">
        <f t="shared" si="7"/>
        <v>#DIV/0!</v>
      </c>
      <c r="AE10" t="e">
        <f t="shared" si="7"/>
        <v>#DIV/0!</v>
      </c>
      <c r="AF10" t="e">
        <f t="shared" si="7"/>
        <v>#DIV/0!</v>
      </c>
    </row>
    <row r="11" spans="1:33" x14ac:dyDescent="0.25">
      <c r="A11" t="s">
        <v>230</v>
      </c>
      <c r="B11">
        <v>24</v>
      </c>
      <c r="C11">
        <v>15.15</v>
      </c>
      <c r="D11">
        <v>16.05</v>
      </c>
      <c r="E11">
        <v>0</v>
      </c>
      <c r="F11">
        <v>0</v>
      </c>
      <c r="G11">
        <v>15.1</v>
      </c>
      <c r="H11">
        <v>0</v>
      </c>
      <c r="I11">
        <v>12</v>
      </c>
      <c r="J11">
        <v>13.4</v>
      </c>
      <c r="K11">
        <v>14.3</v>
      </c>
      <c r="L11">
        <v>6.3</v>
      </c>
      <c r="M11">
        <v>1.3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153">
        <f>SUM(B11:AF11)</f>
        <v>117.6</v>
      </c>
    </row>
    <row r="12" spans="1:33" x14ac:dyDescent="0.25">
      <c r="A12" t="s">
        <v>231</v>
      </c>
      <c r="B12">
        <v>0</v>
      </c>
      <c r="C12">
        <v>8.4499999999999993</v>
      </c>
      <c r="D12">
        <v>7.55</v>
      </c>
      <c r="E12">
        <v>0</v>
      </c>
      <c r="F12">
        <v>0</v>
      </c>
      <c r="G12">
        <v>8.5</v>
      </c>
      <c r="H12">
        <v>0</v>
      </c>
      <c r="I12">
        <v>12</v>
      </c>
      <c r="J12">
        <v>10.199999999999999</v>
      </c>
      <c r="K12">
        <v>9.3000000000000007</v>
      </c>
      <c r="L12">
        <v>17.3</v>
      </c>
      <c r="M12">
        <v>22.3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153">
        <f>SUM(B12:AF12)</f>
        <v>95.6</v>
      </c>
    </row>
    <row r="13" spans="1:33" x14ac:dyDescent="0.25">
      <c r="B13">
        <f>+B11+B12</f>
        <v>24</v>
      </c>
      <c r="C13">
        <f t="shared" ref="C13:U13" si="8">+C11+C12</f>
        <v>23.6</v>
      </c>
      <c r="D13">
        <f t="shared" si="8"/>
        <v>23.6</v>
      </c>
      <c r="E13">
        <f t="shared" si="8"/>
        <v>0</v>
      </c>
      <c r="F13">
        <f t="shared" si="8"/>
        <v>0</v>
      </c>
      <c r="G13">
        <f t="shared" si="8"/>
        <v>23.6</v>
      </c>
      <c r="H13">
        <f t="shared" si="8"/>
        <v>0</v>
      </c>
      <c r="I13">
        <f t="shared" si="8"/>
        <v>24</v>
      </c>
      <c r="J13">
        <f t="shared" si="8"/>
        <v>23.6</v>
      </c>
      <c r="K13">
        <f t="shared" si="8"/>
        <v>23.6</v>
      </c>
      <c r="L13">
        <f t="shared" si="8"/>
        <v>23.6</v>
      </c>
      <c r="M13">
        <f t="shared" si="8"/>
        <v>23.6</v>
      </c>
      <c r="N13">
        <f t="shared" si="8"/>
        <v>0</v>
      </c>
      <c r="O13">
        <f t="shared" si="8"/>
        <v>0</v>
      </c>
      <c r="P13">
        <f t="shared" si="8"/>
        <v>0</v>
      </c>
      <c r="Q13">
        <f t="shared" si="8"/>
        <v>0</v>
      </c>
      <c r="R13">
        <f t="shared" si="8"/>
        <v>0</v>
      </c>
      <c r="S13">
        <f t="shared" si="8"/>
        <v>0</v>
      </c>
      <c r="T13">
        <f t="shared" si="8"/>
        <v>0</v>
      </c>
      <c r="U13">
        <f t="shared" si="8"/>
        <v>0</v>
      </c>
      <c r="V13">
        <f t="shared" ref="V13:AF13" si="9">+V11+V12</f>
        <v>0</v>
      </c>
      <c r="W13">
        <f t="shared" si="9"/>
        <v>0</v>
      </c>
      <c r="X13">
        <f t="shared" si="9"/>
        <v>0</v>
      </c>
      <c r="Y13">
        <f t="shared" si="9"/>
        <v>0</v>
      </c>
      <c r="Z13">
        <f t="shared" si="9"/>
        <v>0</v>
      </c>
      <c r="AA13">
        <f t="shared" si="9"/>
        <v>0</v>
      </c>
      <c r="AB13">
        <f t="shared" si="9"/>
        <v>0</v>
      </c>
      <c r="AC13">
        <f t="shared" si="9"/>
        <v>0</v>
      </c>
      <c r="AD13">
        <f t="shared" si="9"/>
        <v>0</v>
      </c>
      <c r="AF13">
        <f t="shared" si="9"/>
        <v>0</v>
      </c>
    </row>
    <row r="16" spans="1:33" x14ac:dyDescent="0.25">
      <c r="I16">
        <v>892</v>
      </c>
    </row>
    <row r="17" spans="2:9" x14ac:dyDescent="0.25">
      <c r="I17">
        <v>197</v>
      </c>
    </row>
    <row r="18" spans="2:9" x14ac:dyDescent="0.25">
      <c r="I18">
        <v>36</v>
      </c>
    </row>
    <row r="19" spans="2:9" x14ac:dyDescent="0.25">
      <c r="I19">
        <v>82</v>
      </c>
    </row>
    <row r="20" spans="2:9" x14ac:dyDescent="0.25">
      <c r="I20">
        <v>139</v>
      </c>
    </row>
    <row r="22" spans="2:9" x14ac:dyDescent="0.25">
      <c r="C22" s="119" t="s">
        <v>160</v>
      </c>
      <c r="D22" s="119" t="s">
        <v>159</v>
      </c>
      <c r="E22" s="119" t="s">
        <v>161</v>
      </c>
    </row>
    <row r="23" spans="2:9" x14ac:dyDescent="0.25">
      <c r="B23" s="121" t="s">
        <v>38</v>
      </c>
      <c r="C23" s="122">
        <v>45389.65</v>
      </c>
      <c r="D23" s="120">
        <f>56659.789-2162</f>
        <v>54497.788999999997</v>
      </c>
      <c r="E23" s="125"/>
    </row>
    <row r="24" spans="2:9" x14ac:dyDescent="0.25">
      <c r="B24" s="121" t="s">
        <v>162</v>
      </c>
      <c r="C24" s="123">
        <v>141496265.5</v>
      </c>
      <c r="D24" s="121">
        <f>155897070-1005287</f>
        <v>154891783</v>
      </c>
      <c r="E24" s="125"/>
    </row>
    <row r="25" spans="2:9" x14ac:dyDescent="0.25">
      <c r="B25" s="121" t="s">
        <v>163</v>
      </c>
      <c r="C25" s="124">
        <f>C24/C23</f>
        <v>3117.3685080188984</v>
      </c>
      <c r="D25" s="121">
        <f>D24/D23</f>
        <v>2842.1663675199743</v>
      </c>
      <c r="E25" s="126">
        <f>C25-D25</f>
        <v>275.20214049892411</v>
      </c>
      <c r="F25" s="118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7" workbookViewId="0">
      <selection activeCell="B13" sqref="B13"/>
    </sheetView>
  </sheetViews>
  <sheetFormatPr defaultRowHeight="15" x14ac:dyDescent="0.25"/>
  <cols>
    <col min="1" max="2" width="13.7109375" customWidth="1"/>
  </cols>
  <sheetData>
    <row r="1" spans="1:7" x14ac:dyDescent="0.25">
      <c r="A1" s="365"/>
      <c r="B1" s="365"/>
      <c r="C1" s="365"/>
    </row>
    <row r="3" spans="1:7" x14ac:dyDescent="0.25">
      <c r="A3" t="s">
        <v>262</v>
      </c>
      <c r="B3" t="s">
        <v>69</v>
      </c>
    </row>
    <row r="4" spans="1:7" x14ac:dyDescent="0.25">
      <c r="A4" s="384">
        <v>46023</v>
      </c>
      <c r="B4">
        <v>0</v>
      </c>
      <c r="D4" s="382"/>
    </row>
    <row r="5" spans="1:7" x14ac:dyDescent="0.25">
      <c r="A5" s="384">
        <f>A4+1</f>
        <v>46024</v>
      </c>
      <c r="B5" s="383">
        <v>1047.43</v>
      </c>
      <c r="D5" s="382"/>
      <c r="G5" s="381"/>
    </row>
    <row r="6" spans="1:7" x14ac:dyDescent="0.25">
      <c r="A6" s="384">
        <f t="shared" ref="A6:A34" si="0">A5+1</f>
        <v>46025</v>
      </c>
      <c r="B6" s="383">
        <v>1099.8399999999999</v>
      </c>
      <c r="D6" s="382"/>
      <c r="G6" s="381"/>
    </row>
    <row r="7" spans="1:7" x14ac:dyDescent="0.25">
      <c r="A7" s="384">
        <f t="shared" si="0"/>
        <v>46026</v>
      </c>
      <c r="B7" s="383">
        <v>799.18</v>
      </c>
      <c r="D7" s="382"/>
      <c r="G7" s="381"/>
    </row>
    <row r="8" spans="1:7" x14ac:dyDescent="0.25">
      <c r="A8" s="384">
        <f t="shared" si="0"/>
        <v>46027</v>
      </c>
      <c r="B8" s="383">
        <v>1166.82</v>
      </c>
      <c r="D8" s="382"/>
      <c r="G8" s="381"/>
    </row>
    <row r="9" spans="1:7" x14ac:dyDescent="0.25">
      <c r="A9" s="384">
        <f t="shared" si="0"/>
        <v>46028</v>
      </c>
      <c r="B9" s="383">
        <v>0</v>
      </c>
      <c r="D9" s="382"/>
      <c r="G9" s="381"/>
    </row>
    <row r="10" spans="1:7" x14ac:dyDescent="0.25">
      <c r="A10" s="384">
        <f t="shared" si="0"/>
        <v>46029</v>
      </c>
      <c r="B10" s="383">
        <v>0</v>
      </c>
      <c r="D10" s="382"/>
      <c r="G10" s="381"/>
    </row>
    <row r="11" spans="1:7" x14ac:dyDescent="0.25">
      <c r="A11" s="384">
        <f t="shared" si="0"/>
        <v>46030</v>
      </c>
      <c r="B11" s="383">
        <v>179.34</v>
      </c>
      <c r="D11" s="382"/>
      <c r="G11" s="381"/>
    </row>
    <row r="12" spans="1:7" x14ac:dyDescent="0.25">
      <c r="A12" s="384">
        <f t="shared" si="0"/>
        <v>46031</v>
      </c>
      <c r="B12" s="383">
        <v>1244.21</v>
      </c>
      <c r="D12" s="382"/>
      <c r="G12" s="381"/>
    </row>
    <row r="13" spans="1:7" x14ac:dyDescent="0.25">
      <c r="A13" s="384">
        <f t="shared" si="0"/>
        <v>46032</v>
      </c>
      <c r="B13" s="383"/>
      <c r="D13" s="382"/>
      <c r="G13" s="381"/>
    </row>
    <row r="14" spans="1:7" x14ac:dyDescent="0.25">
      <c r="A14" s="384">
        <f t="shared" si="0"/>
        <v>46033</v>
      </c>
      <c r="B14" s="383"/>
      <c r="D14" s="382"/>
      <c r="G14" s="381"/>
    </row>
    <row r="15" spans="1:7" x14ac:dyDescent="0.25">
      <c r="A15" s="384">
        <f t="shared" si="0"/>
        <v>46034</v>
      </c>
      <c r="B15" s="383"/>
      <c r="D15" s="382"/>
      <c r="G15" s="381"/>
    </row>
    <row r="16" spans="1:7" x14ac:dyDescent="0.25">
      <c r="A16" s="384">
        <f t="shared" si="0"/>
        <v>46035</v>
      </c>
      <c r="B16" s="383"/>
      <c r="D16" s="382"/>
      <c r="G16" s="381"/>
    </row>
    <row r="17" spans="1:7" x14ac:dyDescent="0.25">
      <c r="A17" s="384">
        <f t="shared" si="0"/>
        <v>46036</v>
      </c>
      <c r="B17" s="383"/>
      <c r="D17" s="382"/>
      <c r="G17" s="381"/>
    </row>
    <row r="18" spans="1:7" x14ac:dyDescent="0.25">
      <c r="A18" s="384">
        <f t="shared" si="0"/>
        <v>46037</v>
      </c>
      <c r="B18" s="383"/>
      <c r="D18" s="382"/>
      <c r="E18" s="381"/>
      <c r="G18" s="381"/>
    </row>
    <row r="19" spans="1:7" x14ac:dyDescent="0.25">
      <c r="A19" s="384">
        <f t="shared" si="0"/>
        <v>46038</v>
      </c>
      <c r="B19" s="383"/>
      <c r="D19" s="382"/>
      <c r="G19" s="381"/>
    </row>
    <row r="20" spans="1:7" x14ac:dyDescent="0.25">
      <c r="A20" s="384">
        <f t="shared" si="0"/>
        <v>46039</v>
      </c>
      <c r="B20" s="383"/>
      <c r="D20" s="382"/>
      <c r="G20" s="381"/>
    </row>
    <row r="21" spans="1:7" x14ac:dyDescent="0.25">
      <c r="A21" s="384">
        <f t="shared" si="0"/>
        <v>46040</v>
      </c>
      <c r="B21" s="383"/>
      <c r="D21" s="382"/>
      <c r="G21" s="381"/>
    </row>
    <row r="22" spans="1:7" x14ac:dyDescent="0.25">
      <c r="A22" s="384">
        <f t="shared" si="0"/>
        <v>46041</v>
      </c>
      <c r="B22" s="383"/>
      <c r="D22" s="382"/>
      <c r="G22" s="381"/>
    </row>
    <row r="23" spans="1:7" x14ac:dyDescent="0.25">
      <c r="A23" s="384">
        <f t="shared" si="0"/>
        <v>46042</v>
      </c>
      <c r="B23" s="383"/>
      <c r="D23" s="382"/>
      <c r="G23" s="381"/>
    </row>
    <row r="24" spans="1:7" x14ac:dyDescent="0.25">
      <c r="A24" s="384">
        <f t="shared" si="0"/>
        <v>46043</v>
      </c>
      <c r="B24" s="383"/>
      <c r="D24" s="382"/>
      <c r="G24" s="381"/>
    </row>
    <row r="25" spans="1:7" x14ac:dyDescent="0.25">
      <c r="A25" s="384">
        <f t="shared" si="0"/>
        <v>46044</v>
      </c>
      <c r="B25" s="383"/>
      <c r="D25" s="382"/>
      <c r="G25" s="381"/>
    </row>
    <row r="26" spans="1:7" x14ac:dyDescent="0.25">
      <c r="A26" s="384">
        <f t="shared" si="0"/>
        <v>46045</v>
      </c>
      <c r="B26" s="383"/>
      <c r="D26" s="382"/>
      <c r="G26" s="381"/>
    </row>
    <row r="27" spans="1:7" x14ac:dyDescent="0.25">
      <c r="A27" s="384">
        <f t="shared" si="0"/>
        <v>46046</v>
      </c>
      <c r="B27" s="383"/>
      <c r="D27" s="382"/>
      <c r="G27" s="381"/>
    </row>
    <row r="28" spans="1:7" x14ac:dyDescent="0.25">
      <c r="A28" s="384">
        <f t="shared" si="0"/>
        <v>46047</v>
      </c>
      <c r="B28" s="383"/>
      <c r="D28" s="382"/>
      <c r="G28" s="381"/>
    </row>
    <row r="29" spans="1:7" x14ac:dyDescent="0.25">
      <c r="A29" s="384">
        <f t="shared" si="0"/>
        <v>46048</v>
      </c>
      <c r="B29" s="383"/>
      <c r="D29" s="382"/>
      <c r="G29" s="381"/>
    </row>
    <row r="30" spans="1:7" x14ac:dyDescent="0.25">
      <c r="A30" s="384">
        <f t="shared" si="0"/>
        <v>46049</v>
      </c>
      <c r="B30" s="383"/>
    </row>
    <row r="31" spans="1:7" x14ac:dyDescent="0.25">
      <c r="A31" s="384">
        <f t="shared" si="0"/>
        <v>46050</v>
      </c>
      <c r="B31" s="383"/>
    </row>
    <row r="32" spans="1:7" x14ac:dyDescent="0.25">
      <c r="A32" s="384">
        <f t="shared" si="0"/>
        <v>46051</v>
      </c>
      <c r="B32" s="383"/>
    </row>
    <row r="33" spans="1:2" x14ac:dyDescent="0.25">
      <c r="A33" s="384">
        <f t="shared" si="0"/>
        <v>46052</v>
      </c>
      <c r="B33" s="383"/>
    </row>
    <row r="34" spans="1:2" x14ac:dyDescent="0.25">
      <c r="A34" s="384">
        <f t="shared" si="0"/>
        <v>46053</v>
      </c>
      <c r="B34" s="383">
        <v>0</v>
      </c>
    </row>
    <row r="35" spans="1:2" x14ac:dyDescent="0.25">
      <c r="A35" t="s">
        <v>263</v>
      </c>
      <c r="B35" s="385">
        <f>SUM(B5:B34)</f>
        <v>5536.82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REPORT DATA SHEET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june 6</vt:lpstr>
      <vt:lpstr>PARTAL REPORT </vt:lpstr>
      <vt:lpstr>Sheet13</vt:lpstr>
      <vt:lpstr>Sheet14</vt:lpstr>
      <vt:lpstr>AUG TILL DATE </vt:lpstr>
      <vt:lpstr>Sheet1</vt:lpstr>
      <vt:lpstr>GRINDING</vt:lpstr>
      <vt:lpstr>'PARTAL REPORT '!Print_Area</vt:lpstr>
      <vt:lpstr>Sheet7!Print_Area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CHOYAL</dc:creator>
  <cp:lastModifiedBy>Lenovo</cp:lastModifiedBy>
  <cp:lastPrinted>2026-07-02T05:07:47Z</cp:lastPrinted>
  <dcterms:created xsi:type="dcterms:W3CDTF">2006-09-16T00:00:00Z</dcterms:created>
  <dcterms:modified xsi:type="dcterms:W3CDTF">2026-07-02T10:25:39Z</dcterms:modified>
</cp:coreProperties>
</file>